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20" yWindow="645" windowWidth="18375" windowHeight="11280"/>
  </bookViews>
  <sheets>
    <sheet name="Client" sheetId="2" r:id="rId1"/>
    <sheet name="Produit" sheetId="6" r:id="rId2"/>
    <sheet name="Immat" sheetId="5" r:id="rId3"/>
    <sheet name="Mode Opératoire" sheetId="4" r:id="rId4"/>
    <sheet name="Controle formulaire" sheetId="7" r:id="rId5"/>
    <sheet name="Feuil1" sheetId="8" r:id="rId6"/>
  </sheets>
  <definedNames>
    <definedName name="ABRIC">Client!$M$50:$M$102</definedName>
    <definedName name="BALARUC">Feuil1!$D:$D</definedName>
    <definedName name="BOUTEVILAIN_TPS">Client!$V$50:$V$102</definedName>
    <definedName name="BOUTEVILLAIN_SARL">Client!$U$50:$U$102</definedName>
    <definedName name="Client">Client!$D$50:$AD$50</definedName>
    <definedName name="Client_1">#REF!</definedName>
    <definedName name="Client_2">#REF!</definedName>
    <definedName name="Client_3">#REF!</definedName>
    <definedName name="Client_4">#REF!</definedName>
    <definedName name="Clients">Client!$D$50:$AD$50</definedName>
    <definedName name="code_client">Client!$D$51:$AD$51</definedName>
    <definedName name="CodeClient">Client!$D$51:$AD$51</definedName>
    <definedName name="DACHSER">Client!$W$50:$W$102</definedName>
    <definedName name="Débité_1">Client!$D$55:$AD$55</definedName>
    <definedName name="Débité_2">Client!$D$60:$AD$60</definedName>
    <definedName name="Débité_3">Client!$D$65:$AD$65</definedName>
    <definedName name="Débité_4">Client!$D$70:$AD$70</definedName>
    <definedName name="Débité_5">Client!$D$75:$AD$75</definedName>
    <definedName name="Débité_6">Client!$D$80:$AD$80</definedName>
    <definedName name="Débité_7">Client!$D$85:$AD$85</definedName>
    <definedName name="Débité_8">Client!$D$90:$AD$90</definedName>
    <definedName name="DéroulanteClients">Client!$D$3</definedName>
    <definedName name="Désignation_2">Client!$D$58:$AD$58</definedName>
    <definedName name="Désignation_3">Client!$D$63:$AD$63</definedName>
    <definedName name="Désignation_4">Client!$D$68:$AD$68</definedName>
    <definedName name="Désignation_5">Client!$D$73:$AD$73</definedName>
    <definedName name="Désignation_6">Client!$D$78:$AD$78</definedName>
    <definedName name="Désignation_7">Client!$D$83:$AD$83</definedName>
    <definedName name="Désignation_8">Client!$D$88:$AD$88</definedName>
    <definedName name="DésignationProduit_1">Client!$D$53:$AD$53</definedName>
    <definedName name="DISTRISUD">Client!$H$50:$H$102</definedName>
    <definedName name="DISTRISUDTEST">Feuil1!$F:$F</definedName>
    <definedName name="ERDF">Client!$G$50:$G$102</definedName>
    <definedName name="ERDFTEST">Feuil1!$E:$E</definedName>
    <definedName name="EssaiClients">Client!#REF!</definedName>
    <definedName name="ETF">Client!$X$50:$X$102</definedName>
    <definedName name="FRANCE_BOISSON">Client!$K$50:$K$102</definedName>
    <definedName name="I.E.S_LA_CORNICHE">Client!$T$50:$T$102</definedName>
    <definedName name="Immat_1">Client!$D$56:$AD$56</definedName>
    <definedName name="Immat_2">Client!$D$61:$AD$61</definedName>
    <definedName name="Immat_3">Client!$D$66:$AD$66</definedName>
    <definedName name="Immat_4">Client!$D$71:$AD$71</definedName>
    <definedName name="Immat_5">Client!$D$76:$AD$76</definedName>
    <definedName name="Immat_6">Client!$D$81:$AD$81</definedName>
    <definedName name="Immat_7">Client!$D$86:$AD$86</definedName>
    <definedName name="Immat_8">Client!$D$91:$AD$91</definedName>
    <definedName name="ImmatCamion_1">Client!$D$56:$AD$56</definedName>
    <definedName name="ImmatCamion_2">#REF!</definedName>
    <definedName name="ImmatCamion_3">#REF!</definedName>
    <definedName name="ImmatCamion_4">#REF!</definedName>
    <definedName name="JBS">Client!$L$50:$L$102</definedName>
    <definedName name="JMB">Client!$Y$50:$Y$102</definedName>
    <definedName name="LAROSA">Client!$AB$50:$AB$102</definedName>
    <definedName name="ListeClient_2">Client!$A$110:$B$136</definedName>
    <definedName name="ListeClient2">Client!$A$110:$A$136</definedName>
    <definedName name="ListeClients">Tableau2[[#Headers],[SAMAT SUD PORTET]:[SPORT ET PAYSAGE]]</definedName>
    <definedName name="ListeClients_2">Feuil1!$A$60:$A$65</definedName>
    <definedName name="ListeCodeClients">Client!$D$51:$AD$51</definedName>
    <definedName name="LOCAWATT">Client!$O$50:$O$102</definedName>
    <definedName name="LVM">Client!$P$50:$P$102</definedName>
    <definedName name="M.P.L_LOCATION">Client!$AA$50:$AA$102</definedName>
    <definedName name="MAIRIE_DE_BALARUC">Client!$F$50:$F$102</definedName>
    <definedName name="MAIRIE_DE_SETE">Client!$AC$50:$AC$102</definedName>
    <definedName name="MAZOUT">Client!$I$50:$I$102</definedName>
    <definedName name="MIDI_MIROITERIE">Client!$N$50:$N$102</definedName>
    <definedName name="MR_COMBE">Client!$J$50:$J$102</definedName>
    <definedName name="Parproduit">#REF!</definedName>
    <definedName name="PSP">Client!$R$50:$R$102</definedName>
    <definedName name="Quantité_1">Client!$D$54:$AD$54</definedName>
    <definedName name="Quantité_2">Client!$D$59:$AD$59</definedName>
    <definedName name="Quantité_3">Client!$D$64:$AD$64</definedName>
    <definedName name="Quantité_4">Client!$D$69:$AD$69</definedName>
    <definedName name="Quantité_5">Client!$D$74:$AD$74</definedName>
    <definedName name="Quantité_6">Client!$D$79:$AD$79</definedName>
    <definedName name="Quantité_7">Client!$D$84:$AD$84</definedName>
    <definedName name="Quantité_8">Client!$D$89:$AD$89</definedName>
    <definedName name="QuantitéClient_1">Client!$N:$N</definedName>
    <definedName name="RAMOND">Client!$Q$50:$Q$102</definedName>
    <definedName name="RéfProduit_1">Client!$D$52:$AD$52</definedName>
    <definedName name="RéfProduit_2">Client!$D$57:$AD$57</definedName>
    <definedName name="RéfProduit_3">Client!$D$62:$AD$62</definedName>
    <definedName name="RéfProduit_4">Client!$D$67:$AD$67</definedName>
    <definedName name="RéfProduit_5">Client!$D$72:$AD$72</definedName>
    <definedName name="RéfProduit_6">Client!$D$77:$AD$77</definedName>
    <definedName name="RéfProduit_7">Client!$D$82:$AD$82</definedName>
    <definedName name="RéfProduit_8">Client!$D$87:$AD$87</definedName>
    <definedName name="SAMAT">Feuil1!$B:$B</definedName>
    <definedName name="SAMAT_SUD_PORTET">Client!$D$50:$D$102</definedName>
    <definedName name="SAMATTEST">Feuil1!$B:$B</definedName>
    <definedName name="SMN_SETE">Client!$S$50:$S$102</definedName>
    <definedName name="Source">Client!#REF!</definedName>
    <definedName name="SourceClient">Client!$C$50:$AD$102</definedName>
    <definedName name="SourceClient_2">Client!#REF!</definedName>
    <definedName name="Sourceclient2">#REF!</definedName>
    <definedName name="SourceClients">Client!#REF!</definedName>
    <definedName name="SourceImmat">Immat!$C$34:$T$43</definedName>
    <definedName name="SourceImmatCamion">Immat!$C$34:$T$55</definedName>
    <definedName name="SourceProduit">Produit!$C$47:$AT$68</definedName>
    <definedName name="SourceProduits">#REF!</definedName>
    <definedName name="SPORT_ET_PAYSAGE">Client!$AD$50:$AD$102</definedName>
    <definedName name="TAILLEFER">Client!$Z$50:$Z$102</definedName>
    <definedName name="TESTCLIENT">Feuil1!$A$30:$F$36</definedName>
    <definedName name="TESTCLIENT_2">Feuil1!$A$60:$F$65</definedName>
    <definedName name="ZAMORA">Client!$E$50:$E$102</definedName>
    <definedName name="ZAMORATEST">Feuil1!$C:$C</definedName>
  </definedNames>
  <calcPr calcId="124519"/>
</workbook>
</file>

<file path=xl/calcChain.xml><?xml version="1.0" encoding="utf-8"?>
<calcChain xmlns="http://schemas.openxmlformats.org/spreadsheetml/2006/main">
  <c r="D5" i="2"/>
  <c r="D4"/>
  <c r="F34" i="5"/>
  <c r="A6" s="1"/>
  <c r="F36"/>
  <c r="AN50" i="6"/>
  <c r="AN49"/>
  <c r="F37" i="5"/>
  <c r="B7" i="8"/>
  <c r="B6"/>
  <c r="B5"/>
  <c r="B4"/>
  <c r="B3"/>
  <c r="B2"/>
  <c r="D30" i="2"/>
  <c r="D31"/>
  <c r="D32"/>
  <c r="D33"/>
  <c r="D34"/>
  <c r="D35"/>
  <c r="D36"/>
  <c r="D37"/>
  <c r="D38"/>
  <c r="D39"/>
  <c r="D40"/>
  <c r="D41"/>
  <c r="D42"/>
  <c r="D43"/>
  <c r="D44"/>
  <c r="T34" i="5"/>
  <c r="S34"/>
  <c r="R34"/>
  <c r="Q34"/>
  <c r="P34"/>
  <c r="O34"/>
  <c r="N34"/>
  <c r="M34"/>
  <c r="L34"/>
  <c r="K34"/>
  <c r="J34"/>
  <c r="I34"/>
  <c r="H34"/>
  <c r="G34"/>
  <c r="A7" s="1"/>
  <c r="E34"/>
  <c r="A5" s="1"/>
  <c r="D34"/>
  <c r="A4" s="1"/>
  <c r="T39"/>
  <c r="T38"/>
  <c r="T37"/>
  <c r="T36"/>
  <c r="S39"/>
  <c r="S38"/>
  <c r="S37"/>
  <c r="S36"/>
  <c r="R39"/>
  <c r="R38"/>
  <c r="R37"/>
  <c r="R36"/>
  <c r="Q39"/>
  <c r="Q38"/>
  <c r="Q37"/>
  <c r="Q36"/>
  <c r="P39"/>
  <c r="P38"/>
  <c r="P37"/>
  <c r="P36"/>
  <c r="O39"/>
  <c r="O38"/>
  <c r="O37"/>
  <c r="O36"/>
  <c r="N39"/>
  <c r="N38"/>
  <c r="N37"/>
  <c r="N36"/>
  <c r="M39"/>
  <c r="M38"/>
  <c r="M37"/>
  <c r="M36"/>
  <c r="L39"/>
  <c r="L38"/>
  <c r="L37"/>
  <c r="L36"/>
  <c r="K39"/>
  <c r="K38"/>
  <c r="K37"/>
  <c r="K36"/>
  <c r="J39"/>
  <c r="J38"/>
  <c r="J37"/>
  <c r="J36"/>
  <c r="I39"/>
  <c r="I38"/>
  <c r="I37"/>
  <c r="I36"/>
  <c r="H42"/>
  <c r="H41"/>
  <c r="H40"/>
  <c r="H39"/>
  <c r="H38"/>
  <c r="H37"/>
  <c r="H36"/>
  <c r="G39"/>
  <c r="G38"/>
  <c r="G37"/>
  <c r="G36"/>
  <c r="F43"/>
  <c r="F42"/>
  <c r="F41"/>
  <c r="F40"/>
  <c r="E39"/>
  <c r="E38"/>
  <c r="E37"/>
  <c r="D36"/>
  <c r="E36"/>
  <c r="D39"/>
  <c r="D38"/>
  <c r="D37"/>
  <c r="A41" i="6"/>
  <c r="Q53"/>
  <c r="AP52"/>
  <c r="AP51"/>
  <c r="AP50"/>
  <c r="AP49"/>
  <c r="AB52"/>
  <c r="AB51"/>
  <c r="AB50"/>
  <c r="AB49"/>
  <c r="Z52"/>
  <c r="Z51"/>
  <c r="Z50"/>
  <c r="Z49"/>
  <c r="X52"/>
  <c r="X51"/>
  <c r="X50"/>
  <c r="X49"/>
  <c r="W52"/>
  <c r="W51"/>
  <c r="W50"/>
  <c r="W49"/>
  <c r="V52"/>
  <c r="V51"/>
  <c r="V50"/>
  <c r="V49"/>
  <c r="U52"/>
  <c r="U51"/>
  <c r="U50"/>
  <c r="U49"/>
  <c r="AA52"/>
  <c r="AA51"/>
  <c r="AA50"/>
  <c r="AA49"/>
  <c r="J52"/>
  <c r="J51"/>
  <c r="J50"/>
  <c r="J49"/>
  <c r="K52"/>
  <c r="K51"/>
  <c r="K50"/>
  <c r="K49"/>
  <c r="AO51"/>
  <c r="AO50"/>
  <c r="AO49"/>
  <c r="R52"/>
  <c r="R51"/>
  <c r="R50"/>
  <c r="R49"/>
  <c r="D52"/>
  <c r="D51"/>
  <c r="D50"/>
  <c r="D49"/>
  <c r="G52"/>
  <c r="G51"/>
  <c r="G50"/>
  <c r="G49"/>
  <c r="F52"/>
  <c r="F51"/>
  <c r="F50"/>
  <c r="F49"/>
  <c r="E52"/>
  <c r="E51"/>
  <c r="E50"/>
  <c r="E49"/>
  <c r="H52"/>
  <c r="H51"/>
  <c r="H50"/>
  <c r="H49"/>
  <c r="AS52"/>
  <c r="AS51"/>
  <c r="AS50"/>
  <c r="AS49"/>
  <c r="O52"/>
  <c r="O51"/>
  <c r="O50"/>
  <c r="O49"/>
  <c r="AJ50"/>
  <c r="AJ49"/>
  <c r="AK50"/>
  <c r="AK49"/>
  <c r="AI56"/>
  <c r="AI55"/>
  <c r="AI54"/>
  <c r="AI53"/>
  <c r="AI52"/>
  <c r="AI51"/>
  <c r="AI50"/>
  <c r="AI49"/>
  <c r="AH52"/>
  <c r="AH51"/>
  <c r="AH50"/>
  <c r="AH49"/>
  <c r="AF52"/>
  <c r="AF51"/>
  <c r="AF50"/>
  <c r="AF49"/>
  <c r="AE49"/>
  <c r="AE52"/>
  <c r="AE51"/>
  <c r="AE50"/>
  <c r="AR52"/>
  <c r="AR51"/>
  <c r="AR50"/>
  <c r="AR49"/>
  <c r="Q52"/>
  <c r="Q51"/>
  <c r="Q50"/>
  <c r="Q49"/>
  <c r="AQ52"/>
  <c r="AQ51"/>
  <c r="AQ50"/>
  <c r="AQ49"/>
  <c r="AQ47"/>
  <c r="D21" s="1"/>
  <c r="AN51"/>
  <c r="AL56"/>
  <c r="AL55"/>
  <c r="AL54"/>
  <c r="AL53"/>
  <c r="AM52"/>
  <c r="AM51"/>
  <c r="AM50"/>
  <c r="AM49"/>
  <c r="AL52"/>
  <c r="AL51"/>
  <c r="AL50"/>
  <c r="AL49"/>
  <c r="N52"/>
  <c r="N51"/>
  <c r="N50"/>
  <c r="N49"/>
  <c r="D24" i="2"/>
  <c r="D23"/>
  <c r="D22"/>
  <c r="D21"/>
  <c r="D20"/>
  <c r="D19"/>
  <c r="D18"/>
  <c r="D17"/>
  <c r="D16"/>
  <c r="D15"/>
  <c r="D14"/>
  <c r="D13"/>
  <c r="D12"/>
  <c r="D11"/>
  <c r="D10"/>
  <c r="D9"/>
  <c r="D8"/>
  <c r="D7"/>
  <c r="D6"/>
  <c r="D28" l="1"/>
  <c r="D25"/>
  <c r="F39" i="5"/>
  <c r="D29" i="2"/>
  <c r="D27"/>
  <c r="F38" i="5"/>
  <c r="AN52" i="6"/>
  <c r="D26" i="2"/>
  <c r="D11" i="6"/>
  <c r="D19"/>
  <c r="D10"/>
  <c r="D18"/>
  <c r="D4"/>
  <c r="D12"/>
  <c r="D16"/>
  <c r="D20"/>
  <c r="D24"/>
  <c r="D15"/>
  <c r="D23"/>
  <c r="D14"/>
  <c r="D22"/>
  <c r="D9"/>
  <c r="D13"/>
  <c r="D17"/>
  <c r="D21" i="5"/>
  <c r="D5" i="6"/>
  <c r="D4" i="5"/>
  <c r="D8"/>
  <c r="D12"/>
  <c r="D16"/>
  <c r="D20"/>
  <c r="D24"/>
  <c r="D8" i="6"/>
  <c r="D7" i="5"/>
  <c r="D11"/>
  <c r="D15"/>
  <c r="D19"/>
  <c r="D23"/>
  <c r="D6"/>
  <c r="D10"/>
  <c r="D14"/>
  <c r="D18"/>
  <c r="D22"/>
  <c r="D7" i="6"/>
  <c r="D6"/>
  <c r="D5" i="5"/>
  <c r="D9"/>
  <c r="D13"/>
  <c r="D17"/>
</calcChain>
</file>

<file path=xl/sharedStrings.xml><?xml version="1.0" encoding="utf-8"?>
<sst xmlns="http://schemas.openxmlformats.org/spreadsheetml/2006/main" count="623" uniqueCount="247">
  <si>
    <t>code client</t>
  </si>
  <si>
    <t>client</t>
  </si>
  <si>
    <t>ImmatCamion 1</t>
  </si>
  <si>
    <t>ImmatCamion 2</t>
  </si>
  <si>
    <t>ImmatCamion 3</t>
  </si>
  <si>
    <t>RéfProduit 1</t>
  </si>
  <si>
    <t>NomProduit 1</t>
  </si>
  <si>
    <t>Quantité 1</t>
  </si>
  <si>
    <t>RéfProduit 2</t>
  </si>
  <si>
    <t>NomProduit 2</t>
  </si>
  <si>
    <t>Quantité 2</t>
  </si>
  <si>
    <t>RéfProduit 3</t>
  </si>
  <si>
    <t>NomProduit 3</t>
  </si>
  <si>
    <t>Quantité 3</t>
  </si>
  <si>
    <t>ERDF</t>
  </si>
  <si>
    <t>JBS</t>
  </si>
  <si>
    <t>LVM</t>
  </si>
  <si>
    <t>PSP</t>
  </si>
  <si>
    <t>EA-774-EQ</t>
  </si>
  <si>
    <t>AF-597-FE</t>
  </si>
  <si>
    <t>386 ADF 34</t>
  </si>
  <si>
    <t>262 AVP 34</t>
  </si>
  <si>
    <t>DB-319-GL</t>
  </si>
  <si>
    <t>AW-644-HK</t>
  </si>
  <si>
    <t>696 ZA 34</t>
  </si>
  <si>
    <t>Débité</t>
  </si>
  <si>
    <t>444 ATY 34</t>
  </si>
  <si>
    <t>SMN-SETE</t>
  </si>
  <si>
    <t>CZ-569-TK</t>
  </si>
  <si>
    <t>ImmatCamion 4</t>
  </si>
  <si>
    <t>RéfProduit 4</t>
  </si>
  <si>
    <t>NomProduit 4</t>
  </si>
  <si>
    <t>Quantité 4</t>
  </si>
  <si>
    <t>CB-726-EW</t>
  </si>
  <si>
    <t>1E</t>
  </si>
  <si>
    <t>I.E.S LA CORNICHE</t>
  </si>
  <si>
    <t>BOUTEVILAIN SARL</t>
  </si>
  <si>
    <t>BOUTEVILAIN TPS</t>
  </si>
  <si>
    <t>DACHSER</t>
  </si>
  <si>
    <t>ETF</t>
  </si>
  <si>
    <t>JMB</t>
  </si>
  <si>
    <t>TAILLEFER</t>
  </si>
  <si>
    <t>M.P.L LOCATION</t>
  </si>
  <si>
    <t>MAIRIE DE SETE</t>
  </si>
  <si>
    <t>SPORT ET PAYSAGE</t>
  </si>
  <si>
    <t>?</t>
  </si>
  <si>
    <t xml:space="preserve">Débité 2 </t>
  </si>
  <si>
    <t xml:space="preserve">Débité 1 </t>
  </si>
  <si>
    <t xml:space="preserve">Débité 3 </t>
  </si>
  <si>
    <t xml:space="preserve">Débité 4 </t>
  </si>
  <si>
    <t>Oui</t>
  </si>
  <si>
    <t>Filtre à Gazole</t>
  </si>
  <si>
    <t>82 00 143 408</t>
  </si>
  <si>
    <t>Non</t>
  </si>
  <si>
    <t>82 00 789 528</t>
  </si>
  <si>
    <t>74 20 993 004</t>
  </si>
  <si>
    <t>T.SIGNAL LAMP 16 W</t>
  </si>
  <si>
    <t>D19</t>
  </si>
  <si>
    <t>LF3769</t>
  </si>
  <si>
    <t>82 00 274 233</t>
  </si>
  <si>
    <t>74 21 239 485</t>
  </si>
  <si>
    <t>A 000 315 04 66</t>
  </si>
  <si>
    <t>ECROU BLOCAGE</t>
  </si>
  <si>
    <t>50 10 578 532</t>
  </si>
  <si>
    <t>CARTOUCHE FILTRE A AIR</t>
  </si>
  <si>
    <t>GROS CARTON 4X4L</t>
  </si>
  <si>
    <t>CNHI</t>
  </si>
  <si>
    <t>74 20 894 146</t>
  </si>
  <si>
    <t>LONG CARTON CONTRE LE MUR</t>
  </si>
  <si>
    <t>CARTON BLANC</t>
  </si>
  <si>
    <t>CT-974-SV</t>
  </si>
  <si>
    <t>T.Signal Lamp 16 w</t>
  </si>
  <si>
    <t>DQ-627-KX</t>
  </si>
  <si>
    <t>DN-144-AB</t>
  </si>
  <si>
    <t xml:space="preserve">Oui </t>
  </si>
  <si>
    <t>BJ-360-GN</t>
  </si>
  <si>
    <t>Deux boulots et une loctite 243</t>
  </si>
  <si>
    <t>Ecrou Blocage</t>
  </si>
  <si>
    <t>RéfProduit 5</t>
  </si>
  <si>
    <t>NomProduit 5</t>
  </si>
  <si>
    <t>Quantité 5</t>
  </si>
  <si>
    <t xml:space="preserve">Débité 5 </t>
  </si>
  <si>
    <t>ImmatCamion 5</t>
  </si>
  <si>
    <t>BL-176-LC</t>
  </si>
  <si>
    <t>BN-014-GX</t>
  </si>
  <si>
    <t>100 E18 EEU</t>
  </si>
  <si>
    <t>RAMOND</t>
  </si>
  <si>
    <t>LOCAWATT</t>
  </si>
  <si>
    <t>MIDI MIROITERIE</t>
  </si>
  <si>
    <t>ABRIC</t>
  </si>
  <si>
    <t>France BOISSON</t>
  </si>
  <si>
    <t>MR COMBE</t>
  </si>
  <si>
    <t>MAZOUT</t>
  </si>
  <si>
    <t>DISTRISUD</t>
  </si>
  <si>
    <t>MAIRIE DE BALARUC</t>
  </si>
  <si>
    <t>SAMAT SUD PORTET</t>
  </si>
  <si>
    <t>LAROSA</t>
  </si>
  <si>
    <t>CARTON BLANC (3 700180925434)</t>
  </si>
  <si>
    <t>Feu Clignotant doit</t>
  </si>
  <si>
    <t>58 01 755 123</t>
  </si>
  <si>
    <t>ECL 17073</t>
  </si>
  <si>
    <t>PHARES DE TRAVAIL</t>
  </si>
  <si>
    <t>FCS722</t>
  </si>
  <si>
    <t>ZAMORA</t>
  </si>
  <si>
    <t>A0040943504</t>
  </si>
  <si>
    <t>Cartouche de Filtre à Air</t>
  </si>
  <si>
    <t>92 8474 - 48 (?)</t>
  </si>
  <si>
    <t>61411 (?)</t>
  </si>
  <si>
    <t>BRIN BOUCLE LONG AVC</t>
  </si>
  <si>
    <t>A0005445411</t>
  </si>
  <si>
    <t>A0005447611</t>
  </si>
  <si>
    <t>A0003150466</t>
  </si>
  <si>
    <t>BAGUE ANTI DEMARRAGE</t>
  </si>
  <si>
    <t>CAPTEUR DE VITESSE</t>
  </si>
  <si>
    <t>REGULATEUR DE VITESSE</t>
  </si>
  <si>
    <t>CONTACTEUR M18x150 N</t>
  </si>
  <si>
    <t>FILTRE A HUILE</t>
  </si>
  <si>
    <t>POIGNEE OUVERTURE</t>
  </si>
  <si>
    <t>TOLE GARDE HUILE</t>
  </si>
  <si>
    <t>JOINT KOMBI 45x57x11</t>
  </si>
  <si>
    <t>JOINT KOMBI 45x56x9</t>
  </si>
  <si>
    <t>ANNEAU D'ARRET "I" D</t>
  </si>
  <si>
    <t>RONDELLE D'ARRET</t>
  </si>
  <si>
    <t>ANNEAU D'ARRET EXT D</t>
  </si>
  <si>
    <t>BAGUE AF 42x62x8 - NI</t>
  </si>
  <si>
    <t>ROTULE 42x62x25</t>
  </si>
  <si>
    <t>SONDE DE NIVEAU</t>
  </si>
  <si>
    <t>EMBOUT BAE PARE-CHOC</t>
  </si>
  <si>
    <t>JEU ANNEAU USURE</t>
  </si>
  <si>
    <t>INDICATEUR DE COLMAT</t>
  </si>
  <si>
    <t>RESERVOIR LAVE-GLACE</t>
  </si>
  <si>
    <t>ECRAN THERMIQUE SUR</t>
  </si>
  <si>
    <t>POIGNEE COMMANDE</t>
  </si>
  <si>
    <t>Client 1</t>
  </si>
  <si>
    <t>Client 2</t>
  </si>
  <si>
    <t>Client 3</t>
  </si>
  <si>
    <t>Client 4</t>
  </si>
  <si>
    <t>Client2</t>
  </si>
  <si>
    <t>CN-489-MH</t>
  </si>
  <si>
    <t>NomProduit 6</t>
  </si>
  <si>
    <t>Quantité 6</t>
  </si>
  <si>
    <t xml:space="preserve">Débité 6 </t>
  </si>
  <si>
    <t>ImmatCamion 6</t>
  </si>
  <si>
    <t>RéfProduit7</t>
  </si>
  <si>
    <t>NomProduit 7</t>
  </si>
  <si>
    <t>Quantité 7</t>
  </si>
  <si>
    <t>Débité 7</t>
  </si>
  <si>
    <t>ImmatCamion 7</t>
  </si>
  <si>
    <t>RéfProduit 8</t>
  </si>
  <si>
    <t>NomProduit 8</t>
  </si>
  <si>
    <t>Quantité 8</t>
  </si>
  <si>
    <t xml:space="preserve">Débité 8 </t>
  </si>
  <si>
    <t>ROUTIERACTIVE</t>
  </si>
  <si>
    <t>Mot de passe feuille:</t>
  </si>
  <si>
    <t>RECHERCHE PAR CLIENT</t>
  </si>
  <si>
    <t>Débité 5</t>
  </si>
  <si>
    <t>RéfProduit 6</t>
  </si>
  <si>
    <t>Débité 6</t>
  </si>
  <si>
    <t>RéfProduit 7</t>
  </si>
  <si>
    <t>Débité 8</t>
  </si>
  <si>
    <t>ImmatCamion 8</t>
  </si>
  <si>
    <t>BAGUE AF 42x62x25</t>
  </si>
  <si>
    <t>FEU CLIGNOTANT DROIT</t>
  </si>
  <si>
    <t>CodeClient</t>
  </si>
  <si>
    <t>Masquer</t>
  </si>
  <si>
    <t>Afficher Source Client:</t>
  </si>
  <si>
    <t>Afficher Source Produit:</t>
  </si>
  <si>
    <t>Pour supprimer:</t>
  </si>
  <si>
    <t>Pour ajouter</t>
  </si>
  <si>
    <t>Cliquer sur n'importe quel  numéro de ligne du tableau  tout à gauche, clic droit, puis "insertion"</t>
  </si>
  <si>
    <t>ImmatCamion</t>
  </si>
  <si>
    <t>Client</t>
  </si>
  <si>
    <t>Référence produit</t>
  </si>
  <si>
    <t>Désignation</t>
  </si>
  <si>
    <t>Quantité</t>
  </si>
  <si>
    <t>référence Produit</t>
  </si>
  <si>
    <t>Débité 1</t>
  </si>
  <si>
    <t>Débité 2</t>
  </si>
  <si>
    <t>Débité 3</t>
  </si>
  <si>
    <t>Débité 4</t>
  </si>
  <si>
    <t>Client 5</t>
  </si>
  <si>
    <t>PUITS DE MARCHE</t>
  </si>
  <si>
    <t>FILTRE A GAZOLE</t>
  </si>
  <si>
    <t>RETROVISEUR D'ACCOST</t>
  </si>
  <si>
    <t>RECHERCHE PAR PRODUIT</t>
  </si>
  <si>
    <t>Désignation 2</t>
  </si>
  <si>
    <t>Référence produit 2</t>
  </si>
  <si>
    <t>Référence produit 1</t>
  </si>
  <si>
    <t>Désignation 1</t>
  </si>
  <si>
    <t>RECHERCHE PAR IMMAT</t>
  </si>
  <si>
    <t>Référence produit 3</t>
  </si>
  <si>
    <t>Désignation 3</t>
  </si>
  <si>
    <t>Référence produit 4</t>
  </si>
  <si>
    <t>Désignation 4</t>
  </si>
  <si>
    <t>Référence produit 5</t>
  </si>
  <si>
    <t>Désignation 5</t>
  </si>
  <si>
    <t>Dans la feuille "Recherche par Produit", Sélectionner les numéros "46" et "69" tout à gauche, puis appuyer sur le clic droit de la souris, sélectionner "Afficher"</t>
  </si>
  <si>
    <t>Afficher Source Immat:</t>
  </si>
  <si>
    <t>Dans la feuille "Recherche par Immat", Sélectionner les numéros "33" et "56" tout à gauche, puis appuyer sur le clic droit de la souris, sélectionner "Afficher"</t>
  </si>
  <si>
    <t>Cliquer sur la lettre de colonnes qu'on veut supprimer tout en haut, clic droit, puis "supprimer"</t>
  </si>
  <si>
    <t>Dans la feuille "Recherche par client", Sélectionner les numéros "51" et "94" tout à gauche, puis appuyer sur le clic droit de la souris, sélectionner "Afficher"</t>
  </si>
  <si>
    <t>Immat 1</t>
  </si>
  <si>
    <t>Immat 3</t>
  </si>
  <si>
    <t>Immat 2</t>
  </si>
  <si>
    <t>Immat 4</t>
  </si>
  <si>
    <t>Immat 5</t>
  </si>
  <si>
    <t>Immat 6</t>
  </si>
  <si>
    <t>Immat 7</t>
  </si>
  <si>
    <t xml:space="preserve">Immat 8 </t>
  </si>
  <si>
    <t>ERRRT</t>
  </si>
  <si>
    <t>DGFHFH</t>
  </si>
  <si>
    <t>Colonne1</t>
  </si>
  <si>
    <t>AEAEAEA</t>
  </si>
  <si>
    <t>GTRHHGH</t>
  </si>
  <si>
    <t>HJTJTTU</t>
  </si>
  <si>
    <t>TJTTUTYUTUTY</t>
  </si>
  <si>
    <t>RYRTYRYRTY</t>
  </si>
  <si>
    <t>YRYEZAEAQS</t>
  </si>
  <si>
    <t>IMIOIU</t>
  </si>
  <si>
    <t>NHFHFHTD</t>
  </si>
  <si>
    <t>RTETETZ</t>
  </si>
  <si>
    <t>TRTRTZ</t>
  </si>
  <si>
    <t>RTE4QZ</t>
  </si>
  <si>
    <t>GHGHRY</t>
  </si>
  <si>
    <t>gjgj</t>
  </si>
  <si>
    <t>YUYIUIGY</t>
  </si>
  <si>
    <t>YUTYUTU</t>
  </si>
  <si>
    <t>JHGJJHH</t>
  </si>
  <si>
    <t>HGJGJG</t>
  </si>
  <si>
    <t>HJHGJH</t>
  </si>
  <si>
    <t>HGJGJGJ</t>
  </si>
  <si>
    <t/>
  </si>
  <si>
    <t>srzrzr</t>
  </si>
  <si>
    <t>retretet</t>
  </si>
  <si>
    <t>teetytey</t>
  </si>
  <si>
    <t>rtyrtyrty</t>
  </si>
  <si>
    <t>rtyyy</t>
  </si>
  <si>
    <t>779778978</t>
  </si>
  <si>
    <t>ZAEAEEA</t>
  </si>
  <si>
    <t>786676</t>
  </si>
  <si>
    <t>EERERTRTT</t>
  </si>
  <si>
    <t>HJGH4545</t>
  </si>
  <si>
    <t>7777777</t>
  </si>
  <si>
    <t>8888889</t>
  </si>
  <si>
    <t>99999999</t>
  </si>
  <si>
    <t>1010101010</t>
  </si>
  <si>
    <t>1111111111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</si>
</sst>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24"/>
      <color rgb="FFFF000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theme="5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theme="5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theme="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1"/>
        <bgColor theme="5"/>
      </patternFill>
    </fill>
    <fill>
      <patternFill patternType="solid">
        <fgColor theme="0"/>
        <bgColor theme="5"/>
      </patternFill>
    </fill>
    <fill>
      <patternFill patternType="solid">
        <fgColor rgb="FFC00000"/>
        <bgColor theme="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theme="5"/>
      </patternFill>
    </fill>
    <fill>
      <patternFill patternType="solid">
        <fgColor theme="9" tint="-0.249977111117893"/>
        <bgColor theme="5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theme="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Protection="1"/>
    <xf numFmtId="3" fontId="0" fillId="0" borderId="1" xfId="0" applyNumberFormat="1" applyBorder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Fill="1" applyAlignment="1"/>
    <xf numFmtId="0" fontId="0" fillId="4" borderId="0" xfId="0" applyFill="1"/>
    <xf numFmtId="0" fontId="0" fillId="8" borderId="0" xfId="0" applyFill="1"/>
    <xf numFmtId="0" fontId="0" fillId="0" borderId="1" xfId="0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6" fillId="13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6" fillId="11" borderId="0" xfId="0" applyFont="1" applyFill="1" applyAlignment="1">
      <alignment horizontal="center"/>
    </xf>
    <xf numFmtId="0" fontId="6" fillId="14" borderId="0" xfId="0" applyFont="1" applyFill="1" applyAlignment="1">
      <alignment horizontal="center" vertical="center"/>
    </xf>
    <xf numFmtId="0" fontId="6" fillId="10" borderId="0" xfId="0" applyFont="1" applyFill="1" applyAlignment="1">
      <alignment horizontal="center" vertical="center"/>
    </xf>
    <xf numFmtId="0" fontId="5" fillId="16" borderId="0" xfId="0" applyFont="1" applyFill="1" applyAlignment="1">
      <alignment horizontal="center" vertical="center"/>
    </xf>
    <xf numFmtId="0" fontId="4" fillId="18" borderId="2" xfId="0" applyFont="1" applyFill="1" applyBorder="1" applyAlignment="1">
      <alignment horizontal="center" vertical="center"/>
    </xf>
    <xf numFmtId="0" fontId="5" fillId="19" borderId="3" xfId="0" applyFont="1" applyFill="1" applyBorder="1" applyAlignment="1">
      <alignment horizontal="center" vertical="center"/>
    </xf>
    <xf numFmtId="0" fontId="4" fillId="20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3" xfId="0" applyFont="1" applyFill="1" applyBorder="1" applyAlignment="1">
      <alignment horizontal="center" vertical="center"/>
    </xf>
    <xf numFmtId="0" fontId="5" fillId="22" borderId="3" xfId="0" applyFont="1" applyFill="1" applyBorder="1" applyAlignment="1">
      <alignment horizontal="center" vertical="center"/>
    </xf>
    <xf numFmtId="0" fontId="5" fillId="23" borderId="3" xfId="0" applyFont="1" applyFill="1" applyBorder="1" applyAlignment="1">
      <alignment horizontal="center" vertical="center"/>
    </xf>
    <xf numFmtId="0" fontId="5" fillId="26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4" fillId="20" borderId="3" xfId="0" applyFont="1" applyFill="1" applyBorder="1" applyAlignment="1">
      <alignment horizontal="center" vertical="center"/>
    </xf>
    <xf numFmtId="0" fontId="4" fillId="20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6" fillId="16" borderId="0" xfId="0" applyFont="1" applyFill="1" applyAlignment="1">
      <alignment horizontal="center"/>
    </xf>
    <xf numFmtId="0" fontId="4" fillId="17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14" borderId="0" xfId="0" applyFont="1" applyFill="1" applyAlignment="1">
      <alignment horizontal="center"/>
    </xf>
    <xf numFmtId="0" fontId="5" fillId="24" borderId="0" xfId="0" applyFont="1" applyFill="1" applyAlignment="1">
      <alignment horizontal="center"/>
    </xf>
    <xf numFmtId="0" fontId="5" fillId="27" borderId="0" xfId="0" applyFont="1" applyFill="1" applyAlignment="1">
      <alignment horizontal="center"/>
    </xf>
    <xf numFmtId="0" fontId="6" fillId="6" borderId="0" xfId="0" applyFont="1" applyFill="1" applyAlignment="1">
      <alignment horizontal="center"/>
    </xf>
    <xf numFmtId="0" fontId="0" fillId="17" borderId="1" xfId="0" applyFill="1" applyBorder="1" applyAlignment="1" applyProtection="1">
      <alignment horizontal="center" vertical="center"/>
    </xf>
    <xf numFmtId="0" fontId="0" fillId="17" borderId="0" xfId="0" applyFill="1"/>
    <xf numFmtId="0" fontId="0" fillId="17" borderId="1" xfId="0" applyFill="1" applyBorder="1" applyProtection="1"/>
    <xf numFmtId="0" fontId="0" fillId="4" borderId="1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25" borderId="1" xfId="0" applyFill="1" applyBorder="1" applyAlignment="1" applyProtection="1">
      <alignment horizontal="center" vertical="center"/>
    </xf>
    <xf numFmtId="0" fontId="0" fillId="25" borderId="0" xfId="0" applyFill="1"/>
    <xf numFmtId="0" fontId="0" fillId="21" borderId="1" xfId="0" applyFill="1" applyBorder="1" applyAlignment="1" applyProtection="1">
      <alignment horizontal="center" vertical="center"/>
    </xf>
    <xf numFmtId="0" fontId="0" fillId="21" borderId="1" xfId="0" applyFill="1" applyBorder="1" applyProtection="1"/>
    <xf numFmtId="0" fontId="0" fillId="21" borderId="0" xfId="0" applyFill="1"/>
    <xf numFmtId="0" fontId="0" fillId="15" borderId="1" xfId="0" applyFill="1" applyBorder="1" applyAlignment="1" applyProtection="1">
      <alignment horizontal="center" vertical="center"/>
    </xf>
    <xf numFmtId="0" fontId="0" fillId="15" borderId="1" xfId="0" applyFill="1" applyBorder="1" applyProtection="1"/>
    <xf numFmtId="0" fontId="0" fillId="15" borderId="0" xfId="0" applyFill="1"/>
    <xf numFmtId="0" fontId="0" fillId="28" borderId="1" xfId="0" applyFill="1" applyBorder="1" applyProtection="1"/>
    <xf numFmtId="0" fontId="0" fillId="28" borderId="0" xfId="0" applyFill="1"/>
    <xf numFmtId="0" fontId="0" fillId="27" borderId="1" xfId="0" applyFill="1" applyBorder="1" applyProtection="1"/>
    <xf numFmtId="0" fontId="0" fillId="27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7" borderId="0" xfId="0" applyFont="1" applyFill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24" borderId="1" xfId="0" applyFont="1" applyFill="1" applyBorder="1" applyAlignment="1">
      <alignment horizontal="center" vertical="center"/>
    </xf>
    <xf numFmtId="0" fontId="6" fillId="24" borderId="0" xfId="0" applyFont="1" applyFill="1" applyAlignment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17" borderId="5" xfId="0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8" borderId="5" xfId="0" applyFill="1" applyBorder="1" applyAlignment="1" applyProtection="1">
      <alignment horizontal="center" vertical="center"/>
    </xf>
    <xf numFmtId="0" fontId="0" fillId="25" borderId="5" xfId="0" applyFill="1" applyBorder="1" applyAlignment="1" applyProtection="1">
      <alignment horizontal="center" vertical="center"/>
    </xf>
    <xf numFmtId="0" fontId="0" fillId="21" borderId="5" xfId="0" applyFill="1" applyBorder="1" applyAlignment="1" applyProtection="1">
      <alignment horizontal="center" vertical="center"/>
    </xf>
    <xf numFmtId="0" fontId="0" fillId="15" borderId="5" xfId="0" applyFill="1" applyBorder="1" applyAlignment="1" applyProtection="1">
      <alignment horizontal="center" vertical="center"/>
    </xf>
    <xf numFmtId="0" fontId="0" fillId="28" borderId="5" xfId="0" applyFill="1" applyBorder="1" applyAlignment="1" applyProtection="1">
      <alignment horizontal="center" vertical="center"/>
    </xf>
    <xf numFmtId="0" fontId="0" fillId="27" borderId="5" xfId="0" applyFill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17" borderId="6" xfId="0" applyFill="1" applyBorder="1" applyAlignment="1" applyProtection="1">
      <alignment horizontal="center" vertical="center"/>
    </xf>
    <xf numFmtId="0" fontId="0" fillId="4" borderId="6" xfId="0" applyFill="1" applyBorder="1" applyAlignment="1" applyProtection="1">
      <alignment horizontal="center" vertical="center"/>
    </xf>
    <xf numFmtId="0" fontId="0" fillId="8" borderId="6" xfId="0" applyFill="1" applyBorder="1" applyAlignment="1" applyProtection="1">
      <alignment horizontal="center" vertical="center"/>
    </xf>
    <xf numFmtId="0" fontId="0" fillId="25" borderId="6" xfId="0" applyFill="1" applyBorder="1" applyAlignment="1" applyProtection="1">
      <alignment horizontal="center" vertical="center"/>
    </xf>
    <xf numFmtId="0" fontId="0" fillId="21" borderId="6" xfId="0" applyFill="1" applyBorder="1" applyProtection="1"/>
    <xf numFmtId="0" fontId="0" fillId="15" borderId="6" xfId="0" applyFill="1" applyBorder="1" applyProtection="1"/>
    <xf numFmtId="0" fontId="0" fillId="28" borderId="6" xfId="0" applyFill="1" applyBorder="1" applyProtection="1"/>
    <xf numFmtId="0" fontId="0" fillId="27" borderId="6" xfId="0" applyFill="1" applyBorder="1" applyProtection="1"/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27" borderId="10" xfId="0" applyFill="1" applyBorder="1" applyAlignment="1" applyProtection="1">
      <alignment horizontal="center" vertical="center"/>
    </xf>
    <xf numFmtId="0" fontId="0" fillId="27" borderId="11" xfId="0" applyFill="1" applyBorder="1" applyProtection="1"/>
    <xf numFmtId="0" fontId="0" fillId="27" borderId="12" xfId="0" applyFill="1" applyBorder="1" applyProtection="1"/>
    <xf numFmtId="0" fontId="9" fillId="29" borderId="1" xfId="0" applyFont="1" applyFill="1" applyBorder="1" applyAlignment="1">
      <alignment horizontal="center" vertical="center"/>
    </xf>
    <xf numFmtId="0" fontId="0" fillId="30" borderId="1" xfId="0" applyFont="1" applyFill="1" applyBorder="1" applyAlignment="1">
      <alignment horizontal="center" vertical="center"/>
    </xf>
    <xf numFmtId="0" fontId="0" fillId="17" borderId="1" xfId="0" applyFont="1" applyFill="1" applyBorder="1" applyAlignment="1">
      <alignment horizontal="center" vertical="center"/>
    </xf>
    <xf numFmtId="0" fontId="0" fillId="17" borderId="1" xfId="0" applyFont="1" applyFill="1" applyBorder="1"/>
    <xf numFmtId="0" fontId="0" fillId="17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4" fillId="17" borderId="0" xfId="0" quotePrefix="1" applyFont="1" applyFill="1" applyAlignment="1">
      <alignment horizontal="center"/>
    </xf>
    <xf numFmtId="0" fontId="7" fillId="17" borderId="0" xfId="0" applyFont="1" applyFill="1" applyAlignment="1">
      <alignment horizontal="center"/>
    </xf>
    <xf numFmtId="0" fontId="8" fillId="17" borderId="0" xfId="0" applyFont="1" applyFill="1" applyAlignment="1">
      <alignment horizontal="center"/>
    </xf>
    <xf numFmtId="0" fontId="3" fillId="17" borderId="0" xfId="0" applyFont="1" applyFill="1" applyAlignment="1">
      <alignment horizontal="center"/>
    </xf>
  </cellXfs>
  <cellStyles count="1">
    <cellStyle name="Normal" xfId="0" builtinId="0"/>
  </cellStyles>
  <dxfs count="33"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protection locked="1" hidden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23813</xdr:colOff>
      <xdr:row>41</xdr:row>
      <xdr:rowOff>0</xdr:rowOff>
    </xdr:from>
    <xdr:to>
      <xdr:col>7</xdr:col>
      <xdr:colOff>190500</xdr:colOff>
      <xdr:row>44</xdr:row>
      <xdr:rowOff>130968</xdr:rowOff>
    </xdr:to>
    <xdr:sp macro="[0]!ouvreformulaire" textlink="">
      <xdr:nvSpPr>
        <xdr:cNvPr id="2" name="Rectangle à coins arrondis 1"/>
        <xdr:cNvSpPr/>
      </xdr:nvSpPr>
      <xdr:spPr>
        <a:xfrm>
          <a:off x="6084094" y="9096375"/>
          <a:ext cx="1333500" cy="773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AFFICHER</a:t>
          </a:r>
          <a:r>
            <a:rPr lang="fr-FR" sz="1100" baseline="0"/>
            <a:t>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28</xdr:row>
      <xdr:rowOff>0</xdr:rowOff>
    </xdr:from>
    <xdr:to>
      <xdr:col>11</xdr:col>
      <xdr:colOff>704850</xdr:colOff>
      <xdr:row>31</xdr:row>
      <xdr:rowOff>19050</xdr:rowOff>
    </xdr:to>
    <xdr:sp macro="[0]!ouvreformulaire" textlink="">
      <xdr:nvSpPr>
        <xdr:cNvPr id="2" name="Rectangle à coins arrondis 1"/>
        <xdr:cNvSpPr/>
      </xdr:nvSpPr>
      <xdr:spPr>
        <a:xfrm>
          <a:off x="7620000" y="5334000"/>
          <a:ext cx="1466850" cy="590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AFFICHER 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6</xdr:row>
      <xdr:rowOff>19050</xdr:rowOff>
    </xdr:from>
    <xdr:to>
      <xdr:col>5</xdr:col>
      <xdr:colOff>19050</xdr:colOff>
      <xdr:row>8</xdr:row>
      <xdr:rowOff>123825</xdr:rowOff>
    </xdr:to>
    <xdr:sp macro="[0]!ouvreformulaire" textlink="">
      <xdr:nvSpPr>
        <xdr:cNvPr id="2" name="Rectangle à coins arrondis 1"/>
        <xdr:cNvSpPr/>
      </xdr:nvSpPr>
      <xdr:spPr>
        <a:xfrm>
          <a:off x="4476750" y="1162050"/>
          <a:ext cx="1181100" cy="485775"/>
        </a:xfrm>
        <a:prstGeom prst="roundRect">
          <a:avLst/>
        </a:prstGeom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47625</xdr:colOff>
      <xdr:row>47</xdr:row>
      <xdr:rowOff>9525</xdr:rowOff>
    </xdr:from>
    <xdr:to>
      <xdr:col>5</xdr:col>
      <xdr:colOff>38100</xdr:colOff>
      <xdr:row>50</xdr:row>
      <xdr:rowOff>0</xdr:rowOff>
    </xdr:to>
    <xdr:sp macro="[0]!ouvreformulaire" textlink="">
      <xdr:nvSpPr>
        <xdr:cNvPr id="3" name="Rectangle à coins arrondis 2"/>
        <xdr:cNvSpPr/>
      </xdr:nvSpPr>
      <xdr:spPr>
        <a:xfrm>
          <a:off x="5038725" y="8963025"/>
          <a:ext cx="1162050" cy="5619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C50:AD102" totalsRowShown="0" headerRowDxfId="32" dataDxfId="30" headerRowBorderDxfId="31" tableBorderDxfId="29" totalsRowBorderDxfId="28">
  <autoFilter ref="C50:AD102"/>
  <tableColumns count="28">
    <tableColumn id="1" name="YUYIUIGY" dataDxfId="27"/>
    <tableColumn id="2" name="SAMAT SUD PORTET" dataDxfId="26"/>
    <tableColumn id="3" name="ZAMORA" dataDxfId="25"/>
    <tableColumn id="4" name="MAIRIE DE BALARUC" dataDxfId="24"/>
    <tableColumn id="5" name="ERDF" dataDxfId="23"/>
    <tableColumn id="6" name="DISTRISUD" dataDxfId="22"/>
    <tableColumn id="7" name="MAZOUT" dataDxfId="21"/>
    <tableColumn id="8" name="MR COMBE" dataDxfId="20"/>
    <tableColumn id="9" name="France BOISSON" dataDxfId="19"/>
    <tableColumn id="10" name="JBS" dataDxfId="18"/>
    <tableColumn id="11" name="ABRIC" dataDxfId="17"/>
    <tableColumn id="12" name="MIDI MIROITERIE" dataDxfId="16"/>
    <tableColumn id="13" name="LOCAWATT" dataDxfId="15"/>
    <tableColumn id="14" name="LVM" dataDxfId="14"/>
    <tableColumn id="15" name="RAMOND" dataDxfId="13"/>
    <tableColumn id="16" name="PSP" dataDxfId="12"/>
    <tableColumn id="17" name="SMN-SETE" dataDxfId="11"/>
    <tableColumn id="18" name="I.E.S LA CORNICHE" dataDxfId="10"/>
    <tableColumn id="19" name="BOUTEVILAIN SARL" dataDxfId="9"/>
    <tableColumn id="20" name="BOUTEVILAIN TPS" dataDxfId="8"/>
    <tableColumn id="21" name="DACHSER" dataDxfId="7"/>
    <tableColumn id="22" name="ETF" dataDxfId="6"/>
    <tableColumn id="23" name="JMB" dataDxfId="5"/>
    <tableColumn id="24" name="TAILLEFER" dataDxfId="4"/>
    <tableColumn id="25" name="M.P.L LOCATION" dataDxfId="3"/>
    <tableColumn id="26" name="LAROSA" dataDxfId="2"/>
    <tableColumn id="27" name="MAIRIE DE SETE" dataDxfId="1"/>
    <tableColumn id="28" name="SPORT ET PAYSAG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46:A52" totalsRowShown="0">
  <autoFilter ref="A46:A52"/>
  <tableColumns count="1">
    <tableColumn id="1" name="Colonne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1:AD141"/>
  <sheetViews>
    <sheetView tabSelected="1" topLeftCell="A37" zoomScale="70" zoomScaleNormal="70" workbookViewId="0">
      <selection activeCell="C97" sqref="C97"/>
    </sheetView>
  </sheetViews>
  <sheetFormatPr baseColWidth="10" defaultRowHeight="15"/>
  <cols>
    <col min="1" max="1" width="22.85546875" customWidth="1"/>
    <col min="2" max="2" width="23.28515625" customWidth="1"/>
    <col min="3" max="3" width="25.7109375" bestFit="1" customWidth="1"/>
    <col min="4" max="4" width="37" bestFit="1" customWidth="1"/>
    <col min="5" max="5" width="27.140625" bestFit="1" customWidth="1"/>
    <col min="6" max="6" width="37" bestFit="1" customWidth="1"/>
    <col min="7" max="7" width="17.5703125" bestFit="1" customWidth="1"/>
    <col min="8" max="8" width="31.140625" bestFit="1" customWidth="1"/>
    <col min="9" max="9" width="22.42578125" bestFit="1" customWidth="1"/>
    <col min="10" max="10" width="13.5703125" bestFit="1" customWidth="1"/>
    <col min="11" max="11" width="30.5703125" bestFit="1" customWidth="1"/>
    <col min="12" max="12" width="13.7109375" bestFit="1" customWidth="1"/>
    <col min="13" max="13" width="25.7109375" bestFit="1" customWidth="1"/>
    <col min="14" max="14" width="19.42578125" customWidth="1"/>
    <col min="15" max="15" width="23.140625" bestFit="1" customWidth="1"/>
    <col min="16" max="16" width="17.28515625" bestFit="1" customWidth="1"/>
    <col min="17" max="17" width="28.85546875" bestFit="1" customWidth="1"/>
    <col min="18" max="18" width="20.42578125" bestFit="1" customWidth="1"/>
    <col min="19" max="19" width="25" bestFit="1" customWidth="1"/>
    <col min="20" max="20" width="19.85546875" customWidth="1"/>
    <col min="21" max="21" width="20.7109375" customWidth="1"/>
    <col min="22" max="22" width="19.42578125" customWidth="1"/>
    <col min="23" max="23" width="11.85546875" customWidth="1"/>
    <col min="24" max="24" width="6.42578125" customWidth="1"/>
    <col min="25" max="25" width="7" customWidth="1"/>
    <col min="26" max="26" width="12.5703125" customWidth="1"/>
    <col min="27" max="27" width="17.85546875" customWidth="1"/>
    <col min="28" max="28" width="30.42578125" bestFit="1" customWidth="1"/>
    <col min="29" max="29" width="17.85546875" customWidth="1"/>
    <col min="30" max="30" width="20.5703125" customWidth="1"/>
    <col min="31" max="31" width="14.85546875" customWidth="1"/>
    <col min="32" max="32" width="12.28515625" customWidth="1"/>
    <col min="33" max="33" width="24" customWidth="1"/>
    <col min="34" max="35" width="11.42578125" customWidth="1"/>
    <col min="36" max="36" width="14.85546875" customWidth="1"/>
    <col min="37" max="37" width="12" customWidth="1"/>
  </cols>
  <sheetData>
    <row r="1" spans="3:7" ht="26.25">
      <c r="C1" s="105" t="s">
        <v>154</v>
      </c>
      <c r="D1" s="105"/>
    </row>
    <row r="2" spans="3:7" ht="18.75" customHeight="1"/>
    <row r="3" spans="3:7" ht="33.75" customHeight="1" thickBot="1">
      <c r="C3" s="22" t="s">
        <v>36</v>
      </c>
      <c r="D3" s="34" t="s">
        <v>90</v>
      </c>
      <c r="E3" s="8"/>
      <c r="F3" s="8"/>
      <c r="G3" s="6"/>
    </row>
    <row r="4" spans="3:7" ht="17.25" thickTop="1" thickBot="1">
      <c r="C4" s="23" t="s">
        <v>163</v>
      </c>
      <c r="D4" s="35">
        <f>HLOOKUP(D3,SourceClient,2,FALSE)</f>
        <v>13018</v>
      </c>
    </row>
    <row r="5" spans="3:7" ht="17.25" thickTop="1" thickBot="1">
      <c r="C5" s="24" t="s">
        <v>5</v>
      </c>
      <c r="D5" s="104">
        <f>HLOOKUP(D3,SourceClient,3,FALSE)</f>
        <v>7485115894</v>
      </c>
      <c r="E5" s="1"/>
      <c r="F5" s="1"/>
      <c r="G5" s="1"/>
    </row>
    <row r="6" spans="3:7" ht="17.25" thickTop="1" thickBot="1">
      <c r="C6" s="24" t="s">
        <v>6</v>
      </c>
      <c r="D6" s="36" t="str">
        <f>HLOOKUP(D3,SourceClient,4,FALSE)</f>
        <v>RETROVISEUR D'ACCOST</v>
      </c>
      <c r="E6" s="1"/>
      <c r="F6" s="1"/>
    </row>
    <row r="7" spans="3:7" ht="17.25" thickTop="1" thickBot="1">
      <c r="C7" s="24" t="s">
        <v>7</v>
      </c>
      <c r="D7" s="36">
        <f>HLOOKUP(D3,SourceClient,5,FALSE)</f>
        <v>1</v>
      </c>
    </row>
    <row r="8" spans="3:7" ht="17.25" thickTop="1" thickBot="1">
      <c r="C8" s="24" t="s">
        <v>47</v>
      </c>
      <c r="D8" s="36" t="str">
        <f>HLOOKUP(D3,SourceClient,6,FALSE)</f>
        <v>Oui</v>
      </c>
    </row>
    <row r="9" spans="3:7" ht="17.25" thickTop="1" thickBot="1">
      <c r="C9" s="24" t="s">
        <v>2</v>
      </c>
      <c r="D9" s="36" t="str">
        <f>HLOOKUP(D3,SourceClient,7,FALSE)</f>
        <v>262 AVP 34</v>
      </c>
    </row>
    <row r="10" spans="3:7" ht="17.25" thickTop="1" thickBot="1">
      <c r="C10" s="25" t="s">
        <v>8</v>
      </c>
      <c r="D10" s="37">
        <f>HLOOKUP(D3,SourceClient,8,FALSE)</f>
        <v>0</v>
      </c>
    </row>
    <row r="11" spans="3:7" ht="17.25" thickTop="1" thickBot="1">
      <c r="C11" s="25" t="s">
        <v>9</v>
      </c>
      <c r="D11" s="37">
        <f>HLOOKUP(D3,SourceClient,9,FALSE)</f>
        <v>0</v>
      </c>
    </row>
    <row r="12" spans="3:7" ht="17.25" thickTop="1" thickBot="1">
      <c r="C12" s="25" t="s">
        <v>10</v>
      </c>
      <c r="D12" s="37">
        <f>HLOOKUP(D3,SourceClient,10,FALSE)</f>
        <v>0</v>
      </c>
      <c r="G12" s="2"/>
    </row>
    <row r="13" spans="3:7" ht="17.25" thickTop="1" thickBot="1">
      <c r="C13" s="25" t="s">
        <v>46</v>
      </c>
      <c r="D13" s="37">
        <f>HLOOKUP(D3,SourceClient,11,FALSE)</f>
        <v>0</v>
      </c>
    </row>
    <row r="14" spans="3:7" ht="17.25" thickTop="1" thickBot="1">
      <c r="C14" s="25" t="s">
        <v>3</v>
      </c>
      <c r="D14" s="37">
        <f>HLOOKUP(D3,SourceClient,12,FALSE)</f>
        <v>0</v>
      </c>
      <c r="G14" s="1"/>
    </row>
    <row r="15" spans="3:7" ht="17.25" thickTop="1" thickBot="1">
      <c r="C15" s="26" t="s">
        <v>11</v>
      </c>
      <c r="D15" s="38">
        <f>HLOOKUP(D3,SourceClient,13,FALSE)</f>
        <v>0</v>
      </c>
    </row>
    <row r="16" spans="3:7" ht="17.25" thickTop="1" thickBot="1">
      <c r="C16" s="26" t="s">
        <v>12</v>
      </c>
      <c r="D16" s="38">
        <f>HLOOKUP(D3,SourceClient,14,FALSE)</f>
        <v>0</v>
      </c>
    </row>
    <row r="17" spans="3:8" ht="17.25" thickTop="1" thickBot="1">
      <c r="C17" s="26" t="s">
        <v>13</v>
      </c>
      <c r="D17" s="38">
        <f>HLOOKUP(D3,SourceClient,15,FALSE)</f>
        <v>0</v>
      </c>
    </row>
    <row r="18" spans="3:8" ht="17.25" thickTop="1" thickBot="1">
      <c r="C18" s="27" t="s">
        <v>48</v>
      </c>
      <c r="D18" s="38">
        <f>HLOOKUP(D3,SourceClient,16,FALSE)</f>
        <v>0</v>
      </c>
    </row>
    <row r="19" spans="3:8" ht="17.25" thickTop="1" thickBot="1">
      <c r="C19" s="27" t="s">
        <v>4</v>
      </c>
      <c r="D19" s="38">
        <f>HLOOKUP(D3,SourceClient,17,FALSE)</f>
        <v>0</v>
      </c>
    </row>
    <row r="20" spans="3:8" ht="17.25" thickTop="1" thickBot="1">
      <c r="C20" s="28" t="s">
        <v>30</v>
      </c>
      <c r="D20" s="39">
        <f>HLOOKUP(D3,SourceClient,18,FALSE)</f>
        <v>0</v>
      </c>
    </row>
    <row r="21" spans="3:8" ht="17.25" thickTop="1" thickBot="1">
      <c r="C21" s="28" t="s">
        <v>31</v>
      </c>
      <c r="D21" s="39">
        <f>HLOOKUP(D3,SourceClient,19,FALSE)</f>
        <v>0</v>
      </c>
      <c r="H21" s="102"/>
    </row>
    <row r="22" spans="3:8" ht="17.25" thickTop="1" thickBot="1">
      <c r="C22" s="28" t="s">
        <v>32</v>
      </c>
      <c r="D22" s="39">
        <f>HLOOKUP(D3,SourceClient,20,FALSE)</f>
        <v>0</v>
      </c>
      <c r="E22" s="7" t="s">
        <v>164</v>
      </c>
    </row>
    <row r="23" spans="3:8" ht="17.25" thickTop="1" thickBot="1">
      <c r="C23" s="28" t="s">
        <v>49</v>
      </c>
      <c r="D23" s="39">
        <f>HLOOKUP(D3,SourceClient,21,FALSE)</f>
        <v>0</v>
      </c>
    </row>
    <row r="24" spans="3:8" ht="17.25" thickTop="1" thickBot="1">
      <c r="C24" s="28" t="s">
        <v>29</v>
      </c>
      <c r="D24" s="39">
        <f>HLOOKUP(D3,SourceClient,22,FALSE)</f>
        <v>0</v>
      </c>
    </row>
    <row r="25" spans="3:8" ht="17.25" thickTop="1" thickBot="1">
      <c r="C25" s="29" t="s">
        <v>78</v>
      </c>
      <c r="D25" s="40">
        <f>HLOOKUP(D3,SourceClient,23,FALSE)</f>
        <v>0</v>
      </c>
    </row>
    <row r="26" spans="3:8" ht="17.25" thickTop="1" thickBot="1">
      <c r="C26" s="29" t="s">
        <v>79</v>
      </c>
      <c r="D26" s="40">
        <f>HLOOKUP(D3,SourceClient,24,FALSE)</f>
        <v>0</v>
      </c>
    </row>
    <row r="27" spans="3:8" ht="17.25" thickTop="1" thickBot="1">
      <c r="C27" s="29" t="s">
        <v>80</v>
      </c>
      <c r="D27" s="40">
        <f>HLOOKUP(D3,SourceClient,25,FALSE)</f>
        <v>0</v>
      </c>
    </row>
    <row r="28" spans="3:8" ht="17.25" thickTop="1" thickBot="1">
      <c r="C28" s="29" t="s">
        <v>155</v>
      </c>
      <c r="D28" s="40">
        <f>HLOOKUP(D3,SourceClient,26,FALSE)</f>
        <v>0</v>
      </c>
    </row>
    <row r="29" spans="3:8" ht="17.25" thickTop="1" thickBot="1">
      <c r="C29" s="29" t="s">
        <v>82</v>
      </c>
      <c r="D29" s="40">
        <f>HLOOKUP(D3,SourceClient,26,FALSE)</f>
        <v>0</v>
      </c>
    </row>
    <row r="30" spans="3:8" ht="17.25" thickTop="1" thickBot="1">
      <c r="C30" s="30" t="s">
        <v>156</v>
      </c>
      <c r="D30" s="41">
        <f>HLOOKUP(D3,SourceClient,28,FALSE)</f>
        <v>0</v>
      </c>
      <c r="H30" s="102"/>
    </row>
    <row r="31" spans="3:8" ht="17.25" thickTop="1" thickBot="1">
      <c r="C31" s="30" t="s">
        <v>139</v>
      </c>
      <c r="D31" s="41">
        <f>HLOOKUP(D3,SourceClient,29,FALSE)</f>
        <v>0</v>
      </c>
      <c r="H31" s="102"/>
    </row>
    <row r="32" spans="3:8" ht="17.25" thickTop="1" thickBot="1">
      <c r="C32" s="30" t="s">
        <v>140</v>
      </c>
      <c r="D32" s="41">
        <f>HLOOKUP(D3,SourceClient,30,FALSE)</f>
        <v>0</v>
      </c>
      <c r="H32" s="102"/>
    </row>
    <row r="33" spans="3:29" ht="17.25" thickTop="1" thickBot="1">
      <c r="C33" s="30" t="s">
        <v>157</v>
      </c>
      <c r="D33" s="41">
        <f>HLOOKUP(D3,SourceClient,31,FALSE)</f>
        <v>0</v>
      </c>
      <c r="G33" t="s">
        <v>231</v>
      </c>
      <c r="H33" s="10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3:29" ht="17.25" thickTop="1" thickBot="1">
      <c r="C34" s="30" t="s">
        <v>142</v>
      </c>
      <c r="D34" s="41">
        <f>HLOOKUP(D3,SourceClient,32,FALSE)</f>
        <v>0</v>
      </c>
      <c r="G34" t="s">
        <v>231</v>
      </c>
      <c r="H34" s="102"/>
    </row>
    <row r="35" spans="3:29" ht="17.25" thickTop="1" thickBot="1">
      <c r="C35" s="31" t="s">
        <v>158</v>
      </c>
      <c r="D35" s="42">
        <f>HLOOKUP(D3,SourceClient,33,FALSE)</f>
        <v>0</v>
      </c>
      <c r="G35" t="s">
        <v>231</v>
      </c>
    </row>
    <row r="36" spans="3:29" ht="17.25" thickTop="1" thickBot="1">
      <c r="C36" s="31" t="s">
        <v>144</v>
      </c>
      <c r="D36" s="42">
        <f>HLOOKUP(D3,SourceClient,34,FALSE)</f>
        <v>0</v>
      </c>
      <c r="G36" t="s">
        <v>231</v>
      </c>
    </row>
    <row r="37" spans="3:29" ht="17.25" thickTop="1" thickBot="1">
      <c r="C37" s="31" t="s">
        <v>145</v>
      </c>
      <c r="D37" s="42">
        <f>HLOOKUP(D3,SourceClient,35,FALSE)</f>
        <v>0</v>
      </c>
    </row>
    <row r="38" spans="3:29" ht="17.25" thickTop="1" thickBot="1">
      <c r="C38" s="31" t="s">
        <v>146</v>
      </c>
      <c r="D38" s="42">
        <f>HLOOKUP(D3,SourceClient,36,FALSE)</f>
        <v>0</v>
      </c>
    </row>
    <row r="39" spans="3:29" ht="17.25" thickTop="1" thickBot="1">
      <c r="C39" s="31" t="s">
        <v>147</v>
      </c>
      <c r="D39" s="42">
        <f>HLOOKUP(D3,SourceClient,37,FALSE)</f>
        <v>0</v>
      </c>
    </row>
    <row r="40" spans="3:29" ht="17.25" thickTop="1" thickBot="1">
      <c r="C40" s="32" t="s">
        <v>148</v>
      </c>
      <c r="D40" s="36">
        <f>HLOOKUP(D3,SourceClient,38,FALSE)</f>
        <v>0</v>
      </c>
    </row>
    <row r="41" spans="3:29" ht="17.25" thickTop="1" thickBot="1">
      <c r="C41" s="32" t="s">
        <v>149</v>
      </c>
      <c r="D41" s="36">
        <f>HLOOKUP(D3,SourceClient,39,FALSE)</f>
        <v>0</v>
      </c>
    </row>
    <row r="42" spans="3:29" ht="17.25" thickTop="1" thickBot="1">
      <c r="C42" s="32" t="s">
        <v>150</v>
      </c>
      <c r="D42" s="36">
        <f>HLOOKUP(D3,SourceClient,40,FALSE)</f>
        <v>0</v>
      </c>
    </row>
    <row r="43" spans="3:29" ht="17.25" thickTop="1" thickBot="1">
      <c r="C43" s="32" t="s">
        <v>159</v>
      </c>
      <c r="D43" s="36">
        <f>HLOOKUP(D3,SourceClient,41,FALSE)</f>
        <v>0</v>
      </c>
    </row>
    <row r="44" spans="3:29" ht="17.25" thickTop="1" thickBot="1">
      <c r="C44" s="33" t="s">
        <v>160</v>
      </c>
      <c r="D44" s="36">
        <f>HLOOKUP(D3,SourceClient,42,FALSE)</f>
        <v>0</v>
      </c>
    </row>
    <row r="45" spans="3:29" ht="15.75" thickTop="1"/>
    <row r="50" spans="3:30">
      <c r="C50" s="91" t="s">
        <v>225</v>
      </c>
      <c r="D50" s="92" t="s">
        <v>95</v>
      </c>
      <c r="E50" s="92" t="s">
        <v>103</v>
      </c>
      <c r="F50" s="92" t="s">
        <v>94</v>
      </c>
      <c r="G50" s="92" t="s">
        <v>14</v>
      </c>
      <c r="H50" s="92" t="s">
        <v>93</v>
      </c>
      <c r="I50" s="92" t="s">
        <v>92</v>
      </c>
      <c r="J50" s="92" t="s">
        <v>91</v>
      </c>
      <c r="K50" s="92" t="s">
        <v>90</v>
      </c>
      <c r="L50" s="92" t="s">
        <v>15</v>
      </c>
      <c r="M50" s="92" t="s">
        <v>89</v>
      </c>
      <c r="N50" s="92" t="s">
        <v>88</v>
      </c>
      <c r="O50" s="92" t="s">
        <v>87</v>
      </c>
      <c r="P50" s="92" t="s">
        <v>16</v>
      </c>
      <c r="Q50" s="92" t="s">
        <v>86</v>
      </c>
      <c r="R50" s="92" t="s">
        <v>17</v>
      </c>
      <c r="S50" s="92" t="s">
        <v>27</v>
      </c>
      <c r="T50" s="92" t="s">
        <v>35</v>
      </c>
      <c r="U50" s="92" t="s">
        <v>36</v>
      </c>
      <c r="V50" s="92" t="s">
        <v>37</v>
      </c>
      <c r="W50" s="92" t="s">
        <v>38</v>
      </c>
      <c r="X50" s="92" t="s">
        <v>39</v>
      </c>
      <c r="Y50" s="92" t="s">
        <v>40</v>
      </c>
      <c r="Z50" s="92" t="s">
        <v>41</v>
      </c>
      <c r="AA50" s="92" t="s">
        <v>42</v>
      </c>
      <c r="AB50" s="92" t="s">
        <v>96</v>
      </c>
      <c r="AC50" s="92" t="s">
        <v>43</v>
      </c>
      <c r="AD50" s="93" t="s">
        <v>44</v>
      </c>
    </row>
    <row r="51" spans="3:30">
      <c r="C51" s="73" t="s">
        <v>232</v>
      </c>
      <c r="D51" s="3" t="s">
        <v>237</v>
      </c>
      <c r="E51" s="3">
        <v>2215</v>
      </c>
      <c r="F51" s="3">
        <v>2024</v>
      </c>
      <c r="G51" s="3" t="s">
        <v>34</v>
      </c>
      <c r="H51" s="3">
        <v>2012</v>
      </c>
      <c r="I51" s="3">
        <v>2135</v>
      </c>
      <c r="J51" s="3">
        <v>2</v>
      </c>
      <c r="K51" s="3">
        <v>13018</v>
      </c>
      <c r="L51" s="3">
        <v>2958</v>
      </c>
      <c r="M51" s="3">
        <v>2047</v>
      </c>
      <c r="N51" s="3">
        <v>2154</v>
      </c>
      <c r="O51" s="3">
        <v>2126</v>
      </c>
      <c r="P51" s="3">
        <v>2517</v>
      </c>
      <c r="Q51" s="3">
        <v>2020</v>
      </c>
      <c r="R51" s="3">
        <v>20100</v>
      </c>
      <c r="S51" s="3">
        <v>2207</v>
      </c>
      <c r="T51" s="3">
        <v>2358</v>
      </c>
      <c r="U51" s="3">
        <v>2027</v>
      </c>
      <c r="V51" s="3">
        <v>2008</v>
      </c>
      <c r="W51" s="3">
        <v>2338</v>
      </c>
      <c r="X51" s="3">
        <v>2342</v>
      </c>
      <c r="Y51" s="3">
        <v>2178</v>
      </c>
      <c r="Z51" s="3">
        <v>2248</v>
      </c>
      <c r="AA51" s="3">
        <v>2250</v>
      </c>
      <c r="AB51" s="3"/>
      <c r="AC51" s="3" t="s">
        <v>45</v>
      </c>
      <c r="AD51" s="82" t="s">
        <v>45</v>
      </c>
    </row>
    <row r="52" spans="3:30" ht="23.25" customHeight="1">
      <c r="C52" s="74" t="s">
        <v>233</v>
      </c>
      <c r="D52" s="43" t="s">
        <v>238</v>
      </c>
      <c r="E52" s="43">
        <v>169899</v>
      </c>
      <c r="F52" s="43" t="s">
        <v>59</v>
      </c>
      <c r="G52" s="43"/>
      <c r="H52" s="43" t="s">
        <v>224</v>
      </c>
      <c r="I52" s="43">
        <v>5001867006</v>
      </c>
      <c r="J52" s="43" t="s">
        <v>102</v>
      </c>
      <c r="K52" s="43">
        <v>7485115894</v>
      </c>
      <c r="L52" s="43" t="s">
        <v>58</v>
      </c>
      <c r="M52" s="43" t="s">
        <v>106</v>
      </c>
      <c r="N52" s="43"/>
      <c r="O52" s="43">
        <v>5010422362</v>
      </c>
      <c r="P52" s="43" t="s">
        <v>60</v>
      </c>
      <c r="Q52" s="43"/>
      <c r="R52" s="43">
        <v>7485151724</v>
      </c>
      <c r="S52" s="43"/>
      <c r="T52" s="43"/>
      <c r="U52" s="43"/>
      <c r="V52" s="43"/>
      <c r="W52" s="43"/>
      <c r="X52" s="43"/>
      <c r="Y52" s="43"/>
      <c r="Z52" s="43"/>
      <c r="AA52" s="43"/>
      <c r="AB52" s="43" t="s">
        <v>107</v>
      </c>
      <c r="AC52" s="43"/>
      <c r="AD52" s="83"/>
    </row>
    <row r="53" spans="3:30">
      <c r="C53" s="74" t="s">
        <v>234</v>
      </c>
      <c r="D53" s="43" t="s">
        <v>239</v>
      </c>
      <c r="E53" s="45"/>
      <c r="F53" s="43" t="s">
        <v>117</v>
      </c>
      <c r="G53" s="43" t="s">
        <v>71</v>
      </c>
      <c r="H53" s="43" t="s">
        <v>112</v>
      </c>
      <c r="I53" s="43" t="s">
        <v>108</v>
      </c>
      <c r="J53" s="43" t="s">
        <v>51</v>
      </c>
      <c r="K53" s="45" t="s">
        <v>183</v>
      </c>
      <c r="L53" s="43" t="s">
        <v>116</v>
      </c>
      <c r="M53" s="43" t="s">
        <v>57</v>
      </c>
      <c r="N53" s="43"/>
      <c r="O53" s="43" t="s">
        <v>125</v>
      </c>
      <c r="P53" s="43" t="s">
        <v>126</v>
      </c>
      <c r="Q53" s="43" t="s">
        <v>76</v>
      </c>
      <c r="R53" s="45" t="s">
        <v>132</v>
      </c>
      <c r="S53" s="43"/>
      <c r="T53" s="43"/>
      <c r="U53" s="43"/>
      <c r="V53" s="43"/>
      <c r="W53" s="43"/>
      <c r="X53" s="43"/>
      <c r="Y53" s="43"/>
      <c r="Z53" s="43"/>
      <c r="AA53" s="43"/>
      <c r="AB53" s="43" t="s">
        <v>97</v>
      </c>
      <c r="AC53" s="43"/>
      <c r="AD53" s="83"/>
    </row>
    <row r="54" spans="3:30" s="44" customFormat="1">
      <c r="C54" s="74" t="s">
        <v>235</v>
      </c>
      <c r="D54" s="43" t="s">
        <v>240</v>
      </c>
      <c r="E54" s="43">
        <v>1</v>
      </c>
      <c r="F54" s="43">
        <v>1</v>
      </c>
      <c r="G54" s="43">
        <v>1</v>
      </c>
      <c r="H54" s="43">
        <v>1</v>
      </c>
      <c r="I54" s="43">
        <v>1</v>
      </c>
      <c r="J54" s="43">
        <v>1</v>
      </c>
      <c r="K54" s="43">
        <v>1</v>
      </c>
      <c r="L54" s="43">
        <v>1</v>
      </c>
      <c r="M54" s="43">
        <v>1</v>
      </c>
      <c r="N54" s="43"/>
      <c r="O54" s="43">
        <v>4</v>
      </c>
      <c r="P54" s="43">
        <v>1</v>
      </c>
      <c r="Q54" s="43">
        <v>3</v>
      </c>
      <c r="R54" s="43">
        <v>1</v>
      </c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83"/>
    </row>
    <row r="55" spans="3:30" s="44" customFormat="1">
      <c r="C55" s="74" t="s">
        <v>236</v>
      </c>
      <c r="D55" s="43" t="s">
        <v>241</v>
      </c>
      <c r="E55" s="43" t="s">
        <v>50</v>
      </c>
      <c r="F55" s="43" t="s">
        <v>50</v>
      </c>
      <c r="G55" s="43" t="s">
        <v>53</v>
      </c>
      <c r="H55" s="43" t="s">
        <v>53</v>
      </c>
      <c r="I55" s="43" t="s">
        <v>50</v>
      </c>
      <c r="J55" s="43" t="s">
        <v>50</v>
      </c>
      <c r="K55" s="43" t="s">
        <v>50</v>
      </c>
      <c r="L55" s="43" t="s">
        <v>50</v>
      </c>
      <c r="M55" s="43" t="s">
        <v>50</v>
      </c>
      <c r="N55" s="43"/>
      <c r="O55" s="43" t="s">
        <v>50</v>
      </c>
      <c r="P55" s="43" t="s">
        <v>74</v>
      </c>
      <c r="Q55" s="43"/>
      <c r="R55" s="43" t="s">
        <v>50</v>
      </c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83"/>
    </row>
    <row r="56" spans="3:30" s="44" customFormat="1">
      <c r="C56" s="74" t="s">
        <v>201</v>
      </c>
      <c r="D56" s="43" t="s">
        <v>209</v>
      </c>
      <c r="E56" s="43" t="s">
        <v>18</v>
      </c>
      <c r="F56" s="43" t="s">
        <v>26</v>
      </c>
      <c r="G56" s="43" t="s">
        <v>72</v>
      </c>
      <c r="H56" s="43"/>
      <c r="I56" s="43" t="s">
        <v>19</v>
      </c>
      <c r="J56" s="43"/>
      <c r="K56" s="43" t="s">
        <v>21</v>
      </c>
      <c r="L56" s="43" t="s">
        <v>22</v>
      </c>
      <c r="M56" s="43" t="s">
        <v>23</v>
      </c>
      <c r="N56" s="43"/>
      <c r="O56" s="43" t="s">
        <v>24</v>
      </c>
      <c r="P56" s="43" t="s">
        <v>75</v>
      </c>
      <c r="Q56" s="43"/>
      <c r="R56" s="43" t="s">
        <v>33</v>
      </c>
      <c r="S56" s="43"/>
      <c r="T56" s="43"/>
      <c r="U56" s="43"/>
      <c r="V56" s="43"/>
      <c r="W56" s="43"/>
      <c r="X56" s="43"/>
      <c r="Y56" s="43"/>
      <c r="Z56" s="43"/>
      <c r="AA56" s="43"/>
      <c r="AB56" s="43"/>
      <c r="AC56" s="43"/>
      <c r="AD56" s="83"/>
    </row>
    <row r="57" spans="3:30" s="44" customFormat="1">
      <c r="C57" s="75" t="s">
        <v>8</v>
      </c>
      <c r="D57" s="46">
        <v>54544</v>
      </c>
      <c r="E57" s="46" t="s">
        <v>61</v>
      </c>
      <c r="F57" s="46">
        <v>5010225392</v>
      </c>
      <c r="G57" s="46"/>
      <c r="H57" s="46" t="s">
        <v>54</v>
      </c>
      <c r="I57" s="46"/>
      <c r="J57" s="46"/>
      <c r="K57" s="46"/>
      <c r="L57" s="46"/>
      <c r="M57" s="46">
        <v>5010306719</v>
      </c>
      <c r="N57" s="46"/>
      <c r="O57" s="46">
        <v>5010260892</v>
      </c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84"/>
    </row>
    <row r="58" spans="3:30" s="44" customFormat="1">
      <c r="C58" s="75" t="s">
        <v>9</v>
      </c>
      <c r="D58" s="46" t="s">
        <v>66</v>
      </c>
      <c r="E58" s="46"/>
      <c r="F58" s="46" t="s">
        <v>181</v>
      </c>
      <c r="G58" s="46"/>
      <c r="H58" s="46" t="s">
        <v>113</v>
      </c>
      <c r="I58" s="46"/>
      <c r="J58" s="46"/>
      <c r="K58" s="46"/>
      <c r="L58" s="46"/>
      <c r="M58" s="46" t="s">
        <v>115</v>
      </c>
      <c r="N58" s="46"/>
      <c r="O58" s="46" t="s">
        <v>118</v>
      </c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  <c r="AC58" s="46"/>
      <c r="AD58" s="84"/>
    </row>
    <row r="59" spans="3:30" s="9" customFormat="1">
      <c r="C59" s="75" t="s">
        <v>10</v>
      </c>
      <c r="D59" s="46">
        <v>1</v>
      </c>
      <c r="E59" s="46">
        <v>1</v>
      </c>
      <c r="F59" s="46">
        <v>1</v>
      </c>
      <c r="G59" s="46"/>
      <c r="H59" s="46">
        <v>1</v>
      </c>
      <c r="I59" s="46"/>
      <c r="J59" s="46"/>
      <c r="K59" s="46"/>
      <c r="L59" s="46"/>
      <c r="M59" s="46">
        <v>1</v>
      </c>
      <c r="N59" s="46"/>
      <c r="O59" s="46">
        <v>4</v>
      </c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  <c r="AC59" s="46"/>
      <c r="AD59" s="84"/>
    </row>
    <row r="60" spans="3:30" s="9" customFormat="1">
      <c r="C60" s="75" t="s">
        <v>46</v>
      </c>
      <c r="D60" s="46" t="s">
        <v>53</v>
      </c>
      <c r="E60" s="46" t="s">
        <v>74</v>
      </c>
      <c r="F60" s="46" t="s">
        <v>50</v>
      </c>
      <c r="G60" s="46"/>
      <c r="H60" s="46" t="s">
        <v>50</v>
      </c>
      <c r="I60" s="46"/>
      <c r="J60" s="46"/>
      <c r="K60" s="46"/>
      <c r="L60" s="46"/>
      <c r="M60" s="46" t="s">
        <v>50</v>
      </c>
      <c r="N60" s="46"/>
      <c r="O60" s="46" t="s">
        <v>53</v>
      </c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6"/>
      <c r="AA60" s="46"/>
      <c r="AB60" s="46"/>
      <c r="AC60" s="46"/>
      <c r="AD60" s="84"/>
    </row>
    <row r="61" spans="3:30" s="9" customFormat="1">
      <c r="C61" s="75" t="s">
        <v>203</v>
      </c>
      <c r="D61" s="46" t="s">
        <v>85</v>
      </c>
      <c r="E61" s="46" t="s">
        <v>28</v>
      </c>
      <c r="F61" s="46" t="s">
        <v>73</v>
      </c>
      <c r="G61" s="46"/>
      <c r="H61" s="46" t="s">
        <v>20</v>
      </c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  <c r="AC61" s="46"/>
      <c r="AD61" s="84"/>
    </row>
    <row r="62" spans="3:30" s="9" customFormat="1">
      <c r="C62" s="76" t="s">
        <v>11</v>
      </c>
      <c r="D62" s="47" t="s">
        <v>67</v>
      </c>
      <c r="E62" s="47">
        <v>662101565</v>
      </c>
      <c r="F62" s="47"/>
      <c r="G62" s="47"/>
      <c r="H62" s="47" t="s">
        <v>55</v>
      </c>
      <c r="I62" s="47"/>
      <c r="J62" s="47"/>
      <c r="K62" s="47"/>
      <c r="L62" s="47"/>
      <c r="M62" s="47"/>
      <c r="N62" s="47"/>
      <c r="O62" s="47">
        <v>5010098796</v>
      </c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85"/>
    </row>
    <row r="63" spans="3:30" s="9" customFormat="1">
      <c r="C63" s="76" t="s">
        <v>12</v>
      </c>
      <c r="D63" s="47" t="s">
        <v>210</v>
      </c>
      <c r="E63" s="47"/>
      <c r="F63" s="47"/>
      <c r="G63" s="47"/>
      <c r="H63" s="47" t="s">
        <v>114</v>
      </c>
      <c r="I63" s="47"/>
      <c r="J63" s="47"/>
      <c r="K63" s="47"/>
      <c r="L63" s="47"/>
      <c r="M63" s="47"/>
      <c r="N63" s="47"/>
      <c r="O63" s="47" t="s">
        <v>119</v>
      </c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85"/>
    </row>
    <row r="64" spans="3:30" s="10" customFormat="1">
      <c r="C64" s="76" t="s">
        <v>13</v>
      </c>
      <c r="D64" s="47">
        <v>1</v>
      </c>
      <c r="E64" s="47">
        <v>1</v>
      </c>
      <c r="F64" s="47"/>
      <c r="G64" s="47"/>
      <c r="H64" s="47">
        <v>1</v>
      </c>
      <c r="I64" s="47"/>
      <c r="J64" s="47"/>
      <c r="K64" s="47"/>
      <c r="L64" s="47"/>
      <c r="M64" s="47"/>
      <c r="N64" s="47"/>
      <c r="O64" s="47">
        <v>1</v>
      </c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85"/>
    </row>
    <row r="65" spans="3:30" s="10" customFormat="1">
      <c r="C65" s="76" t="s">
        <v>48</v>
      </c>
      <c r="D65" s="47" t="s">
        <v>53</v>
      </c>
      <c r="E65" s="47" t="s">
        <v>53</v>
      </c>
      <c r="F65" s="47"/>
      <c r="G65" s="47"/>
      <c r="H65" s="47" t="s">
        <v>50</v>
      </c>
      <c r="I65" s="47"/>
      <c r="J65" s="47"/>
      <c r="K65" s="47"/>
      <c r="L65" s="47"/>
      <c r="M65" s="47"/>
      <c r="N65" s="47"/>
      <c r="O65" s="47" t="s">
        <v>53</v>
      </c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85"/>
    </row>
    <row r="66" spans="3:30" s="10" customFormat="1">
      <c r="C66" s="76" t="s">
        <v>202</v>
      </c>
      <c r="D66" s="47"/>
      <c r="E66" s="47" t="s">
        <v>28</v>
      </c>
      <c r="F66" s="47"/>
      <c r="G66" s="47"/>
      <c r="H66" s="47" t="s">
        <v>70</v>
      </c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85"/>
    </row>
    <row r="67" spans="3:30" s="10" customFormat="1">
      <c r="C67" s="77" t="s">
        <v>30</v>
      </c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>
        <v>5010098826</v>
      </c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86"/>
    </row>
    <row r="68" spans="3:30" s="10" customFormat="1">
      <c r="C68" s="77" t="s">
        <v>31</v>
      </c>
      <c r="D68" s="48"/>
      <c r="E68" s="48" t="s">
        <v>77</v>
      </c>
      <c r="F68" s="48"/>
      <c r="G68" s="48"/>
      <c r="H68" s="48"/>
      <c r="I68" s="48"/>
      <c r="J68" s="48"/>
      <c r="K68" s="48"/>
      <c r="L68" s="48"/>
      <c r="M68" s="48"/>
      <c r="N68" s="48"/>
      <c r="O68" s="48" t="s">
        <v>120</v>
      </c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86"/>
    </row>
    <row r="69" spans="3:30" s="49" customFormat="1">
      <c r="C69" s="77" t="s">
        <v>32</v>
      </c>
      <c r="D69" s="48"/>
      <c r="E69" s="48">
        <v>1</v>
      </c>
      <c r="F69" s="48"/>
      <c r="G69" s="48"/>
      <c r="H69" s="48"/>
      <c r="I69" s="48"/>
      <c r="J69" s="48"/>
      <c r="K69" s="48"/>
      <c r="L69" s="48"/>
      <c r="M69" s="48"/>
      <c r="N69" s="48"/>
      <c r="O69" s="48">
        <v>1</v>
      </c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86"/>
    </row>
    <row r="70" spans="3:30" s="49" customFormat="1">
      <c r="C70" s="77" t="s">
        <v>49</v>
      </c>
      <c r="D70" s="48"/>
      <c r="E70" s="48" t="s">
        <v>53</v>
      </c>
      <c r="F70" s="48"/>
      <c r="G70" s="48"/>
      <c r="H70" s="48"/>
      <c r="I70" s="48"/>
      <c r="J70" s="48"/>
      <c r="K70" s="48"/>
      <c r="L70" s="48"/>
      <c r="M70" s="48"/>
      <c r="N70" s="48"/>
      <c r="O70" s="48" t="s">
        <v>53</v>
      </c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86"/>
    </row>
    <row r="71" spans="3:30" s="49" customFormat="1">
      <c r="C71" s="77" t="s">
        <v>204</v>
      </c>
      <c r="D71" s="48"/>
      <c r="E71" s="48" t="s">
        <v>28</v>
      </c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86"/>
    </row>
    <row r="72" spans="3:30" s="49" customFormat="1">
      <c r="C72" s="78" t="s">
        <v>78</v>
      </c>
      <c r="D72" s="43"/>
      <c r="E72" s="51" t="s">
        <v>63</v>
      </c>
      <c r="F72" s="51"/>
      <c r="G72" s="51"/>
      <c r="H72" s="51"/>
      <c r="I72" s="51"/>
      <c r="J72" s="51"/>
      <c r="K72" s="51"/>
      <c r="L72" s="51"/>
      <c r="M72" s="51"/>
      <c r="N72" s="51"/>
      <c r="O72" s="51">
        <v>7703066040</v>
      </c>
      <c r="P72" s="51"/>
      <c r="Q72" s="51"/>
      <c r="R72" s="51"/>
      <c r="S72" s="51"/>
      <c r="T72" s="51"/>
      <c r="U72" s="51"/>
      <c r="V72" s="51"/>
      <c r="W72" s="51"/>
      <c r="X72" s="51"/>
      <c r="Y72" s="51"/>
      <c r="Z72" s="51"/>
      <c r="AA72" s="51"/>
      <c r="AB72" s="51"/>
      <c r="AC72" s="51"/>
      <c r="AD72" s="87"/>
    </row>
    <row r="73" spans="3:30" s="49" customFormat="1">
      <c r="C73" s="78" t="s">
        <v>79</v>
      </c>
      <c r="D73" s="50"/>
      <c r="E73" s="51" t="s">
        <v>130</v>
      </c>
      <c r="F73" s="51"/>
      <c r="G73" s="51"/>
      <c r="H73" s="51"/>
      <c r="I73" s="51"/>
      <c r="J73" s="51"/>
      <c r="K73" s="51"/>
      <c r="L73" s="51"/>
      <c r="M73" s="51"/>
      <c r="N73" s="51"/>
      <c r="O73" s="51" t="s">
        <v>121</v>
      </c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87"/>
    </row>
    <row r="74" spans="3:30" s="52" customFormat="1">
      <c r="C74" s="78" t="s">
        <v>80</v>
      </c>
      <c r="D74" s="51"/>
      <c r="E74" s="51">
        <v>1</v>
      </c>
      <c r="F74" s="51"/>
      <c r="G74" s="51"/>
      <c r="H74" s="51"/>
      <c r="I74" s="51"/>
      <c r="J74" s="51"/>
      <c r="K74" s="51"/>
      <c r="L74" s="51"/>
      <c r="M74" s="51"/>
      <c r="N74" s="51"/>
      <c r="O74" s="51">
        <v>1</v>
      </c>
      <c r="P74" s="51"/>
      <c r="Q74" s="51"/>
      <c r="R74" s="51"/>
      <c r="S74" s="51"/>
      <c r="T74" s="51"/>
      <c r="U74" s="51"/>
      <c r="V74" s="51"/>
      <c r="W74" s="51"/>
      <c r="X74" s="51"/>
      <c r="Y74" s="51"/>
      <c r="Z74" s="51"/>
      <c r="AA74" s="51"/>
      <c r="AB74" s="51"/>
      <c r="AC74" s="51"/>
      <c r="AD74" s="87"/>
    </row>
    <row r="75" spans="3:30" s="52" customFormat="1">
      <c r="C75" s="78" t="s">
        <v>81</v>
      </c>
      <c r="D75" s="50"/>
      <c r="E75" s="51" t="s">
        <v>53</v>
      </c>
      <c r="F75" s="51"/>
      <c r="G75" s="51"/>
      <c r="H75" s="51"/>
      <c r="I75" s="51"/>
      <c r="J75" s="51"/>
      <c r="K75" s="51"/>
      <c r="L75" s="51"/>
      <c r="M75" s="51"/>
      <c r="N75" s="51"/>
      <c r="O75" s="51" t="s">
        <v>53</v>
      </c>
      <c r="P75" s="51"/>
      <c r="Q75" s="51"/>
      <c r="R75" s="51"/>
      <c r="S75" s="51"/>
      <c r="T75" s="51"/>
      <c r="U75" s="51"/>
      <c r="V75" s="51"/>
      <c r="W75" s="51"/>
      <c r="X75" s="51"/>
      <c r="Y75" s="51"/>
      <c r="Z75" s="51"/>
      <c r="AA75" s="51"/>
      <c r="AB75" s="51"/>
      <c r="AC75" s="51"/>
      <c r="AD75" s="87"/>
    </row>
    <row r="76" spans="3:30" s="52" customFormat="1">
      <c r="C76" s="78" t="s">
        <v>205</v>
      </c>
      <c r="D76" s="51"/>
      <c r="E76" s="51" t="s">
        <v>83</v>
      </c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87"/>
    </row>
    <row r="77" spans="3:30" s="52" customFormat="1">
      <c r="C77" s="79" t="s">
        <v>156</v>
      </c>
      <c r="D77" s="53"/>
      <c r="E77" s="54" t="s">
        <v>63</v>
      </c>
      <c r="F77" s="54"/>
      <c r="G77" s="54"/>
      <c r="H77" s="54"/>
      <c r="I77" s="54"/>
      <c r="J77" s="54"/>
      <c r="K77" s="54"/>
      <c r="L77" s="54"/>
      <c r="M77" s="54"/>
      <c r="N77" s="54"/>
      <c r="O77" s="54">
        <v>24472704</v>
      </c>
      <c r="P77" s="54"/>
      <c r="Q77" s="54"/>
      <c r="R77" s="54"/>
      <c r="S77" s="54"/>
      <c r="T77" s="54"/>
      <c r="U77" s="54"/>
      <c r="V77" s="54"/>
      <c r="W77" s="54"/>
      <c r="X77" s="54"/>
      <c r="Y77" s="54"/>
      <c r="Z77" s="54"/>
      <c r="AA77" s="54"/>
      <c r="AB77" s="54"/>
      <c r="AC77" s="54"/>
      <c r="AD77" s="88"/>
    </row>
    <row r="78" spans="3:30" s="52" customFormat="1">
      <c r="C78" s="79" t="s">
        <v>139</v>
      </c>
      <c r="D78" s="54"/>
      <c r="E78" s="54" t="s">
        <v>130</v>
      </c>
      <c r="F78" s="54"/>
      <c r="G78" s="54"/>
      <c r="H78" s="54"/>
      <c r="I78" s="54"/>
      <c r="J78" s="54"/>
      <c r="K78" s="54"/>
      <c r="L78" s="54"/>
      <c r="M78" s="54"/>
      <c r="N78" s="54"/>
      <c r="O78" s="54" t="s">
        <v>161</v>
      </c>
      <c r="P78" s="54"/>
      <c r="Q78" s="54"/>
      <c r="R78" s="54"/>
      <c r="S78" s="54"/>
      <c r="T78" s="54"/>
      <c r="U78" s="54"/>
      <c r="V78" s="54"/>
      <c r="W78" s="54"/>
      <c r="X78" s="54"/>
      <c r="Y78" s="54"/>
      <c r="Z78" s="54"/>
      <c r="AA78" s="54"/>
      <c r="AB78" s="54"/>
      <c r="AC78" s="54"/>
      <c r="AD78" s="88"/>
    </row>
    <row r="79" spans="3:30" s="55" customFormat="1">
      <c r="C79" s="79" t="s">
        <v>140</v>
      </c>
      <c r="D79" s="54"/>
      <c r="E79" s="54">
        <v>1</v>
      </c>
      <c r="F79" s="54"/>
      <c r="G79" s="54"/>
      <c r="H79" s="54"/>
      <c r="I79" s="54"/>
      <c r="J79" s="54"/>
      <c r="K79" s="54"/>
      <c r="L79" s="54"/>
      <c r="M79" s="54"/>
      <c r="N79" s="54"/>
      <c r="O79" s="54">
        <v>2</v>
      </c>
      <c r="P79" s="54"/>
      <c r="Q79" s="54"/>
      <c r="R79" s="54"/>
      <c r="S79" s="54"/>
      <c r="T79" s="54"/>
      <c r="U79" s="54"/>
      <c r="V79" s="54"/>
      <c r="W79" s="54"/>
      <c r="X79" s="54"/>
      <c r="Y79" s="54"/>
      <c r="Z79" s="54"/>
      <c r="AA79" s="54"/>
      <c r="AB79" s="54"/>
      <c r="AC79" s="54"/>
      <c r="AD79" s="88"/>
    </row>
    <row r="80" spans="3:30" s="55" customFormat="1">
      <c r="C80" s="79" t="s">
        <v>141</v>
      </c>
      <c r="D80" s="54"/>
      <c r="E80" s="54" t="s">
        <v>53</v>
      </c>
      <c r="F80" s="54"/>
      <c r="G80" s="54"/>
      <c r="H80" s="54"/>
      <c r="I80" s="54"/>
      <c r="J80" s="54"/>
      <c r="K80" s="54"/>
      <c r="L80" s="54"/>
      <c r="M80" s="54"/>
      <c r="N80" s="54"/>
      <c r="O80" s="54" t="s">
        <v>53</v>
      </c>
      <c r="P80" s="54"/>
      <c r="Q80" s="54"/>
      <c r="R80" s="54"/>
      <c r="S80" s="54"/>
      <c r="T80" s="54"/>
      <c r="U80" s="54"/>
      <c r="V80" s="54"/>
      <c r="W80" s="54"/>
      <c r="X80" s="54"/>
      <c r="Y80" s="54"/>
      <c r="Z80" s="54"/>
      <c r="AA80" s="54"/>
      <c r="AB80" s="54"/>
      <c r="AC80" s="54"/>
      <c r="AD80" s="88"/>
    </row>
    <row r="81" spans="3:30" s="55" customFormat="1">
      <c r="C81" s="79" t="s">
        <v>206</v>
      </c>
      <c r="D81" s="54"/>
      <c r="E81" s="54" t="s">
        <v>84</v>
      </c>
      <c r="F81" s="54"/>
      <c r="G81" s="54"/>
      <c r="H81" s="54"/>
      <c r="I81" s="54"/>
      <c r="J81" s="54"/>
      <c r="K81" s="54"/>
      <c r="L81" s="54"/>
      <c r="M81" s="54"/>
      <c r="N81" s="54"/>
      <c r="O81" s="54"/>
      <c r="P81" s="54"/>
      <c r="Q81" s="54"/>
      <c r="R81" s="54"/>
      <c r="S81" s="54"/>
      <c r="T81" s="54"/>
      <c r="U81" s="54"/>
      <c r="V81" s="54"/>
      <c r="W81" s="54"/>
      <c r="X81" s="54"/>
      <c r="Y81" s="54"/>
      <c r="Z81" s="54"/>
      <c r="AA81" s="54"/>
      <c r="AB81" s="54"/>
      <c r="AC81" s="54"/>
      <c r="AD81" s="88"/>
    </row>
    <row r="82" spans="3:30" s="55" customFormat="1">
      <c r="C82" s="80" t="s">
        <v>143</v>
      </c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56"/>
      <c r="P82" s="56"/>
      <c r="Q82" s="56"/>
      <c r="R82" s="56"/>
      <c r="S82" s="56"/>
      <c r="T82" s="56"/>
      <c r="U82" s="56"/>
      <c r="V82" s="56"/>
      <c r="W82" s="56"/>
      <c r="X82" s="56"/>
      <c r="Y82" s="56"/>
      <c r="Z82" s="56"/>
      <c r="AA82" s="56"/>
      <c r="AB82" s="56"/>
      <c r="AC82" s="56"/>
      <c r="AD82" s="89"/>
    </row>
    <row r="83" spans="3:30" s="55" customFormat="1">
      <c r="C83" s="80" t="s">
        <v>144</v>
      </c>
      <c r="D83" s="56"/>
      <c r="E83" s="56" t="s">
        <v>65</v>
      </c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6"/>
      <c r="S83" s="56"/>
      <c r="T83" s="56"/>
      <c r="U83" s="56"/>
      <c r="V83" s="56"/>
      <c r="W83" s="56"/>
      <c r="X83" s="56"/>
      <c r="Y83" s="56"/>
      <c r="Z83" s="56"/>
      <c r="AA83" s="56"/>
      <c r="AB83" s="56"/>
      <c r="AC83" s="56"/>
      <c r="AD83" s="89"/>
    </row>
    <row r="84" spans="3:30" s="57" customFormat="1">
      <c r="C84" s="80" t="s">
        <v>145</v>
      </c>
      <c r="D84" s="56"/>
      <c r="E84" s="56">
        <v>1</v>
      </c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56"/>
      <c r="S84" s="56"/>
      <c r="T84" s="56"/>
      <c r="U84" s="56"/>
      <c r="V84" s="56"/>
      <c r="W84" s="56"/>
      <c r="X84" s="56"/>
      <c r="Y84" s="56"/>
      <c r="Z84" s="56"/>
      <c r="AA84" s="56"/>
      <c r="AB84" s="56"/>
      <c r="AC84" s="56"/>
      <c r="AD84" s="89"/>
    </row>
    <row r="85" spans="3:30" s="57" customFormat="1">
      <c r="C85" s="80" t="s">
        <v>146</v>
      </c>
      <c r="D85" s="56"/>
      <c r="E85" s="56" t="s">
        <v>50</v>
      </c>
      <c r="F85" s="56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56"/>
      <c r="S85" s="56"/>
      <c r="T85" s="56"/>
      <c r="U85" s="56"/>
      <c r="V85" s="56"/>
      <c r="W85" s="56"/>
      <c r="X85" s="56"/>
      <c r="Y85" s="56"/>
      <c r="Z85" s="56"/>
      <c r="AA85" s="56"/>
      <c r="AB85" s="56"/>
      <c r="AC85" s="56"/>
      <c r="AD85" s="89"/>
    </row>
    <row r="86" spans="3:30" s="57" customFormat="1">
      <c r="C86" s="80" t="s">
        <v>207</v>
      </c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  <c r="T86" s="56"/>
      <c r="U86" s="56"/>
      <c r="V86" s="56"/>
      <c r="W86" s="56"/>
      <c r="X86" s="56"/>
      <c r="Y86" s="56"/>
      <c r="Z86" s="56"/>
      <c r="AA86" s="56"/>
      <c r="AB86" s="56"/>
      <c r="AC86" s="56"/>
      <c r="AD86" s="89"/>
    </row>
    <row r="87" spans="3:30" s="57" customFormat="1">
      <c r="C87" s="81" t="s">
        <v>148</v>
      </c>
      <c r="D87" s="58"/>
      <c r="E87" s="58" t="s">
        <v>104</v>
      </c>
      <c r="F87" s="58"/>
      <c r="G87" s="58"/>
      <c r="H87" s="58"/>
      <c r="I87" s="58"/>
      <c r="J87" s="58"/>
      <c r="K87" s="58"/>
      <c r="L87" s="58"/>
      <c r="M87" s="58"/>
      <c r="N87" s="58"/>
      <c r="O87" s="58"/>
      <c r="P87" s="58"/>
      <c r="Q87" s="58"/>
      <c r="R87" s="58"/>
      <c r="S87" s="58"/>
      <c r="T87" s="58"/>
      <c r="U87" s="58"/>
      <c r="V87" s="58"/>
      <c r="W87" s="58"/>
      <c r="X87" s="58"/>
      <c r="Y87" s="58"/>
      <c r="Z87" s="58"/>
      <c r="AA87" s="58"/>
      <c r="AB87" s="58"/>
      <c r="AC87" s="58"/>
      <c r="AD87" s="90"/>
    </row>
    <row r="88" spans="3:30" s="57" customFormat="1">
      <c r="C88" s="81" t="s">
        <v>149</v>
      </c>
      <c r="D88" s="58"/>
      <c r="E88" s="58" t="s">
        <v>105</v>
      </c>
      <c r="F88" s="58"/>
      <c r="G88" s="58"/>
      <c r="H88" s="58"/>
      <c r="I88" s="58"/>
      <c r="J88" s="58"/>
      <c r="K88" s="58"/>
      <c r="L88" s="58"/>
      <c r="M88" s="58"/>
      <c r="N88" s="58"/>
      <c r="O88" s="58"/>
      <c r="P88" s="58"/>
      <c r="Q88" s="58"/>
      <c r="R88" s="58"/>
      <c r="S88" s="58"/>
      <c r="T88" s="58"/>
      <c r="U88" s="58"/>
      <c r="V88" s="58"/>
      <c r="W88" s="58"/>
      <c r="X88" s="58"/>
      <c r="Y88" s="58"/>
      <c r="Z88" s="58"/>
      <c r="AA88" s="58"/>
      <c r="AB88" s="58"/>
      <c r="AC88" s="58"/>
      <c r="AD88" s="90"/>
    </row>
    <row r="89" spans="3:30" s="59" customFormat="1">
      <c r="C89" s="81" t="s">
        <v>150</v>
      </c>
      <c r="D89" s="58"/>
      <c r="E89" s="58">
        <v>1</v>
      </c>
      <c r="F89" s="58"/>
      <c r="G89" s="58"/>
      <c r="H89" s="58"/>
      <c r="I89" s="58"/>
      <c r="J89" s="58"/>
      <c r="K89" s="58"/>
      <c r="L89" s="58"/>
      <c r="M89" s="58"/>
      <c r="N89" s="58"/>
      <c r="O89" s="58"/>
      <c r="P89" s="58"/>
      <c r="Q89" s="58"/>
      <c r="R89" s="58"/>
      <c r="S89" s="58"/>
      <c r="T89" s="58"/>
      <c r="U89" s="58"/>
      <c r="V89" s="58"/>
      <c r="W89" s="58"/>
      <c r="X89" s="58"/>
      <c r="Y89" s="58"/>
      <c r="Z89" s="58"/>
      <c r="AA89" s="58"/>
      <c r="AB89" s="58"/>
      <c r="AC89" s="58"/>
      <c r="AD89" s="90"/>
    </row>
    <row r="90" spans="3:30" s="59" customFormat="1">
      <c r="C90" s="81" t="s">
        <v>151</v>
      </c>
      <c r="D90" s="58"/>
      <c r="E90" s="58" t="s">
        <v>50</v>
      </c>
      <c r="F90" s="58"/>
      <c r="G90" s="58"/>
      <c r="H90" s="58"/>
      <c r="I90" s="58"/>
      <c r="J90" s="58"/>
      <c r="K90" s="58"/>
      <c r="L90" s="58"/>
      <c r="M90" s="58"/>
      <c r="N90" s="58"/>
      <c r="O90" s="58"/>
      <c r="P90" s="58"/>
      <c r="Q90" s="58"/>
      <c r="R90" s="58"/>
      <c r="S90" s="58"/>
      <c r="T90" s="58"/>
      <c r="U90" s="58"/>
      <c r="V90" s="58"/>
      <c r="W90" s="58"/>
      <c r="X90" s="58"/>
      <c r="Y90" s="58"/>
      <c r="Z90" s="58"/>
      <c r="AA90" s="58"/>
      <c r="AB90" s="58"/>
      <c r="AC90" s="58"/>
      <c r="AD90" s="90"/>
    </row>
    <row r="91" spans="3:30" s="59" customFormat="1">
      <c r="C91" s="94" t="s">
        <v>208</v>
      </c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95"/>
      <c r="S91" s="95"/>
      <c r="T91" s="95"/>
      <c r="U91" s="95"/>
      <c r="V91" s="95"/>
      <c r="W91" s="95"/>
      <c r="X91" s="95"/>
      <c r="Y91" s="95"/>
      <c r="Z91" s="95"/>
      <c r="AA91" s="95"/>
      <c r="AB91" s="95"/>
      <c r="AC91" s="95"/>
      <c r="AD91" s="96"/>
    </row>
    <row r="92" spans="3:30" s="59" customFormat="1">
      <c r="C92" s="94" t="s">
        <v>5</v>
      </c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95"/>
      <c r="O92" s="95"/>
      <c r="P92" s="95"/>
      <c r="Q92" s="95"/>
      <c r="R92" s="95"/>
      <c r="S92" s="95"/>
      <c r="T92" s="95"/>
      <c r="U92" s="95"/>
      <c r="V92" s="95"/>
      <c r="W92" s="95"/>
      <c r="X92" s="95"/>
      <c r="Y92" s="95"/>
      <c r="Z92" s="95"/>
      <c r="AA92" s="95"/>
      <c r="AB92" s="95"/>
      <c r="AC92" s="95"/>
      <c r="AD92" s="96"/>
    </row>
    <row r="93" spans="3:30" s="59" customFormat="1">
      <c r="C93" s="94" t="s">
        <v>226</v>
      </c>
      <c r="D93" s="95"/>
      <c r="E93" s="95"/>
      <c r="F93" s="95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  <c r="T93" s="95"/>
      <c r="U93" s="95"/>
      <c r="V93" s="95"/>
      <c r="W93" s="95"/>
      <c r="X93" s="95"/>
      <c r="Y93" s="95"/>
      <c r="Z93" s="95"/>
      <c r="AA93" s="95"/>
      <c r="AB93" s="95"/>
      <c r="AC93" s="95"/>
      <c r="AD93" s="96"/>
    </row>
    <row r="94" spans="3:30">
      <c r="C94" s="94" t="s">
        <v>227</v>
      </c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95"/>
      <c r="U94" s="95"/>
      <c r="V94" s="95"/>
      <c r="W94" s="95"/>
      <c r="X94" s="95"/>
      <c r="Y94" s="95"/>
      <c r="Z94" s="95"/>
      <c r="AA94" s="95"/>
      <c r="AB94" s="95"/>
      <c r="AC94" s="95"/>
      <c r="AD94" s="96"/>
    </row>
    <row r="95" spans="3:30">
      <c r="C95" s="94" t="s">
        <v>228</v>
      </c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5"/>
      <c r="Y95" s="95"/>
      <c r="Z95" s="95"/>
      <c r="AA95" s="95"/>
      <c r="AB95" s="95"/>
      <c r="AC95" s="95"/>
      <c r="AD95" s="96"/>
    </row>
    <row r="96" spans="3:30">
      <c r="C96" s="94" t="s">
        <v>229</v>
      </c>
      <c r="D96" s="95"/>
      <c r="E96" s="95"/>
      <c r="F96" s="95"/>
      <c r="G96" s="95"/>
      <c r="H96" s="95"/>
      <c r="I96" s="95"/>
      <c r="J96" s="95"/>
      <c r="K96" s="95"/>
      <c r="L96" s="95"/>
      <c r="M96" s="95"/>
      <c r="N96" s="95"/>
      <c r="O96" s="95"/>
      <c r="P96" s="95"/>
      <c r="Q96" s="95"/>
      <c r="R96" s="95"/>
      <c r="S96" s="95"/>
      <c r="T96" s="95"/>
      <c r="U96" s="95"/>
      <c r="V96" s="95"/>
      <c r="W96" s="95"/>
      <c r="X96" s="95"/>
      <c r="Y96" s="95"/>
      <c r="Z96" s="95"/>
      <c r="AA96" s="95"/>
      <c r="AB96" s="95"/>
      <c r="AC96" s="95"/>
      <c r="AD96" s="96"/>
    </row>
    <row r="97" spans="1:30">
      <c r="C97" s="94" t="s">
        <v>230</v>
      </c>
      <c r="D97" s="95"/>
      <c r="E97" s="95"/>
      <c r="F97" s="95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95"/>
      <c r="S97" s="95"/>
      <c r="T97" s="95"/>
      <c r="U97" s="95"/>
      <c r="V97" s="95"/>
      <c r="W97" s="95"/>
      <c r="X97" s="95"/>
      <c r="Y97" s="95"/>
      <c r="Z97" s="95"/>
      <c r="AA97" s="95"/>
      <c r="AB97" s="95"/>
      <c r="AC97" s="95"/>
      <c r="AD97" s="96"/>
    </row>
    <row r="98" spans="1:30">
      <c r="C98" s="94" t="s">
        <v>242</v>
      </c>
      <c r="D98" s="95"/>
      <c r="E98" s="95"/>
      <c r="F98" s="95"/>
      <c r="G98" s="95"/>
      <c r="H98" s="95"/>
      <c r="I98" s="95"/>
      <c r="J98" s="95"/>
      <c r="K98" s="95"/>
      <c r="L98" s="95"/>
      <c r="M98" s="95"/>
      <c r="N98" s="95"/>
      <c r="O98" s="95"/>
      <c r="P98" s="95"/>
      <c r="Q98" s="95"/>
      <c r="R98" s="95"/>
      <c r="S98" s="95"/>
      <c r="T98" s="95"/>
      <c r="U98" s="95"/>
      <c r="V98" s="95"/>
      <c r="W98" s="95"/>
      <c r="X98" s="95"/>
      <c r="Y98" s="95"/>
      <c r="Z98" s="95"/>
      <c r="AA98" s="95"/>
      <c r="AB98" s="95"/>
      <c r="AC98" s="95"/>
      <c r="AD98" s="96"/>
    </row>
    <row r="99" spans="1:30">
      <c r="C99" s="94" t="s">
        <v>243</v>
      </c>
      <c r="D99" s="95"/>
      <c r="E99" s="95"/>
      <c r="F99" s="95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95"/>
      <c r="S99" s="95"/>
      <c r="T99" s="95"/>
      <c r="U99" s="95"/>
      <c r="V99" s="95"/>
      <c r="W99" s="95"/>
      <c r="X99" s="95"/>
      <c r="Y99" s="95"/>
      <c r="Z99" s="95"/>
      <c r="AA99" s="95"/>
      <c r="AB99" s="95"/>
      <c r="AC99" s="95"/>
      <c r="AD99" s="96"/>
    </row>
    <row r="100" spans="1:30">
      <c r="C100" s="94" t="s">
        <v>244</v>
      </c>
      <c r="D100" s="95"/>
      <c r="E100" s="95"/>
      <c r="F100" s="95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95"/>
      <c r="S100" s="95"/>
      <c r="T100" s="95"/>
      <c r="U100" s="95"/>
      <c r="V100" s="95"/>
      <c r="W100" s="95"/>
      <c r="X100" s="95"/>
      <c r="Y100" s="95"/>
      <c r="Z100" s="95"/>
      <c r="AA100" s="95"/>
      <c r="AB100" s="95"/>
      <c r="AC100" s="95"/>
      <c r="AD100" s="96"/>
    </row>
    <row r="101" spans="1:30">
      <c r="C101" s="94" t="s">
        <v>245</v>
      </c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95"/>
      <c r="O101" s="95"/>
      <c r="P101" s="95"/>
      <c r="Q101" s="95"/>
      <c r="R101" s="95"/>
      <c r="S101" s="95"/>
      <c r="T101" s="95"/>
      <c r="U101" s="95"/>
      <c r="V101" s="95"/>
      <c r="W101" s="95"/>
      <c r="X101" s="95"/>
      <c r="Y101" s="95"/>
      <c r="Z101" s="95"/>
      <c r="AA101" s="95"/>
      <c r="AB101" s="95"/>
      <c r="AC101" s="95"/>
      <c r="AD101" s="96"/>
    </row>
    <row r="102" spans="1:30">
      <c r="C102" s="94" t="s">
        <v>246</v>
      </c>
      <c r="D102" s="95"/>
      <c r="E102" s="95"/>
      <c r="F102" s="95"/>
      <c r="G102" s="95"/>
      <c r="H102" s="95"/>
      <c r="I102" s="95"/>
      <c r="J102" s="95"/>
      <c r="K102" s="95"/>
      <c r="L102" s="95"/>
      <c r="M102" s="95"/>
      <c r="N102" s="95"/>
      <c r="O102" s="95"/>
      <c r="P102" s="95"/>
      <c r="Q102" s="95"/>
      <c r="R102" s="95"/>
      <c r="S102" s="95"/>
      <c r="T102" s="95"/>
      <c r="U102" s="95"/>
      <c r="V102" s="95"/>
      <c r="W102" s="95"/>
      <c r="X102" s="95"/>
      <c r="Y102" s="95"/>
      <c r="Z102" s="95"/>
      <c r="AA102" s="95"/>
      <c r="AB102" s="95"/>
      <c r="AC102" s="95"/>
      <c r="AD102" s="96"/>
    </row>
    <row r="110" spans="1:30">
      <c r="A110" s="97" t="s">
        <v>89</v>
      </c>
      <c r="B110" s="98">
        <v>2047</v>
      </c>
    </row>
    <row r="111" spans="1:30">
      <c r="A111" s="97" t="s">
        <v>36</v>
      </c>
      <c r="B111" s="98">
        <v>2027</v>
      </c>
    </row>
    <row r="112" spans="1:30">
      <c r="A112" s="97" t="s">
        <v>37</v>
      </c>
      <c r="B112" s="98">
        <v>2008</v>
      </c>
    </row>
    <row r="113" spans="1:2">
      <c r="A113" s="97" t="s">
        <v>38</v>
      </c>
      <c r="B113" s="98">
        <v>2338</v>
      </c>
    </row>
    <row r="114" spans="1:2">
      <c r="A114" s="97" t="s">
        <v>93</v>
      </c>
      <c r="B114" s="98">
        <v>2012</v>
      </c>
    </row>
    <row r="115" spans="1:2">
      <c r="A115" s="97" t="s">
        <v>14</v>
      </c>
      <c r="B115" s="98" t="s">
        <v>34</v>
      </c>
    </row>
    <row r="116" spans="1:2">
      <c r="A116" s="97" t="s">
        <v>39</v>
      </c>
      <c r="B116" s="98">
        <v>2342</v>
      </c>
    </row>
    <row r="117" spans="1:2">
      <c r="A117" s="97" t="s">
        <v>90</v>
      </c>
      <c r="B117" s="98">
        <v>13018</v>
      </c>
    </row>
    <row r="118" spans="1:2">
      <c r="A118" s="97" t="s">
        <v>35</v>
      </c>
      <c r="B118" s="98">
        <v>2358</v>
      </c>
    </row>
    <row r="119" spans="1:2">
      <c r="A119" s="97" t="s">
        <v>15</v>
      </c>
      <c r="B119" s="98">
        <v>2958</v>
      </c>
    </row>
    <row r="120" spans="1:2">
      <c r="A120" s="97" t="s">
        <v>40</v>
      </c>
      <c r="B120" s="98">
        <v>2178</v>
      </c>
    </row>
    <row r="121" spans="1:2">
      <c r="A121" s="97" t="s">
        <v>96</v>
      </c>
      <c r="B121" s="98"/>
    </row>
    <row r="122" spans="1:2">
      <c r="A122" s="97" t="s">
        <v>87</v>
      </c>
      <c r="B122" s="98">
        <v>2126</v>
      </c>
    </row>
    <row r="123" spans="1:2">
      <c r="A123" s="97" t="s">
        <v>16</v>
      </c>
      <c r="B123" s="98">
        <v>2517</v>
      </c>
    </row>
    <row r="124" spans="1:2">
      <c r="A124" s="97" t="s">
        <v>42</v>
      </c>
      <c r="B124" s="98">
        <v>2250</v>
      </c>
    </row>
    <row r="125" spans="1:2">
      <c r="A125" s="97" t="s">
        <v>94</v>
      </c>
      <c r="B125" s="98">
        <v>2024</v>
      </c>
    </row>
    <row r="126" spans="1:2">
      <c r="A126" s="97" t="s">
        <v>43</v>
      </c>
      <c r="B126" s="98" t="s">
        <v>45</v>
      </c>
    </row>
    <row r="127" spans="1:2">
      <c r="A127" s="97" t="s">
        <v>92</v>
      </c>
      <c r="B127" s="98">
        <v>2135</v>
      </c>
    </row>
    <row r="128" spans="1:2">
      <c r="A128" s="97" t="s">
        <v>88</v>
      </c>
      <c r="B128" s="98">
        <v>2154</v>
      </c>
    </row>
    <row r="129" spans="1:2">
      <c r="A129" s="97" t="s">
        <v>91</v>
      </c>
      <c r="B129" s="98">
        <v>2</v>
      </c>
    </row>
    <row r="130" spans="1:2">
      <c r="A130" s="97" t="s">
        <v>17</v>
      </c>
      <c r="B130" s="98">
        <v>20100</v>
      </c>
    </row>
    <row r="131" spans="1:2">
      <c r="A131" s="97" t="s">
        <v>86</v>
      </c>
      <c r="B131" s="98">
        <v>2020</v>
      </c>
    </row>
    <row r="132" spans="1:2">
      <c r="A132" s="97" t="s">
        <v>95</v>
      </c>
      <c r="B132" s="98">
        <v>2120</v>
      </c>
    </row>
    <row r="133" spans="1:2">
      <c r="A133" s="97" t="s">
        <v>27</v>
      </c>
      <c r="B133" s="98">
        <v>2207</v>
      </c>
    </row>
    <row r="134" spans="1:2">
      <c r="A134" s="97" t="s">
        <v>44</v>
      </c>
      <c r="B134" s="98" t="s">
        <v>45</v>
      </c>
    </row>
    <row r="135" spans="1:2">
      <c r="A135" s="97" t="s">
        <v>41</v>
      </c>
      <c r="B135" s="98">
        <v>2248</v>
      </c>
    </row>
    <row r="136" spans="1:2">
      <c r="A136" s="97" t="s">
        <v>103</v>
      </c>
      <c r="B136" s="98">
        <v>2215</v>
      </c>
    </row>
    <row r="141" spans="1:2">
      <c r="A141" t="s">
        <v>231</v>
      </c>
    </row>
  </sheetData>
  <sortState ref="A110:B136">
    <sortCondition ref="A110"/>
  </sortState>
  <mergeCells count="1">
    <mergeCell ref="C1:D1"/>
  </mergeCells>
  <dataValidations count="3">
    <dataValidation type="list" allowBlank="1" showInputMessage="1" showErrorMessage="1" sqref="P46 K11">
      <formula1>Client</formula1>
    </dataValidation>
    <dataValidation type="list" allowBlank="1" showInputMessage="1" showErrorMessage="1" sqref="D3">
      <formula1>$D$50:$AD$50</formula1>
    </dataValidation>
    <dataValidation type="list" showInputMessage="1" showErrorMessage="1" sqref="H4">
      <formula1>Client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Y68"/>
  <sheetViews>
    <sheetView topLeftCell="A10" zoomScale="90" zoomScaleNormal="90" workbookViewId="0">
      <selection activeCell="D4" sqref="D4"/>
    </sheetView>
  </sheetViews>
  <sheetFormatPr baseColWidth="10" defaultRowHeight="15"/>
  <cols>
    <col min="1" max="1" width="25.85546875" customWidth="1"/>
    <col min="2" max="2" width="31.28515625" customWidth="1"/>
    <col min="3" max="4" width="30.7109375" customWidth="1"/>
    <col min="5" max="5" width="23.5703125" bestFit="1" customWidth="1"/>
    <col min="6" max="6" width="19.140625" bestFit="1" customWidth="1"/>
    <col min="7" max="7" width="22.5703125" bestFit="1" customWidth="1"/>
    <col min="8" max="8" width="19.28515625" bestFit="1" customWidth="1"/>
    <col min="9" max="9" width="2" bestFit="1" customWidth="1"/>
    <col min="10" max="10" width="23.140625" bestFit="1" customWidth="1"/>
    <col min="11" max="11" width="13.7109375" bestFit="1" customWidth="1"/>
    <col min="12" max="13" width="12.28515625" bestFit="1" customWidth="1"/>
    <col min="14" max="14" width="22.28515625" bestFit="1" customWidth="1"/>
    <col min="15" max="15" width="20" bestFit="1" customWidth="1"/>
    <col min="16" max="16" width="2" bestFit="1" customWidth="1"/>
    <col min="17" max="17" width="18.5703125" bestFit="1" customWidth="1"/>
    <col min="18" max="18" width="15.5703125" bestFit="1" customWidth="1"/>
    <col min="19" max="19" width="18.5703125" bestFit="1" customWidth="1"/>
    <col min="20" max="20" width="17.85546875" bestFit="1" customWidth="1"/>
    <col min="21" max="21" width="17.28515625" bestFit="1" customWidth="1"/>
    <col min="22" max="22" width="21.28515625" bestFit="1" customWidth="1"/>
    <col min="23" max="23" width="20.140625" bestFit="1" customWidth="1"/>
    <col min="24" max="24" width="21" bestFit="1" customWidth="1"/>
    <col min="25" max="25" width="22" bestFit="1" customWidth="1"/>
    <col min="26" max="26" width="20.85546875" bestFit="1" customWidth="1"/>
    <col min="27" max="27" width="16.28515625" bestFit="1" customWidth="1"/>
    <col min="28" max="28" width="17.28515625" bestFit="1" customWidth="1"/>
    <col min="29" max="29" width="23.42578125" bestFit="1" customWidth="1"/>
    <col min="31" max="31" width="14" bestFit="1" customWidth="1"/>
    <col min="32" max="32" width="18.42578125" bestFit="1" customWidth="1"/>
    <col min="33" max="33" width="22.5703125" bestFit="1" customWidth="1"/>
    <col min="34" max="34" width="15.5703125" bestFit="1" customWidth="1"/>
    <col min="35" max="35" width="22.140625" bestFit="1" customWidth="1"/>
    <col min="36" max="36" width="23.140625" bestFit="1" customWidth="1"/>
    <col min="37" max="37" width="18.28515625" bestFit="1" customWidth="1"/>
    <col min="38" max="38" width="18.5703125" bestFit="1" customWidth="1"/>
    <col min="39" max="39" width="22" bestFit="1" customWidth="1"/>
    <col min="40" max="40" width="28.7109375" bestFit="1" customWidth="1"/>
    <col min="41" max="41" width="22.42578125" bestFit="1" customWidth="1"/>
    <col min="42" max="42" width="20.42578125" bestFit="1" customWidth="1"/>
    <col min="43" max="45" width="20.42578125" customWidth="1"/>
    <col min="46" max="46" width="14.7109375" bestFit="1" customWidth="1"/>
  </cols>
  <sheetData>
    <row r="1" spans="1:51" ht="26.25">
      <c r="A1" s="3" t="s">
        <v>5</v>
      </c>
      <c r="B1" s="3" t="s">
        <v>6</v>
      </c>
      <c r="C1" s="105" t="s">
        <v>184</v>
      </c>
      <c r="D1" s="106"/>
    </row>
    <row r="2" spans="1:51">
      <c r="A2" s="3">
        <v>5001867006</v>
      </c>
      <c r="B2" s="3" t="s">
        <v>108</v>
      </c>
    </row>
    <row r="3" spans="1:51" ht="15.75">
      <c r="A3" s="3">
        <v>8200143408</v>
      </c>
      <c r="B3" s="3" t="s">
        <v>112</v>
      </c>
      <c r="C3" s="12" t="s">
        <v>175</v>
      </c>
      <c r="D3" s="12">
        <v>5010225392</v>
      </c>
      <c r="AX3" s="3" t="s">
        <v>5</v>
      </c>
      <c r="AY3" s="3" t="s">
        <v>6</v>
      </c>
    </row>
    <row r="4" spans="1:51" ht="15.75">
      <c r="A4" s="3">
        <v>8200789528</v>
      </c>
      <c r="B4" s="3" t="s">
        <v>113</v>
      </c>
      <c r="C4" s="21" t="s">
        <v>173</v>
      </c>
      <c r="D4" s="21" t="str">
        <f>HLOOKUP(D3,SourceProduit,2,FALSE)</f>
        <v>PUITS DE MARCHE</v>
      </c>
      <c r="AX4" s="3">
        <v>5001867006</v>
      </c>
      <c r="AY4" s="3" t="s">
        <v>108</v>
      </c>
    </row>
    <row r="5" spans="1:51" ht="15.75">
      <c r="A5" s="3">
        <v>7420993004</v>
      </c>
      <c r="B5" s="3" t="s">
        <v>114</v>
      </c>
      <c r="C5" s="13" t="s">
        <v>7</v>
      </c>
      <c r="D5" s="13">
        <f>HLOOKUP(D3,SourceProduit,3,FALSE)</f>
        <v>1</v>
      </c>
      <c r="AX5" s="3">
        <v>8200143408</v>
      </c>
      <c r="AY5" s="3" t="s">
        <v>112</v>
      </c>
    </row>
    <row r="6" spans="1:51" ht="15.75">
      <c r="A6" s="3" t="s">
        <v>45</v>
      </c>
      <c r="B6" s="3" t="s">
        <v>56</v>
      </c>
      <c r="C6" s="13" t="s">
        <v>176</v>
      </c>
      <c r="D6" s="13" t="str">
        <f>HLOOKUP(D3,SourceProduit,4,FALSE)</f>
        <v>Oui</v>
      </c>
      <c r="AX6" s="3">
        <v>8200789528</v>
      </c>
      <c r="AY6" s="3" t="s">
        <v>113</v>
      </c>
    </row>
    <row r="7" spans="1:51" ht="15.75">
      <c r="A7" s="3" t="s">
        <v>45</v>
      </c>
      <c r="B7" s="3"/>
      <c r="C7" s="13" t="s">
        <v>133</v>
      </c>
      <c r="D7" s="13" t="str">
        <f>HLOOKUP(D3,SourceProduit,5,FALSE)</f>
        <v>MAIRIE DE BALARUC</v>
      </c>
      <c r="AX7" s="3">
        <v>7420993004</v>
      </c>
      <c r="AY7" s="3" t="s">
        <v>114</v>
      </c>
    </row>
    <row r="8" spans="1:51" ht="15.75">
      <c r="A8" s="3">
        <v>5010306719</v>
      </c>
      <c r="B8" s="3" t="s">
        <v>115</v>
      </c>
      <c r="C8" s="13" t="s">
        <v>2</v>
      </c>
      <c r="D8" s="13" t="str">
        <f>HLOOKUP(D3,SourceProduit,6,FALSE)</f>
        <v>DN-144-AB</v>
      </c>
      <c r="AX8" s="3" t="s">
        <v>45</v>
      </c>
      <c r="AY8" s="3" t="s">
        <v>56</v>
      </c>
    </row>
    <row r="9" spans="1:51" ht="15.75">
      <c r="A9" s="3" t="s">
        <v>58</v>
      </c>
      <c r="B9" s="3" t="s">
        <v>116</v>
      </c>
      <c r="C9" s="14" t="s">
        <v>10</v>
      </c>
      <c r="D9" s="14">
        <f>HLOOKUP(D3,SourceProduit,7,FALSE)</f>
        <v>0</v>
      </c>
      <c r="AX9" s="3" t="s">
        <v>45</v>
      </c>
      <c r="AY9" s="3"/>
    </row>
    <row r="10" spans="1:51" ht="15.75">
      <c r="A10" s="3" t="s">
        <v>109</v>
      </c>
      <c r="B10" s="3"/>
      <c r="C10" s="14" t="s">
        <v>177</v>
      </c>
      <c r="D10" s="14">
        <f>HLOOKUP(D3,SourceProduit,8,FALSE)</f>
        <v>0</v>
      </c>
      <c r="AX10" s="3">
        <v>5010306719</v>
      </c>
      <c r="AY10" s="3" t="s">
        <v>115</v>
      </c>
    </row>
    <row r="11" spans="1:51" ht="15.75">
      <c r="A11" s="3" t="s">
        <v>110</v>
      </c>
      <c r="B11" s="3"/>
      <c r="C11" s="14" t="s">
        <v>134</v>
      </c>
      <c r="D11" s="14">
        <f>HLOOKUP(D3,SourceProduit,9,FALSE)</f>
        <v>0</v>
      </c>
      <c r="AX11" s="3" t="s">
        <v>58</v>
      </c>
      <c r="AY11" s="3" t="s">
        <v>116</v>
      </c>
    </row>
    <row r="12" spans="1:51" ht="15.75">
      <c r="A12" s="3">
        <v>5801755123</v>
      </c>
      <c r="B12" s="3" t="s">
        <v>162</v>
      </c>
      <c r="C12" s="14" t="s">
        <v>3</v>
      </c>
      <c r="D12" s="14">
        <f>HLOOKUP(D3,SourceProduit,10,FALSE)</f>
        <v>0</v>
      </c>
      <c r="AX12" s="3" t="s">
        <v>109</v>
      </c>
      <c r="AY12" s="3"/>
    </row>
    <row r="13" spans="1:51" ht="15.75">
      <c r="A13" s="5">
        <v>8200274233</v>
      </c>
      <c r="B13" s="3" t="s">
        <v>117</v>
      </c>
      <c r="C13" s="15" t="s">
        <v>13</v>
      </c>
      <c r="D13" s="15">
        <f>HLOOKUP(D3,SourceProduit,11,FALSE)</f>
        <v>0</v>
      </c>
      <c r="AX13" s="3" t="s">
        <v>110</v>
      </c>
      <c r="AY13" s="3"/>
    </row>
    <row r="14" spans="1:51" ht="15.75">
      <c r="A14" s="3" t="s">
        <v>45</v>
      </c>
      <c r="B14" s="3"/>
      <c r="C14" s="15" t="s">
        <v>178</v>
      </c>
      <c r="D14" s="15">
        <f>HLOOKUP(D3,SourceProduit,12,FALSE)</f>
        <v>0</v>
      </c>
      <c r="AX14" s="3" t="s">
        <v>99</v>
      </c>
      <c r="AY14" s="3" t="s">
        <v>162</v>
      </c>
    </row>
    <row r="15" spans="1:51" ht="15.75">
      <c r="A15" s="3" t="s">
        <v>100</v>
      </c>
      <c r="B15" s="3" t="s">
        <v>101</v>
      </c>
      <c r="C15" s="15" t="s">
        <v>135</v>
      </c>
      <c r="D15" s="15">
        <f>HLOOKUP(D3,SourceProduit,13,FALSE)</f>
        <v>0</v>
      </c>
      <c r="AX15" s="5">
        <v>8200274233</v>
      </c>
      <c r="AY15" s="3" t="s">
        <v>117</v>
      </c>
    </row>
    <row r="16" spans="1:51" ht="15.75">
      <c r="A16" s="3" t="s">
        <v>102</v>
      </c>
      <c r="B16" s="3" t="s">
        <v>182</v>
      </c>
      <c r="C16" s="15" t="s">
        <v>4</v>
      </c>
      <c r="D16" s="15">
        <f>HLOOKUP(D3,SourceProduit,14,FALSE)</f>
        <v>0</v>
      </c>
      <c r="AX16" s="3" t="s">
        <v>45</v>
      </c>
      <c r="AY16" s="3"/>
    </row>
    <row r="17" spans="1:51" ht="15.75">
      <c r="A17" s="3"/>
      <c r="B17" s="3"/>
      <c r="C17" s="16" t="s">
        <v>32</v>
      </c>
      <c r="D17" s="16">
        <f>HLOOKUP(D3,SourceProduit,15,FALSE)</f>
        <v>0</v>
      </c>
      <c r="AX17" s="3" t="s">
        <v>100</v>
      </c>
      <c r="AY17" s="3" t="s">
        <v>101</v>
      </c>
    </row>
    <row r="18" spans="1:51" ht="15.75">
      <c r="A18" s="3">
        <v>5010216051</v>
      </c>
      <c r="B18" s="3" t="s">
        <v>122</v>
      </c>
      <c r="C18" s="16" t="s">
        <v>179</v>
      </c>
      <c r="D18" s="16">
        <f>HLOOKUP(D3,SourceProduit,16,FALSE)</f>
        <v>0</v>
      </c>
      <c r="AX18" s="3"/>
      <c r="AY18" s="3"/>
    </row>
    <row r="19" spans="1:51" ht="15.75">
      <c r="A19" s="3">
        <v>5010260892</v>
      </c>
      <c r="B19" s="3" t="s">
        <v>118</v>
      </c>
      <c r="C19" s="16" t="s">
        <v>136</v>
      </c>
      <c r="D19" s="16">
        <f>HLOOKUP(D3,SourceProduit,17,FALSE)</f>
        <v>0</v>
      </c>
      <c r="AX19" s="3"/>
      <c r="AY19" s="3"/>
    </row>
    <row r="20" spans="1:51" ht="15.75">
      <c r="A20" s="3">
        <v>5010098796</v>
      </c>
      <c r="B20" s="3" t="s">
        <v>119</v>
      </c>
      <c r="C20" s="16" t="s">
        <v>29</v>
      </c>
      <c r="D20" s="16">
        <f>HLOOKUP(D3,SourceProduit,18,FALSE)</f>
        <v>0</v>
      </c>
      <c r="AX20" s="3">
        <v>5010216051</v>
      </c>
      <c r="AY20" s="3" t="s">
        <v>122</v>
      </c>
    </row>
    <row r="21" spans="1:51" ht="15.75">
      <c r="A21" s="3">
        <v>5010098826</v>
      </c>
      <c r="B21" s="3" t="s">
        <v>120</v>
      </c>
      <c r="C21" s="17" t="s">
        <v>80</v>
      </c>
      <c r="D21" s="17">
        <f>HLOOKUP(D3,SourceProduit,19,FALSE)</f>
        <v>0</v>
      </c>
      <c r="AX21" s="3">
        <v>5010260892</v>
      </c>
      <c r="AY21" s="3" t="s">
        <v>118</v>
      </c>
    </row>
    <row r="22" spans="1:51" ht="15.75">
      <c r="A22" s="3">
        <v>7703066040</v>
      </c>
      <c r="B22" s="3" t="s">
        <v>121</v>
      </c>
      <c r="C22" s="17" t="s">
        <v>155</v>
      </c>
      <c r="D22" s="17">
        <f>HLOOKUP(D3,SourceProduit,20,FALSE)</f>
        <v>0</v>
      </c>
      <c r="AX22" s="3">
        <v>5010098796</v>
      </c>
      <c r="AY22" s="3" t="s">
        <v>119</v>
      </c>
    </row>
    <row r="23" spans="1:51" ht="15.75">
      <c r="A23" s="3">
        <v>7703066102</v>
      </c>
      <c r="B23" s="3" t="s">
        <v>123</v>
      </c>
      <c r="C23" s="17" t="s">
        <v>180</v>
      </c>
      <c r="D23" s="17">
        <f>HLOOKUP(D3,SourceProduit,21,FALSE)</f>
        <v>0</v>
      </c>
      <c r="AX23" s="3">
        <v>5010098826</v>
      </c>
      <c r="AY23" s="3" t="s">
        <v>120</v>
      </c>
    </row>
    <row r="24" spans="1:51" ht="15.75">
      <c r="A24" s="3">
        <v>24472704</v>
      </c>
      <c r="B24" s="3" t="s">
        <v>124</v>
      </c>
      <c r="C24" s="17" t="s">
        <v>82</v>
      </c>
      <c r="D24" s="18">
        <f>HLOOKUP(D3,SourceProduit,22,FALSE)</f>
        <v>0</v>
      </c>
      <c r="AX24" s="3">
        <v>7703066040</v>
      </c>
      <c r="AY24" s="3" t="s">
        <v>121</v>
      </c>
    </row>
    <row r="25" spans="1:51">
      <c r="A25" s="3">
        <v>5010422362</v>
      </c>
      <c r="B25" s="3" t="s">
        <v>125</v>
      </c>
      <c r="AX25" s="3">
        <v>7703066102</v>
      </c>
      <c r="AY25" s="3" t="s">
        <v>123</v>
      </c>
    </row>
    <row r="26" spans="1:51">
      <c r="A26" s="3">
        <v>7421239485</v>
      </c>
      <c r="B26" s="3" t="s">
        <v>126</v>
      </c>
      <c r="AX26" s="3">
        <v>24472704</v>
      </c>
      <c r="AY26" s="3" t="s">
        <v>124</v>
      </c>
    </row>
    <row r="27" spans="1:51">
      <c r="A27" s="3">
        <v>7420939734</v>
      </c>
      <c r="B27" s="3" t="s">
        <v>127</v>
      </c>
      <c r="AX27" s="3">
        <v>5010422362</v>
      </c>
      <c r="AY27" s="3" t="s">
        <v>125</v>
      </c>
    </row>
    <row r="28" spans="1:51">
      <c r="A28" s="3"/>
      <c r="B28" s="4"/>
      <c r="AX28" s="3">
        <v>7421239485</v>
      </c>
      <c r="AY28" s="3" t="s">
        <v>126</v>
      </c>
    </row>
    <row r="29" spans="1:51">
      <c r="A29" s="3" t="s">
        <v>111</v>
      </c>
      <c r="B29" s="4"/>
      <c r="AX29" s="3">
        <v>7420939734</v>
      </c>
      <c r="AY29" s="3" t="s">
        <v>127</v>
      </c>
    </row>
    <row r="30" spans="1:51">
      <c r="A30" s="4">
        <v>662101565</v>
      </c>
      <c r="B30" s="3" t="s">
        <v>128</v>
      </c>
      <c r="AX30" s="3"/>
      <c r="AY30" s="4"/>
    </row>
    <row r="31" spans="1:51">
      <c r="A31" s="3">
        <v>5010311103</v>
      </c>
      <c r="B31" s="3" t="s">
        <v>129</v>
      </c>
      <c r="AX31" s="3" t="s">
        <v>111</v>
      </c>
      <c r="AY31" s="4"/>
    </row>
    <row r="32" spans="1:51">
      <c r="A32" s="3" t="s">
        <v>45</v>
      </c>
      <c r="B32" s="4" t="s">
        <v>62</v>
      </c>
      <c r="AX32" s="4">
        <v>662101565</v>
      </c>
      <c r="AY32" s="3" t="s">
        <v>128</v>
      </c>
    </row>
    <row r="33" spans="1:51">
      <c r="A33" s="3">
        <v>5010578532</v>
      </c>
      <c r="B33" s="4" t="s">
        <v>130</v>
      </c>
      <c r="AX33" s="3">
        <v>5010311103</v>
      </c>
      <c r="AY33" s="3" t="s">
        <v>129</v>
      </c>
    </row>
    <row r="34" spans="1:51">
      <c r="A34" s="4" t="s">
        <v>104</v>
      </c>
      <c r="B34" s="4" t="s">
        <v>64</v>
      </c>
      <c r="AX34" s="3"/>
      <c r="AY34" s="3"/>
    </row>
    <row r="35" spans="1:51">
      <c r="A35" s="3" t="s">
        <v>45</v>
      </c>
      <c r="B35" s="4" t="s">
        <v>65</v>
      </c>
      <c r="AX35" s="3" t="s">
        <v>45</v>
      </c>
      <c r="AY35" s="4" t="s">
        <v>62</v>
      </c>
    </row>
    <row r="36" spans="1:51">
      <c r="A36" s="3" t="s">
        <v>45</v>
      </c>
      <c r="B36" s="4" t="s">
        <v>66</v>
      </c>
      <c r="AX36" s="3">
        <v>5010578532</v>
      </c>
      <c r="AY36" s="4" t="s">
        <v>130</v>
      </c>
    </row>
    <row r="37" spans="1:51">
      <c r="A37" s="3">
        <v>7420894146</v>
      </c>
      <c r="B37" s="4" t="s">
        <v>131</v>
      </c>
      <c r="AX37" s="3" t="s">
        <v>45</v>
      </c>
      <c r="AY37" s="4" t="s">
        <v>64</v>
      </c>
    </row>
    <row r="38" spans="1:51">
      <c r="A38" s="3" t="s">
        <v>45</v>
      </c>
      <c r="B38" s="4" t="s">
        <v>68</v>
      </c>
      <c r="AX38" s="3" t="s">
        <v>45</v>
      </c>
      <c r="AY38" s="4" t="s">
        <v>65</v>
      </c>
    </row>
    <row r="39" spans="1:51">
      <c r="A39" s="11">
        <v>7485115894</v>
      </c>
      <c r="B39" s="4" t="s">
        <v>183</v>
      </c>
      <c r="AX39" s="3" t="s">
        <v>45</v>
      </c>
      <c r="AY39" s="4" t="s">
        <v>66</v>
      </c>
    </row>
    <row r="40" spans="1:51">
      <c r="A40" s="3">
        <v>7485151724</v>
      </c>
      <c r="B40" s="4" t="s">
        <v>132</v>
      </c>
      <c r="AX40" s="3">
        <v>7420894146</v>
      </c>
      <c r="AY40" s="4" t="s">
        <v>131</v>
      </c>
    </row>
    <row r="41" spans="1:51">
      <c r="A41" s="3">
        <f>Client!AG31</f>
        <v>0</v>
      </c>
      <c r="B41" s="4"/>
      <c r="AX41" s="3" t="s">
        <v>45</v>
      </c>
      <c r="AY41" s="4" t="s">
        <v>68</v>
      </c>
    </row>
    <row r="42" spans="1:51">
      <c r="A42" s="3">
        <v>169899</v>
      </c>
      <c r="B42" s="4"/>
      <c r="AX42" s="3">
        <v>7485151724</v>
      </c>
      <c r="AY42" s="4" t="s">
        <v>132</v>
      </c>
    </row>
    <row r="43" spans="1:51">
      <c r="A43" s="3">
        <v>5010225392</v>
      </c>
      <c r="B43" s="3" t="s">
        <v>181</v>
      </c>
      <c r="AX43" s="3" t="s">
        <v>45</v>
      </c>
      <c r="AY43" s="4" t="s">
        <v>69</v>
      </c>
    </row>
    <row r="44" spans="1:51">
      <c r="A44" s="3" t="s">
        <v>45</v>
      </c>
      <c r="B44" s="4" t="s">
        <v>69</v>
      </c>
    </row>
    <row r="47" spans="1:51" hidden="1">
      <c r="C47" s="3" t="s">
        <v>5</v>
      </c>
      <c r="D47" s="3">
        <v>5001867006</v>
      </c>
      <c r="E47" s="3">
        <v>8200143408</v>
      </c>
      <c r="F47" s="3">
        <v>8200789528</v>
      </c>
      <c r="G47" s="3">
        <v>7420993004</v>
      </c>
      <c r="H47" s="3" t="s">
        <v>45</v>
      </c>
      <c r="I47" s="3" t="s">
        <v>45</v>
      </c>
      <c r="J47" s="3">
        <v>5010306719</v>
      </c>
      <c r="K47" s="3" t="s">
        <v>58</v>
      </c>
      <c r="L47" s="3" t="s">
        <v>109</v>
      </c>
      <c r="M47" s="3" t="s">
        <v>110</v>
      </c>
      <c r="N47" s="3">
        <v>5801755123</v>
      </c>
      <c r="O47" s="5">
        <v>8200274233</v>
      </c>
      <c r="P47" s="3" t="s">
        <v>45</v>
      </c>
      <c r="Q47" s="3" t="s">
        <v>100</v>
      </c>
      <c r="R47" s="3" t="s">
        <v>102</v>
      </c>
      <c r="S47" s="3"/>
      <c r="T47" s="3">
        <v>5010216051</v>
      </c>
      <c r="U47" s="3">
        <v>5010260892</v>
      </c>
      <c r="V47" s="3">
        <v>5010098796</v>
      </c>
      <c r="W47" s="3">
        <v>5010098826</v>
      </c>
      <c r="X47" s="3">
        <v>7703066040</v>
      </c>
      <c r="Y47" s="3">
        <v>7703066102</v>
      </c>
      <c r="Z47" s="3">
        <v>24472704</v>
      </c>
      <c r="AA47" s="3">
        <v>5010422362</v>
      </c>
      <c r="AB47" s="3">
        <v>7421239485</v>
      </c>
      <c r="AC47" s="3">
        <v>7420939734</v>
      </c>
      <c r="AD47" s="3"/>
      <c r="AE47" s="3" t="s">
        <v>111</v>
      </c>
      <c r="AF47" s="4">
        <v>662101565</v>
      </c>
      <c r="AG47" s="3">
        <v>5010311103</v>
      </c>
      <c r="AH47" s="3" t="s">
        <v>45</v>
      </c>
      <c r="AI47" s="3">
        <v>5010578532</v>
      </c>
      <c r="AJ47" s="4" t="s">
        <v>104</v>
      </c>
      <c r="AK47" s="3" t="s">
        <v>45</v>
      </c>
      <c r="AL47" s="3" t="s">
        <v>45</v>
      </c>
      <c r="AM47" s="3">
        <v>7420894146</v>
      </c>
      <c r="AN47" s="3" t="s">
        <v>45</v>
      </c>
      <c r="AO47" s="11">
        <v>7485115894</v>
      </c>
      <c r="AP47" s="3">
        <v>7485151724</v>
      </c>
      <c r="AQ47" s="3">
        <f>Client!D77</f>
        <v>0</v>
      </c>
      <c r="AR47" s="3">
        <v>169899</v>
      </c>
      <c r="AS47" s="3">
        <v>5010225392</v>
      </c>
      <c r="AT47" s="3" t="s">
        <v>45</v>
      </c>
    </row>
    <row r="48" spans="1:51" hidden="1">
      <c r="C48" s="3" t="s">
        <v>6</v>
      </c>
      <c r="D48" s="3" t="s">
        <v>108</v>
      </c>
      <c r="E48" s="3" t="s">
        <v>112</v>
      </c>
      <c r="F48" s="3" t="s">
        <v>113</v>
      </c>
      <c r="G48" s="3" t="s">
        <v>114</v>
      </c>
      <c r="H48" s="3" t="s">
        <v>56</v>
      </c>
      <c r="I48" s="3"/>
      <c r="J48" s="3" t="s">
        <v>115</v>
      </c>
      <c r="K48" s="3" t="s">
        <v>116</v>
      </c>
      <c r="L48" s="3"/>
      <c r="M48" s="3"/>
      <c r="N48" s="3" t="s">
        <v>162</v>
      </c>
      <c r="O48" s="3" t="s">
        <v>117</v>
      </c>
      <c r="P48" s="3"/>
      <c r="Q48" s="3" t="s">
        <v>101</v>
      </c>
      <c r="R48" s="3" t="s">
        <v>182</v>
      </c>
      <c r="S48" s="3"/>
      <c r="T48" s="3" t="s">
        <v>122</v>
      </c>
      <c r="U48" s="3" t="s">
        <v>118</v>
      </c>
      <c r="V48" s="3" t="s">
        <v>119</v>
      </c>
      <c r="W48" s="3" t="s">
        <v>120</v>
      </c>
      <c r="X48" s="3" t="s">
        <v>121</v>
      </c>
      <c r="Y48" s="3" t="s">
        <v>123</v>
      </c>
      <c r="Z48" s="3" t="s">
        <v>124</v>
      </c>
      <c r="AA48" s="3" t="s">
        <v>125</v>
      </c>
      <c r="AB48" s="3" t="s">
        <v>126</v>
      </c>
      <c r="AC48" s="3" t="s">
        <v>127</v>
      </c>
      <c r="AD48" s="4"/>
      <c r="AE48" s="4"/>
      <c r="AF48" s="3" t="s">
        <v>128</v>
      </c>
      <c r="AG48" s="3" t="s">
        <v>129</v>
      </c>
      <c r="AH48" s="4" t="s">
        <v>62</v>
      </c>
      <c r="AI48" s="4" t="s">
        <v>130</v>
      </c>
      <c r="AJ48" s="4" t="s">
        <v>64</v>
      </c>
      <c r="AK48" s="4" t="s">
        <v>65</v>
      </c>
      <c r="AL48" s="4" t="s">
        <v>66</v>
      </c>
      <c r="AM48" s="4" t="s">
        <v>131</v>
      </c>
      <c r="AN48" s="4" t="s">
        <v>68</v>
      </c>
      <c r="AO48" s="4" t="s">
        <v>183</v>
      </c>
      <c r="AP48" s="4" t="s">
        <v>132</v>
      </c>
      <c r="AQ48" s="4"/>
      <c r="AR48" s="4"/>
      <c r="AS48" s="3" t="s">
        <v>181</v>
      </c>
      <c r="AT48" s="4" t="s">
        <v>69</v>
      </c>
    </row>
    <row r="49" spans="3:46" hidden="1">
      <c r="C49" s="3" t="s">
        <v>7</v>
      </c>
      <c r="D49" s="3">
        <f>Client!I54</f>
        <v>1</v>
      </c>
      <c r="E49" s="3">
        <f>Client!H54</f>
        <v>1</v>
      </c>
      <c r="F49" s="3">
        <f>Client!H59</f>
        <v>1</v>
      </c>
      <c r="G49" s="3">
        <f>Client!H64</f>
        <v>1</v>
      </c>
      <c r="H49" s="3">
        <f>Client!G54</f>
        <v>1</v>
      </c>
      <c r="I49" s="3"/>
      <c r="J49" s="3">
        <f>Client!M59</f>
        <v>1</v>
      </c>
      <c r="K49" s="3">
        <f>Client!L54</f>
        <v>1</v>
      </c>
      <c r="L49" s="3"/>
      <c r="M49" s="3"/>
      <c r="N49" s="3" t="str">
        <f>Client!D54</f>
        <v>EERERTRTT</v>
      </c>
      <c r="O49" s="3">
        <f>Client!F54</f>
        <v>1</v>
      </c>
      <c r="P49" s="3"/>
      <c r="Q49" s="3">
        <f>Client!D84</f>
        <v>0</v>
      </c>
      <c r="R49" s="3">
        <f>Client!J54</f>
        <v>1</v>
      </c>
      <c r="S49" s="3"/>
      <c r="T49" s="3"/>
      <c r="U49" s="3">
        <f>Client!O59</f>
        <v>4</v>
      </c>
      <c r="V49" s="3">
        <f>Client!O64</f>
        <v>1</v>
      </c>
      <c r="W49" s="4">
        <f>Client!O69</f>
        <v>1</v>
      </c>
      <c r="X49" s="4">
        <f>Client!O74</f>
        <v>1</v>
      </c>
      <c r="Y49" s="4"/>
      <c r="Z49" s="4">
        <f>Client!O79</f>
        <v>2</v>
      </c>
      <c r="AA49" s="4">
        <f>Client!O54</f>
        <v>4</v>
      </c>
      <c r="AB49" s="4">
        <f>Client!P54</f>
        <v>1</v>
      </c>
      <c r="AC49" s="4" t="s">
        <v>45</v>
      </c>
      <c r="AD49" s="4"/>
      <c r="AE49" s="4">
        <f>Client!E59</f>
        <v>1</v>
      </c>
      <c r="AF49" s="4">
        <f>Client!E64</f>
        <v>1</v>
      </c>
      <c r="AG49" s="4">
        <v>1</v>
      </c>
      <c r="AH49" s="4">
        <f>Client!E69</f>
        <v>1</v>
      </c>
      <c r="AI49" s="4">
        <f>Client!E74</f>
        <v>1</v>
      </c>
      <c r="AJ49" s="4">
        <f>Client!E89</f>
        <v>1</v>
      </c>
      <c r="AK49" s="4">
        <f>Client!E84</f>
        <v>1</v>
      </c>
      <c r="AL49" s="4">
        <f>Client!D59</f>
        <v>1</v>
      </c>
      <c r="AM49" s="4">
        <f>Client!D64</f>
        <v>1</v>
      </c>
      <c r="AN49" s="4">
        <f>Client!D74</f>
        <v>0</v>
      </c>
      <c r="AO49" s="4">
        <f>Client!K54</f>
        <v>1</v>
      </c>
      <c r="AP49" s="4">
        <f>Client!R54</f>
        <v>1</v>
      </c>
      <c r="AQ49" s="4">
        <f>Client!D79</f>
        <v>0</v>
      </c>
      <c r="AR49" s="4">
        <f>Client!E54</f>
        <v>1</v>
      </c>
      <c r="AS49" s="4">
        <f>Client!F59</f>
        <v>1</v>
      </c>
      <c r="AT49" s="4"/>
    </row>
    <row r="50" spans="3:46" hidden="1">
      <c r="C50" s="3" t="s">
        <v>47</v>
      </c>
      <c r="D50" s="3" t="str">
        <f>Client!I55</f>
        <v>Oui</v>
      </c>
      <c r="E50" s="3" t="str">
        <f>Client!H55</f>
        <v>Non</v>
      </c>
      <c r="F50" s="3" t="str">
        <f>Client!H60</f>
        <v>Oui</v>
      </c>
      <c r="G50" s="3" t="str">
        <f>Client!H65</f>
        <v>Oui</v>
      </c>
      <c r="H50" s="3" t="str">
        <f>Client!G55</f>
        <v>Non</v>
      </c>
      <c r="I50" s="3"/>
      <c r="J50" s="3" t="str">
        <f>Client!M60</f>
        <v>Oui</v>
      </c>
      <c r="K50" s="3" t="str">
        <f>Client!L55</f>
        <v>Oui</v>
      </c>
      <c r="L50" s="3"/>
      <c r="M50" s="3"/>
      <c r="N50" s="3" t="str">
        <f>Client!D55</f>
        <v>HJGH4545</v>
      </c>
      <c r="O50" s="3" t="str">
        <f>Client!F55</f>
        <v>Oui</v>
      </c>
      <c r="P50" s="3"/>
      <c r="Q50" s="3">
        <f>Client!D85</f>
        <v>0</v>
      </c>
      <c r="R50" s="3" t="str">
        <f>Client!J55</f>
        <v>Oui</v>
      </c>
      <c r="S50" s="3"/>
      <c r="T50" s="3"/>
      <c r="U50" s="3" t="str">
        <f>Client!O60</f>
        <v>Non</v>
      </c>
      <c r="V50" s="3" t="str">
        <f>Client!O65</f>
        <v>Non</v>
      </c>
      <c r="W50" s="4" t="str">
        <f>Client!O70</f>
        <v>Non</v>
      </c>
      <c r="X50" s="4" t="str">
        <f>Client!O75</f>
        <v>Non</v>
      </c>
      <c r="Y50" s="4"/>
      <c r="Z50" s="4" t="str">
        <f>Client!O80</f>
        <v>Non</v>
      </c>
      <c r="AA50" s="4" t="str">
        <f>Client!O55</f>
        <v>Oui</v>
      </c>
      <c r="AB50" s="4" t="str">
        <f>Client!P55</f>
        <v xml:space="preserve">Oui </v>
      </c>
      <c r="AC50" s="4" t="s">
        <v>45</v>
      </c>
      <c r="AD50" s="4"/>
      <c r="AE50" s="4" t="str">
        <f>Client!E60</f>
        <v xml:space="preserve">Oui </v>
      </c>
      <c r="AF50" s="4" t="str">
        <f>Client!E65</f>
        <v>Non</v>
      </c>
      <c r="AG50" s="4" t="s">
        <v>53</v>
      </c>
      <c r="AH50" s="4" t="str">
        <f>Client!E70</f>
        <v>Non</v>
      </c>
      <c r="AI50" s="4" t="str">
        <f>Client!E75</f>
        <v>Non</v>
      </c>
      <c r="AJ50" s="4" t="str">
        <f>Client!E90</f>
        <v>Oui</v>
      </c>
      <c r="AK50" s="4" t="str">
        <f>Client!E85</f>
        <v>Oui</v>
      </c>
      <c r="AL50" s="4" t="str">
        <f>Client!D60</f>
        <v>Non</v>
      </c>
      <c r="AM50" s="4" t="str">
        <f>Client!D65</f>
        <v>Non</v>
      </c>
      <c r="AN50" s="4">
        <f>Client!D75</f>
        <v>0</v>
      </c>
      <c r="AO50" s="4" t="str">
        <f>Client!K55</f>
        <v>Oui</v>
      </c>
      <c r="AP50" s="4" t="str">
        <f>Client!R55</f>
        <v>Oui</v>
      </c>
      <c r="AQ50" s="4">
        <f>Client!D80</f>
        <v>0</v>
      </c>
      <c r="AR50" s="4" t="str">
        <f>Client!E55</f>
        <v>Oui</v>
      </c>
      <c r="AS50" s="4" t="str">
        <f>Client!F60</f>
        <v>Oui</v>
      </c>
      <c r="AT50" s="4"/>
    </row>
    <row r="51" spans="3:46" hidden="1">
      <c r="C51" s="3" t="s">
        <v>133</v>
      </c>
      <c r="D51" s="3" t="str">
        <f>Client!I50</f>
        <v>MAZOUT</v>
      </c>
      <c r="E51" s="3" t="str">
        <f>Client!H50</f>
        <v>DISTRISUD</v>
      </c>
      <c r="F51" s="3" t="str">
        <f>Client!H50</f>
        <v>DISTRISUD</v>
      </c>
      <c r="G51" s="3" t="str">
        <f>Client!H50</f>
        <v>DISTRISUD</v>
      </c>
      <c r="H51" s="3" t="str">
        <f>Client!G50</f>
        <v>ERDF</v>
      </c>
      <c r="I51" s="3"/>
      <c r="J51" s="3" t="str">
        <f>Client!M50</f>
        <v>ABRIC</v>
      </c>
      <c r="K51" s="3" t="str">
        <f>Client!L50</f>
        <v>JBS</v>
      </c>
      <c r="L51" s="3"/>
      <c r="M51" s="3"/>
      <c r="N51" s="3" t="str">
        <f>Client!D50</f>
        <v>SAMAT SUD PORTET</v>
      </c>
      <c r="O51" s="3" t="str">
        <f>Client!F50</f>
        <v>MAIRIE DE BALARUC</v>
      </c>
      <c r="P51" s="3"/>
      <c r="Q51" s="3" t="str">
        <f>Client!D50</f>
        <v>SAMAT SUD PORTET</v>
      </c>
      <c r="R51" s="3" t="str">
        <f>Client!J50</f>
        <v>MR COMBE</v>
      </c>
      <c r="S51" s="3"/>
      <c r="T51" s="3"/>
      <c r="U51" s="3" t="str">
        <f>Client!O50</f>
        <v>LOCAWATT</v>
      </c>
      <c r="V51" s="3" t="str">
        <f>Client!O50</f>
        <v>LOCAWATT</v>
      </c>
      <c r="W51" s="4" t="str">
        <f>Client!O50</f>
        <v>LOCAWATT</v>
      </c>
      <c r="X51" s="4" t="str">
        <f>Client!O50</f>
        <v>LOCAWATT</v>
      </c>
      <c r="Y51" s="4"/>
      <c r="Z51" s="4" t="str">
        <f>Client!O50</f>
        <v>LOCAWATT</v>
      </c>
      <c r="AA51" s="4" t="str">
        <f>Client!O50</f>
        <v>LOCAWATT</v>
      </c>
      <c r="AB51" s="4" t="str">
        <f>Client!P50</f>
        <v>LVM</v>
      </c>
      <c r="AC51" s="4"/>
      <c r="AD51" s="4"/>
      <c r="AE51" s="4" t="str">
        <f>Client!E50</f>
        <v>ZAMORA</v>
      </c>
      <c r="AF51" s="4" t="str">
        <f>Client!E50</f>
        <v>ZAMORA</v>
      </c>
      <c r="AG51" s="4"/>
      <c r="AH51" s="4" t="str">
        <f>Client!E50</f>
        <v>ZAMORA</v>
      </c>
      <c r="AI51" s="4" t="str">
        <f>Client!E50</f>
        <v>ZAMORA</v>
      </c>
      <c r="AJ51" s="4"/>
      <c r="AK51" s="4"/>
      <c r="AL51" s="4" t="str">
        <f>Client!D50</f>
        <v>SAMAT SUD PORTET</v>
      </c>
      <c r="AM51" s="4" t="str">
        <f>Client!D50</f>
        <v>SAMAT SUD PORTET</v>
      </c>
      <c r="AN51" s="4" t="str">
        <f>Client!D50</f>
        <v>SAMAT SUD PORTET</v>
      </c>
      <c r="AO51" s="4" t="str">
        <f>Client!K56</f>
        <v>262 AVP 34</v>
      </c>
      <c r="AP51" s="4" t="str">
        <f>Client!R50</f>
        <v>PSP</v>
      </c>
      <c r="AQ51" s="4" t="str">
        <f>Client!D50</f>
        <v>SAMAT SUD PORTET</v>
      </c>
      <c r="AR51" s="4" t="str">
        <f>Client!E50</f>
        <v>ZAMORA</v>
      </c>
      <c r="AS51" s="4" t="str">
        <f>Client!F50</f>
        <v>MAIRIE DE BALARUC</v>
      </c>
      <c r="AT51" s="4"/>
    </row>
    <row r="52" spans="3:46" hidden="1">
      <c r="C52" s="3" t="s">
        <v>2</v>
      </c>
      <c r="D52" s="3" t="str">
        <f>Client!I56</f>
        <v>AF-597-FE</v>
      </c>
      <c r="E52" s="3">
        <f>Client!H56</f>
        <v>0</v>
      </c>
      <c r="F52" s="3" t="str">
        <f>Client!H61</f>
        <v>386 ADF 34</v>
      </c>
      <c r="G52" s="3" t="str">
        <f>Client!H66</f>
        <v>CT-974-SV</v>
      </c>
      <c r="H52" s="3" t="str">
        <f>Client!G56</f>
        <v>DQ-627-KX</v>
      </c>
      <c r="I52" s="3"/>
      <c r="J52" s="3">
        <f>Client!M61</f>
        <v>0</v>
      </c>
      <c r="K52" s="3" t="str">
        <f>Client!L56</f>
        <v>DB-319-GL</v>
      </c>
      <c r="L52" s="3"/>
      <c r="M52" s="3"/>
      <c r="N52" s="3" t="str">
        <f>Client!D56</f>
        <v>ERRRT</v>
      </c>
      <c r="O52" s="3" t="str">
        <f>Client!F56</f>
        <v>444 ATY 34</v>
      </c>
      <c r="P52" s="3"/>
      <c r="Q52" s="3">
        <f>Client!D86</f>
        <v>0</v>
      </c>
      <c r="R52" s="3">
        <f>Client!J56</f>
        <v>0</v>
      </c>
      <c r="S52" s="3"/>
      <c r="T52" s="3"/>
      <c r="U52" s="3">
        <f>Client!O61</f>
        <v>0</v>
      </c>
      <c r="V52" s="3">
        <f>Client!O66</f>
        <v>0</v>
      </c>
      <c r="W52" s="4">
        <f>Client!O71</f>
        <v>0</v>
      </c>
      <c r="X52" s="4">
        <f>Client!O76</f>
        <v>0</v>
      </c>
      <c r="Y52" s="4"/>
      <c r="Z52" s="4">
        <f>Client!O81</f>
        <v>0</v>
      </c>
      <c r="AA52" s="4" t="str">
        <f>Client!O56</f>
        <v>696 ZA 34</v>
      </c>
      <c r="AB52" s="4" t="str">
        <f>Client!P56</f>
        <v>BJ-360-GN</v>
      </c>
      <c r="AC52" s="4" t="s">
        <v>45</v>
      </c>
      <c r="AD52" s="4"/>
      <c r="AE52" s="4" t="str">
        <f>Client!E61</f>
        <v>CZ-569-TK</v>
      </c>
      <c r="AF52" s="4" t="str">
        <f>Client!E66</f>
        <v>CZ-569-TK</v>
      </c>
      <c r="AG52" s="4" t="s">
        <v>138</v>
      </c>
      <c r="AH52" s="4" t="str">
        <f>Client!E71</f>
        <v>CZ-569-TK</v>
      </c>
      <c r="AI52" s="4" t="str">
        <f>Client!E76</f>
        <v>BL-176-LC</v>
      </c>
      <c r="AJ52" s="4"/>
      <c r="AK52" s="4"/>
      <c r="AL52" s="4" t="str">
        <f>Client!D61</f>
        <v>100 E18 EEU</v>
      </c>
      <c r="AM52" s="4" t="str">
        <f>Client!D61</f>
        <v>100 E18 EEU</v>
      </c>
      <c r="AN52" s="4">
        <f>Client!D76</f>
        <v>0</v>
      </c>
      <c r="AO52" s="4"/>
      <c r="AP52" s="4" t="str">
        <f>Client!R56</f>
        <v>CB-726-EW</v>
      </c>
      <c r="AQ52" s="4">
        <f>Client!D81</f>
        <v>0</v>
      </c>
      <c r="AR52" s="4" t="str">
        <f>Client!E56</f>
        <v>EA-774-EQ</v>
      </c>
      <c r="AS52" s="4" t="str">
        <f>Client!F61</f>
        <v>DN-144-AB</v>
      </c>
      <c r="AT52" s="4"/>
    </row>
    <row r="53" spans="3:46" hidden="1">
      <c r="C53" s="3" t="s">
        <v>10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>
        <f>Client!S54</f>
        <v>0</v>
      </c>
      <c r="R53" s="3"/>
      <c r="S53" s="3"/>
      <c r="T53" s="3"/>
      <c r="U53" s="3"/>
      <c r="V53" s="3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>
        <f>Client!E79</f>
        <v>1</v>
      </c>
      <c r="AJ53" s="4"/>
      <c r="AK53" s="4"/>
      <c r="AL53" s="4">
        <f>Client!D69</f>
        <v>0</v>
      </c>
      <c r="AM53" s="4"/>
      <c r="AN53" s="4"/>
      <c r="AO53" s="4"/>
      <c r="AP53" s="4"/>
      <c r="AQ53" s="4"/>
      <c r="AR53" s="4"/>
      <c r="AS53" s="4"/>
      <c r="AT53" s="4"/>
    </row>
    <row r="54" spans="3:46" hidden="1">
      <c r="C54" s="3" t="s">
        <v>46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 t="str">
        <f>Client!E80</f>
        <v>Non</v>
      </c>
      <c r="AJ54" s="4"/>
      <c r="AK54" s="4"/>
      <c r="AL54" s="4">
        <f>Client!D70</f>
        <v>0</v>
      </c>
      <c r="AM54" s="4"/>
      <c r="AN54" s="4"/>
      <c r="AO54" s="4"/>
      <c r="AP54" s="4"/>
      <c r="AQ54" s="4"/>
      <c r="AR54" s="4"/>
      <c r="AS54" s="4"/>
      <c r="AT54" s="4"/>
    </row>
    <row r="55" spans="3:46" hidden="1">
      <c r="C55" s="3" t="s">
        <v>137</v>
      </c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 t="str">
        <f>Client!E50</f>
        <v>ZAMORA</v>
      </c>
      <c r="AJ55" s="4"/>
      <c r="AK55" s="4"/>
      <c r="AL55" s="4" t="str">
        <f>Client!D50</f>
        <v>SAMAT SUD PORTET</v>
      </c>
      <c r="AM55" s="4"/>
      <c r="AN55" s="4"/>
      <c r="AO55" s="4"/>
      <c r="AP55" s="4"/>
      <c r="AQ55" s="4"/>
      <c r="AR55" s="4"/>
      <c r="AS55" s="4"/>
      <c r="AT55" s="4"/>
    </row>
    <row r="56" spans="3:46" hidden="1">
      <c r="C56" s="3" t="s">
        <v>3</v>
      </c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 t="str">
        <f>Client!E81</f>
        <v>BN-014-GX</v>
      </c>
      <c r="AJ56" s="4"/>
      <c r="AK56" s="4"/>
      <c r="AL56" s="4">
        <f>Client!D71</f>
        <v>0</v>
      </c>
      <c r="AM56" s="4"/>
      <c r="AN56" s="4"/>
      <c r="AO56" s="4"/>
      <c r="AP56" s="4"/>
      <c r="AQ56" s="4"/>
      <c r="AR56" s="4"/>
      <c r="AS56" s="4"/>
      <c r="AT56" s="4"/>
    </row>
    <row r="57" spans="3:46" hidden="1">
      <c r="C57" s="3" t="s">
        <v>13</v>
      </c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</row>
    <row r="58" spans="3:46" hidden="1">
      <c r="C58" s="3" t="s">
        <v>48</v>
      </c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</row>
    <row r="59" spans="3:46" hidden="1">
      <c r="C59" s="3" t="s">
        <v>135</v>
      </c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</row>
    <row r="60" spans="3:46" hidden="1">
      <c r="C60" s="3" t="s">
        <v>4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</row>
    <row r="61" spans="3:46" hidden="1">
      <c r="C61" s="3" t="s">
        <v>32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</row>
    <row r="62" spans="3:46" hidden="1">
      <c r="C62" s="3" t="s">
        <v>49</v>
      </c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</row>
    <row r="63" spans="3:46" hidden="1">
      <c r="C63" s="3" t="s">
        <v>136</v>
      </c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</row>
    <row r="64" spans="3:46" hidden="1">
      <c r="C64" s="3" t="s">
        <v>29</v>
      </c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</row>
    <row r="65" spans="3:46" hidden="1">
      <c r="C65" s="4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</row>
    <row r="66" spans="3:46" hidden="1"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</row>
    <row r="67" spans="3:46" hidden="1"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</row>
    <row r="68" spans="3:46" hidden="1"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</row>
  </sheetData>
  <sortState ref="A1:D27">
    <sortCondition ref="D1"/>
  </sortState>
  <mergeCells count="1">
    <mergeCell ref="C1:D1"/>
  </mergeCells>
  <dataValidations count="1">
    <dataValidation type="list" allowBlank="1" showInputMessage="1" showErrorMessage="1" sqref="D3">
      <formula1>$D$47:$AT$47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T55"/>
  <sheetViews>
    <sheetView topLeftCell="C16" workbookViewId="0">
      <selection activeCell="F11" sqref="F11"/>
    </sheetView>
  </sheetViews>
  <sheetFormatPr baseColWidth="10" defaultRowHeight="15"/>
  <cols>
    <col min="1" max="1" width="13.28515625" hidden="1" customWidth="1"/>
    <col min="2" max="2" width="18.5703125" hidden="1" customWidth="1"/>
    <col min="3" max="3" width="20.5703125" bestFit="1" customWidth="1"/>
    <col min="4" max="4" width="24.28515625" bestFit="1" customWidth="1"/>
    <col min="5" max="5" width="18.5703125" bestFit="1" customWidth="1"/>
    <col min="6" max="6" width="24" bestFit="1" customWidth="1"/>
    <col min="7" max="7" width="24" customWidth="1"/>
    <col min="8" max="10" width="22.140625" bestFit="1" customWidth="1"/>
    <col min="11" max="11" width="17.5703125" bestFit="1" customWidth="1"/>
    <col min="12" max="12" width="19.140625" bestFit="1" customWidth="1"/>
    <col min="13" max="13" width="22.5703125" bestFit="1" customWidth="1"/>
    <col min="14" max="15" width="22.42578125" bestFit="1" customWidth="1"/>
    <col min="17" max="17" width="13.85546875" bestFit="1" customWidth="1"/>
    <col min="18" max="18" width="16.28515625" bestFit="1" customWidth="1"/>
    <col min="19" max="19" width="17.28515625" bestFit="1" customWidth="1"/>
    <col min="20" max="20" width="20.42578125" bestFit="1" customWidth="1"/>
  </cols>
  <sheetData>
    <row r="1" spans="1:4" ht="26.25">
      <c r="C1" s="105" t="s">
        <v>189</v>
      </c>
      <c r="D1" s="107"/>
    </row>
    <row r="3" spans="1:4" ht="15.75">
      <c r="A3" s="11" t="s">
        <v>170</v>
      </c>
      <c r="B3" s="11" t="s">
        <v>171</v>
      </c>
      <c r="C3" s="62" t="s">
        <v>170</v>
      </c>
      <c r="D3" s="12" t="s">
        <v>18</v>
      </c>
    </row>
    <row r="4" spans="1:4" ht="15.75">
      <c r="A4" s="3" t="str">
        <f>D34</f>
        <v>100 E18 EEU</v>
      </c>
      <c r="B4" s="11" t="s">
        <v>103</v>
      </c>
      <c r="C4" s="63" t="s">
        <v>171</v>
      </c>
      <c r="D4" s="64" t="str">
        <f>HLOOKUP(D3,SourceImmatCamion,2,FALSE)</f>
        <v>ZAMORA</v>
      </c>
    </row>
    <row r="5" spans="1:4" ht="15.75">
      <c r="A5" s="3">
        <f>E34</f>
        <v>0</v>
      </c>
      <c r="B5" s="11" t="s">
        <v>103</v>
      </c>
      <c r="C5" s="65" t="s">
        <v>172</v>
      </c>
      <c r="D5" s="66" t="str">
        <f>HLOOKUP(D3,SourceImmatCamion,3,FALSE)</f>
        <v>A 000 315 04 66</v>
      </c>
    </row>
    <row r="6" spans="1:4" ht="15.75">
      <c r="A6" s="3">
        <f>F34</f>
        <v>0</v>
      </c>
      <c r="B6" s="11" t="s">
        <v>103</v>
      </c>
      <c r="C6" s="65" t="s">
        <v>173</v>
      </c>
      <c r="D6" s="66">
        <f>HLOOKUP(D3,SourceImmatCamion,4,FALSE)</f>
        <v>0</v>
      </c>
    </row>
    <row r="7" spans="1:4" ht="15.75">
      <c r="A7" s="3" t="str">
        <f>G34</f>
        <v>EA-774-EQ</v>
      </c>
      <c r="B7" s="11" t="s">
        <v>103</v>
      </c>
      <c r="C7" s="65" t="s">
        <v>174</v>
      </c>
      <c r="D7" s="66">
        <f>HLOOKUP(D3,SourceImmatCamion,5,FALSE)</f>
        <v>1</v>
      </c>
    </row>
    <row r="8" spans="1:4" ht="15.75">
      <c r="A8" s="11"/>
      <c r="B8" s="11" t="s">
        <v>103</v>
      </c>
      <c r="C8" s="65" t="s">
        <v>25</v>
      </c>
      <c r="D8" s="66" t="str">
        <f>HLOOKUP(D3,SourceImmatCamion,6,FALSE)</f>
        <v>Oui</v>
      </c>
    </row>
    <row r="9" spans="1:4" ht="15.75">
      <c r="A9" s="50"/>
      <c r="B9" s="3" t="s">
        <v>103</v>
      </c>
      <c r="C9" s="67" t="s">
        <v>186</v>
      </c>
      <c r="D9" s="68">
        <f>HLOOKUP(D3,SourceImmatCamion,7,FALSE)</f>
        <v>0</v>
      </c>
    </row>
    <row r="10" spans="1:4" ht="15.75">
      <c r="A10" s="53"/>
      <c r="B10" s="3" t="s">
        <v>103</v>
      </c>
      <c r="C10" s="67" t="s">
        <v>185</v>
      </c>
      <c r="D10" s="68">
        <f>HLOOKUP(D3,SourceImmatCamion,8,FALSE)</f>
        <v>0</v>
      </c>
    </row>
    <row r="11" spans="1:4" ht="15.75">
      <c r="A11" s="43"/>
      <c r="B11" s="3" t="s">
        <v>14</v>
      </c>
      <c r="C11" s="67" t="s">
        <v>10</v>
      </c>
      <c r="D11" s="68">
        <f>HLOOKUP(D3,SourceImmatCamion,9,FALSE)</f>
        <v>0</v>
      </c>
    </row>
    <row r="12" spans="1:4" ht="15.75">
      <c r="A12" s="46"/>
      <c r="B12" s="3" t="s">
        <v>93</v>
      </c>
      <c r="C12" s="67" t="s">
        <v>177</v>
      </c>
      <c r="D12" s="68">
        <f>HLOOKUP(D3,SourceImmatCamion,10,FALSE)</f>
        <v>0</v>
      </c>
    </row>
    <row r="13" spans="1:4" ht="15.75">
      <c r="A13" s="47"/>
      <c r="B13" s="3" t="s">
        <v>93</v>
      </c>
      <c r="C13" s="69" t="s">
        <v>190</v>
      </c>
      <c r="D13" s="20">
        <f>HLOOKUP(D3,SourceImmatCamion,11,FALSE)</f>
        <v>0</v>
      </c>
    </row>
    <row r="14" spans="1:4" ht="15.75">
      <c r="A14" s="43"/>
      <c r="B14" s="3" t="s">
        <v>92</v>
      </c>
      <c r="C14" s="69" t="s">
        <v>191</v>
      </c>
      <c r="D14" s="20">
        <f>HLOOKUP(D3,SourceImmatCamion,12,FALSE)</f>
        <v>0</v>
      </c>
    </row>
    <row r="15" spans="1:4" ht="15.75">
      <c r="A15" s="43"/>
      <c r="B15" s="3" t="s">
        <v>90</v>
      </c>
      <c r="C15" s="69" t="s">
        <v>13</v>
      </c>
      <c r="D15" s="20">
        <f>HLOOKUP(D3,SourceImmatCamion,13,FALSE)</f>
        <v>0</v>
      </c>
    </row>
    <row r="16" spans="1:4" ht="15.75">
      <c r="A16" s="43"/>
      <c r="B16" s="3" t="s">
        <v>15</v>
      </c>
      <c r="C16" s="69" t="s">
        <v>178</v>
      </c>
      <c r="D16" s="20">
        <f>HLOOKUP(D3,SourceImmatCamion,14,FALSE)</f>
        <v>0</v>
      </c>
    </row>
    <row r="17" spans="1:4" ht="15.75">
      <c r="A17" s="43"/>
      <c r="B17" s="3" t="s">
        <v>89</v>
      </c>
      <c r="C17" s="70" t="s">
        <v>192</v>
      </c>
      <c r="D17" s="19">
        <f>HLOOKUP(D3,SourceImmatCamion,15,FALSE)</f>
        <v>0</v>
      </c>
    </row>
    <row r="18" spans="1:4" ht="15.75">
      <c r="A18" s="43"/>
      <c r="B18" s="3" t="s">
        <v>87</v>
      </c>
      <c r="C18" s="70" t="s">
        <v>193</v>
      </c>
      <c r="D18" s="19">
        <f>HLOOKUP(D3,SourceImmatCamion,16,FALSE)</f>
        <v>0</v>
      </c>
    </row>
    <row r="19" spans="1:4" ht="15.75">
      <c r="A19" s="43"/>
      <c r="B19" s="3" t="s">
        <v>16</v>
      </c>
      <c r="C19" s="70" t="s">
        <v>32</v>
      </c>
      <c r="D19" s="19">
        <f>HLOOKUP(D3,SourceImmatCamion,17,FALSE)</f>
        <v>0</v>
      </c>
    </row>
    <row r="20" spans="1:4" ht="15.75">
      <c r="A20" s="43"/>
      <c r="B20" s="3" t="s">
        <v>17</v>
      </c>
      <c r="C20" s="70" t="s">
        <v>179</v>
      </c>
      <c r="D20" s="19">
        <f>HLOOKUP(D3,SourceImmatCamion,18,FALSE)</f>
        <v>0</v>
      </c>
    </row>
    <row r="21" spans="1:4" ht="15.75">
      <c r="C21" s="71" t="s">
        <v>194</v>
      </c>
      <c r="D21" s="72">
        <f>HLOOKUP(D3,SourceImmatCamion,19,FALSE)</f>
        <v>0</v>
      </c>
    </row>
    <row r="22" spans="1:4" ht="15.75">
      <c r="C22" s="71" t="s">
        <v>195</v>
      </c>
      <c r="D22" s="72">
        <f>HLOOKUP(D3,SourceImmatCamion,20,FALSE)</f>
        <v>0</v>
      </c>
    </row>
    <row r="23" spans="1:4" ht="15.75">
      <c r="C23" s="71" t="s">
        <v>80</v>
      </c>
      <c r="D23" s="72">
        <f>HLOOKUP(D3,SourceImmatCamion,21,FALSE)</f>
        <v>0</v>
      </c>
    </row>
    <row r="24" spans="1:4" ht="15.75">
      <c r="C24" s="71" t="s">
        <v>155</v>
      </c>
      <c r="D24" s="72">
        <f>HLOOKUP(D3,SourceImmatCamion,22,FALSE)</f>
        <v>0</v>
      </c>
    </row>
    <row r="25" spans="1:4">
      <c r="C25" s="61"/>
      <c r="D25" s="1"/>
    </row>
    <row r="26" spans="1:4">
      <c r="C26" s="61"/>
      <c r="D26" s="1"/>
    </row>
    <row r="27" spans="1:4">
      <c r="C27" s="61"/>
      <c r="D27" s="1"/>
    </row>
    <row r="28" spans="1:4">
      <c r="C28" s="61"/>
      <c r="D28" s="1"/>
    </row>
    <row r="29" spans="1:4">
      <c r="C29" s="61"/>
      <c r="D29" s="1"/>
    </row>
    <row r="30" spans="1:4">
      <c r="C30" s="61"/>
      <c r="D30" s="1"/>
    </row>
    <row r="34" spans="3:20">
      <c r="C34" s="11" t="s">
        <v>170</v>
      </c>
      <c r="D34" s="3" t="str">
        <f>Client!D61</f>
        <v>100 E18 EEU</v>
      </c>
      <c r="E34" s="3">
        <f>Client!D71</f>
        <v>0</v>
      </c>
      <c r="F34" s="3">
        <f>Client!D76</f>
        <v>0</v>
      </c>
      <c r="G34" s="3" t="str">
        <f>Client!E56</f>
        <v>EA-774-EQ</v>
      </c>
      <c r="H34" s="11" t="str">
        <f>Client!E61</f>
        <v>CZ-569-TK</v>
      </c>
      <c r="I34" s="50" t="str">
        <f>Client!E76</f>
        <v>BL-176-LC</v>
      </c>
      <c r="J34" s="53" t="str">
        <f>Client!E81</f>
        <v>BN-014-GX</v>
      </c>
      <c r="K34" s="43" t="str">
        <f>Client!G56</f>
        <v>DQ-627-KX</v>
      </c>
      <c r="L34" s="46" t="str">
        <f>Client!H61</f>
        <v>386 ADF 34</v>
      </c>
      <c r="M34" s="47" t="str">
        <f>Client!H66</f>
        <v>CT-974-SV</v>
      </c>
      <c r="N34" s="43" t="str">
        <f>Client!I56</f>
        <v>AF-597-FE</v>
      </c>
      <c r="O34" s="43" t="str">
        <f>Client!K56</f>
        <v>262 AVP 34</v>
      </c>
      <c r="P34" s="43" t="str">
        <f>Client!L56</f>
        <v>DB-319-GL</v>
      </c>
      <c r="Q34" s="43" t="str">
        <f>Client!M56</f>
        <v>AW-644-HK</v>
      </c>
      <c r="R34" s="43" t="str">
        <f>Client!O56</f>
        <v>696 ZA 34</v>
      </c>
      <c r="S34" s="43" t="str">
        <f>Client!P56</f>
        <v>BJ-360-GN</v>
      </c>
      <c r="T34" s="43" t="str">
        <f>Client!R56</f>
        <v>CB-726-EW</v>
      </c>
    </row>
    <row r="35" spans="3:20">
      <c r="C35" s="11" t="s">
        <v>171</v>
      </c>
      <c r="D35" s="11" t="s">
        <v>103</v>
      </c>
      <c r="E35" s="11" t="s">
        <v>103</v>
      </c>
      <c r="F35" s="11" t="s">
        <v>103</v>
      </c>
      <c r="G35" s="11" t="s">
        <v>103</v>
      </c>
      <c r="H35" s="11" t="s">
        <v>103</v>
      </c>
      <c r="I35" s="3" t="s">
        <v>103</v>
      </c>
      <c r="J35" s="3" t="s">
        <v>103</v>
      </c>
      <c r="K35" s="3" t="s">
        <v>14</v>
      </c>
      <c r="L35" s="3" t="s">
        <v>93</v>
      </c>
      <c r="M35" s="3" t="s">
        <v>93</v>
      </c>
      <c r="N35" s="3" t="s">
        <v>92</v>
      </c>
      <c r="O35" s="3" t="s">
        <v>90</v>
      </c>
      <c r="P35" s="3" t="s">
        <v>15</v>
      </c>
      <c r="Q35" s="3" t="s">
        <v>89</v>
      </c>
      <c r="R35" s="3" t="s">
        <v>87</v>
      </c>
      <c r="S35" s="3" t="s">
        <v>16</v>
      </c>
      <c r="T35" s="3" t="s">
        <v>17</v>
      </c>
    </row>
    <row r="36" spans="3:20">
      <c r="C36" s="11" t="s">
        <v>187</v>
      </c>
      <c r="D36" s="11">
        <f>Client!D57</f>
        <v>54544</v>
      </c>
      <c r="E36" s="11">
        <f>Client!D67</f>
        <v>0</v>
      </c>
      <c r="F36" s="11">
        <f>Client!D72</f>
        <v>0</v>
      </c>
      <c r="G36" s="11" t="str">
        <f>Client!E57</f>
        <v>A 000 315 04 66</v>
      </c>
      <c r="H36" s="11">
        <f>Client!E62</f>
        <v>662101565</v>
      </c>
      <c r="I36" s="11" t="str">
        <f>Client!E72</f>
        <v>50 10 578 532</v>
      </c>
      <c r="J36" s="11" t="str">
        <f>Client!E77</f>
        <v>50 10 578 532</v>
      </c>
      <c r="K36" s="11">
        <f>Client!G52</f>
        <v>0</v>
      </c>
      <c r="L36" s="11" t="str">
        <f>Client!H57</f>
        <v>82 00 789 528</v>
      </c>
      <c r="M36" s="11" t="str">
        <f>Client!H62</f>
        <v>74 20 993 004</v>
      </c>
      <c r="N36" s="11">
        <f>Client!I52</f>
        <v>5001867006</v>
      </c>
      <c r="O36" s="11">
        <f>Client!K52</f>
        <v>7485115894</v>
      </c>
      <c r="P36" s="11" t="str">
        <f>Client!L52</f>
        <v>LF3769</v>
      </c>
      <c r="Q36" s="11" t="str">
        <f>Client!M52</f>
        <v>92 8474 - 48 (?)</v>
      </c>
      <c r="R36" s="11">
        <f>Client!O52</f>
        <v>5010422362</v>
      </c>
      <c r="S36" s="11" t="str">
        <f>Client!P52</f>
        <v>74 21 239 485</v>
      </c>
      <c r="T36" s="11">
        <f>Client!R52</f>
        <v>7485151724</v>
      </c>
    </row>
    <row r="37" spans="3:20">
      <c r="C37" s="11" t="s">
        <v>188</v>
      </c>
      <c r="D37" s="11" t="str">
        <f>Client!D58</f>
        <v>CNHI</v>
      </c>
      <c r="E37" s="11">
        <f>Client!D68</f>
        <v>0</v>
      </c>
      <c r="F37" s="11">
        <f>Client!D73</f>
        <v>0</v>
      </c>
      <c r="G37" s="11">
        <f>Client!E58</f>
        <v>0</v>
      </c>
      <c r="H37" s="11">
        <f>Client!E63</f>
        <v>0</v>
      </c>
      <c r="I37" s="11" t="str">
        <f>Client!E73</f>
        <v>RESERVOIR LAVE-GLACE</v>
      </c>
      <c r="J37" s="11" t="str">
        <f>Client!E78</f>
        <v>RESERVOIR LAVE-GLACE</v>
      </c>
      <c r="K37" s="11" t="str">
        <f>Client!G53</f>
        <v>T.Signal Lamp 16 w</v>
      </c>
      <c r="L37" s="11" t="str">
        <f>Client!H58</f>
        <v>CAPTEUR DE VITESSE</v>
      </c>
      <c r="M37" s="11" t="str">
        <f>Client!H63</f>
        <v>REGULATEUR DE VITESSE</v>
      </c>
      <c r="N37" s="11" t="str">
        <f>Client!I53</f>
        <v>BRIN BOUCLE LONG AVC</v>
      </c>
      <c r="O37" s="11" t="str">
        <f>Client!K53</f>
        <v>RETROVISEUR D'ACCOST</v>
      </c>
      <c r="P37" s="11" t="str">
        <f>Client!L53</f>
        <v>FILTRE A HUILE</v>
      </c>
      <c r="Q37" s="11" t="str">
        <f>Client!M53</f>
        <v>D19</v>
      </c>
      <c r="R37" s="11" t="str">
        <f>Client!O53</f>
        <v>ROTULE 42x62x25</v>
      </c>
      <c r="S37" s="11" t="str">
        <f>Client!P53</f>
        <v>SONDE DE NIVEAU</v>
      </c>
      <c r="T37" s="11" t="str">
        <f>Client!R53</f>
        <v>POIGNEE COMMANDE</v>
      </c>
    </row>
    <row r="38" spans="3:20">
      <c r="C38" s="60" t="s">
        <v>7</v>
      </c>
      <c r="D38" s="11">
        <f>Client!D59</f>
        <v>1</v>
      </c>
      <c r="E38" s="11">
        <f>Client!D69</f>
        <v>0</v>
      </c>
      <c r="F38" s="11">
        <f>Client!D74</f>
        <v>0</v>
      </c>
      <c r="G38" s="11">
        <f>Client!E54</f>
        <v>1</v>
      </c>
      <c r="H38" s="11">
        <f>Client!E64</f>
        <v>1</v>
      </c>
      <c r="I38" s="11">
        <f>Client!E74</f>
        <v>1</v>
      </c>
      <c r="J38" s="11">
        <f>Client!E79</f>
        <v>1</v>
      </c>
      <c r="K38" s="11">
        <f>Client!G54</f>
        <v>1</v>
      </c>
      <c r="L38" s="11">
        <f>Client!H59</f>
        <v>1</v>
      </c>
      <c r="M38" s="11">
        <f>Client!H64</f>
        <v>1</v>
      </c>
      <c r="N38" s="11">
        <f>Client!I54</f>
        <v>1</v>
      </c>
      <c r="O38" s="11">
        <f>Client!K54</f>
        <v>1</v>
      </c>
      <c r="P38" s="11">
        <f>Client!L54</f>
        <v>1</v>
      </c>
      <c r="Q38" s="11">
        <f>Client!M54</f>
        <v>1</v>
      </c>
      <c r="R38" s="11">
        <f>Client!O54</f>
        <v>4</v>
      </c>
      <c r="S38" s="11">
        <f>Client!P54</f>
        <v>1</v>
      </c>
      <c r="T38" s="11">
        <f>Client!R54</f>
        <v>1</v>
      </c>
    </row>
    <row r="39" spans="3:20">
      <c r="C39" s="60" t="s">
        <v>176</v>
      </c>
      <c r="D39" s="11" t="str">
        <f>Client!D60</f>
        <v>Non</v>
      </c>
      <c r="E39" s="11">
        <f>Client!D70</f>
        <v>0</v>
      </c>
      <c r="F39" s="11">
        <f>Client!D75</f>
        <v>0</v>
      </c>
      <c r="G39" s="11" t="str">
        <f>Client!E55</f>
        <v>Oui</v>
      </c>
      <c r="H39" s="11" t="str">
        <f>Client!E65</f>
        <v>Non</v>
      </c>
      <c r="I39" s="11" t="str">
        <f>Client!E75</f>
        <v>Non</v>
      </c>
      <c r="J39" s="11" t="str">
        <f>Client!E80</f>
        <v>Non</v>
      </c>
      <c r="K39" s="11" t="str">
        <f>Client!G55</f>
        <v>Non</v>
      </c>
      <c r="L39" s="11" t="str">
        <f>Client!H60</f>
        <v>Oui</v>
      </c>
      <c r="M39" s="11" t="str">
        <f>Client!H65</f>
        <v>Oui</v>
      </c>
      <c r="N39" s="11" t="str">
        <f>Client!I55</f>
        <v>Oui</v>
      </c>
      <c r="O39" s="11" t="str">
        <f>Client!K55</f>
        <v>Oui</v>
      </c>
      <c r="P39" s="11" t="str">
        <f>Client!L55</f>
        <v>Oui</v>
      </c>
      <c r="Q39" s="11" t="str">
        <f>Client!M55</f>
        <v>Oui</v>
      </c>
      <c r="R39" s="11" t="str">
        <f>Client!O55</f>
        <v>Oui</v>
      </c>
      <c r="S39" s="11" t="str">
        <f>Client!P55</f>
        <v xml:space="preserve">Oui </v>
      </c>
      <c r="T39" s="11" t="str">
        <f>Client!R55</f>
        <v>Oui</v>
      </c>
    </row>
    <row r="40" spans="3:20">
      <c r="C40" s="11" t="s">
        <v>186</v>
      </c>
      <c r="D40" s="11"/>
      <c r="E40" s="11"/>
      <c r="F40" s="11">
        <f>Client!D82</f>
        <v>0</v>
      </c>
      <c r="G40" s="11"/>
      <c r="H40" s="11" t="str">
        <f>Client!E72</f>
        <v>50 10 578 532</v>
      </c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</row>
    <row r="41" spans="3:20">
      <c r="C41" s="11" t="s">
        <v>185</v>
      </c>
      <c r="D41" s="11"/>
      <c r="E41" s="11"/>
      <c r="F41" s="11">
        <f>Client!D83</f>
        <v>0</v>
      </c>
      <c r="G41" s="11"/>
      <c r="H41" s="11" t="str">
        <f>Client!E73</f>
        <v>RESERVOIR LAVE-GLACE</v>
      </c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</row>
    <row r="42" spans="3:20">
      <c r="C42" s="60" t="s">
        <v>10</v>
      </c>
      <c r="D42" s="11"/>
      <c r="E42" s="11"/>
      <c r="F42" s="11">
        <f>Client!D84</f>
        <v>0</v>
      </c>
      <c r="G42" s="11"/>
      <c r="H42" s="11">
        <f>Client!E74</f>
        <v>1</v>
      </c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</row>
    <row r="43" spans="3:20">
      <c r="C43" s="60" t="s">
        <v>177</v>
      </c>
      <c r="D43" s="11"/>
      <c r="E43" s="11"/>
      <c r="F43" s="11">
        <f>Client!D85</f>
        <v>0</v>
      </c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</row>
    <row r="44" spans="3:20">
      <c r="C44" s="11" t="s">
        <v>190</v>
      </c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</row>
    <row r="45" spans="3:20">
      <c r="C45" s="11" t="s">
        <v>191</v>
      </c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</row>
    <row r="46" spans="3:20">
      <c r="C46" s="60" t="s">
        <v>13</v>
      </c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</row>
    <row r="47" spans="3:20">
      <c r="C47" s="60" t="s">
        <v>178</v>
      </c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</row>
    <row r="48" spans="3:20">
      <c r="C48" s="11" t="s">
        <v>192</v>
      </c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</row>
    <row r="49" spans="3:20">
      <c r="C49" s="11" t="s">
        <v>193</v>
      </c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</row>
    <row r="50" spans="3:20">
      <c r="C50" s="60" t="s">
        <v>32</v>
      </c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</row>
    <row r="51" spans="3:20">
      <c r="C51" s="60" t="s">
        <v>179</v>
      </c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</row>
    <row r="52" spans="3:20">
      <c r="C52" s="11" t="s">
        <v>194</v>
      </c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</row>
    <row r="53" spans="3:20">
      <c r="C53" s="11" t="s">
        <v>195</v>
      </c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</row>
    <row r="54" spans="3:20">
      <c r="C54" s="60" t="s">
        <v>80</v>
      </c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</row>
    <row r="55" spans="3:20">
      <c r="C55" s="60" t="s">
        <v>155</v>
      </c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</row>
  </sheetData>
  <mergeCells count="1">
    <mergeCell ref="C1:D1"/>
  </mergeCells>
  <dataValidations count="1">
    <dataValidation type="list" allowBlank="1" showInputMessage="1" showErrorMessage="1" sqref="D3">
      <formula1>$D$34:$T$34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13"/>
  <sheetViews>
    <sheetView workbookViewId="0">
      <selection activeCell="B22" sqref="B22"/>
    </sheetView>
  </sheetViews>
  <sheetFormatPr baseColWidth="10" defaultRowHeight="15"/>
  <cols>
    <col min="1" max="1" width="22.42578125" bestFit="1" customWidth="1"/>
    <col min="2" max="2" width="141.28515625" bestFit="1" customWidth="1"/>
  </cols>
  <sheetData>
    <row r="1" spans="1:2">
      <c r="A1" t="s">
        <v>153</v>
      </c>
      <c r="B1" t="s">
        <v>152</v>
      </c>
    </row>
    <row r="4" spans="1:2">
      <c r="A4" t="s">
        <v>165</v>
      </c>
      <c r="B4" t="s">
        <v>200</v>
      </c>
    </row>
    <row r="6" spans="1:2">
      <c r="A6" t="s">
        <v>166</v>
      </c>
      <c r="B6" t="s">
        <v>196</v>
      </c>
    </row>
    <row r="8" spans="1:2">
      <c r="A8" t="s">
        <v>197</v>
      </c>
      <c r="B8" t="s">
        <v>198</v>
      </c>
    </row>
    <row r="10" spans="1:2">
      <c r="A10" t="s">
        <v>167</v>
      </c>
      <c r="B10" t="s">
        <v>199</v>
      </c>
    </row>
    <row r="13" spans="1:2">
      <c r="A13" t="s">
        <v>168</v>
      </c>
      <c r="B13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G28" sqref="G28"/>
    </sheetView>
  </sheetViews>
  <sheetFormatPr baseColWidth="10" defaultRowHeight="1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78"/>
  <sheetViews>
    <sheetView topLeftCell="A19" workbookViewId="0">
      <selection activeCell="C30" sqref="C30:C36"/>
    </sheetView>
  </sheetViews>
  <sheetFormatPr baseColWidth="10" defaultRowHeight="15"/>
  <cols>
    <col min="1" max="1" width="19" bestFit="1" customWidth="1"/>
    <col min="2" max="2" width="23.5703125" bestFit="1" customWidth="1"/>
    <col min="3" max="3" width="12.28515625" bestFit="1" customWidth="1"/>
    <col min="4" max="4" width="20" bestFit="1" customWidth="1"/>
    <col min="5" max="5" width="17.5703125" bestFit="1" customWidth="1"/>
    <col min="6" max="6" width="23.5703125" bestFit="1" customWidth="1"/>
  </cols>
  <sheetData>
    <row r="1" spans="1:19">
      <c r="A1" s="97" t="s">
        <v>1</v>
      </c>
      <c r="B1" t="s">
        <v>93</v>
      </c>
    </row>
    <row r="2" spans="1:19">
      <c r="A2" s="98" t="s">
        <v>0</v>
      </c>
      <c r="B2">
        <f>HLOOKUP(B1,A30:F36,2,FALSE)</f>
        <v>2012</v>
      </c>
    </row>
    <row r="3" spans="1:19">
      <c r="A3" s="99" t="s">
        <v>5</v>
      </c>
      <c r="B3" t="str">
        <f>HLOOKUP(B1,A30:F36,3,FALSE)</f>
        <v>82 00 143 408</v>
      </c>
    </row>
    <row r="4" spans="1:19">
      <c r="A4" s="99" t="s">
        <v>6</v>
      </c>
      <c r="B4" t="str">
        <f>HLOOKUP(B1,A30:F36,4,FALSE)</f>
        <v>BAGUE ANTI DEMARRAGE</v>
      </c>
    </row>
    <row r="5" spans="1:19">
      <c r="A5" s="99" t="s">
        <v>7</v>
      </c>
      <c r="B5">
        <f>HLOOKUP(B1,A30:F36,5,FALSE)</f>
        <v>1</v>
      </c>
    </row>
    <row r="6" spans="1:19">
      <c r="A6" s="99" t="s">
        <v>47</v>
      </c>
      <c r="B6" t="str">
        <f>HLOOKUP(B1,A30:F36,6,FALSE)</f>
        <v>Non</v>
      </c>
    </row>
    <row r="7" spans="1:19">
      <c r="A7" s="99" t="s">
        <v>201</v>
      </c>
      <c r="B7">
        <f>HLOOKUP(B1,A30:F36,7,FALSE)</f>
        <v>0</v>
      </c>
    </row>
    <row r="12" spans="1:19">
      <c r="E12">
        <v>5899637412</v>
      </c>
    </row>
    <row r="15" spans="1:19">
      <c r="S15">
        <v>5899637412</v>
      </c>
    </row>
    <row r="30" spans="1:6">
      <c r="A30" s="97" t="s">
        <v>1</v>
      </c>
      <c r="B30" s="97" t="s">
        <v>95</v>
      </c>
      <c r="C30" s="97" t="s">
        <v>103</v>
      </c>
      <c r="D30" s="97" t="s">
        <v>94</v>
      </c>
      <c r="E30" s="97" t="s">
        <v>14</v>
      </c>
      <c r="F30" s="97" t="s">
        <v>93</v>
      </c>
    </row>
    <row r="31" spans="1:6">
      <c r="A31" s="98" t="s">
        <v>0</v>
      </c>
      <c r="B31" s="98">
        <v>2120</v>
      </c>
      <c r="C31" s="98">
        <v>2215</v>
      </c>
      <c r="D31" s="98">
        <v>2024</v>
      </c>
      <c r="E31" s="98" t="s">
        <v>34</v>
      </c>
      <c r="F31" s="98">
        <v>2012</v>
      </c>
    </row>
    <row r="32" spans="1:6">
      <c r="A32" s="99" t="s">
        <v>5</v>
      </c>
      <c r="B32" s="99" t="s">
        <v>99</v>
      </c>
      <c r="C32" s="99">
        <v>169899</v>
      </c>
      <c r="D32" s="99" t="s">
        <v>59</v>
      </c>
      <c r="E32" s="99"/>
      <c r="F32" s="99" t="s">
        <v>52</v>
      </c>
    </row>
    <row r="33" spans="1:6">
      <c r="A33" s="99" t="s">
        <v>6</v>
      </c>
      <c r="B33" s="99" t="s">
        <v>98</v>
      </c>
      <c r="C33" s="100"/>
      <c r="D33" s="99" t="s">
        <v>117</v>
      </c>
      <c r="E33" s="99" t="s">
        <v>71</v>
      </c>
      <c r="F33" s="99" t="s">
        <v>112</v>
      </c>
    </row>
    <row r="34" spans="1:6">
      <c r="A34" s="99" t="s">
        <v>7</v>
      </c>
      <c r="B34" s="99">
        <v>1</v>
      </c>
      <c r="C34" s="99">
        <v>1</v>
      </c>
      <c r="D34" s="99">
        <v>1</v>
      </c>
      <c r="E34" s="99">
        <v>1</v>
      </c>
      <c r="F34" s="99">
        <v>1</v>
      </c>
    </row>
    <row r="35" spans="1:6">
      <c r="A35" s="99" t="s">
        <v>47</v>
      </c>
      <c r="B35" s="99" t="s">
        <v>50</v>
      </c>
      <c r="C35" s="99" t="s">
        <v>50</v>
      </c>
      <c r="D35" s="99" t="s">
        <v>50</v>
      </c>
      <c r="E35" s="99" t="s">
        <v>53</v>
      </c>
      <c r="F35" s="99" t="s">
        <v>53</v>
      </c>
    </row>
    <row r="36" spans="1:6">
      <c r="A36" s="99" t="s">
        <v>201</v>
      </c>
      <c r="B36" s="99" t="s">
        <v>209</v>
      </c>
      <c r="C36" s="99" t="s">
        <v>18</v>
      </c>
      <c r="D36" s="99" t="s">
        <v>26</v>
      </c>
      <c r="E36" s="99" t="s">
        <v>72</v>
      </c>
      <c r="F36" s="99"/>
    </row>
    <row r="37" spans="1:6">
      <c r="B37" s="101"/>
    </row>
    <row r="38" spans="1:6">
      <c r="B38" s="101"/>
    </row>
    <row r="39" spans="1:6">
      <c r="B39" s="101"/>
    </row>
    <row r="40" spans="1:6">
      <c r="B40" s="101"/>
    </row>
    <row r="41" spans="1:6">
      <c r="B41" s="101"/>
    </row>
    <row r="46" spans="1:6">
      <c r="A46" t="s">
        <v>211</v>
      </c>
    </row>
    <row r="59" spans="1:6">
      <c r="E59">
        <v>9855317487</v>
      </c>
    </row>
    <row r="60" spans="1:6">
      <c r="A60" s="97" t="s">
        <v>1</v>
      </c>
      <c r="C60" s="99" t="s">
        <v>6</v>
      </c>
      <c r="D60" s="99" t="s">
        <v>7</v>
      </c>
      <c r="E60" s="99" t="s">
        <v>220</v>
      </c>
      <c r="F60" s="99" t="s">
        <v>201</v>
      </c>
    </row>
    <row r="61" spans="1:6">
      <c r="A61" s="97" t="s">
        <v>93</v>
      </c>
      <c r="C61" s="99" t="s">
        <v>112</v>
      </c>
      <c r="D61" s="99">
        <v>1</v>
      </c>
      <c r="E61" s="99" t="s">
        <v>221</v>
      </c>
      <c r="F61" s="99"/>
    </row>
    <row r="62" spans="1:6">
      <c r="A62" s="97" t="s">
        <v>14</v>
      </c>
      <c r="C62" s="99" t="s">
        <v>71</v>
      </c>
      <c r="D62" s="99">
        <v>1</v>
      </c>
      <c r="E62" s="99" t="s">
        <v>222</v>
      </c>
      <c r="F62" s="99" t="s">
        <v>72</v>
      </c>
    </row>
    <row r="63" spans="1:6">
      <c r="A63" s="97" t="s">
        <v>94</v>
      </c>
      <c r="C63" s="99" t="s">
        <v>117</v>
      </c>
      <c r="D63" s="99">
        <v>1</v>
      </c>
      <c r="E63" s="99" t="s">
        <v>223</v>
      </c>
      <c r="F63" s="99" t="s">
        <v>26</v>
      </c>
    </row>
    <row r="64" spans="1:6">
      <c r="A64" s="97" t="s">
        <v>95</v>
      </c>
      <c r="C64" s="99" t="s">
        <v>98</v>
      </c>
      <c r="D64" s="99">
        <v>9869741235</v>
      </c>
      <c r="E64" s="99" t="s">
        <v>50</v>
      </c>
      <c r="F64" s="99" t="s">
        <v>209</v>
      </c>
    </row>
    <row r="65" spans="1:6">
      <c r="A65" s="97" t="s">
        <v>103</v>
      </c>
      <c r="B65" s="99" t="s">
        <v>5</v>
      </c>
      <c r="C65" s="100"/>
      <c r="D65" s="99" t="s">
        <v>216</v>
      </c>
      <c r="E65" s="99" t="s">
        <v>50</v>
      </c>
      <c r="F65" s="99" t="s">
        <v>18</v>
      </c>
    </row>
    <row r="66" spans="1:6">
      <c r="B66" s="99" t="s">
        <v>52</v>
      </c>
      <c r="D66" t="s">
        <v>217</v>
      </c>
    </row>
    <row r="67" spans="1:6">
      <c r="B67" s="99"/>
      <c r="D67" t="s">
        <v>218</v>
      </c>
    </row>
    <row r="68" spans="1:6">
      <c r="B68" s="99" t="s">
        <v>59</v>
      </c>
      <c r="D68" t="s">
        <v>219</v>
      </c>
    </row>
    <row r="69" spans="1:6">
      <c r="B69" s="99" t="s">
        <v>99</v>
      </c>
    </row>
    <row r="70" spans="1:6">
      <c r="B70" s="99" t="s">
        <v>212</v>
      </c>
    </row>
    <row r="71" spans="1:6">
      <c r="B71" t="s">
        <v>213</v>
      </c>
    </row>
    <row r="72" spans="1:6">
      <c r="B72" t="s">
        <v>214</v>
      </c>
    </row>
    <row r="73" spans="1:6">
      <c r="B73" s="98" t="s">
        <v>215</v>
      </c>
    </row>
    <row r="74" spans="1:6">
      <c r="B74" s="98">
        <v>2012</v>
      </c>
    </row>
    <row r="75" spans="1:6">
      <c r="B75" s="98" t="s">
        <v>34</v>
      </c>
    </row>
    <row r="76" spans="1:6">
      <c r="B76" s="98">
        <v>2024</v>
      </c>
    </row>
    <row r="77" spans="1:6">
      <c r="B77" s="98">
        <v>2120</v>
      </c>
    </row>
    <row r="78" spans="1:6">
      <c r="B78" s="98">
        <v>2215</v>
      </c>
    </row>
  </sheetData>
  <sortState ref="A61:G65">
    <sortCondition ref="A61"/>
  </sortState>
  <dataValidations count="2">
    <dataValidation type="list" allowBlank="1" showInputMessage="1" showErrorMessage="1" sqref="B1">
      <formula1>$B$30:$F$30</formula1>
    </dataValidation>
    <dataValidation type="list" allowBlank="1" showInputMessage="1" showErrorMessage="1" sqref="A47">
      <formula1>Client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91</vt:i4>
      </vt:variant>
    </vt:vector>
  </HeadingPairs>
  <TitlesOfParts>
    <vt:vector size="97" baseType="lpstr">
      <vt:lpstr>Client</vt:lpstr>
      <vt:lpstr>Produit</vt:lpstr>
      <vt:lpstr>Immat</vt:lpstr>
      <vt:lpstr>Mode Opératoire</vt:lpstr>
      <vt:lpstr>Controle formulaire</vt:lpstr>
      <vt:lpstr>Feuil1</vt:lpstr>
      <vt:lpstr>ABRIC</vt:lpstr>
      <vt:lpstr>BALARUC</vt:lpstr>
      <vt:lpstr>BOUTEVILAIN_TPS</vt:lpstr>
      <vt:lpstr>BOUTEVILLAIN_SARL</vt:lpstr>
      <vt:lpstr>Client</vt:lpstr>
      <vt:lpstr>Clients</vt:lpstr>
      <vt:lpstr>code_client</vt:lpstr>
      <vt:lpstr>CodeClient</vt:lpstr>
      <vt:lpstr>DACHSER</vt:lpstr>
      <vt:lpstr>Débité_1</vt:lpstr>
      <vt:lpstr>Débité_2</vt:lpstr>
      <vt:lpstr>Débité_3</vt:lpstr>
      <vt:lpstr>Débité_4</vt:lpstr>
      <vt:lpstr>Débité_5</vt:lpstr>
      <vt:lpstr>Débité_6</vt:lpstr>
      <vt:lpstr>Débité_7</vt:lpstr>
      <vt:lpstr>Débité_8</vt:lpstr>
      <vt:lpstr>DéroulanteClients</vt:lpstr>
      <vt:lpstr>Désignation_2</vt:lpstr>
      <vt:lpstr>Désignation_3</vt:lpstr>
      <vt:lpstr>Désignation_4</vt:lpstr>
      <vt:lpstr>Désignation_5</vt:lpstr>
      <vt:lpstr>Désignation_6</vt:lpstr>
      <vt:lpstr>Désignation_7</vt:lpstr>
      <vt:lpstr>Désignation_8</vt:lpstr>
      <vt:lpstr>DésignationProduit_1</vt:lpstr>
      <vt:lpstr>DISTRISUD</vt:lpstr>
      <vt:lpstr>DISTRISUDTEST</vt:lpstr>
      <vt:lpstr>ERDF</vt:lpstr>
      <vt:lpstr>ERDFTEST</vt:lpstr>
      <vt:lpstr>ETF</vt:lpstr>
      <vt:lpstr>FRANCE_BOISSON</vt:lpstr>
      <vt:lpstr>I.E.S_LA_CORNICHE</vt:lpstr>
      <vt:lpstr>Immat_1</vt:lpstr>
      <vt:lpstr>Immat_2</vt:lpstr>
      <vt:lpstr>Immat_3</vt:lpstr>
      <vt:lpstr>Immat_4</vt:lpstr>
      <vt:lpstr>Immat_5</vt:lpstr>
      <vt:lpstr>Immat_6</vt:lpstr>
      <vt:lpstr>Immat_7</vt:lpstr>
      <vt:lpstr>Immat_8</vt:lpstr>
      <vt:lpstr>ImmatCamion_1</vt:lpstr>
      <vt:lpstr>JBS</vt:lpstr>
      <vt:lpstr>JMB</vt:lpstr>
      <vt:lpstr>LAROSA</vt:lpstr>
      <vt:lpstr>ListeClient_2</vt:lpstr>
      <vt:lpstr>ListeClient2</vt:lpstr>
      <vt:lpstr>ListeClients</vt:lpstr>
      <vt:lpstr>ListeClients_2</vt:lpstr>
      <vt:lpstr>ListeCodeClients</vt:lpstr>
      <vt:lpstr>LOCAWATT</vt:lpstr>
      <vt:lpstr>LVM</vt:lpstr>
      <vt:lpstr>M.P.L_LOCATION</vt:lpstr>
      <vt:lpstr>MAIRIE_DE_BALARUC</vt:lpstr>
      <vt:lpstr>MAIRIE_DE_SETE</vt:lpstr>
      <vt:lpstr>MAZOUT</vt:lpstr>
      <vt:lpstr>MIDI_MIROITERIE</vt:lpstr>
      <vt:lpstr>MR_COMBE</vt:lpstr>
      <vt:lpstr>PSP</vt:lpstr>
      <vt:lpstr>Quantité_1</vt:lpstr>
      <vt:lpstr>Quantité_2</vt:lpstr>
      <vt:lpstr>Quantité_3</vt:lpstr>
      <vt:lpstr>Quantité_4</vt:lpstr>
      <vt:lpstr>Quantité_5</vt:lpstr>
      <vt:lpstr>Quantité_6</vt:lpstr>
      <vt:lpstr>Quantité_7</vt:lpstr>
      <vt:lpstr>Quantité_8</vt:lpstr>
      <vt:lpstr>QuantitéClient_1</vt:lpstr>
      <vt:lpstr>RAMOND</vt:lpstr>
      <vt:lpstr>RéfProduit_1</vt:lpstr>
      <vt:lpstr>RéfProduit_2</vt:lpstr>
      <vt:lpstr>RéfProduit_3</vt:lpstr>
      <vt:lpstr>RéfProduit_4</vt:lpstr>
      <vt:lpstr>RéfProduit_5</vt:lpstr>
      <vt:lpstr>RéfProduit_6</vt:lpstr>
      <vt:lpstr>RéfProduit_7</vt:lpstr>
      <vt:lpstr>RéfProduit_8</vt:lpstr>
      <vt:lpstr>SAMAT</vt:lpstr>
      <vt:lpstr>SAMAT_SUD_PORTET</vt:lpstr>
      <vt:lpstr>SAMATTEST</vt:lpstr>
      <vt:lpstr>SMN_SETE</vt:lpstr>
      <vt:lpstr>SourceClient</vt:lpstr>
      <vt:lpstr>SourceImmat</vt:lpstr>
      <vt:lpstr>SourceImmatCamion</vt:lpstr>
      <vt:lpstr>SourceProduit</vt:lpstr>
      <vt:lpstr>SPORT_ET_PAYSAGE</vt:lpstr>
      <vt:lpstr>TAILLEFER</vt:lpstr>
      <vt:lpstr>TESTCLIENT</vt:lpstr>
      <vt:lpstr>TESTCLIENT_2</vt:lpstr>
      <vt:lpstr>ZAMORA</vt:lpstr>
      <vt:lpstr>ZAMORATEST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</dc:creator>
  <cp:lastModifiedBy>Poste1</cp:lastModifiedBy>
  <dcterms:created xsi:type="dcterms:W3CDTF">2018-01-12T09:21:39Z</dcterms:created>
  <dcterms:modified xsi:type="dcterms:W3CDTF">2018-01-24T15:04:36Z</dcterms:modified>
</cp:coreProperties>
</file>