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roduction\Alizée B\4A\Projet planning\"/>
    </mc:Choice>
  </mc:AlternateContent>
  <bookViews>
    <workbookView xWindow="0" yWindow="0" windowWidth="28800" windowHeight="11835"/>
  </bookViews>
  <sheets>
    <sheet name="Charge" sheetId="3" r:id="rId1"/>
    <sheet name="Base de donnee" sheetId="1" r:id="rId2"/>
  </sheets>
  <definedNames>
    <definedName name="_xlnm._FilterDatabase" localSheetId="1" hidden="1">'Base de donnee'!$A$1:$AZ$1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" i="3" l="1"/>
  <c r="AN4" i="3"/>
  <c r="AN5" i="3"/>
  <c r="AN6" i="3"/>
  <c r="AN7" i="3"/>
  <c r="AN8" i="3"/>
  <c r="AN9" i="3"/>
  <c r="AN2" i="3"/>
  <c r="AP3" i="3"/>
  <c r="AP4" i="3"/>
  <c r="AP5" i="3"/>
  <c r="AP6" i="3"/>
  <c r="AP7" i="3"/>
  <c r="AP8" i="3"/>
  <c r="AP9" i="3"/>
  <c r="AP2" i="3"/>
  <c r="AJ3" i="3"/>
  <c r="AJ4" i="3"/>
  <c r="AJ5" i="3"/>
  <c r="AJ6" i="3"/>
  <c r="AJ7" i="3"/>
  <c r="AJ8" i="3"/>
  <c r="AJ9" i="3"/>
  <c r="AJ2" i="3"/>
  <c r="AL2" i="1"/>
  <c r="AL3" i="1" l="1"/>
  <c r="AH4" i="1"/>
  <c r="AH3" i="1"/>
  <c r="AH2" i="1"/>
  <c r="AK3" i="3" l="1"/>
  <c r="AK4" i="3"/>
  <c r="AK5" i="3"/>
  <c r="AK6" i="3"/>
  <c r="AK7" i="3"/>
  <c r="AK8" i="3"/>
  <c r="AK9" i="3"/>
  <c r="AK2" i="3"/>
  <c r="AB3" i="3"/>
  <c r="AB4" i="3"/>
  <c r="AB5" i="3"/>
  <c r="AB6" i="3"/>
  <c r="AB7" i="3"/>
  <c r="AB8" i="3"/>
  <c r="AB9" i="3"/>
  <c r="AB2" i="3"/>
  <c r="X3" i="3"/>
  <c r="X4" i="3"/>
  <c r="X5" i="3"/>
  <c r="X6" i="3"/>
  <c r="X7" i="3"/>
  <c r="X8" i="3"/>
  <c r="X9" i="3"/>
  <c r="X2" i="3"/>
  <c r="S3" i="3"/>
  <c r="S4" i="3"/>
  <c r="S5" i="3"/>
  <c r="S6" i="3"/>
  <c r="S7" i="3"/>
  <c r="S8" i="3"/>
  <c r="S9" i="3"/>
  <c r="S2" i="3"/>
  <c r="N3" i="3"/>
  <c r="N4" i="3"/>
  <c r="N5" i="3"/>
  <c r="N6" i="3"/>
  <c r="N7" i="3"/>
  <c r="N8" i="3"/>
  <c r="N9" i="3"/>
  <c r="N2" i="3"/>
  <c r="Y3" i="3"/>
  <c r="Z3" i="3"/>
  <c r="AC3" i="3"/>
  <c r="AD3" i="3"/>
  <c r="AG3" i="3"/>
  <c r="AH3" i="3"/>
  <c r="AI3" i="3"/>
  <c r="AL3" i="3"/>
  <c r="AM3" i="3"/>
  <c r="AO3" i="3"/>
  <c r="Y4" i="3"/>
  <c r="Z4" i="3"/>
  <c r="AC4" i="3"/>
  <c r="AD4" i="3"/>
  <c r="AG4" i="3"/>
  <c r="AH4" i="3"/>
  <c r="AI4" i="3"/>
  <c r="AL4" i="3"/>
  <c r="AM4" i="3"/>
  <c r="AO4" i="3"/>
  <c r="Y5" i="3"/>
  <c r="Z5" i="3"/>
  <c r="AC5" i="3"/>
  <c r="AD5" i="3"/>
  <c r="AG5" i="3"/>
  <c r="AH5" i="3"/>
  <c r="AI5" i="3"/>
  <c r="AL5" i="3"/>
  <c r="AM5" i="3"/>
  <c r="AO5" i="3"/>
  <c r="Y6" i="3"/>
  <c r="Z6" i="3"/>
  <c r="AC6" i="3"/>
  <c r="AD6" i="3"/>
  <c r="AG6" i="3"/>
  <c r="AH6" i="3"/>
  <c r="AI6" i="3"/>
  <c r="AL6" i="3"/>
  <c r="AM6" i="3"/>
  <c r="AO6" i="3"/>
  <c r="Y7" i="3"/>
  <c r="Z7" i="3"/>
  <c r="AA7" i="3" s="1"/>
  <c r="AC7" i="3"/>
  <c r="AD7" i="3"/>
  <c r="AG7" i="3"/>
  <c r="AH7" i="3"/>
  <c r="AI7" i="3"/>
  <c r="AL7" i="3"/>
  <c r="AM7" i="3"/>
  <c r="AO7" i="3"/>
  <c r="Y8" i="3"/>
  <c r="Z8" i="3"/>
  <c r="AA8" i="3" s="1"/>
  <c r="AC8" i="3"/>
  <c r="AD8" i="3"/>
  <c r="AG8" i="3"/>
  <c r="AH8" i="3"/>
  <c r="AI8" i="3"/>
  <c r="AL8" i="3"/>
  <c r="AM8" i="3"/>
  <c r="AO8" i="3"/>
  <c r="Y9" i="3"/>
  <c r="Z9" i="3"/>
  <c r="AC9" i="3"/>
  <c r="AD9" i="3"/>
  <c r="AG9" i="3"/>
  <c r="AH9" i="3"/>
  <c r="AI9" i="3"/>
  <c r="AL9" i="3"/>
  <c r="AM9" i="3"/>
  <c r="AO9" i="3"/>
  <c r="AO2" i="3"/>
  <c r="AM2" i="3"/>
  <c r="AL2" i="3"/>
  <c r="AI2" i="3"/>
  <c r="AH2" i="3"/>
  <c r="AG2" i="3"/>
  <c r="AD2" i="3"/>
  <c r="AC2" i="3"/>
  <c r="Z2" i="3"/>
  <c r="Y2" i="3"/>
  <c r="AE8" i="3" l="1"/>
  <c r="AF8" i="3"/>
  <c r="AE7" i="3"/>
  <c r="AF7" i="3"/>
  <c r="E3" i="3"/>
  <c r="E4" i="3"/>
  <c r="E5" i="3"/>
  <c r="E6" i="3"/>
  <c r="E7" i="3"/>
  <c r="E8" i="3"/>
  <c r="E9" i="3"/>
  <c r="E2" i="3"/>
  <c r="T3" i="3"/>
  <c r="U3" i="3"/>
  <c r="V3" i="3"/>
  <c r="T4" i="3"/>
  <c r="U4" i="3"/>
  <c r="V4" i="3"/>
  <c r="T5" i="3"/>
  <c r="U5" i="3"/>
  <c r="V5" i="3"/>
  <c r="T6" i="3"/>
  <c r="U6" i="3"/>
  <c r="V6" i="3"/>
  <c r="T7" i="3"/>
  <c r="U7" i="3"/>
  <c r="V7" i="3"/>
  <c r="T8" i="3"/>
  <c r="U8" i="3"/>
  <c r="V8" i="3"/>
  <c r="T9" i="3"/>
  <c r="U9" i="3"/>
  <c r="V9" i="3"/>
  <c r="V2" i="3"/>
  <c r="U2" i="3"/>
  <c r="T2" i="3"/>
  <c r="O3" i="3"/>
  <c r="P3" i="3"/>
  <c r="Q3" i="3"/>
  <c r="O4" i="3"/>
  <c r="P4" i="3"/>
  <c r="Q4" i="3"/>
  <c r="O5" i="3"/>
  <c r="P5" i="3"/>
  <c r="Q5" i="3"/>
  <c r="O6" i="3"/>
  <c r="P6" i="3"/>
  <c r="Q6" i="3"/>
  <c r="O7" i="3"/>
  <c r="P7" i="3"/>
  <c r="Q7" i="3"/>
  <c r="O8" i="3"/>
  <c r="P8" i="3"/>
  <c r="Q8" i="3"/>
  <c r="O9" i="3"/>
  <c r="P9" i="3"/>
  <c r="Q9" i="3"/>
  <c r="Q2" i="3"/>
  <c r="P2" i="3"/>
  <c r="O2" i="3"/>
  <c r="J2" i="3"/>
  <c r="K2" i="3"/>
  <c r="L2" i="3"/>
  <c r="J3" i="3"/>
  <c r="K3" i="3"/>
  <c r="L3" i="3"/>
  <c r="J4" i="3"/>
  <c r="K4" i="3"/>
  <c r="L4" i="3"/>
  <c r="J5" i="3"/>
  <c r="K5" i="3"/>
  <c r="L5" i="3"/>
  <c r="J6" i="3"/>
  <c r="K6" i="3"/>
  <c r="L6" i="3"/>
  <c r="J7" i="3"/>
  <c r="K7" i="3"/>
  <c r="L7" i="3"/>
  <c r="J8" i="3"/>
  <c r="K8" i="3"/>
  <c r="L8" i="3"/>
  <c r="L9" i="3"/>
  <c r="J9" i="3"/>
  <c r="K9" i="3"/>
  <c r="F3" i="3"/>
  <c r="H3" i="3" s="1"/>
  <c r="G3" i="3"/>
  <c r="I3" i="3"/>
  <c r="F4" i="3"/>
  <c r="H4" i="3" s="1"/>
  <c r="G4" i="3"/>
  <c r="I4" i="3"/>
  <c r="F5" i="3"/>
  <c r="H5" i="3" s="1"/>
  <c r="G5" i="3"/>
  <c r="I5" i="3"/>
  <c r="F6" i="3"/>
  <c r="H6" i="3" s="1"/>
  <c r="G6" i="3"/>
  <c r="I6" i="3"/>
  <c r="F7" i="3"/>
  <c r="H7" i="3" s="1"/>
  <c r="G7" i="3"/>
  <c r="W7" i="3" s="1"/>
  <c r="I7" i="3"/>
  <c r="F8" i="3"/>
  <c r="H8" i="3" s="1"/>
  <c r="G8" i="3"/>
  <c r="W8" i="3" s="1"/>
  <c r="I8" i="3"/>
  <c r="F9" i="3"/>
  <c r="H9" i="3" s="1"/>
  <c r="G9" i="3"/>
  <c r="I9" i="3"/>
  <c r="I2" i="3"/>
  <c r="G2" i="3"/>
  <c r="F2" i="3"/>
  <c r="H2" i="3" s="1"/>
  <c r="F2" i="1"/>
  <c r="K2" i="1"/>
  <c r="P2" i="1"/>
  <c r="U2" i="1"/>
  <c r="V2" i="1"/>
  <c r="Y2" i="1"/>
  <c r="AC2" i="1"/>
  <c r="AD2" i="1"/>
  <c r="AM2" i="1"/>
  <c r="F3" i="1"/>
  <c r="K3" i="1"/>
  <c r="P3" i="1"/>
  <c r="U3" i="1"/>
  <c r="V3" i="1"/>
  <c r="Y3" i="1"/>
  <c r="AC3" i="1"/>
  <c r="AD3" i="1"/>
  <c r="AM3" i="1"/>
  <c r="F4" i="1"/>
  <c r="K4" i="1"/>
  <c r="P4" i="1"/>
  <c r="U4" i="1"/>
  <c r="V4" i="1"/>
  <c r="Y4" i="1"/>
  <c r="AC4" i="1"/>
  <c r="AD4" i="1"/>
  <c r="AL4" i="1"/>
  <c r="AM4" i="1"/>
  <c r="F6" i="1"/>
  <c r="K6" i="1"/>
  <c r="P6" i="1"/>
  <c r="U6" i="1"/>
  <c r="V6" i="1"/>
  <c r="Y6" i="1"/>
  <c r="AC6" i="1"/>
  <c r="AD6" i="1"/>
  <c r="AH6" i="1"/>
  <c r="AL6" i="1"/>
  <c r="AM6" i="1"/>
  <c r="F5" i="1"/>
  <c r="K5" i="1"/>
  <c r="P5" i="1"/>
  <c r="U5" i="1"/>
  <c r="V5" i="1"/>
  <c r="Y5" i="1"/>
  <c r="AC5" i="1"/>
  <c r="AD5" i="1"/>
  <c r="AH5" i="1"/>
  <c r="AL5" i="1"/>
  <c r="AM5" i="1"/>
  <c r="F7" i="1"/>
  <c r="K7" i="1"/>
  <c r="P7" i="1"/>
  <c r="U7" i="1"/>
  <c r="V7" i="1"/>
  <c r="Y7" i="1"/>
  <c r="AC7" i="1"/>
  <c r="AD7" i="1"/>
  <c r="AH7" i="1"/>
  <c r="AL7" i="1"/>
  <c r="AM7" i="1"/>
  <c r="AF9" i="3" l="1"/>
  <c r="AE9" i="3"/>
  <c r="AF5" i="3"/>
  <c r="AE5" i="3"/>
  <c r="AF2" i="3"/>
  <c r="AE2" i="3"/>
  <c r="AE6" i="3"/>
  <c r="AF6" i="3"/>
  <c r="AF3" i="3"/>
  <c r="AE3" i="3"/>
  <c r="AF4" i="3"/>
  <c r="AE4" i="3"/>
  <c r="AA2" i="3"/>
  <c r="W2" i="3"/>
  <c r="W6" i="3"/>
  <c r="AA6" i="3"/>
  <c r="W9" i="3"/>
  <c r="AA9" i="3"/>
  <c r="AA5" i="3"/>
  <c r="W5" i="3"/>
  <c r="AA3" i="3"/>
  <c r="W3" i="3"/>
  <c r="AA4" i="3"/>
  <c r="W4" i="3"/>
  <c r="R2" i="3"/>
  <c r="M2" i="3"/>
  <c r="R8" i="3"/>
  <c r="M8" i="3"/>
  <c r="R4" i="3"/>
  <c r="M4" i="3"/>
  <c r="R9" i="3"/>
  <c r="M9" i="3"/>
  <c r="R5" i="3"/>
  <c r="M5" i="3"/>
  <c r="R6" i="3"/>
  <c r="M6" i="3"/>
  <c r="R7" i="3"/>
  <c r="M7" i="3"/>
  <c r="R3" i="3"/>
  <c r="M3" i="3"/>
</calcChain>
</file>

<file path=xl/comments1.xml><?xml version="1.0" encoding="utf-8"?>
<comments xmlns="http://schemas.openxmlformats.org/spreadsheetml/2006/main">
  <authors>
    <author>Balvay, Alizee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1 pour réaliser le produit fini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2 pour réaliser le produit fini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3 pour réaliser le produit fini</t>
        </r>
      </text>
    </comment>
    <comment ref="V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L1 pour réaliser le produit fini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 coef manuel
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 coef manuel
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 coef manuel
</t>
        </r>
      </text>
    </comment>
  </commentList>
</comments>
</file>

<file path=xl/comments2.xml><?xml version="1.0" encoding="utf-8"?>
<comments xmlns="http://schemas.openxmlformats.org/spreadsheetml/2006/main">
  <authors>
    <author>Balvay, Alizee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Conditionnement pour le client 
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1 pour réaliser le produit fini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2 pour réaliser le produit fini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intermédiaire 3 pour réaliser le produit fini</t>
        </r>
      </text>
    </comment>
    <comment ref="T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nombre de produit L1 pour réaliser le produit fini</t>
        </r>
      </text>
    </comment>
    <comment ref="Z1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0,38 si changement bobine et 0,1 si changement largeur ,,, 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 coef manuel
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Balvay, Alizee:</t>
        </r>
        <r>
          <rPr>
            <sz val="9"/>
            <color indexed="81"/>
            <rFont val="Tahoma"/>
            <family val="2"/>
          </rPr>
          <t xml:space="preserve">
 coef manuel
</t>
        </r>
      </text>
    </comment>
  </commentList>
</comments>
</file>

<file path=xl/sharedStrings.xml><?xml version="1.0" encoding="utf-8"?>
<sst xmlns="http://schemas.openxmlformats.org/spreadsheetml/2006/main" count="174" uniqueCount="76">
  <si>
    <t xml:space="preserve">Produit fini </t>
  </si>
  <si>
    <t xml:space="preserve">Q par palette </t>
  </si>
  <si>
    <t xml:space="preserve">Cadence </t>
  </si>
  <si>
    <t xml:space="preserve">Coef </t>
  </si>
  <si>
    <t>T        1</t>
  </si>
  <si>
    <t>TR 1</t>
  </si>
  <si>
    <t>Produit intermédiaire 1</t>
  </si>
  <si>
    <t>Cadence                  1</t>
  </si>
  <si>
    <t>Coef                      1</t>
  </si>
  <si>
    <t>T        2</t>
  </si>
  <si>
    <t>TR 2</t>
  </si>
  <si>
    <t>Produit intermédiaire 2</t>
  </si>
  <si>
    <t>Cadence                  2</t>
  </si>
  <si>
    <t>Coef                      2</t>
  </si>
  <si>
    <t>T         3</t>
  </si>
  <si>
    <t>TR 3</t>
  </si>
  <si>
    <t>Produit intermédiaire 3</t>
  </si>
  <si>
    <t>Cadence                  3</t>
  </si>
  <si>
    <t>Coef                      3</t>
  </si>
  <si>
    <t>T         4</t>
  </si>
  <si>
    <t>TR         4</t>
  </si>
  <si>
    <t>T       L1</t>
  </si>
  <si>
    <t>TR L1</t>
  </si>
  <si>
    <t>T       R1</t>
  </si>
  <si>
    <t>T     L2</t>
  </si>
  <si>
    <t>T      R2</t>
  </si>
  <si>
    <t>-</t>
  </si>
  <si>
    <t>encolleuse</t>
  </si>
  <si>
    <t>tapis 600</t>
  </si>
  <si>
    <t>Machines</t>
  </si>
  <si>
    <t>Cadence L 1</t>
  </si>
  <si>
    <t>Machine L   1</t>
  </si>
  <si>
    <t>Machine R 1</t>
  </si>
  <si>
    <t>Cadence R     1</t>
  </si>
  <si>
    <t>Quantité r l     1</t>
  </si>
  <si>
    <t>L  2</t>
  </si>
  <si>
    <t>Cadence L  2</t>
  </si>
  <si>
    <t>R 2</t>
  </si>
  <si>
    <t>Cadence R    2</t>
  </si>
  <si>
    <t>Q r</t>
  </si>
  <si>
    <t>Quantité r l       2</t>
  </si>
  <si>
    <t>Produit 1</t>
  </si>
  <si>
    <t>Produit L 1</t>
  </si>
  <si>
    <t>Produit R 1</t>
  </si>
  <si>
    <t>Produit 2</t>
  </si>
  <si>
    <t>Produit 2'</t>
  </si>
  <si>
    <t>Produit L 2</t>
  </si>
  <si>
    <t>Produit L 3</t>
  </si>
  <si>
    <t>Produit R 2</t>
  </si>
  <si>
    <t>Produit R 3</t>
  </si>
  <si>
    <t>Produit R 4</t>
  </si>
  <si>
    <t>Produit R 5</t>
  </si>
  <si>
    <t>Produit 3</t>
  </si>
  <si>
    <t>Produit 4</t>
  </si>
  <si>
    <t>Produit 5</t>
  </si>
  <si>
    <t>Produit 3'</t>
  </si>
  <si>
    <t>Produit 5'</t>
  </si>
  <si>
    <t>Produit 3''</t>
  </si>
  <si>
    <t>Produit L 5</t>
  </si>
  <si>
    <t>Produit L 3 '</t>
  </si>
  <si>
    <t>Produit L 5 '</t>
  </si>
  <si>
    <t>Produit R 3'</t>
  </si>
  <si>
    <t>Produit R 5'</t>
  </si>
  <si>
    <t>Quantité voulue</t>
  </si>
  <si>
    <t xml:space="preserve">Quantité par palette </t>
  </si>
  <si>
    <t xml:space="preserve">Produit </t>
  </si>
  <si>
    <t xml:space="preserve">Date voulue par le client </t>
  </si>
  <si>
    <t>Date de fin de production</t>
  </si>
  <si>
    <t>7000009''</t>
  </si>
  <si>
    <t>7000009'</t>
  </si>
  <si>
    <t>Machine L  2</t>
  </si>
  <si>
    <t>Machine R 2</t>
  </si>
  <si>
    <t>7000009'''</t>
  </si>
  <si>
    <t>L 7000009</t>
  </si>
  <si>
    <t>R7000009</t>
  </si>
  <si>
    <t>Quantité r l   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</si>
</sst>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85">
    <xf numFmtId="0" fontId="0" fillId="0" borderId="0" xfId="0"/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3" borderId="3" xfId="0" applyFont="1" applyFill="1" applyBorder="1" applyAlignment="1">
      <alignment horizontal="center" vertical="top" wrapText="1"/>
    </xf>
    <xf numFmtId="164" fontId="3" fillId="2" borderId="2" xfId="0" applyNumberFormat="1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 vertical="top" wrapText="1"/>
    </xf>
    <xf numFmtId="164" fontId="3" fillId="4" borderId="2" xfId="0" applyNumberFormat="1" applyFont="1" applyFill="1" applyBorder="1" applyAlignment="1">
      <alignment horizontal="center" vertical="top" wrapText="1"/>
    </xf>
    <xf numFmtId="0" fontId="3" fillId="5" borderId="1" xfId="0" applyFont="1" applyFill="1" applyBorder="1" applyAlignment="1">
      <alignment horizontal="center" vertical="top" wrapText="1"/>
    </xf>
    <xf numFmtId="0" fontId="3" fillId="5" borderId="2" xfId="0" applyFont="1" applyFill="1" applyBorder="1" applyAlignment="1">
      <alignment horizontal="center" vertical="top" wrapText="1"/>
    </xf>
    <xf numFmtId="164" fontId="3" fillId="5" borderId="2" xfId="0" applyNumberFormat="1" applyFont="1" applyFill="1" applyBorder="1" applyAlignment="1">
      <alignment horizontal="center" vertical="top" wrapText="1"/>
    </xf>
    <xf numFmtId="0" fontId="4" fillId="6" borderId="1" xfId="0" applyFont="1" applyFill="1" applyBorder="1" applyAlignment="1">
      <alignment horizontal="center" vertical="top" wrapText="1"/>
    </xf>
    <xf numFmtId="0" fontId="4" fillId="6" borderId="2" xfId="0" applyFont="1" applyFill="1" applyBorder="1" applyAlignment="1">
      <alignment horizontal="center" vertical="top" wrapText="1"/>
    </xf>
    <xf numFmtId="164" fontId="4" fillId="6" borderId="2" xfId="0" applyNumberFormat="1" applyFont="1" applyFill="1" applyBorder="1" applyAlignment="1">
      <alignment horizontal="center" vertical="top" wrapText="1"/>
    </xf>
    <xf numFmtId="0" fontId="3" fillId="7" borderId="1" xfId="0" applyFont="1" applyFill="1" applyBorder="1" applyAlignment="1">
      <alignment horizontal="center" vertical="top" wrapText="1"/>
    </xf>
    <xf numFmtId="0" fontId="3" fillId="7" borderId="2" xfId="0" applyFont="1" applyFill="1" applyBorder="1" applyAlignment="1">
      <alignment horizontal="center" vertical="top" wrapText="1"/>
    </xf>
    <xf numFmtId="0" fontId="3" fillId="8" borderId="1" xfId="0" applyFont="1" applyFill="1" applyBorder="1" applyAlignment="1">
      <alignment horizontal="center" vertical="top" wrapText="1"/>
    </xf>
    <xf numFmtId="0" fontId="3" fillId="8" borderId="2" xfId="0" applyFont="1" applyFill="1" applyBorder="1" applyAlignment="1">
      <alignment horizontal="center" vertical="top" wrapText="1"/>
    </xf>
    <xf numFmtId="0" fontId="1" fillId="10" borderId="1" xfId="0" applyFont="1" applyFill="1" applyBorder="1" applyAlignment="1">
      <alignment horizontal="center" vertical="top" wrapText="1"/>
    </xf>
    <xf numFmtId="0" fontId="3" fillId="11" borderId="1" xfId="0" applyFont="1" applyFill="1" applyBorder="1" applyAlignment="1">
      <alignment horizontal="center" vertical="top" wrapText="1"/>
    </xf>
    <xf numFmtId="0" fontId="3" fillId="11" borderId="2" xfId="0" applyFont="1" applyFill="1" applyBorder="1" applyAlignment="1">
      <alignment horizontal="center" vertical="top" wrapText="1"/>
    </xf>
    <xf numFmtId="0" fontId="3" fillId="12" borderId="1" xfId="0" applyFont="1" applyFill="1" applyBorder="1" applyAlignment="1">
      <alignment horizontal="center" vertical="top" wrapText="1"/>
    </xf>
    <xf numFmtId="0" fontId="3" fillId="12" borderId="7" xfId="0" applyFont="1" applyFill="1" applyBorder="1" applyAlignment="1">
      <alignment horizontal="center" vertical="top" wrapText="1"/>
    </xf>
    <xf numFmtId="0" fontId="1" fillId="13" borderId="1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2" fontId="2" fillId="0" borderId="9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2" fontId="2" fillId="0" borderId="10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 wrapText="1"/>
    </xf>
    <xf numFmtId="0" fontId="3" fillId="0" borderId="15" xfId="0" applyFont="1" applyFill="1" applyBorder="1" applyAlignment="1">
      <alignment horizontal="center" vertical="top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5" fillId="0" borderId="9" xfId="0" applyNumberFormat="1" applyFont="1" applyFill="1" applyBorder="1" applyAlignment="1">
      <alignment horizontal="center" vertical="center"/>
    </xf>
    <xf numFmtId="1" fontId="1" fillId="9" borderId="6" xfId="0" applyNumberFormat="1" applyFont="1" applyFill="1" applyBorder="1" applyAlignment="1">
      <alignment horizontal="center" vertical="top" wrapText="1"/>
    </xf>
    <xf numFmtId="1" fontId="2" fillId="0" borderId="13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1" fillId="9" borderId="8" xfId="0" applyNumberFormat="1" applyFont="1" applyFill="1" applyBorder="1" applyAlignment="1">
      <alignment horizontal="center" vertical="top" wrapText="1"/>
    </xf>
    <xf numFmtId="1" fontId="2" fillId="0" borderId="1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horizontal="center" vertical="top" wrapText="1"/>
    </xf>
    <xf numFmtId="0" fontId="3" fillId="0" borderId="0" xfId="0" applyFont="1"/>
    <xf numFmtId="0" fontId="3" fillId="2" borderId="2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5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164" fontId="3" fillId="5" borderId="2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164" fontId="4" fillId="6" borderId="2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1" fontId="1" fillId="9" borderId="6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3" fillId="12" borderId="7" xfId="0" applyFont="1" applyFill="1" applyBorder="1" applyAlignment="1">
      <alignment horizontal="center" vertical="center" wrapText="1"/>
    </xf>
    <xf numFmtId="1" fontId="1" fillId="9" borderId="8" xfId="0" applyNumberFormat="1" applyFont="1" applyFill="1" applyBorder="1" applyAlignment="1">
      <alignment horizontal="center" vertical="center" wrapText="1"/>
    </xf>
    <xf numFmtId="0" fontId="3" fillId="14" borderId="0" xfId="0" applyFont="1" applyFill="1"/>
    <xf numFmtId="0" fontId="0" fillId="14" borderId="0" xfId="0" applyFill="1"/>
    <xf numFmtId="0" fontId="0" fillId="0" borderId="0" xfId="0" applyBorder="1"/>
    <xf numFmtId="16" fontId="0" fillId="0" borderId="0" xfId="0" applyNumberFormat="1"/>
  </cellXfs>
  <cellStyles count="2">
    <cellStyle name="Normal" xfId="0" builtinId="0"/>
    <cellStyle name="Normal 2" xfId="1"/>
  </cellStyles>
  <dxfs count="2">
    <dxf>
      <fill>
        <patternFill>
          <bgColor rgb="FFFF0000"/>
        </patternFill>
      </fill>
    </dxf>
    <dxf>
      <fill>
        <patternFill>
          <fgColor auto="1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29"/>
  <sheetViews>
    <sheetView tabSelected="1" zoomScale="85" zoomScaleNormal="85" workbookViewId="0">
      <selection activeCell="E5" sqref="E5"/>
    </sheetView>
  </sheetViews>
  <sheetFormatPr baseColWidth="10" defaultRowHeight="15" x14ac:dyDescent="0.25"/>
  <cols>
    <col min="2" max="2" width="11.42578125" customWidth="1"/>
    <col min="4" max="4" width="11.42578125" customWidth="1"/>
    <col min="6" max="6" width="8.5703125" bestFit="1" customWidth="1"/>
    <col min="7" max="7" width="7" bestFit="1" customWidth="1"/>
    <col min="8" max="9" width="5.7109375" customWidth="1"/>
    <col min="10" max="10" width="13.28515625" customWidth="1"/>
    <col min="11" max="11" width="8.42578125" customWidth="1"/>
    <col min="12" max="12" width="6.28515625" customWidth="1"/>
    <col min="13" max="14" width="5.7109375" customWidth="1"/>
    <col min="15" max="15" width="13.7109375" customWidth="1"/>
    <col min="16" max="16" width="8.7109375" customWidth="1"/>
    <col min="17" max="17" width="6.140625" customWidth="1"/>
    <col min="18" max="19" width="5.7109375" customWidth="1"/>
    <col min="20" max="20" width="13.140625" customWidth="1"/>
    <col min="21" max="21" width="8.85546875" customWidth="1"/>
    <col min="22" max="24" width="5.7109375" customWidth="1"/>
    <col min="26" max="26" width="9.140625" customWidth="1"/>
    <col min="27" max="28" width="5.7109375" customWidth="1"/>
    <col min="29" max="29" width="10.5703125" customWidth="1"/>
    <col min="31" max="31" width="5.7109375" customWidth="1"/>
    <col min="32" max="32" width="6.5703125" customWidth="1"/>
    <col min="34" max="34" width="10.7109375" customWidth="1"/>
    <col min="35" max="35" width="9.85546875" customWidth="1"/>
    <col min="36" max="37" width="5.7109375" customWidth="1"/>
    <col min="38" max="38" width="10.28515625" customWidth="1"/>
    <col min="39" max="39" width="10.7109375" customWidth="1"/>
    <col min="40" max="41" width="5.7109375" customWidth="1"/>
  </cols>
  <sheetData>
    <row r="1" spans="1:42" s="40" customFormat="1" ht="45" x14ac:dyDescent="0.25">
      <c r="A1" s="55" t="s">
        <v>65</v>
      </c>
      <c r="B1" s="55" t="s">
        <v>63</v>
      </c>
      <c r="C1" s="55" t="s">
        <v>66</v>
      </c>
      <c r="D1" s="55" t="s">
        <v>67</v>
      </c>
      <c r="E1" s="55" t="s">
        <v>1</v>
      </c>
      <c r="F1" s="55" t="s">
        <v>2</v>
      </c>
      <c r="G1" s="56" t="s">
        <v>3</v>
      </c>
      <c r="H1" s="57" t="s">
        <v>4</v>
      </c>
      <c r="I1" s="58" t="s">
        <v>5</v>
      </c>
      <c r="J1" s="59" t="s">
        <v>6</v>
      </c>
      <c r="K1" s="60" t="s">
        <v>7</v>
      </c>
      <c r="L1" s="61" t="s">
        <v>8</v>
      </c>
      <c r="M1" s="57" t="s">
        <v>9</v>
      </c>
      <c r="N1" s="58" t="s">
        <v>10</v>
      </c>
      <c r="O1" s="62" t="s">
        <v>11</v>
      </c>
      <c r="P1" s="63" t="s">
        <v>12</v>
      </c>
      <c r="Q1" s="64" t="s">
        <v>13</v>
      </c>
      <c r="R1" s="57" t="s">
        <v>14</v>
      </c>
      <c r="S1" s="58" t="s">
        <v>15</v>
      </c>
      <c r="T1" s="65" t="s">
        <v>16</v>
      </c>
      <c r="U1" s="66" t="s">
        <v>17</v>
      </c>
      <c r="V1" s="67" t="s">
        <v>18</v>
      </c>
      <c r="W1" s="68" t="s">
        <v>19</v>
      </c>
      <c r="X1" s="69" t="s">
        <v>20</v>
      </c>
      <c r="Y1" s="70" t="s">
        <v>31</v>
      </c>
      <c r="Z1" s="71" t="s">
        <v>30</v>
      </c>
      <c r="AA1" s="57" t="s">
        <v>21</v>
      </c>
      <c r="AB1" s="58" t="s">
        <v>22</v>
      </c>
      <c r="AC1" s="72" t="s">
        <v>32</v>
      </c>
      <c r="AD1" s="73" t="s">
        <v>33</v>
      </c>
      <c r="AE1" s="58" t="s">
        <v>23</v>
      </c>
      <c r="AF1" s="74" t="s">
        <v>39</v>
      </c>
      <c r="AG1" s="75" t="s">
        <v>34</v>
      </c>
      <c r="AH1" s="76" t="s">
        <v>70</v>
      </c>
      <c r="AI1" s="77" t="s">
        <v>36</v>
      </c>
      <c r="AJ1" s="57" t="s">
        <v>24</v>
      </c>
      <c r="AK1" s="58" t="s">
        <v>22</v>
      </c>
      <c r="AL1" s="78" t="s">
        <v>71</v>
      </c>
      <c r="AM1" s="79" t="s">
        <v>38</v>
      </c>
      <c r="AN1" s="69" t="s">
        <v>25</v>
      </c>
      <c r="AO1" s="80" t="s">
        <v>39</v>
      </c>
      <c r="AP1" s="75" t="s">
        <v>75</v>
      </c>
    </row>
    <row r="2" spans="1:42" x14ac:dyDescent="0.25">
      <c r="A2" s="29" t="s">
        <v>41</v>
      </c>
      <c r="B2">
        <v>38880</v>
      </c>
      <c r="C2" s="84">
        <v>43146</v>
      </c>
      <c r="D2" s="84">
        <v>43122</v>
      </c>
      <c r="E2" s="54">
        <f>IFERROR(VLOOKUP($A2*1,'Base de donnee'!$A$1:$AX$245,2,FALSE),VLOOKUP($A2,'Base de donnee'!$A$1:$AX$245,2,FALSE))</f>
        <v>800</v>
      </c>
      <c r="F2" s="54">
        <f>IFERROR(VLOOKUP($A2*1,'Base de donnee'!$A$1:$AX$245,4,FALSE),VLOOKUP($A2,'Base de donnee'!$A$1:$AX$245,4,FALSE))</f>
        <v>1500</v>
      </c>
      <c r="G2" s="54">
        <f>IFERROR(VLOOKUP($A2*1,'Base de donnee'!$A$1:$AX$245,5,FALSE),VLOOKUP($A2,'Base de donnee'!$A$1:$AX$245,5,FALSE))</f>
        <v>6.6699999999999995E-2</v>
      </c>
      <c r="H2" s="81">
        <f>IFERROR(B2/F2,"")</f>
        <v>25.92</v>
      </c>
      <c r="I2" s="54">
        <f>IFERROR(VLOOKUP($A2*1,'Base de donnee'!$A$1:$AX$245,7,FALSE),VLOOKUP($A2,'Base de donnee'!$A$1:$AX$245,7,FALSE))</f>
        <v>0.25</v>
      </c>
      <c r="J2" s="54" t="str">
        <f>IFERROR(VLOOKUP($A2*1,'Base de donnee'!$A$1:$AX$245,8,FALSE),VLOOKUP($A2,'Base de donnee'!$A$1:$AX$245,8,FALSE))</f>
        <v>-</v>
      </c>
      <c r="K2" s="54" t="str">
        <f>IFERROR(VLOOKUP($A2*1,'Base de donnee'!$A$1:$AX$245,9,FALSE),VLOOKUP($A2,'Base de donnee'!$A$1:$AX$245,9,FALSE))</f>
        <v>-</v>
      </c>
      <c r="L2" s="54">
        <f>IFERROR(VLOOKUP($A2*1,'Base de donnee'!$A$1:$AX$245,10,FALSE),VLOOKUP($A2,'Base de donnee'!$A$1:$AX$245,10,FALSE))</f>
        <v>1</v>
      </c>
      <c r="M2" s="82" t="str">
        <f>IFERROR(B2*G2/K2,"-")</f>
        <v>-</v>
      </c>
      <c r="N2" s="54" t="str">
        <f>IFERROR(VLOOKUP($A2*1,'Base de donnee'!$A$1:$AX$245,12,FALSE),VLOOKUP($A2,'Base de donnee'!$A$1:$AX$245,12,FALSE))</f>
        <v>-</v>
      </c>
      <c r="O2" s="54" t="str">
        <f>IFERROR(VLOOKUP($A2*1,'Base de donnee'!$A$1:$AX$245,13,FALSE),VLOOKUP($A2,'Base de donnee'!$A$1:$AX$245,13,FALSE))</f>
        <v>-</v>
      </c>
      <c r="P2" s="54" t="str">
        <f>IFERROR(VLOOKUP($A2*1,'Base de donnee'!$A$1:$AX$245,14,FALSE),VLOOKUP($A2,'Base de donnee'!$A$1:$AX$245,14,FALSE))</f>
        <v>-</v>
      </c>
      <c r="Q2" s="54">
        <f>IFERROR(VLOOKUP($A2*1,'Base de donnee'!$A$1:$AX$245,15,FALSE),VLOOKUP($A2,'Base de donnee'!$A$1:$AX$245,15,FALSE))</f>
        <v>1</v>
      </c>
      <c r="R2" s="82" t="str">
        <f>IFERROR(B2*G2*L2/P2,"-")</f>
        <v>-</v>
      </c>
      <c r="S2" s="54" t="str">
        <f>IFERROR(VLOOKUP($A2*1,'Base de donnee'!$A$1:$AX$245,17,FALSE),VLOOKUP($A2,'Base de donnee'!$A$1:$AX$245,17,FALSE))</f>
        <v>-</v>
      </c>
      <c r="T2" s="54" t="str">
        <f>IFERROR(VLOOKUP($A2*1,'Base de donnee'!$A$1:$AX$245,18,FALSE),VLOOKUP($A2,'Base de donnee'!$A$1:$AX$245,18,FALSE))</f>
        <v>-</v>
      </c>
      <c r="U2" s="54" t="str">
        <f>IFERROR(VLOOKUP($A2*1,'Base de donnee'!$A$1:$AX$245,19,FALSE),VLOOKUP($A2,'Base de donnee'!$A$1:$AX$245,19,FALSE))</f>
        <v>-</v>
      </c>
      <c r="V2" s="54">
        <f>IFERROR(VLOOKUP($A2*1,'Base de donnee'!$A$1:$AX$245,20,FALSE),VLOOKUP($A2,'Base de donnee'!$A$1:$AX$245,20,FALSE))</f>
        <v>1</v>
      </c>
      <c r="W2" s="81" t="str">
        <f>IFERROR(IF(A2="7000009",(B2*G2*L2*2)/U2,(B2*G2*L2*Q2)/U2),"-")</f>
        <v>-</v>
      </c>
      <c r="X2" s="54" t="str">
        <f>IFERROR(VLOOKUP($A2*1,'Base de donnee'!$A$1:$AX$245,22,FALSE),VLOOKUP($A2,'Base de donnee'!$A$1:$AX$245,22,FALSE))</f>
        <v>-</v>
      </c>
      <c r="Y2" s="54" t="str">
        <f>IFERROR(VLOOKUP($A2*1,'Base de donnee'!$A$1:$AX$245,23,FALSE),VLOOKUP($A2,'Base de donnee'!$A$1:$AX$245,23,FALSE))</f>
        <v>Produit L 1</v>
      </c>
      <c r="Z2" s="54">
        <f>IFERROR(VLOOKUP($A2*1,'Base de donnee'!$A$1:$AX$245,24,FALSE),VLOOKUP($A2,'Base de donnee'!$A$1:$AX$245,24,FALSE))</f>
        <v>365</v>
      </c>
      <c r="AA2" s="81">
        <f>IFERROR(IF(A2="Produit 5",(B2*2)/Z2,(B2*G2*L2*Q2*V2)/Z2),"-")</f>
        <v>7.1049205479452047</v>
      </c>
      <c r="AB2" s="54">
        <f>IFERROR(VLOOKUP($A2*1,'Base de donnee'!$A$1:$AX$245,26,FALSE),VLOOKUP($A2,'Base de donnee'!$A$1:$AX$245,26,FALSE))</f>
        <v>0.38</v>
      </c>
      <c r="AC2" s="54" t="str">
        <f>IFERROR(VLOOKUP($A2*1,'Base de donnee'!$A$1:$AX$245,27,FALSE),VLOOKUP($A2,'Base de donnee'!$A$1:$AX$245,27,FALSE))</f>
        <v>Produit R 1</v>
      </c>
      <c r="AD2" s="54">
        <f>IFERROR(VLOOKUP($A2*1,'Base de donnee'!$A$1:$AX$245,28,FALSE),VLOOKUP($A2,'Base de donnee'!$A$1:$AX$245,28,FALSE))</f>
        <v>320</v>
      </c>
      <c r="AE2" s="81">
        <f>IFERROR(IF(A2="Produit 5",B2*2*AG2/AD2,B2*(G2*L2*Q2*V2)*AG2/AD2),"")</f>
        <v>27.349547939999997</v>
      </c>
      <c r="AF2" s="81">
        <f>IFERROR(IF(A2="Produit 5",B2*2*AG2*1.111,B2*(G2*L2*Q2*V2)*AG2*1.111),"")</f>
        <v>9723.3112836287983</v>
      </c>
      <c r="AG2" s="54">
        <f>IFERROR(VLOOKUP($A2*1,'Base de donnee'!$A$1:$AX$245,31,FALSE),VLOOKUP($A2,'Base de donnee'!$A$1:$AX$245,31,FALSE))</f>
        <v>3.3748</v>
      </c>
      <c r="AH2" s="54" t="str">
        <f>IFERROR(VLOOKUP($A2*1,'Base de donnee'!$A$1:$AX$245,32,FALSE),VLOOKUP($A2,'Base de donnee'!$A$1:$AX$245,32,FALSE))</f>
        <v>-</v>
      </c>
      <c r="AI2" s="54" t="str">
        <f>IFERROR(VLOOKUP($A2*1,'Base de donnee'!$A$1:$AX$245,33,FALSE),VLOOKUP($A2,'Base de donnee'!$A$1:$AX$245,33,FALSE))</f>
        <v>-</v>
      </c>
      <c r="AJ2" s="81" t="str">
        <f>IFERROR(B2*(G2*L2*Q2*V2)/AI2,"-")</f>
        <v>-</v>
      </c>
      <c r="AK2" s="54" t="str">
        <f>IFERROR(VLOOKUP($A2*1,'Base de donnee'!$A$1:$AX$245,35,FALSE),VLOOKUP($A2,'Base de donnee'!$A$1:$AX$245,35,FALSE))</f>
        <v>-</v>
      </c>
      <c r="AL2" s="54" t="str">
        <f>IFERROR(VLOOKUP($A2*1,'Base de donnee'!$A$1:$AX$245,36,FALSE),VLOOKUP($A2,'Base de donnee'!$A$1:$AX$245,36,FALSE))</f>
        <v>-</v>
      </c>
      <c r="AM2" s="54" t="str">
        <f>IFERROR(VLOOKUP($A2*1,'Base de donnee'!$A$1:$AX$245,37,FALSE),VLOOKUP($A2,'Base de donnee'!$A$1:$AX$245,37,FALSE))</f>
        <v>-</v>
      </c>
      <c r="AN2" s="81" t="str">
        <f>IFERROR(B2*G2*L2*Q2*V2*AP2/AM2,"-")</f>
        <v>-</v>
      </c>
      <c r="AO2" s="54" t="str">
        <f>IFERROR(VLOOKUP($A2*1,'Base de donnee'!$A$1:$AX$245,39,FALSE),VLOOKUP($A2,'Base de donnee'!$A$1:$AX$245,39,FALSE))</f>
        <v>-</v>
      </c>
      <c r="AP2" s="54" t="str">
        <f>IFERROR(VLOOKUP($A2*1,'Base de donnee'!$A$1:$AX$245,40,FALSE),VLOOKUP($A2,'Base de donnee'!$A$1:$AX$245,40,FALSE))</f>
        <v>-</v>
      </c>
    </row>
    <row r="3" spans="1:42" x14ac:dyDescent="0.25">
      <c r="A3" s="29" t="s">
        <v>44</v>
      </c>
      <c r="B3">
        <v>489</v>
      </c>
      <c r="C3" s="84">
        <v>43147</v>
      </c>
      <c r="D3" s="84">
        <v>43123</v>
      </c>
      <c r="E3" s="54">
        <f>IFERROR(VLOOKUP($A3*1,'Base de donnee'!$A$1:$AX$245,2,FALSE),VLOOKUP($A3,'Base de donnee'!$A$1:$AX$245,2,FALSE))</f>
        <v>800</v>
      </c>
      <c r="F3" s="54">
        <f>IFERROR(VLOOKUP($A3*1,'Base de donnee'!$A$1:$AX$245,4,FALSE),VLOOKUP($A3,'Base de donnee'!$A$1:$AX$245,4,FALSE))</f>
        <v>1500</v>
      </c>
      <c r="G3" s="54">
        <f>IFERROR(VLOOKUP($A3*1,'Base de donnee'!$A$1:$AX$245,5,FALSE),VLOOKUP($A3,'Base de donnee'!$A$1:$AX$245,5,FALSE))</f>
        <v>6.6699999999999995E-2</v>
      </c>
      <c r="H3" s="81">
        <f t="shared" ref="H3:H9" si="0">IFERROR(B3/F3,"")</f>
        <v>0.32600000000000001</v>
      </c>
      <c r="I3" s="54">
        <f>IFERROR(VLOOKUP($A3*1,'Base de donnee'!$A$1:$AX$245,7,FALSE),VLOOKUP($A3,'Base de donnee'!$A$1:$AX$245,7,FALSE))</f>
        <v>0.25</v>
      </c>
      <c r="J3" s="54" t="str">
        <f>IFERROR(VLOOKUP($A3*1,'Base de donnee'!$A$1:$AX$245,8,FALSE),VLOOKUP($A3,'Base de donnee'!$A$1:$AX$245,8,FALSE))</f>
        <v>Produit 2'</v>
      </c>
      <c r="K3" s="54">
        <f>IFERROR(VLOOKUP($A3*1,'Base de donnee'!$A$1:$AX$245,9,FALSE),VLOOKUP($A3,'Base de donnee'!$A$1:$AX$245,9,FALSE))</f>
        <v>100</v>
      </c>
      <c r="L3" s="54">
        <f>IFERROR(VLOOKUP($A3*1,'Base de donnee'!$A$1:$AX$245,10,FALSE),VLOOKUP($A3,'Base de donnee'!$A$1:$AX$245,10,FALSE))</f>
        <v>1</v>
      </c>
      <c r="M3" s="82">
        <f t="shared" ref="M3:M9" si="1">IFERROR(B3*G3/K3,"-")</f>
        <v>0.32616299999999998</v>
      </c>
      <c r="N3" s="54">
        <f>IFERROR(VLOOKUP($A3*1,'Base de donnee'!$A$1:$AX$245,12,FALSE),VLOOKUP($A3,'Base de donnee'!$A$1:$AX$245,12,FALSE))</f>
        <v>0</v>
      </c>
      <c r="O3" s="54" t="str">
        <f>IFERROR(VLOOKUP($A3*1,'Base de donnee'!$A$1:$AX$245,13,FALSE),VLOOKUP($A3,'Base de donnee'!$A$1:$AX$245,13,FALSE))</f>
        <v>-</v>
      </c>
      <c r="P3" s="54" t="str">
        <f>IFERROR(VLOOKUP($A3*1,'Base de donnee'!$A$1:$AX$245,14,FALSE),VLOOKUP($A3,'Base de donnee'!$A$1:$AX$245,14,FALSE))</f>
        <v>-</v>
      </c>
      <c r="Q3" s="54">
        <f>IFERROR(VLOOKUP($A3*1,'Base de donnee'!$A$1:$AX$245,15,FALSE),VLOOKUP($A3,'Base de donnee'!$A$1:$AX$245,15,FALSE))</f>
        <v>1</v>
      </c>
      <c r="R3" s="82" t="str">
        <f t="shared" ref="R3:R9" si="2">IFERROR(B3*G3*L3/P3,"-")</f>
        <v>-</v>
      </c>
      <c r="S3" s="54" t="str">
        <f>IFERROR(VLOOKUP($A3*1,'Base de donnee'!$A$1:$AX$245,17,FALSE),VLOOKUP($A3,'Base de donnee'!$A$1:$AX$245,17,FALSE))</f>
        <v>-</v>
      </c>
      <c r="T3" s="54" t="str">
        <f>IFERROR(VLOOKUP($A3*1,'Base de donnee'!$A$1:$AX$245,18,FALSE),VLOOKUP($A3,'Base de donnee'!$A$1:$AX$245,18,FALSE))</f>
        <v>-</v>
      </c>
      <c r="U3" s="54" t="str">
        <f>IFERROR(VLOOKUP($A3*1,'Base de donnee'!$A$1:$AX$245,19,FALSE),VLOOKUP($A3,'Base de donnee'!$A$1:$AX$245,19,FALSE))</f>
        <v>-</v>
      </c>
      <c r="V3" s="54">
        <f>IFERROR(VLOOKUP($A3*1,'Base de donnee'!$A$1:$AX$245,20,FALSE),VLOOKUP($A3,'Base de donnee'!$A$1:$AX$245,20,FALSE))</f>
        <v>1</v>
      </c>
      <c r="W3" s="81" t="str">
        <f t="shared" ref="W3:W8" si="3">IFERROR(IF(A3="7000009",(B3*G3*L3*2)/U3,(B3*G3*L3*Q3)/U3),"-")</f>
        <v>-</v>
      </c>
      <c r="X3" s="54" t="str">
        <f>IFERROR(VLOOKUP($A3*1,'Base de donnee'!$A$1:$AX$245,22,FALSE),VLOOKUP($A3,'Base de donnee'!$A$1:$AX$245,22,FALSE))</f>
        <v>-</v>
      </c>
      <c r="Y3" s="54" t="str">
        <f>IFERROR(VLOOKUP($A3*1,'Base de donnee'!$A$1:$AX$245,23,FALSE),VLOOKUP($A3,'Base de donnee'!$A$1:$AX$245,23,FALSE))</f>
        <v>Produit L 2</v>
      </c>
      <c r="Z3" s="54">
        <f>IFERROR(VLOOKUP($A3*1,'Base de donnee'!$A$1:$AX$245,24,FALSE),VLOOKUP($A3,'Base de donnee'!$A$1:$AX$245,24,FALSE))</f>
        <v>365</v>
      </c>
      <c r="AA3" s="81">
        <f t="shared" ref="AA3:AA9" si="4">IFERROR(IF(A3="Produit 5",(B3*2)/Z3,(B3*G3*L3*Q3*V3)/Z3),"-")</f>
        <v>8.9359726027397252E-2</v>
      </c>
      <c r="AB3" s="54">
        <f>IFERROR(VLOOKUP($A3*1,'Base de donnee'!$A$1:$AX$245,26,FALSE),VLOOKUP($A3,'Base de donnee'!$A$1:$AX$245,26,FALSE))</f>
        <v>0.38</v>
      </c>
      <c r="AC3" s="54" t="str">
        <f>IFERROR(VLOOKUP($A3*1,'Base de donnee'!$A$1:$AX$245,27,FALSE),VLOOKUP($A3,'Base de donnee'!$A$1:$AX$245,27,FALSE))</f>
        <v>Produit R 2</v>
      </c>
      <c r="AD3" s="54">
        <f>IFERROR(VLOOKUP($A3*1,'Base de donnee'!$A$1:$AX$245,28,FALSE),VLOOKUP($A3,'Base de donnee'!$A$1:$AX$245,28,FALSE))</f>
        <v>320</v>
      </c>
      <c r="AE3" s="81">
        <f t="shared" ref="AE3:AE9" si="5">IFERROR(IF(A3="Produit 5",B3*2*AG3/AD3,B3*(G3*L3*Q3*V3)*AG3/AD3),"")</f>
        <v>0.34397965387499996</v>
      </c>
      <c r="AF3" s="81">
        <f t="shared" ref="AF3:AF9" si="6">IFERROR(IF(A3="Produit 5",B3*2*AG3*1.111,B3*(G3*L3*Q3*V3)*AG3*1.111),"")</f>
        <v>122.29164654563998</v>
      </c>
      <c r="AG3" s="54">
        <f>IFERROR(VLOOKUP($A3*1,'Base de donnee'!$A$1:$AX$245,31,FALSE),VLOOKUP($A3,'Base de donnee'!$A$1:$AX$245,31,FALSE))</f>
        <v>3.3748</v>
      </c>
      <c r="AH3" s="54" t="str">
        <f>IFERROR(VLOOKUP($A3*1,'Base de donnee'!$A$1:$AX$245,32,FALSE),VLOOKUP($A3,'Base de donnee'!$A$1:$AX$245,32,FALSE))</f>
        <v>-</v>
      </c>
      <c r="AI3" s="54" t="str">
        <f>IFERROR(VLOOKUP($A3*1,'Base de donnee'!$A$1:$AX$245,33,FALSE),VLOOKUP($A3,'Base de donnee'!$A$1:$AX$245,33,FALSE))</f>
        <v>-</v>
      </c>
      <c r="AJ3" s="81" t="str">
        <f t="shared" ref="AJ3:AJ9" si="7">IFERROR(B3*(G3*L3*Q3*V3)/AI3,"-")</f>
        <v>-</v>
      </c>
      <c r="AK3" s="54" t="str">
        <f>IFERROR(VLOOKUP($A3*1,'Base de donnee'!$A$1:$AX$245,35,FALSE),VLOOKUP($A3,'Base de donnee'!$A$1:$AX$245,35,FALSE))</f>
        <v>-</v>
      </c>
      <c r="AL3" s="54" t="str">
        <f>IFERROR(VLOOKUP($A3*1,'Base de donnee'!$A$1:$AX$245,36,FALSE),VLOOKUP($A3,'Base de donnee'!$A$1:$AX$245,36,FALSE))</f>
        <v>-</v>
      </c>
      <c r="AM3" s="54" t="str">
        <f>IFERROR(VLOOKUP($A3*1,'Base de donnee'!$A$1:$AX$245,37,FALSE),VLOOKUP($A3,'Base de donnee'!$A$1:$AX$245,37,FALSE))</f>
        <v>-</v>
      </c>
      <c r="AN3" s="81" t="str">
        <f t="shared" ref="AN3:AN9" si="8">IFERROR(B3*G3*L3*Q3*V3*AP3/AM3,"-")</f>
        <v>-</v>
      </c>
      <c r="AO3" s="54" t="str">
        <f>IFERROR(VLOOKUP($A3*1,'Base de donnee'!$A$1:$AX$245,39,FALSE),VLOOKUP($A3,'Base de donnee'!$A$1:$AX$245,39,FALSE))</f>
        <v>-</v>
      </c>
      <c r="AP3" s="54" t="str">
        <f>IFERROR(VLOOKUP($A3*1,'Base de donnee'!$A$1:$AX$245,40,FALSE),VLOOKUP($A3,'Base de donnee'!$A$1:$AX$245,40,FALSE))</f>
        <v>-</v>
      </c>
    </row>
    <row r="4" spans="1:42" x14ac:dyDescent="0.25">
      <c r="A4" s="29" t="s">
        <v>44</v>
      </c>
      <c r="B4">
        <v>489</v>
      </c>
      <c r="C4" s="84">
        <v>43148</v>
      </c>
      <c r="D4" s="84">
        <v>43124</v>
      </c>
      <c r="E4" s="54">
        <f>IFERROR(VLOOKUP($A4*1,'Base de donnee'!$A$1:$AX$245,2,FALSE),VLOOKUP($A4,'Base de donnee'!$A$1:$AX$245,2,FALSE))</f>
        <v>800</v>
      </c>
      <c r="F4" s="54">
        <f>IFERROR(VLOOKUP($A4*1,'Base de donnee'!$A$1:$AX$245,4,FALSE),VLOOKUP($A4,'Base de donnee'!$A$1:$AX$245,4,FALSE))</f>
        <v>1500</v>
      </c>
      <c r="G4" s="54">
        <f>IFERROR(VLOOKUP($A4*1,'Base de donnee'!$A$1:$AX$245,5,FALSE),VLOOKUP($A4,'Base de donnee'!$A$1:$AX$245,5,FALSE))</f>
        <v>6.6699999999999995E-2</v>
      </c>
      <c r="H4" s="81">
        <f t="shared" si="0"/>
        <v>0.32600000000000001</v>
      </c>
      <c r="I4" s="54">
        <f>IFERROR(VLOOKUP($A4*1,'Base de donnee'!$A$1:$AX$245,7,FALSE),VLOOKUP($A4,'Base de donnee'!$A$1:$AX$245,7,FALSE))</f>
        <v>0.25</v>
      </c>
      <c r="J4" s="54" t="str">
        <f>IFERROR(VLOOKUP($A4*1,'Base de donnee'!$A$1:$AX$245,8,FALSE),VLOOKUP($A4,'Base de donnee'!$A$1:$AX$245,8,FALSE))</f>
        <v>Produit 2'</v>
      </c>
      <c r="K4" s="54">
        <f>IFERROR(VLOOKUP($A4*1,'Base de donnee'!$A$1:$AX$245,9,FALSE),VLOOKUP($A4,'Base de donnee'!$A$1:$AX$245,9,FALSE))</f>
        <v>100</v>
      </c>
      <c r="L4" s="54">
        <f>IFERROR(VLOOKUP($A4*1,'Base de donnee'!$A$1:$AX$245,10,FALSE),VLOOKUP($A4,'Base de donnee'!$A$1:$AX$245,10,FALSE))</f>
        <v>1</v>
      </c>
      <c r="M4" s="82">
        <f t="shared" si="1"/>
        <v>0.32616299999999998</v>
      </c>
      <c r="N4" s="54">
        <f>IFERROR(VLOOKUP($A4*1,'Base de donnee'!$A$1:$AX$245,12,FALSE),VLOOKUP($A4,'Base de donnee'!$A$1:$AX$245,12,FALSE))</f>
        <v>0</v>
      </c>
      <c r="O4" s="54" t="str">
        <f>IFERROR(VLOOKUP($A4*1,'Base de donnee'!$A$1:$AX$245,13,FALSE),VLOOKUP($A4,'Base de donnee'!$A$1:$AX$245,13,FALSE))</f>
        <v>-</v>
      </c>
      <c r="P4" s="54" t="str">
        <f>IFERROR(VLOOKUP($A4*1,'Base de donnee'!$A$1:$AX$245,14,FALSE),VLOOKUP($A4,'Base de donnee'!$A$1:$AX$245,14,FALSE))</f>
        <v>-</v>
      </c>
      <c r="Q4" s="54">
        <f>IFERROR(VLOOKUP($A4*1,'Base de donnee'!$A$1:$AX$245,15,FALSE),VLOOKUP($A4,'Base de donnee'!$A$1:$AX$245,15,FALSE))</f>
        <v>1</v>
      </c>
      <c r="R4" s="82" t="str">
        <f t="shared" si="2"/>
        <v>-</v>
      </c>
      <c r="S4" s="54" t="str">
        <f>IFERROR(VLOOKUP($A4*1,'Base de donnee'!$A$1:$AX$245,17,FALSE),VLOOKUP($A4,'Base de donnee'!$A$1:$AX$245,17,FALSE))</f>
        <v>-</v>
      </c>
      <c r="T4" s="54" t="str">
        <f>IFERROR(VLOOKUP($A4*1,'Base de donnee'!$A$1:$AX$245,18,FALSE),VLOOKUP($A4,'Base de donnee'!$A$1:$AX$245,18,FALSE))</f>
        <v>-</v>
      </c>
      <c r="U4" s="54" t="str">
        <f>IFERROR(VLOOKUP($A4*1,'Base de donnee'!$A$1:$AX$245,19,FALSE),VLOOKUP($A4,'Base de donnee'!$A$1:$AX$245,19,FALSE))</f>
        <v>-</v>
      </c>
      <c r="V4" s="54">
        <f>IFERROR(VLOOKUP($A4*1,'Base de donnee'!$A$1:$AX$245,20,FALSE),VLOOKUP($A4,'Base de donnee'!$A$1:$AX$245,20,FALSE))</f>
        <v>1</v>
      </c>
      <c r="W4" s="81" t="str">
        <f t="shared" si="3"/>
        <v>-</v>
      </c>
      <c r="X4" s="54" t="str">
        <f>IFERROR(VLOOKUP($A4*1,'Base de donnee'!$A$1:$AX$245,22,FALSE),VLOOKUP($A4,'Base de donnee'!$A$1:$AX$245,22,FALSE))</f>
        <v>-</v>
      </c>
      <c r="Y4" s="54" t="str">
        <f>IFERROR(VLOOKUP($A4*1,'Base de donnee'!$A$1:$AX$245,23,FALSE),VLOOKUP($A4,'Base de donnee'!$A$1:$AX$245,23,FALSE))</f>
        <v>Produit L 2</v>
      </c>
      <c r="Z4" s="54">
        <f>IFERROR(VLOOKUP($A4*1,'Base de donnee'!$A$1:$AX$245,24,FALSE),VLOOKUP($A4,'Base de donnee'!$A$1:$AX$245,24,FALSE))</f>
        <v>365</v>
      </c>
      <c r="AA4" s="81">
        <f t="shared" si="4"/>
        <v>8.9359726027397252E-2</v>
      </c>
      <c r="AB4" s="54">
        <f>IFERROR(VLOOKUP($A4*1,'Base de donnee'!$A$1:$AX$245,26,FALSE),VLOOKUP($A4,'Base de donnee'!$A$1:$AX$245,26,FALSE))</f>
        <v>0.38</v>
      </c>
      <c r="AC4" s="54" t="str">
        <f>IFERROR(VLOOKUP($A4*1,'Base de donnee'!$A$1:$AX$245,27,FALSE),VLOOKUP($A4,'Base de donnee'!$A$1:$AX$245,27,FALSE))</f>
        <v>Produit R 2</v>
      </c>
      <c r="AD4" s="54">
        <f>IFERROR(VLOOKUP($A4*1,'Base de donnee'!$A$1:$AX$245,28,FALSE),VLOOKUP($A4,'Base de donnee'!$A$1:$AX$245,28,FALSE))</f>
        <v>320</v>
      </c>
      <c r="AE4" s="81">
        <f t="shared" si="5"/>
        <v>0.34397965387499996</v>
      </c>
      <c r="AF4" s="81">
        <f t="shared" si="6"/>
        <v>122.29164654563998</v>
      </c>
      <c r="AG4" s="54">
        <f>IFERROR(VLOOKUP($A4*1,'Base de donnee'!$A$1:$AX$245,31,FALSE),VLOOKUP($A4,'Base de donnee'!$A$1:$AX$245,31,FALSE))</f>
        <v>3.3748</v>
      </c>
      <c r="AH4" s="54" t="str">
        <f>IFERROR(VLOOKUP($A4*1,'Base de donnee'!$A$1:$AX$245,32,FALSE),VLOOKUP($A4,'Base de donnee'!$A$1:$AX$245,32,FALSE))</f>
        <v>-</v>
      </c>
      <c r="AI4" s="54" t="str">
        <f>IFERROR(VLOOKUP($A4*1,'Base de donnee'!$A$1:$AX$245,33,FALSE),VLOOKUP($A4,'Base de donnee'!$A$1:$AX$245,33,FALSE))</f>
        <v>-</v>
      </c>
      <c r="AJ4" s="81" t="str">
        <f t="shared" si="7"/>
        <v>-</v>
      </c>
      <c r="AK4" s="54" t="str">
        <f>IFERROR(VLOOKUP($A4*1,'Base de donnee'!$A$1:$AX$245,35,FALSE),VLOOKUP($A4,'Base de donnee'!$A$1:$AX$245,35,FALSE))</f>
        <v>-</v>
      </c>
      <c r="AL4" s="54" t="str">
        <f>IFERROR(VLOOKUP($A4*1,'Base de donnee'!$A$1:$AX$245,36,FALSE),VLOOKUP($A4,'Base de donnee'!$A$1:$AX$245,36,FALSE))</f>
        <v>-</v>
      </c>
      <c r="AM4" s="54" t="str">
        <f>IFERROR(VLOOKUP($A4*1,'Base de donnee'!$A$1:$AX$245,37,FALSE),VLOOKUP($A4,'Base de donnee'!$A$1:$AX$245,37,FALSE))</f>
        <v>-</v>
      </c>
      <c r="AN4" s="81" t="str">
        <f t="shared" si="8"/>
        <v>-</v>
      </c>
      <c r="AO4" s="54" t="str">
        <f>IFERROR(VLOOKUP($A4*1,'Base de donnee'!$A$1:$AX$245,39,FALSE),VLOOKUP($A4,'Base de donnee'!$A$1:$AX$245,39,FALSE))</f>
        <v>-</v>
      </c>
      <c r="AP4" s="54" t="str">
        <f>IFERROR(VLOOKUP($A4*1,'Base de donnee'!$A$1:$AX$245,40,FALSE),VLOOKUP($A4,'Base de donnee'!$A$1:$AX$245,40,FALSE))</f>
        <v>-</v>
      </c>
    </row>
    <row r="5" spans="1:42" x14ac:dyDescent="0.25">
      <c r="A5" s="29" t="s">
        <v>52</v>
      </c>
      <c r="B5">
        <v>16846</v>
      </c>
      <c r="C5" s="84">
        <v>43149</v>
      </c>
      <c r="D5" s="84">
        <v>43125</v>
      </c>
      <c r="E5" s="54">
        <f>IFERROR(VLOOKUP($A5*1,'Base de donnee'!$A$1:$AX$245,2,FALSE),VLOOKUP($A5,'Base de donnee'!$A$1:$AX$245,2,FALSE))</f>
        <v>200</v>
      </c>
      <c r="F5" s="54">
        <f>IFERROR(VLOOKUP($A5*1,'Base de donnee'!$A$1:$AX$245,4,FALSE),VLOOKUP($A5,'Base de donnee'!$A$1:$AX$245,4,FALSE))</f>
        <v>960</v>
      </c>
      <c r="G5" s="54">
        <f>IFERROR(VLOOKUP($A5*1,'Base de donnee'!$A$1:$AX$245,5,FALSE),VLOOKUP($A5,'Base de donnee'!$A$1:$AX$245,5,FALSE))</f>
        <v>0.125</v>
      </c>
      <c r="H5" s="81">
        <f t="shared" si="0"/>
        <v>17.547916666666666</v>
      </c>
      <c r="I5" s="54">
        <f>IFERROR(VLOOKUP($A5*1,'Base de donnee'!$A$1:$AX$245,7,FALSE),VLOOKUP($A5,'Base de donnee'!$A$1:$AX$245,7,FALSE))</f>
        <v>0.5</v>
      </c>
      <c r="J5" s="54" t="str">
        <f>IFERROR(VLOOKUP($A5*1,'Base de donnee'!$A$1:$AX$245,8,FALSE),VLOOKUP($A5,'Base de donnee'!$A$1:$AX$245,8,FALSE))</f>
        <v>Produit 3'</v>
      </c>
      <c r="K5" s="54">
        <f>IFERROR(VLOOKUP($A5*1,'Base de donnee'!$A$1:$AX$245,9,FALSE),VLOOKUP($A5,'Base de donnee'!$A$1:$AX$245,9,FALSE))</f>
        <v>240</v>
      </c>
      <c r="L5" s="54">
        <f>IFERROR(VLOOKUP($A5*1,'Base de donnee'!$A$1:$AX$245,10,FALSE),VLOOKUP($A5,'Base de donnee'!$A$1:$AX$245,10,FALSE))</f>
        <v>0.5</v>
      </c>
      <c r="M5" s="82">
        <f t="shared" si="1"/>
        <v>8.7739583333333329</v>
      </c>
      <c r="N5" s="54">
        <f>IFERROR(VLOOKUP($A5*1,'Base de donnee'!$A$1:$AX$245,12,FALSE),VLOOKUP($A5,'Base de donnee'!$A$1:$AX$245,12,FALSE))</f>
        <v>0.25</v>
      </c>
      <c r="O5" s="54" t="str">
        <f>IFERROR(VLOOKUP($A5*1,'Base de donnee'!$A$1:$AX$245,13,FALSE),VLOOKUP($A5,'Base de donnee'!$A$1:$AX$245,13,FALSE))</f>
        <v>Produit 3''</v>
      </c>
      <c r="P5" s="54">
        <f>IFERROR(VLOOKUP($A5*1,'Base de donnee'!$A$1:$AX$245,14,FALSE),VLOOKUP($A5,'Base de donnee'!$A$1:$AX$245,14,FALSE))</f>
        <v>100</v>
      </c>
      <c r="Q5" s="54">
        <f>IFERROR(VLOOKUP($A5*1,'Base de donnee'!$A$1:$AX$245,15,FALSE),VLOOKUP($A5,'Base de donnee'!$A$1:$AX$245,15,FALSE))</f>
        <v>1</v>
      </c>
      <c r="R5" s="82">
        <f t="shared" si="2"/>
        <v>10.52875</v>
      </c>
      <c r="S5" s="54">
        <f>IFERROR(VLOOKUP($A5*1,'Base de donnee'!$A$1:$AX$245,17,FALSE),VLOOKUP($A5,'Base de donnee'!$A$1:$AX$245,17,FALSE))</f>
        <v>0.25</v>
      </c>
      <c r="T5" s="54" t="str">
        <f>IFERROR(VLOOKUP($A5*1,'Base de donnee'!$A$1:$AX$245,18,FALSE),VLOOKUP($A5,'Base de donnee'!$A$1:$AX$245,18,FALSE))</f>
        <v>-</v>
      </c>
      <c r="U5" s="54" t="str">
        <f>IFERROR(VLOOKUP($A5*1,'Base de donnee'!$A$1:$AX$245,19,FALSE),VLOOKUP($A5,'Base de donnee'!$A$1:$AX$245,19,FALSE))</f>
        <v>-</v>
      </c>
      <c r="V5" s="54">
        <f>IFERROR(VLOOKUP($A5*1,'Base de donnee'!$A$1:$AX$245,20,FALSE),VLOOKUP($A5,'Base de donnee'!$A$1:$AX$245,20,FALSE))</f>
        <v>1</v>
      </c>
      <c r="W5" s="81" t="str">
        <f t="shared" si="3"/>
        <v>-</v>
      </c>
      <c r="X5" s="54" t="str">
        <f>IFERROR(VLOOKUP($A5*1,'Base de donnee'!$A$1:$AX$245,22,FALSE),VLOOKUP($A5,'Base de donnee'!$A$1:$AX$245,22,FALSE))</f>
        <v>-</v>
      </c>
      <c r="Y5" s="54" t="str">
        <f>IFERROR(VLOOKUP($A5*1,'Base de donnee'!$A$1:$AX$245,23,FALSE),VLOOKUP($A5,'Base de donnee'!$A$1:$AX$245,23,FALSE))</f>
        <v>Produit L 3</v>
      </c>
      <c r="Z5" s="54">
        <f>IFERROR(VLOOKUP($A5*1,'Base de donnee'!$A$1:$AX$245,24,FALSE),VLOOKUP($A5,'Base de donnee'!$A$1:$AX$245,24,FALSE))</f>
        <v>1022</v>
      </c>
      <c r="AA5" s="81">
        <f t="shared" si="4"/>
        <v>1.0302103718199609</v>
      </c>
      <c r="AB5" s="54">
        <f>IFERROR(VLOOKUP($A5*1,'Base de donnee'!$A$1:$AX$245,26,FALSE),VLOOKUP($A5,'Base de donnee'!$A$1:$AX$245,26,FALSE))</f>
        <v>0.38</v>
      </c>
      <c r="AC5" s="54" t="str">
        <f>IFERROR(VLOOKUP($A5*1,'Base de donnee'!$A$1:$AX$245,27,FALSE),VLOOKUP($A5,'Base de donnee'!$A$1:$AX$245,27,FALSE))</f>
        <v>Produit R 3</v>
      </c>
      <c r="AD5" s="54">
        <f>IFERROR(VLOOKUP($A5*1,'Base de donnee'!$A$1:$AX$245,28,FALSE),VLOOKUP($A5,'Base de donnee'!$A$1:$AX$245,28,FALSE))</f>
        <v>221</v>
      </c>
      <c r="AE5" s="81">
        <f t="shared" si="5"/>
        <v>1.7803592194570135</v>
      </c>
      <c r="AF5" s="81">
        <f t="shared" si="6"/>
        <v>437.13337951249997</v>
      </c>
      <c r="AG5" s="54">
        <f>IFERROR(VLOOKUP($A5*1,'Base de donnee'!$A$1:$AX$245,31,FALSE),VLOOKUP($A5,'Base de donnee'!$A$1:$AX$245,31,FALSE))</f>
        <v>0.37369999999999998</v>
      </c>
      <c r="AH5" s="54" t="str">
        <f>IFERROR(VLOOKUP($A5*1,'Base de donnee'!$A$1:$AX$245,32,FALSE),VLOOKUP($A5,'Base de donnee'!$A$1:$AX$245,32,FALSE))</f>
        <v>Produit L 3 '</v>
      </c>
      <c r="AI5" s="54">
        <f>IFERROR(VLOOKUP($A5*1,'Base de donnee'!$A$1:$AX$245,33,FALSE),VLOOKUP($A5,'Base de donnee'!$A$1:$AX$245,33,FALSE))</f>
        <v>699</v>
      </c>
      <c r="AJ5" s="81">
        <f t="shared" si="7"/>
        <v>1.5062589413447782</v>
      </c>
      <c r="AK5" s="54">
        <f>IFERROR(VLOOKUP($A5*1,'Base de donnee'!$A$1:$AX$245,35,FALSE),VLOOKUP($A5,'Base de donnee'!$A$1:$AX$245,35,FALSE))</f>
        <v>0.38</v>
      </c>
      <c r="AL5" s="54" t="str">
        <f>IFERROR(VLOOKUP($A5*1,'Base de donnee'!$A$1:$AX$245,36,FALSE),VLOOKUP($A5,'Base de donnee'!$A$1:$AX$245,36,FALSE))</f>
        <v>Produit R 3'</v>
      </c>
      <c r="AM5" s="54">
        <f>IFERROR(VLOOKUP($A5*1,'Base de donnee'!$A$1:$AX$245,37,FALSE),VLOOKUP($A5,'Base de donnee'!$A$1:$AX$245,37,FALSE))</f>
        <v>534</v>
      </c>
      <c r="AN5" s="81">
        <f t="shared" si="8"/>
        <v>4.6793787219101119</v>
      </c>
      <c r="AO5" s="54">
        <f>IFERROR(VLOOKUP($A5*1,'Base de donnee'!$A$1:$AX$245,39,FALSE),VLOOKUP($A5,'Base de donnee'!$A$1:$AX$245,39,FALSE))</f>
        <v>105.469452</v>
      </c>
      <c r="AP5" s="54">
        <f>IFERROR(VLOOKUP($A5*1,'Base de donnee'!$A$1:$AX$245,40,FALSE),VLOOKUP($A5,'Base de donnee'!$A$1:$AX$245,40,FALSE))</f>
        <v>2.3733</v>
      </c>
    </row>
    <row r="6" spans="1:42" x14ac:dyDescent="0.25">
      <c r="A6" s="29" t="s">
        <v>53</v>
      </c>
      <c r="B6">
        <v>800</v>
      </c>
      <c r="C6" s="84">
        <v>43150</v>
      </c>
      <c r="D6" s="84">
        <v>43126</v>
      </c>
      <c r="E6" s="54">
        <f>IFERROR(VLOOKUP($A6*1,'Base de donnee'!$A$1:$AX$245,2,FALSE),VLOOKUP($A6,'Base de donnee'!$A$1:$AX$245,2,FALSE))</f>
        <v>20</v>
      </c>
      <c r="F6" s="54">
        <f>IFERROR(VLOOKUP($A6*1,'Base de donnee'!$A$1:$AX$245,4,FALSE),VLOOKUP($A6,'Base de donnee'!$A$1:$AX$245,4,FALSE))</f>
        <v>255.32</v>
      </c>
      <c r="G6" s="54">
        <f>IFERROR(VLOOKUP($A6*1,'Base de donnee'!$A$1:$AX$245,5,FALSE),VLOOKUP($A6,'Base de donnee'!$A$1:$AX$245,5,FALSE))</f>
        <v>1</v>
      </c>
      <c r="H6" s="81">
        <f t="shared" si="0"/>
        <v>3.1333228889237037</v>
      </c>
      <c r="I6" s="54">
        <f>IFERROR(VLOOKUP($A6*1,'Base de donnee'!$A$1:$AX$245,7,FALSE),VLOOKUP($A6,'Base de donnee'!$A$1:$AX$245,7,FALSE))</f>
        <v>0.38</v>
      </c>
      <c r="J6" s="54" t="str">
        <f>IFERROR(VLOOKUP($A6*1,'Base de donnee'!$A$1:$AX$245,8,FALSE),VLOOKUP($A6,'Base de donnee'!$A$1:$AX$245,8,FALSE))</f>
        <v>-</v>
      </c>
      <c r="K6" s="54" t="str">
        <f>IFERROR(VLOOKUP($A6*1,'Base de donnee'!$A$1:$AX$245,9,FALSE),VLOOKUP($A6,'Base de donnee'!$A$1:$AX$245,9,FALSE))</f>
        <v>-</v>
      </c>
      <c r="L6" s="54">
        <f>IFERROR(VLOOKUP($A6*1,'Base de donnee'!$A$1:$AX$245,10,FALSE),VLOOKUP($A6,'Base de donnee'!$A$1:$AX$245,10,FALSE))</f>
        <v>1</v>
      </c>
      <c r="M6" s="82" t="str">
        <f t="shared" si="1"/>
        <v>-</v>
      </c>
      <c r="N6" s="54" t="str">
        <f>IFERROR(VLOOKUP($A6*1,'Base de donnee'!$A$1:$AX$245,12,FALSE),VLOOKUP($A6,'Base de donnee'!$A$1:$AX$245,12,FALSE))</f>
        <v>-</v>
      </c>
      <c r="O6" s="54" t="str">
        <f>IFERROR(VLOOKUP($A6*1,'Base de donnee'!$A$1:$AX$245,13,FALSE),VLOOKUP($A6,'Base de donnee'!$A$1:$AX$245,13,FALSE))</f>
        <v>-</v>
      </c>
      <c r="P6" s="54" t="str">
        <f>IFERROR(VLOOKUP($A6*1,'Base de donnee'!$A$1:$AX$245,14,FALSE),VLOOKUP($A6,'Base de donnee'!$A$1:$AX$245,14,FALSE))</f>
        <v>-</v>
      </c>
      <c r="Q6" s="54">
        <f>IFERROR(VLOOKUP($A6*1,'Base de donnee'!$A$1:$AX$245,15,FALSE),VLOOKUP($A6,'Base de donnee'!$A$1:$AX$245,15,FALSE))</f>
        <v>1</v>
      </c>
      <c r="R6" s="82" t="str">
        <f t="shared" si="2"/>
        <v>-</v>
      </c>
      <c r="S6" s="54" t="str">
        <f>IFERROR(VLOOKUP($A6*1,'Base de donnee'!$A$1:$AX$245,17,FALSE),VLOOKUP($A6,'Base de donnee'!$A$1:$AX$245,17,FALSE))</f>
        <v>-</v>
      </c>
      <c r="T6" s="54" t="str">
        <f>IFERROR(VLOOKUP($A6*1,'Base de donnee'!$A$1:$AX$245,18,FALSE),VLOOKUP($A6,'Base de donnee'!$A$1:$AX$245,18,FALSE))</f>
        <v>-</v>
      </c>
      <c r="U6" s="54" t="str">
        <f>IFERROR(VLOOKUP($A6*1,'Base de donnee'!$A$1:$AX$245,19,FALSE),VLOOKUP($A6,'Base de donnee'!$A$1:$AX$245,19,FALSE))</f>
        <v>-</v>
      </c>
      <c r="V6" s="54">
        <f>IFERROR(VLOOKUP($A6*1,'Base de donnee'!$A$1:$AX$245,20,FALSE),VLOOKUP($A6,'Base de donnee'!$A$1:$AX$245,20,FALSE))</f>
        <v>1</v>
      </c>
      <c r="W6" s="81" t="str">
        <f t="shared" si="3"/>
        <v>-</v>
      </c>
      <c r="X6" s="54" t="str">
        <f>IFERROR(VLOOKUP($A6*1,'Base de donnee'!$A$1:$AX$245,22,FALSE),VLOOKUP($A6,'Base de donnee'!$A$1:$AX$245,22,FALSE))</f>
        <v>-</v>
      </c>
      <c r="Y6" s="54" t="str">
        <f>IFERROR(VLOOKUP($A6*1,'Base de donnee'!$A$1:$AX$245,23,FALSE),VLOOKUP($A6,'Base de donnee'!$A$1:$AX$245,23,FALSE))</f>
        <v>-</v>
      </c>
      <c r="Z6" s="54" t="str">
        <f>IFERROR(VLOOKUP($A6*1,'Base de donnee'!$A$1:$AX$245,24,FALSE),VLOOKUP($A6,'Base de donnee'!$A$1:$AX$245,24,FALSE))</f>
        <v>-</v>
      </c>
      <c r="AA6" s="81" t="str">
        <f t="shared" si="4"/>
        <v>-</v>
      </c>
      <c r="AB6" s="54" t="str">
        <f>IFERROR(VLOOKUP($A6*1,'Base de donnee'!$A$1:$AX$245,26,FALSE),VLOOKUP($A6,'Base de donnee'!$A$1:$AX$245,26,FALSE))</f>
        <v>-</v>
      </c>
      <c r="AC6" s="54" t="str">
        <f>IFERROR(VLOOKUP($A6*1,'Base de donnee'!$A$1:$AX$245,27,FALSE),VLOOKUP($A6,'Base de donnee'!$A$1:$AX$245,27,FALSE))</f>
        <v>Produit R 4</v>
      </c>
      <c r="AD6" s="54">
        <f>IFERROR(VLOOKUP($A6*1,'Base de donnee'!$A$1:$AX$245,28,FALSE),VLOOKUP($A6,'Base de donnee'!$A$1:$AX$245,28,FALSE))</f>
        <v>645</v>
      </c>
      <c r="AE6" s="81">
        <f t="shared" si="5"/>
        <v>6.2888682170542642</v>
      </c>
      <c r="AF6" s="81">
        <f t="shared" si="6"/>
        <v>4506.5715200000004</v>
      </c>
      <c r="AG6" s="54">
        <f>IFERROR(VLOOKUP($A6*1,'Base de donnee'!$A$1:$AX$245,31,FALSE),VLOOKUP($A6,'Base de donnee'!$A$1:$AX$245,31,FALSE))</f>
        <v>5.0704000000000002</v>
      </c>
      <c r="AH6" s="54" t="str">
        <f>IFERROR(VLOOKUP($A6*1,'Base de donnee'!$A$1:$AX$245,32,FALSE),VLOOKUP($A6,'Base de donnee'!$A$1:$AX$245,32,FALSE))</f>
        <v>-</v>
      </c>
      <c r="AI6" s="54" t="str">
        <f>IFERROR(VLOOKUP($A6*1,'Base de donnee'!$A$1:$AX$245,33,FALSE),VLOOKUP($A6,'Base de donnee'!$A$1:$AX$245,33,FALSE))</f>
        <v>-</v>
      </c>
      <c r="AJ6" s="81" t="str">
        <f t="shared" si="7"/>
        <v>-</v>
      </c>
      <c r="AK6" s="54" t="str">
        <f>IFERROR(VLOOKUP($A6*1,'Base de donnee'!$A$1:$AX$245,35,FALSE),VLOOKUP($A6,'Base de donnee'!$A$1:$AX$245,35,FALSE))</f>
        <v>-</v>
      </c>
      <c r="AL6" s="54" t="str">
        <f>IFERROR(VLOOKUP($A6*1,'Base de donnee'!$A$1:$AX$245,36,FALSE),VLOOKUP($A6,'Base de donnee'!$A$1:$AX$245,36,FALSE))</f>
        <v>-</v>
      </c>
      <c r="AM6" s="54" t="str">
        <f>IFERROR(VLOOKUP($A6*1,'Base de donnee'!$A$1:$AX$245,37,FALSE),VLOOKUP($A6,'Base de donnee'!$A$1:$AX$245,37,FALSE))</f>
        <v>-</v>
      </c>
      <c r="AN6" s="81" t="str">
        <f t="shared" si="8"/>
        <v>-</v>
      </c>
      <c r="AO6" s="54" t="str">
        <f>IFERROR(VLOOKUP($A6*1,'Base de donnee'!$A$1:$AX$245,39,FALSE),VLOOKUP($A6,'Base de donnee'!$A$1:$AX$245,39,FALSE))</f>
        <v>-</v>
      </c>
      <c r="AP6" s="54" t="str">
        <f>IFERROR(VLOOKUP($A6*1,'Base de donnee'!$A$1:$AX$245,40,FALSE),VLOOKUP($A6,'Base de donnee'!$A$1:$AX$245,40,FALSE))</f>
        <v>-</v>
      </c>
    </row>
    <row r="7" spans="1:42" x14ac:dyDescent="0.25">
      <c r="A7" s="29" t="s">
        <v>54</v>
      </c>
      <c r="B7">
        <v>100</v>
      </c>
      <c r="C7" s="84">
        <v>43151</v>
      </c>
      <c r="D7" s="84">
        <v>43127</v>
      </c>
      <c r="E7" s="54">
        <f>IFERROR(VLOOKUP($A7*1,'Base de donnee'!$A$1:$AX$245,2,FALSE),VLOOKUP($A7,'Base de donnee'!$A$1:$AX$245,2,FALSE))</f>
        <v>15</v>
      </c>
      <c r="F7" s="54">
        <f>IFERROR(VLOOKUP($A7*1,'Base de donnee'!$A$1:$AX$245,4,FALSE),VLOOKUP($A7,'Base de donnee'!$A$1:$AX$245,4,FALSE))</f>
        <v>120</v>
      </c>
      <c r="G7" s="54">
        <f>IFERROR(VLOOKUP($A7*1,'Base de donnee'!$A$1:$AX$245,5,FALSE),VLOOKUP($A7,'Base de donnee'!$A$1:$AX$245,5,FALSE))</f>
        <v>3</v>
      </c>
      <c r="H7" s="81">
        <f t="shared" si="0"/>
        <v>0.83333333333333337</v>
      </c>
      <c r="I7" s="54">
        <f>IFERROR(VLOOKUP($A7*1,'Base de donnee'!$A$1:$AX$245,7,FALSE),VLOOKUP($A7,'Base de donnee'!$A$1:$AX$245,7,FALSE))</f>
        <v>0</v>
      </c>
      <c r="J7" s="54" t="str">
        <f>IFERROR(VLOOKUP($A7*1,'Base de donnee'!$A$1:$AX$245,8,FALSE),VLOOKUP($A7,'Base de donnee'!$A$1:$AX$245,8,FALSE))</f>
        <v>Produit 5'</v>
      </c>
      <c r="K7" s="54">
        <f>IFERROR(VLOOKUP($A7*1,'Base de donnee'!$A$1:$AX$245,9,FALSE),VLOOKUP($A7,'Base de donnee'!$A$1:$AX$245,9,FALSE))</f>
        <v>1200</v>
      </c>
      <c r="L7" s="54">
        <f>IFERROR(VLOOKUP($A7*1,'Base de donnee'!$A$1:$AX$245,10,FALSE),VLOOKUP($A7,'Base de donnee'!$A$1:$AX$245,10,FALSE))</f>
        <v>0.125</v>
      </c>
      <c r="M7" s="82">
        <f t="shared" si="1"/>
        <v>0.25</v>
      </c>
      <c r="N7" s="54">
        <f>IFERROR(VLOOKUP($A7*1,'Base de donnee'!$A$1:$AX$245,12,FALSE),VLOOKUP($A7,'Base de donnee'!$A$1:$AX$245,12,FALSE))</f>
        <v>0.5</v>
      </c>
      <c r="O7" s="54" t="str">
        <f>IFERROR(VLOOKUP($A7*1,'Base de donnee'!$A$1:$AX$245,13,FALSE),VLOOKUP($A7,'Base de donnee'!$A$1:$AX$245,13,FALSE))</f>
        <v>-</v>
      </c>
      <c r="P7" s="54" t="str">
        <f>IFERROR(VLOOKUP($A7*1,'Base de donnee'!$A$1:$AX$245,14,FALSE),VLOOKUP($A7,'Base de donnee'!$A$1:$AX$245,14,FALSE))</f>
        <v>-</v>
      </c>
      <c r="Q7" s="54">
        <f>IFERROR(VLOOKUP($A7*1,'Base de donnee'!$A$1:$AX$245,15,FALSE),VLOOKUP($A7,'Base de donnee'!$A$1:$AX$245,15,FALSE))</f>
        <v>1</v>
      </c>
      <c r="R7" s="82" t="str">
        <f t="shared" si="2"/>
        <v>-</v>
      </c>
      <c r="S7" s="54" t="str">
        <f>IFERROR(VLOOKUP($A7*1,'Base de donnee'!$A$1:$AX$245,17,FALSE),VLOOKUP($A7,'Base de donnee'!$A$1:$AX$245,17,FALSE))</f>
        <v>-</v>
      </c>
      <c r="T7" s="54" t="str">
        <f>IFERROR(VLOOKUP($A7*1,'Base de donnee'!$A$1:$AX$245,18,FALSE),VLOOKUP($A7,'Base de donnee'!$A$1:$AX$245,18,FALSE))</f>
        <v>-</v>
      </c>
      <c r="U7" s="54" t="str">
        <f>IFERROR(VLOOKUP($A7*1,'Base de donnee'!$A$1:$AX$245,19,FALSE),VLOOKUP($A7,'Base de donnee'!$A$1:$AX$245,19,FALSE))</f>
        <v>-</v>
      </c>
      <c r="V7" s="54">
        <f>IFERROR(VLOOKUP($A7*1,'Base de donnee'!$A$1:$AX$245,20,FALSE),VLOOKUP($A7,'Base de donnee'!$A$1:$AX$245,20,FALSE))</f>
        <v>1</v>
      </c>
      <c r="W7" s="81" t="str">
        <f t="shared" si="3"/>
        <v>-</v>
      </c>
      <c r="X7" s="54" t="str">
        <f>IFERROR(VLOOKUP($A7*1,'Base de donnee'!$A$1:$AX$245,22,FALSE),VLOOKUP($A7,'Base de donnee'!$A$1:$AX$245,22,FALSE))</f>
        <v>-</v>
      </c>
      <c r="Y7" s="54" t="str">
        <f>IFERROR(VLOOKUP($A7*1,'Base de donnee'!$A$1:$AX$245,23,FALSE),VLOOKUP($A7,'Base de donnee'!$A$1:$AX$245,23,FALSE))</f>
        <v>Produit L 5</v>
      </c>
      <c r="Z7" s="54">
        <f>IFERROR(VLOOKUP($A7*1,'Base de donnee'!$A$1:$AX$245,24,FALSE),VLOOKUP($A7,'Base de donnee'!$A$1:$AX$245,24,FALSE))</f>
        <v>974.57627000000002</v>
      </c>
      <c r="AA7" s="81">
        <f t="shared" si="4"/>
        <v>0.2052173915541777</v>
      </c>
      <c r="AB7" s="54">
        <f>IFERROR(VLOOKUP($A7*1,'Base de donnee'!$A$1:$AX$245,26,FALSE),VLOOKUP($A7,'Base de donnee'!$A$1:$AX$245,26,FALSE))</f>
        <v>0.38</v>
      </c>
      <c r="AC7" s="54" t="str">
        <f>IFERROR(VLOOKUP($A7*1,'Base de donnee'!$A$1:$AX$245,27,FALSE),VLOOKUP($A7,'Base de donnee'!$A$1:$AX$245,27,FALSE))</f>
        <v>Produit R 5</v>
      </c>
      <c r="AD7" s="54">
        <f>IFERROR(VLOOKUP($A7*1,'Base de donnee'!$A$1:$AX$245,28,FALSE),VLOOKUP($A7,'Base de donnee'!$A$1:$AX$245,28,FALSE))</f>
        <v>417</v>
      </c>
      <c r="AE7" s="81">
        <f t="shared" si="5"/>
        <v>0.3537170263788969</v>
      </c>
      <c r="AF7" s="81">
        <f t="shared" si="6"/>
        <v>163.8725</v>
      </c>
      <c r="AG7" s="54">
        <f>IFERROR(VLOOKUP($A7*1,'Base de donnee'!$A$1:$AX$245,31,FALSE),VLOOKUP($A7,'Base de donnee'!$A$1:$AX$245,31,FALSE))</f>
        <v>0.73750000000000004</v>
      </c>
      <c r="AH7" s="54" t="str">
        <f>IFERROR(VLOOKUP($A7*1,'Base de donnee'!$A$1:$AX$245,32,FALSE),VLOOKUP($A7,'Base de donnee'!$A$1:$AX$245,32,FALSE))</f>
        <v>Produit L 5 '</v>
      </c>
      <c r="AI7" s="54">
        <f>IFERROR(VLOOKUP($A7*1,'Base de donnee'!$A$1:$AX$245,33,FALSE),VLOOKUP($A7,'Base de donnee'!$A$1:$AX$245,33,FALSE))</f>
        <v>635.59</v>
      </c>
      <c r="AJ7" s="81">
        <f t="shared" si="7"/>
        <v>5.9000298934847935E-2</v>
      </c>
      <c r="AK7" s="54">
        <f>IFERROR(VLOOKUP($A7*1,'Base de donnee'!$A$1:$AX$245,35,FALSE),VLOOKUP($A7,'Base de donnee'!$A$1:$AX$245,35,FALSE))</f>
        <v>0.38</v>
      </c>
      <c r="AL7" s="54" t="str">
        <f>IFERROR(VLOOKUP($A7*1,'Base de donnee'!$A$1:$AX$245,36,FALSE),VLOOKUP($A7,'Base de donnee'!$A$1:$AX$245,36,FALSE))</f>
        <v>Produit R 5'</v>
      </c>
      <c r="AM7" s="54">
        <f>IFERROR(VLOOKUP($A7*1,'Base de donnee'!$A$1:$AX$245,37,FALSE),VLOOKUP($A7,'Base de donnee'!$A$1:$AX$245,37,FALSE))</f>
        <v>522</v>
      </c>
      <c r="AN7" s="81">
        <f t="shared" si="8"/>
        <v>0.18910201149425285</v>
      </c>
      <c r="AO7" s="54">
        <f>IFERROR(VLOOKUP($A7*1,'Base de donnee'!$A$1:$AX$245,39,FALSE),VLOOKUP($A7,'Base de donnee'!$A$1:$AX$245,39,FALSE))</f>
        <v>842.25176639999995</v>
      </c>
      <c r="AP7" s="54">
        <f>IFERROR(VLOOKUP($A7*1,'Base de donnee'!$A$1:$AX$245,40,FALSE),VLOOKUP($A7,'Base de donnee'!$A$1:$AX$245,40,FALSE))</f>
        <v>2.6322999999999999</v>
      </c>
    </row>
    <row r="8" spans="1:42" x14ac:dyDescent="0.25">
      <c r="A8" s="29" t="s">
        <v>54</v>
      </c>
      <c r="B8">
        <v>900</v>
      </c>
      <c r="C8" s="84">
        <v>43179</v>
      </c>
      <c r="D8" s="84">
        <v>43129</v>
      </c>
      <c r="E8" s="54">
        <f>IFERROR(VLOOKUP($A8*1,'Base de donnee'!$A$1:$AX$245,2,FALSE),VLOOKUP($A8,'Base de donnee'!$A$1:$AX$245,2,FALSE))</f>
        <v>15</v>
      </c>
      <c r="F8" s="54">
        <f>IFERROR(VLOOKUP($A8*1,'Base de donnee'!$A$1:$AX$245,4,FALSE),VLOOKUP($A8,'Base de donnee'!$A$1:$AX$245,4,FALSE))</f>
        <v>120</v>
      </c>
      <c r="G8" s="54">
        <f>IFERROR(VLOOKUP($A8*1,'Base de donnee'!$A$1:$AX$245,5,FALSE),VLOOKUP($A8,'Base de donnee'!$A$1:$AX$245,5,FALSE))</f>
        <v>3</v>
      </c>
      <c r="H8" s="81">
        <f t="shared" si="0"/>
        <v>7.5</v>
      </c>
      <c r="I8" s="54">
        <f>IFERROR(VLOOKUP($A8*1,'Base de donnee'!$A$1:$AX$245,7,FALSE),VLOOKUP($A8,'Base de donnee'!$A$1:$AX$245,7,FALSE))</f>
        <v>0</v>
      </c>
      <c r="J8" s="54" t="str">
        <f>IFERROR(VLOOKUP($A8*1,'Base de donnee'!$A$1:$AX$245,8,FALSE),VLOOKUP($A8,'Base de donnee'!$A$1:$AX$245,8,FALSE))</f>
        <v>Produit 5'</v>
      </c>
      <c r="K8" s="54">
        <f>IFERROR(VLOOKUP($A8*1,'Base de donnee'!$A$1:$AX$245,9,FALSE),VLOOKUP($A8,'Base de donnee'!$A$1:$AX$245,9,FALSE))</f>
        <v>1200</v>
      </c>
      <c r="L8" s="54">
        <f>IFERROR(VLOOKUP($A8*1,'Base de donnee'!$A$1:$AX$245,10,FALSE),VLOOKUP($A8,'Base de donnee'!$A$1:$AX$245,10,FALSE))</f>
        <v>0.125</v>
      </c>
      <c r="M8" s="82">
        <f t="shared" si="1"/>
        <v>2.25</v>
      </c>
      <c r="N8" s="54">
        <f>IFERROR(VLOOKUP($A8*1,'Base de donnee'!$A$1:$AX$245,12,FALSE),VLOOKUP($A8,'Base de donnee'!$A$1:$AX$245,12,FALSE))</f>
        <v>0.5</v>
      </c>
      <c r="O8" s="54" t="str">
        <f>IFERROR(VLOOKUP($A8*1,'Base de donnee'!$A$1:$AX$245,13,FALSE),VLOOKUP($A8,'Base de donnee'!$A$1:$AX$245,13,FALSE))</f>
        <v>-</v>
      </c>
      <c r="P8" s="54" t="str">
        <f>IFERROR(VLOOKUP($A8*1,'Base de donnee'!$A$1:$AX$245,14,FALSE),VLOOKUP($A8,'Base de donnee'!$A$1:$AX$245,14,FALSE))</f>
        <v>-</v>
      </c>
      <c r="Q8" s="54">
        <f>IFERROR(VLOOKUP($A8*1,'Base de donnee'!$A$1:$AX$245,15,FALSE),VLOOKUP($A8,'Base de donnee'!$A$1:$AX$245,15,FALSE))</f>
        <v>1</v>
      </c>
      <c r="R8" s="82" t="str">
        <f t="shared" si="2"/>
        <v>-</v>
      </c>
      <c r="S8" s="54" t="str">
        <f>IFERROR(VLOOKUP($A8*1,'Base de donnee'!$A$1:$AX$245,17,FALSE),VLOOKUP($A8,'Base de donnee'!$A$1:$AX$245,17,FALSE))</f>
        <v>-</v>
      </c>
      <c r="T8" s="54" t="str">
        <f>IFERROR(VLOOKUP($A8*1,'Base de donnee'!$A$1:$AX$245,18,FALSE),VLOOKUP($A8,'Base de donnee'!$A$1:$AX$245,18,FALSE))</f>
        <v>-</v>
      </c>
      <c r="U8" s="54" t="str">
        <f>IFERROR(VLOOKUP($A8*1,'Base de donnee'!$A$1:$AX$245,19,FALSE),VLOOKUP($A8,'Base de donnee'!$A$1:$AX$245,19,FALSE))</f>
        <v>-</v>
      </c>
      <c r="V8" s="54">
        <f>IFERROR(VLOOKUP($A8*1,'Base de donnee'!$A$1:$AX$245,20,FALSE),VLOOKUP($A8,'Base de donnee'!$A$1:$AX$245,20,FALSE))</f>
        <v>1</v>
      </c>
      <c r="W8" s="81" t="str">
        <f t="shared" si="3"/>
        <v>-</v>
      </c>
      <c r="X8" s="54" t="str">
        <f>IFERROR(VLOOKUP($A8*1,'Base de donnee'!$A$1:$AX$245,22,FALSE),VLOOKUP($A8,'Base de donnee'!$A$1:$AX$245,22,FALSE))</f>
        <v>-</v>
      </c>
      <c r="Y8" s="54" t="str">
        <f>IFERROR(VLOOKUP($A8*1,'Base de donnee'!$A$1:$AX$245,23,FALSE),VLOOKUP($A8,'Base de donnee'!$A$1:$AX$245,23,FALSE))</f>
        <v>Produit L 5</v>
      </c>
      <c r="Z8" s="54">
        <f>IFERROR(VLOOKUP($A8*1,'Base de donnee'!$A$1:$AX$245,24,FALSE),VLOOKUP($A8,'Base de donnee'!$A$1:$AX$245,24,FALSE))</f>
        <v>974.57627000000002</v>
      </c>
      <c r="AA8" s="81">
        <f t="shared" si="4"/>
        <v>1.8469565239875991</v>
      </c>
      <c r="AB8" s="54">
        <f>IFERROR(VLOOKUP($A8*1,'Base de donnee'!$A$1:$AX$245,26,FALSE),VLOOKUP($A8,'Base de donnee'!$A$1:$AX$245,26,FALSE))</f>
        <v>0.38</v>
      </c>
      <c r="AC8" s="54" t="str">
        <f>IFERROR(VLOOKUP($A8*1,'Base de donnee'!$A$1:$AX$245,27,FALSE),VLOOKUP($A8,'Base de donnee'!$A$1:$AX$245,27,FALSE))</f>
        <v>Produit R 5</v>
      </c>
      <c r="AD8" s="54">
        <f>IFERROR(VLOOKUP($A8*1,'Base de donnee'!$A$1:$AX$245,28,FALSE),VLOOKUP($A8,'Base de donnee'!$A$1:$AX$245,28,FALSE))</f>
        <v>417</v>
      </c>
      <c r="AE8" s="81">
        <f t="shared" si="5"/>
        <v>3.1834532374100721</v>
      </c>
      <c r="AF8" s="81">
        <f t="shared" si="6"/>
        <v>1474.8525</v>
      </c>
      <c r="AG8" s="54">
        <f>IFERROR(VLOOKUP($A8*1,'Base de donnee'!$A$1:$AX$245,31,FALSE),VLOOKUP($A8,'Base de donnee'!$A$1:$AX$245,31,FALSE))</f>
        <v>0.73750000000000004</v>
      </c>
      <c r="AH8" s="54" t="str">
        <f>IFERROR(VLOOKUP($A8*1,'Base de donnee'!$A$1:$AX$245,32,FALSE),VLOOKUP($A8,'Base de donnee'!$A$1:$AX$245,32,FALSE))</f>
        <v>Produit L 5 '</v>
      </c>
      <c r="AI8" s="54">
        <f>IFERROR(VLOOKUP($A8*1,'Base de donnee'!$A$1:$AX$245,33,FALSE),VLOOKUP($A8,'Base de donnee'!$A$1:$AX$245,33,FALSE))</f>
        <v>635.59</v>
      </c>
      <c r="AJ8" s="81">
        <f t="shared" si="7"/>
        <v>0.53100269041363135</v>
      </c>
      <c r="AK8" s="54">
        <f>IFERROR(VLOOKUP($A8*1,'Base de donnee'!$A$1:$AX$245,35,FALSE),VLOOKUP($A8,'Base de donnee'!$A$1:$AX$245,35,FALSE))</f>
        <v>0.38</v>
      </c>
      <c r="AL8" s="54" t="str">
        <f>IFERROR(VLOOKUP($A8*1,'Base de donnee'!$A$1:$AX$245,36,FALSE),VLOOKUP($A8,'Base de donnee'!$A$1:$AX$245,36,FALSE))</f>
        <v>Produit R 5'</v>
      </c>
      <c r="AM8" s="54">
        <f>IFERROR(VLOOKUP($A8*1,'Base de donnee'!$A$1:$AX$245,37,FALSE),VLOOKUP($A8,'Base de donnee'!$A$1:$AX$245,37,FALSE))</f>
        <v>522</v>
      </c>
      <c r="AN8" s="81">
        <f t="shared" si="8"/>
        <v>1.7019181034482758</v>
      </c>
      <c r="AO8" s="54">
        <f>IFERROR(VLOOKUP($A8*1,'Base de donnee'!$A$1:$AX$245,39,FALSE),VLOOKUP($A8,'Base de donnee'!$A$1:$AX$245,39,FALSE))</f>
        <v>842.25176639999995</v>
      </c>
      <c r="AP8" s="54">
        <f>IFERROR(VLOOKUP($A8*1,'Base de donnee'!$A$1:$AX$245,40,FALSE),VLOOKUP($A8,'Base de donnee'!$A$1:$AX$245,40,FALSE))</f>
        <v>2.6322999999999999</v>
      </c>
    </row>
    <row r="9" spans="1:42" x14ac:dyDescent="0.25">
      <c r="A9" s="29">
        <v>7000009</v>
      </c>
      <c r="B9">
        <v>5444</v>
      </c>
      <c r="C9" s="84">
        <v>43153</v>
      </c>
      <c r="D9" s="84">
        <v>43128</v>
      </c>
      <c r="E9" s="54">
        <f>IFERROR(VLOOKUP($A9*1,'Base de donnee'!$A$1:$AX$245,2,FALSE),VLOOKUP($A9,'Base de donnee'!$A$1:$AX$245,2,FALSE))</f>
        <v>30</v>
      </c>
      <c r="F9" s="54">
        <f>IFERROR(VLOOKUP($A9*1,'Base de donnee'!$A$1:$AX$245,4,FALSE),VLOOKUP($A9,'Base de donnee'!$A$1:$AX$245,4,FALSE))</f>
        <v>60</v>
      </c>
      <c r="G9" s="54">
        <f>IFERROR(VLOOKUP($A9*1,'Base de donnee'!$A$1:$AX$245,5,FALSE),VLOOKUP($A9,'Base de donnee'!$A$1:$AX$245,5,FALSE))</f>
        <v>1</v>
      </c>
      <c r="H9" s="81">
        <f t="shared" si="0"/>
        <v>90.733333333333334</v>
      </c>
      <c r="I9" s="54">
        <f>IFERROR(VLOOKUP($A9*1,'Base de donnee'!$A$1:$AX$245,7,FALSE),VLOOKUP($A9,'Base de donnee'!$A$1:$AX$245,7,FALSE))</f>
        <v>0</v>
      </c>
      <c r="J9" s="54" t="str">
        <f>IFERROR(VLOOKUP($A9*1,'Base de donnee'!$A$1:$AX$245,8,FALSE),VLOOKUP($A9,'Base de donnee'!$A$1:$AX$245,8,FALSE))</f>
        <v>7000009'</v>
      </c>
      <c r="K9" s="54">
        <f>IFERROR(VLOOKUP($A9*1,'Base de donnee'!$A$1:$AX$245,9,FALSE),VLOOKUP($A9,'Base de donnee'!$A$1:$AX$245,9,FALSE))</f>
        <v>70</v>
      </c>
      <c r="L9" s="54">
        <f>IFERROR(VLOOKUP($A9*1,'Base de donnee'!$A$1:$AX$245,10,FALSE),VLOOKUP($A9,'Base de donnee'!$A$1:$AX$245,10,FALSE))</f>
        <v>1</v>
      </c>
      <c r="M9" s="82">
        <f t="shared" si="1"/>
        <v>77.771428571428572</v>
      </c>
      <c r="N9" s="54">
        <f>IFERROR(VLOOKUP($A9*1,'Base de donnee'!$A$1:$AX$245,12,FALSE),VLOOKUP($A9,'Base de donnee'!$A$1:$AX$245,12,FALSE))</f>
        <v>0.5</v>
      </c>
      <c r="O9" s="54" t="str">
        <f>IFERROR(VLOOKUP($A9*1,'Base de donnee'!$A$1:$AX$245,13,FALSE),VLOOKUP($A9,'Base de donnee'!$A$1:$AX$245,13,FALSE))</f>
        <v>7000009''</v>
      </c>
      <c r="P9" s="54">
        <f>IFERROR(VLOOKUP($A9*1,'Base de donnee'!$A$1:$AX$245,14,FALSE),VLOOKUP($A9,'Base de donnee'!$A$1:$AX$245,14,FALSE))</f>
        <v>400</v>
      </c>
      <c r="Q9" s="54">
        <f>IFERROR(VLOOKUP($A9*1,'Base de donnee'!$A$1:$AX$245,15,FALSE),VLOOKUP($A9,'Base de donnee'!$A$1:$AX$245,15,FALSE))</f>
        <v>1</v>
      </c>
      <c r="R9" s="82">
        <f t="shared" si="2"/>
        <v>13.61</v>
      </c>
      <c r="S9" s="54">
        <f>IFERROR(VLOOKUP($A9*1,'Base de donnee'!$A$1:$AX$245,17,FALSE),VLOOKUP($A9,'Base de donnee'!$A$1:$AX$245,17,FALSE))</f>
        <v>0.25</v>
      </c>
      <c r="T9" s="54" t="str">
        <f>IFERROR(VLOOKUP($A9*1,'Base de donnee'!$A$1:$AX$245,18,FALSE),VLOOKUP($A9,'Base de donnee'!$A$1:$AX$245,18,FALSE))</f>
        <v>7000009'''</v>
      </c>
      <c r="U9" s="54">
        <f>IFERROR(VLOOKUP($A9*1,'Base de donnee'!$A$1:$AX$245,19,FALSE),VLOOKUP($A9,'Base de donnee'!$A$1:$AX$245,19,FALSE))</f>
        <v>150</v>
      </c>
      <c r="V9" s="54">
        <f>IFERROR(VLOOKUP($A9*1,'Base de donnee'!$A$1:$AX$245,20,FALSE),VLOOKUP($A9,'Base de donnee'!$A$1:$AX$245,20,FALSE))</f>
        <v>1</v>
      </c>
      <c r="W9" s="81">
        <f>IFERROR(IF(A9="7000009",(B9*G9*L9*2)/U9,(B9*G9*L9*Q9)/U9),"-")</f>
        <v>36.293333333333337</v>
      </c>
      <c r="X9" s="54" t="str">
        <f>IFERROR(VLOOKUP($A9*1,'Base de donnee'!$A$1:$AX$245,22,FALSE),VLOOKUP($A9,'Base de donnee'!$A$1:$AX$245,22,FALSE))</f>
        <v>-</v>
      </c>
      <c r="Y9" s="54" t="str">
        <f>IFERROR(VLOOKUP($A9*1,'Base de donnee'!$A$1:$AX$245,23,FALSE),VLOOKUP($A9,'Base de donnee'!$A$1:$AX$245,23,FALSE))</f>
        <v>L 7000009</v>
      </c>
      <c r="Z9" s="54">
        <f>IFERROR(VLOOKUP($A9*1,'Base de donnee'!$A$1:$AX$245,24,FALSE),VLOOKUP($A9,'Base de donnee'!$A$1:$AX$245,24,FALSE))</f>
        <v>821.43</v>
      </c>
      <c r="AA9" s="81">
        <f t="shared" si="4"/>
        <v>6.6274667348404614</v>
      </c>
      <c r="AB9" s="54">
        <f>IFERROR(VLOOKUP($A9*1,'Base de donnee'!$A$1:$AX$245,26,FALSE),VLOOKUP($A9,'Base de donnee'!$A$1:$AX$245,26,FALSE))</f>
        <v>0.38</v>
      </c>
      <c r="AC9" s="54" t="str">
        <f>IFERROR(VLOOKUP($A9*1,'Base de donnee'!$A$1:$AX$245,27,FALSE),VLOOKUP($A9,'Base de donnee'!$A$1:$AX$245,27,FALSE))</f>
        <v>R7000009</v>
      </c>
      <c r="AD9" s="54">
        <f>IFERROR(VLOOKUP($A9*1,'Base de donnee'!$A$1:$AX$245,28,FALSE),VLOOKUP($A9,'Base de donnee'!$A$1:$AX$245,28,FALSE))</f>
        <v>363</v>
      </c>
      <c r="AE9" s="81">
        <f t="shared" si="5"/>
        <v>10.986981818181819</v>
      </c>
      <c r="AF9" s="81">
        <f t="shared" si="6"/>
        <v>4430.9728584000004</v>
      </c>
      <c r="AG9" s="54">
        <f>IFERROR(VLOOKUP($A9*1,'Base de donnee'!$A$1:$AX$245,31,FALSE),VLOOKUP($A9,'Base de donnee'!$A$1:$AX$245,31,FALSE))</f>
        <v>0.73260000000000003</v>
      </c>
      <c r="AH9" s="54" t="str">
        <f>IFERROR(VLOOKUP($A9*1,'Base de donnee'!$A$1:$AX$245,32,FALSE),VLOOKUP($A9,'Base de donnee'!$A$1:$AX$245,32,FALSE))</f>
        <v>-</v>
      </c>
      <c r="AI9" s="54" t="str">
        <f>IFERROR(VLOOKUP($A9*1,'Base de donnee'!$A$1:$AX$245,33,FALSE),VLOOKUP($A9,'Base de donnee'!$A$1:$AX$245,33,FALSE))</f>
        <v>-</v>
      </c>
      <c r="AJ9" s="81" t="str">
        <f t="shared" si="7"/>
        <v>-</v>
      </c>
      <c r="AK9" s="54" t="str">
        <f>IFERROR(VLOOKUP($A9*1,'Base de donnee'!$A$1:$AX$245,35,FALSE),VLOOKUP($A9,'Base de donnee'!$A$1:$AX$245,35,FALSE))</f>
        <v>-</v>
      </c>
      <c r="AL9" s="54" t="str">
        <f>IFERROR(VLOOKUP($A9*1,'Base de donnee'!$A$1:$AX$245,36,FALSE),VLOOKUP($A9,'Base de donnee'!$A$1:$AX$245,36,FALSE))</f>
        <v>-</v>
      </c>
      <c r="AM9" s="54" t="str">
        <f>IFERROR(VLOOKUP($A9*1,'Base de donnee'!$A$1:$AX$245,37,FALSE),VLOOKUP($A9,'Base de donnee'!$A$1:$AX$245,37,FALSE))</f>
        <v>-</v>
      </c>
      <c r="AN9" s="81" t="str">
        <f t="shared" si="8"/>
        <v>-</v>
      </c>
      <c r="AO9" s="54" t="str">
        <f>IFERROR(VLOOKUP($A9*1,'Base de donnee'!$A$1:$AX$245,39,FALSE),VLOOKUP($A9,'Base de donnee'!$A$1:$AX$245,39,FALSE))</f>
        <v>-</v>
      </c>
      <c r="AP9" s="54" t="str">
        <f>IFERROR(VLOOKUP($A9*1,'Base de donnee'!$A$1:$AX$245,40,FALSE),VLOOKUP($A9,'Base de donnee'!$A$1:$AX$245,40,FALSE))</f>
        <v>-</v>
      </c>
    </row>
    <row r="15" spans="1:42" x14ac:dyDescent="0.25">
      <c r="H15" s="83"/>
      <c r="I15" s="83"/>
      <c r="J15" s="83"/>
      <c r="K15" s="83"/>
      <c r="L15" s="83"/>
      <c r="M15" s="83"/>
      <c r="N15" s="83"/>
      <c r="O15" s="83"/>
      <c r="P15" s="83"/>
      <c r="Q15" s="83"/>
    </row>
    <row r="16" spans="1:42" x14ac:dyDescent="0.25">
      <c r="H16" s="83"/>
      <c r="I16" s="83"/>
      <c r="J16" s="83"/>
      <c r="K16" s="83"/>
      <c r="L16" s="83"/>
      <c r="M16" s="83"/>
      <c r="N16" s="83"/>
      <c r="O16" s="83"/>
      <c r="P16" s="83"/>
      <c r="Q16" s="83"/>
    </row>
    <row r="17" spans="8:17" x14ac:dyDescent="0.25">
      <c r="H17" s="83"/>
      <c r="I17" s="83"/>
      <c r="J17" s="83"/>
      <c r="K17" s="83"/>
      <c r="L17" s="83"/>
      <c r="M17" s="83"/>
      <c r="N17" s="83"/>
      <c r="O17" s="83"/>
      <c r="P17" s="83"/>
      <c r="Q17" s="83"/>
    </row>
    <row r="18" spans="8:17" x14ac:dyDescent="0.25">
      <c r="H18" s="83"/>
      <c r="I18" s="83"/>
      <c r="J18" s="83"/>
      <c r="K18" s="83"/>
      <c r="L18" s="83"/>
      <c r="M18" s="83"/>
      <c r="N18" s="83"/>
      <c r="O18" s="83"/>
      <c r="P18" s="83"/>
      <c r="Q18" s="83"/>
    </row>
    <row r="19" spans="8:17" x14ac:dyDescent="0.25">
      <c r="H19" s="83"/>
      <c r="I19" s="83"/>
      <c r="J19" s="83"/>
      <c r="K19" s="83"/>
      <c r="L19" s="83"/>
      <c r="M19" s="83"/>
      <c r="N19" s="83"/>
      <c r="O19" s="83"/>
      <c r="P19" s="83"/>
      <c r="Q19" s="83"/>
    </row>
    <row r="20" spans="8:17" x14ac:dyDescent="0.25">
      <c r="H20" s="83"/>
      <c r="I20" s="83"/>
      <c r="J20" s="83"/>
      <c r="K20" s="83"/>
      <c r="L20" s="83"/>
      <c r="M20" s="83"/>
      <c r="N20" s="83"/>
      <c r="O20" s="83"/>
      <c r="P20" s="83"/>
      <c r="Q20" s="83"/>
    </row>
    <row r="21" spans="8:17" x14ac:dyDescent="0.25">
      <c r="H21" s="83"/>
      <c r="I21" s="83"/>
      <c r="J21" s="83"/>
      <c r="K21" s="83"/>
      <c r="L21" s="83"/>
      <c r="M21" s="83"/>
      <c r="N21" s="83"/>
      <c r="O21" s="83"/>
      <c r="P21" s="83"/>
      <c r="Q21" s="83"/>
    </row>
    <row r="22" spans="8:17" x14ac:dyDescent="0.25">
      <c r="H22" s="83"/>
      <c r="I22" s="83"/>
      <c r="J22" s="83"/>
      <c r="K22" s="83"/>
      <c r="L22" s="83"/>
      <c r="M22" s="83"/>
      <c r="N22" s="83"/>
      <c r="O22" s="83"/>
      <c r="P22" s="83"/>
      <c r="Q22" s="83"/>
    </row>
    <row r="23" spans="8:17" x14ac:dyDescent="0.25">
      <c r="H23" s="83"/>
      <c r="I23" s="83"/>
      <c r="J23" s="83"/>
      <c r="K23" s="83"/>
      <c r="L23" s="83"/>
      <c r="M23" s="83"/>
      <c r="N23" s="83"/>
      <c r="O23" s="83"/>
      <c r="P23" s="83"/>
      <c r="Q23" s="83"/>
    </row>
    <row r="24" spans="8:17" x14ac:dyDescent="0.25">
      <c r="H24" s="83"/>
      <c r="I24" s="83"/>
      <c r="J24" s="27"/>
      <c r="K24" s="27"/>
      <c r="L24" s="28"/>
      <c r="M24" s="83"/>
      <c r="N24" s="83"/>
      <c r="O24" s="83"/>
      <c r="P24" s="83"/>
      <c r="Q24" s="83"/>
    </row>
    <row r="25" spans="8:17" x14ac:dyDescent="0.25">
      <c r="H25" s="83"/>
      <c r="I25" s="83"/>
      <c r="J25" s="83"/>
      <c r="K25" s="83"/>
      <c r="L25" s="83"/>
      <c r="M25" s="83"/>
      <c r="N25" s="83"/>
      <c r="O25" s="83"/>
      <c r="P25" s="83"/>
      <c r="Q25" s="83"/>
    </row>
    <row r="26" spans="8:17" x14ac:dyDescent="0.25">
      <c r="H26" s="83"/>
      <c r="I26" s="83"/>
      <c r="J26" s="83"/>
      <c r="K26" s="83"/>
      <c r="L26" s="83"/>
      <c r="M26" s="83"/>
      <c r="N26" s="83"/>
      <c r="O26" s="83"/>
      <c r="P26" s="83"/>
      <c r="Q26" s="83"/>
    </row>
    <row r="27" spans="8:17" x14ac:dyDescent="0.25">
      <c r="H27" s="83"/>
      <c r="I27" s="83"/>
      <c r="J27" s="83"/>
      <c r="K27" s="83"/>
      <c r="L27" s="83"/>
      <c r="M27" s="83"/>
      <c r="N27" s="83"/>
      <c r="O27" s="83"/>
      <c r="P27" s="83"/>
      <c r="Q27" s="83"/>
    </row>
    <row r="28" spans="8:17" x14ac:dyDescent="0.25">
      <c r="H28" s="83"/>
      <c r="I28" s="83"/>
      <c r="J28" s="83"/>
      <c r="K28" s="83"/>
      <c r="L28" s="83"/>
      <c r="M28" s="83"/>
      <c r="N28" s="83"/>
      <c r="O28" s="83"/>
      <c r="P28" s="83"/>
      <c r="Q28" s="83"/>
    </row>
    <row r="29" spans="8:17" x14ac:dyDescent="0.25">
      <c r="H29" s="83"/>
      <c r="I29" s="83"/>
      <c r="J29" s="83"/>
      <c r="K29" s="83"/>
      <c r="L29" s="83"/>
      <c r="M29" s="83"/>
      <c r="N29" s="83"/>
      <c r="O29" s="83"/>
      <c r="P29" s="83"/>
      <c r="Q29" s="83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184"/>
  <sheetViews>
    <sheetView zoomScale="85" zoomScaleNormal="85" workbookViewId="0">
      <selection activeCell="L29" sqref="L29"/>
    </sheetView>
  </sheetViews>
  <sheetFormatPr baseColWidth="10" defaultRowHeight="15" x14ac:dyDescent="0.25"/>
  <cols>
    <col min="1" max="1" width="11" style="39" bestFit="1" customWidth="1"/>
    <col min="2" max="2" width="8" style="40" customWidth="1"/>
    <col min="3" max="3" width="8.7109375" style="37" customWidth="1"/>
    <col min="4" max="4" width="8.5703125" style="40" bestFit="1" customWidth="1"/>
    <col min="5" max="5" width="6.7109375" style="41" bestFit="1" customWidth="1"/>
    <col min="6" max="6" width="6.5703125" style="42" customWidth="1"/>
    <col min="7" max="7" width="4.28515625" style="42" customWidth="1"/>
    <col min="8" max="8" width="12.28515625" style="40" customWidth="1"/>
    <col min="9" max="9" width="8.5703125" style="40" customWidth="1"/>
    <col min="10" max="10" width="8" style="41" customWidth="1"/>
    <col min="11" max="11" width="5.7109375" style="42" customWidth="1"/>
    <col min="12" max="12" width="4.28515625" style="42" customWidth="1"/>
    <col min="13" max="13" width="12.5703125" style="40" customWidth="1"/>
    <col min="14" max="14" width="8.140625" style="40" customWidth="1"/>
    <col min="15" max="15" width="7.7109375" style="41" customWidth="1"/>
    <col min="16" max="16" width="5.7109375" style="42" customWidth="1"/>
    <col min="17" max="17" width="4.28515625" style="42" customWidth="1"/>
    <col min="18" max="18" width="13.42578125" style="40" customWidth="1"/>
    <col min="19" max="19" width="7.85546875" style="40" customWidth="1"/>
    <col min="20" max="20" width="7.7109375" style="41" customWidth="1"/>
    <col min="21" max="21" width="5.7109375" style="40" customWidth="1"/>
    <col min="22" max="22" width="4.28515625" style="40" customWidth="1"/>
    <col min="23" max="23" width="11.140625" style="40" customWidth="1"/>
    <col min="24" max="24" width="9.85546875" style="40" bestFit="1" customWidth="1"/>
    <col min="25" max="25" width="6.5703125" style="42" customWidth="1"/>
    <col min="26" max="26" width="4.28515625" style="42" customWidth="1"/>
    <col min="27" max="27" width="11.42578125" style="40" bestFit="1" customWidth="1"/>
    <col min="28" max="28" width="7.7109375" style="40" customWidth="1"/>
    <col min="29" max="29" width="6.140625" style="43" customWidth="1"/>
    <col min="30" max="30" width="5.140625" style="47" bestFit="1" customWidth="1"/>
    <col min="31" max="31" width="9.5703125" style="40" bestFit="1" customWidth="1"/>
    <col min="32" max="32" width="11.42578125" style="40" customWidth="1"/>
    <col min="33" max="33" width="9.42578125" style="40" customWidth="1"/>
    <col min="34" max="34" width="5.7109375" style="42" customWidth="1"/>
    <col min="35" max="35" width="4.28515625" style="42" customWidth="1"/>
    <col min="36" max="36" width="11.5703125" style="40" customWidth="1"/>
    <col min="37" max="37" width="8.5703125" style="40" bestFit="1" customWidth="1"/>
    <col min="38" max="38" width="5.7109375" style="40" customWidth="1"/>
    <col min="39" max="39" width="4.140625" style="47" bestFit="1" customWidth="1"/>
    <col min="40" max="40" width="8.42578125" style="40" bestFit="1" customWidth="1"/>
    <col min="41" max="41" width="11.42578125" style="37"/>
    <col min="42" max="42" width="16.5703125" style="37" hidden="1" customWidth="1"/>
    <col min="43" max="16384" width="11.42578125" style="37"/>
  </cols>
  <sheetData>
    <row r="1" spans="1:42" s="35" customFormat="1" ht="45.75" thickBot="1" x14ac:dyDescent="0.3">
      <c r="A1" s="1" t="s">
        <v>0</v>
      </c>
      <c r="B1" s="2" t="s">
        <v>64</v>
      </c>
      <c r="C1" s="3" t="s">
        <v>63</v>
      </c>
      <c r="D1" s="2" t="s">
        <v>2</v>
      </c>
      <c r="E1" s="4" t="s">
        <v>3</v>
      </c>
      <c r="F1" s="51" t="s">
        <v>4</v>
      </c>
      <c r="G1" s="52" t="s">
        <v>5</v>
      </c>
      <c r="H1" s="5" t="s">
        <v>6</v>
      </c>
      <c r="I1" s="6" t="s">
        <v>7</v>
      </c>
      <c r="J1" s="7" t="s">
        <v>8</v>
      </c>
      <c r="K1" s="51" t="s">
        <v>9</v>
      </c>
      <c r="L1" s="52" t="s">
        <v>10</v>
      </c>
      <c r="M1" s="8" t="s">
        <v>11</v>
      </c>
      <c r="N1" s="9" t="s">
        <v>12</v>
      </c>
      <c r="O1" s="10" t="s">
        <v>13</v>
      </c>
      <c r="P1" s="51" t="s">
        <v>14</v>
      </c>
      <c r="Q1" s="52" t="s">
        <v>15</v>
      </c>
      <c r="R1" s="11" t="s">
        <v>16</v>
      </c>
      <c r="S1" s="12" t="s">
        <v>17</v>
      </c>
      <c r="T1" s="13" t="s">
        <v>18</v>
      </c>
      <c r="U1" s="53" t="s">
        <v>19</v>
      </c>
      <c r="V1" s="50" t="s">
        <v>20</v>
      </c>
      <c r="W1" s="14" t="s">
        <v>31</v>
      </c>
      <c r="X1" s="15" t="s">
        <v>30</v>
      </c>
      <c r="Y1" s="51" t="s">
        <v>21</v>
      </c>
      <c r="Z1" s="52" t="s">
        <v>22</v>
      </c>
      <c r="AA1" s="16" t="s">
        <v>32</v>
      </c>
      <c r="AB1" s="17" t="s">
        <v>33</v>
      </c>
      <c r="AC1" s="52" t="s">
        <v>23</v>
      </c>
      <c r="AD1" s="45" t="s">
        <v>39</v>
      </c>
      <c r="AE1" s="18" t="s">
        <v>34</v>
      </c>
      <c r="AF1" s="19" t="s">
        <v>35</v>
      </c>
      <c r="AG1" s="20" t="s">
        <v>36</v>
      </c>
      <c r="AH1" s="51" t="s">
        <v>24</v>
      </c>
      <c r="AI1" s="52" t="s">
        <v>22</v>
      </c>
      <c r="AJ1" s="21" t="s">
        <v>37</v>
      </c>
      <c r="AK1" s="22" t="s">
        <v>38</v>
      </c>
      <c r="AL1" s="50" t="s">
        <v>25</v>
      </c>
      <c r="AM1" s="48" t="s">
        <v>39</v>
      </c>
      <c r="AN1" s="23" t="s">
        <v>40</v>
      </c>
      <c r="AP1" s="36" t="s">
        <v>29</v>
      </c>
    </row>
    <row r="2" spans="1:42" x14ac:dyDescent="0.25">
      <c r="A2" s="29" t="s">
        <v>41</v>
      </c>
      <c r="B2" s="30">
        <v>800</v>
      </c>
      <c r="C2" s="24">
        <v>11520</v>
      </c>
      <c r="D2" s="30">
        <v>1500</v>
      </c>
      <c r="E2" s="31">
        <v>6.6699999999999995E-2</v>
      </c>
      <c r="F2" s="32">
        <f t="shared" ref="F2:F7" si="0">C2/D2</f>
        <v>7.68</v>
      </c>
      <c r="G2" s="44">
        <v>0.25</v>
      </c>
      <c r="H2" s="25" t="s">
        <v>26</v>
      </c>
      <c r="I2" s="30" t="s">
        <v>26</v>
      </c>
      <c r="J2" s="31">
        <v>1</v>
      </c>
      <c r="K2" s="32" t="str">
        <f t="shared" ref="K2:K7" si="1">IFERROR(C2*E2/I2,"-")</f>
        <v>-</v>
      </c>
      <c r="L2" s="44" t="s">
        <v>26</v>
      </c>
      <c r="M2" s="25" t="s">
        <v>26</v>
      </c>
      <c r="N2" s="30" t="s">
        <v>26</v>
      </c>
      <c r="O2" s="31">
        <v>1</v>
      </c>
      <c r="P2" s="32" t="str">
        <f t="shared" ref="P2:P7" si="2">IFERROR(C2*J2*E2/N2,"-")</f>
        <v>-</v>
      </c>
      <c r="Q2" s="44" t="s">
        <v>26</v>
      </c>
      <c r="R2" s="25" t="s">
        <v>26</v>
      </c>
      <c r="S2" s="30" t="s">
        <v>26</v>
      </c>
      <c r="T2" s="31">
        <v>1</v>
      </c>
      <c r="U2" s="24" t="str">
        <f>IFERROR((C2*E2*O2*J2)/S2,"-")</f>
        <v>-</v>
      </c>
      <c r="V2" s="33" t="str">
        <f>IFERROR((#REF!*#REF!*#REF!*#REF!)/T2,"-")</f>
        <v>-</v>
      </c>
      <c r="W2" s="25" t="s">
        <v>42</v>
      </c>
      <c r="X2" s="30">
        <v>365</v>
      </c>
      <c r="Y2" s="32">
        <f>IFERROR(C2*E2*J2*O2*T2/X2,"-")</f>
        <v>2.1051616438356162</v>
      </c>
      <c r="Z2" s="44">
        <v>0.38</v>
      </c>
      <c r="AA2" s="25" t="s">
        <v>43</v>
      </c>
      <c r="AB2" s="30">
        <v>320</v>
      </c>
      <c r="AC2" s="26">
        <f>IFERROR(C2*(E2*J2*O2*T2)*AE2/AB2,"-")</f>
        <v>8.1035697599999992</v>
      </c>
      <c r="AD2" s="46">
        <f>C2*(E2*J2*O2*T2)*AE2*1.111</f>
        <v>2880.9811210751996</v>
      </c>
      <c r="AE2" s="25">
        <v>3.3748</v>
      </c>
      <c r="AF2" s="25" t="s">
        <v>26</v>
      </c>
      <c r="AG2" s="30" t="s">
        <v>26</v>
      </c>
      <c r="AH2" s="32" t="str">
        <f t="shared" ref="AH2:AH7" si="3">IFERROR(C2*E2*J2*O2*T2/AG2,"-")</f>
        <v>-</v>
      </c>
      <c r="AI2" s="44" t="s">
        <v>26</v>
      </c>
      <c r="AJ2" s="25" t="s">
        <v>26</v>
      </c>
      <c r="AK2" s="30" t="s">
        <v>26</v>
      </c>
      <c r="AL2" s="33" t="str">
        <f t="shared" ref="AL2:AL7" si="4">IFERROR(C2*(E2*J2*O2*T2)*AN2/AK2,"-")</f>
        <v>-</v>
      </c>
      <c r="AM2" s="49" t="str">
        <f t="shared" ref="AM2:AM7" si="5">IFERROR(C2*(E2*J2*O2*T2)*AN2*1.111,"-")</f>
        <v>-</v>
      </c>
      <c r="AN2" s="25" t="s">
        <v>26</v>
      </c>
      <c r="AP2" s="34">
        <v>503</v>
      </c>
    </row>
    <row r="3" spans="1:42" x14ac:dyDescent="0.25">
      <c r="A3" s="29" t="s">
        <v>44</v>
      </c>
      <c r="B3" s="30">
        <v>800</v>
      </c>
      <c r="C3" s="24">
        <v>11520</v>
      </c>
      <c r="D3" s="30">
        <v>1500</v>
      </c>
      <c r="E3" s="31">
        <v>6.6699999999999995E-2</v>
      </c>
      <c r="F3" s="32">
        <f t="shared" si="0"/>
        <v>7.68</v>
      </c>
      <c r="G3" s="44">
        <v>0.25</v>
      </c>
      <c r="H3" s="25" t="s">
        <v>45</v>
      </c>
      <c r="I3" s="30">
        <v>100</v>
      </c>
      <c r="J3" s="31">
        <v>1</v>
      </c>
      <c r="K3" s="32">
        <f t="shared" si="1"/>
        <v>7.6838399999999991</v>
      </c>
      <c r="L3" s="44">
        <v>0</v>
      </c>
      <c r="M3" s="25" t="s">
        <v>26</v>
      </c>
      <c r="N3" s="30" t="s">
        <v>26</v>
      </c>
      <c r="O3" s="31">
        <v>1</v>
      </c>
      <c r="P3" s="32" t="str">
        <f t="shared" si="2"/>
        <v>-</v>
      </c>
      <c r="Q3" s="44" t="s">
        <v>26</v>
      </c>
      <c r="R3" s="25" t="s">
        <v>26</v>
      </c>
      <c r="S3" s="30" t="s">
        <v>26</v>
      </c>
      <c r="T3" s="31">
        <v>1</v>
      </c>
      <c r="U3" s="24" t="str">
        <f>IFERROR((C3*E3*O3*J3)/S3,"-")</f>
        <v>-</v>
      </c>
      <c r="V3" s="33" t="str">
        <f>IFERROR((#REF!*#REF!*#REF!*#REF!)/T3,"-")</f>
        <v>-</v>
      </c>
      <c r="W3" s="25" t="s">
        <v>46</v>
      </c>
      <c r="X3" s="30">
        <v>365</v>
      </c>
      <c r="Y3" s="32">
        <f>IFERROR(C3*E3*J3*O3*T3/X3,"-")</f>
        <v>2.1051616438356162</v>
      </c>
      <c r="Z3" s="44">
        <v>0.38</v>
      </c>
      <c r="AA3" s="25" t="s">
        <v>48</v>
      </c>
      <c r="AB3" s="30">
        <v>320</v>
      </c>
      <c r="AC3" s="26">
        <f>IFERROR(C3*(E3*J3*O3*T3)*AE3/AB3,"-")</f>
        <v>8.1035697599999992</v>
      </c>
      <c r="AD3" s="46">
        <f>C3*(E3*J3*O3*T3)*AE3*1.111</f>
        <v>2880.9811210751996</v>
      </c>
      <c r="AE3" s="25">
        <v>3.3748</v>
      </c>
      <c r="AF3" s="25" t="s">
        <v>26</v>
      </c>
      <c r="AG3" s="30" t="s">
        <v>26</v>
      </c>
      <c r="AH3" s="32" t="str">
        <f t="shared" si="3"/>
        <v>-</v>
      </c>
      <c r="AI3" s="44" t="s">
        <v>26</v>
      </c>
      <c r="AJ3" s="25" t="s">
        <v>26</v>
      </c>
      <c r="AK3" s="30" t="s">
        <v>26</v>
      </c>
      <c r="AL3" s="33" t="str">
        <f t="shared" si="4"/>
        <v>-</v>
      </c>
      <c r="AM3" s="49" t="str">
        <f t="shared" si="5"/>
        <v>-</v>
      </c>
      <c r="AN3" s="25" t="s">
        <v>26</v>
      </c>
      <c r="AP3" s="34" t="s">
        <v>27</v>
      </c>
    </row>
    <row r="4" spans="1:42" x14ac:dyDescent="0.25">
      <c r="A4" s="29" t="s">
        <v>52</v>
      </c>
      <c r="B4" s="30">
        <v>200</v>
      </c>
      <c r="C4" s="24">
        <v>640</v>
      </c>
      <c r="D4" s="30">
        <v>960</v>
      </c>
      <c r="E4" s="31">
        <v>0.125</v>
      </c>
      <c r="F4" s="32">
        <f t="shared" si="0"/>
        <v>0.66666666666666663</v>
      </c>
      <c r="G4" s="44">
        <v>0.5</v>
      </c>
      <c r="H4" s="25" t="s">
        <v>55</v>
      </c>
      <c r="I4" s="30">
        <v>240</v>
      </c>
      <c r="J4" s="31">
        <v>0.5</v>
      </c>
      <c r="K4" s="32">
        <f t="shared" si="1"/>
        <v>0.33333333333333331</v>
      </c>
      <c r="L4" s="44">
        <v>0.25</v>
      </c>
      <c r="M4" s="25" t="s">
        <v>57</v>
      </c>
      <c r="N4" s="30">
        <v>100</v>
      </c>
      <c r="O4" s="31">
        <v>1</v>
      </c>
      <c r="P4" s="32">
        <f t="shared" si="2"/>
        <v>0.4</v>
      </c>
      <c r="Q4" s="44">
        <v>0.25</v>
      </c>
      <c r="R4" s="25" t="s">
        <v>26</v>
      </c>
      <c r="S4" s="30" t="s">
        <v>26</v>
      </c>
      <c r="T4" s="31">
        <v>1</v>
      </c>
      <c r="U4" s="24" t="str">
        <f>IFERROR((C4*E4*O4*J4)/S4,"-")</f>
        <v>-</v>
      </c>
      <c r="V4" s="33" t="str">
        <f>IFERROR((#REF!*#REF!*#REF!*#REF!)/T4,"-")</f>
        <v>-</v>
      </c>
      <c r="W4" s="25" t="s">
        <v>47</v>
      </c>
      <c r="X4" s="30">
        <v>1022</v>
      </c>
      <c r="Y4" s="32">
        <f>IFERROR(C4*E4*J4*O4*T4/X4,"-")</f>
        <v>3.9138943248532287E-2</v>
      </c>
      <c r="Z4" s="44">
        <v>0.38</v>
      </c>
      <c r="AA4" s="25" t="s">
        <v>49</v>
      </c>
      <c r="AB4" s="30">
        <v>221</v>
      </c>
      <c r="AC4" s="26">
        <f>IFERROR(C4*(E4*J4*O4*T4)*AE4/AB4,"-")</f>
        <v>6.7638009049773754E-2</v>
      </c>
      <c r="AD4" s="46">
        <f>C4*(E4*J4*O4*T4)*AE4*1.111</f>
        <v>16.607227999999999</v>
      </c>
      <c r="AE4" s="25">
        <v>0.37369999999999998</v>
      </c>
      <c r="AF4" s="25" t="s">
        <v>59</v>
      </c>
      <c r="AG4" s="30">
        <v>699</v>
      </c>
      <c r="AH4" s="32">
        <f t="shared" si="3"/>
        <v>5.7224606580829757E-2</v>
      </c>
      <c r="AI4" s="44">
        <v>0.38</v>
      </c>
      <c r="AJ4" s="25" t="s">
        <v>61</v>
      </c>
      <c r="AK4" s="30">
        <v>534</v>
      </c>
      <c r="AL4" s="33">
        <f t="shared" si="4"/>
        <v>0.1777752808988764</v>
      </c>
      <c r="AM4" s="49">
        <f t="shared" si="5"/>
        <v>105.469452</v>
      </c>
      <c r="AN4" s="25">
        <v>2.3733</v>
      </c>
      <c r="AP4" s="34" t="s">
        <v>28</v>
      </c>
    </row>
    <row r="5" spans="1:42" x14ac:dyDescent="0.25">
      <c r="A5" s="29" t="s">
        <v>53</v>
      </c>
      <c r="B5" s="30">
        <v>20</v>
      </c>
      <c r="C5" s="24">
        <v>390</v>
      </c>
      <c r="D5" s="30">
        <v>255.32</v>
      </c>
      <c r="E5" s="31">
        <v>1</v>
      </c>
      <c r="F5" s="32">
        <f t="shared" si="0"/>
        <v>1.5274949083503055</v>
      </c>
      <c r="G5" s="44">
        <v>0.38</v>
      </c>
      <c r="H5" s="25" t="s">
        <v>26</v>
      </c>
      <c r="I5" s="30" t="s">
        <v>26</v>
      </c>
      <c r="J5" s="31">
        <v>1</v>
      </c>
      <c r="K5" s="32" t="str">
        <f t="shared" si="1"/>
        <v>-</v>
      </c>
      <c r="L5" s="44" t="s">
        <v>26</v>
      </c>
      <c r="M5" s="25" t="s">
        <v>26</v>
      </c>
      <c r="N5" s="30" t="s">
        <v>26</v>
      </c>
      <c r="O5" s="31">
        <v>1</v>
      </c>
      <c r="P5" s="32" t="str">
        <f t="shared" si="2"/>
        <v>-</v>
      </c>
      <c r="Q5" s="44" t="s">
        <v>26</v>
      </c>
      <c r="R5" s="25" t="s">
        <v>26</v>
      </c>
      <c r="S5" s="30" t="s">
        <v>26</v>
      </c>
      <c r="T5" s="31">
        <v>1</v>
      </c>
      <c r="U5" s="24" t="str">
        <f>IFERROR((C5*E5*O5*J5)/S5,"-")</f>
        <v>-</v>
      </c>
      <c r="V5" s="33" t="str">
        <f>IFERROR((#REF!*#REF!*#REF!*#REF!)/T5,"-")</f>
        <v>-</v>
      </c>
      <c r="W5" s="25" t="s">
        <v>26</v>
      </c>
      <c r="X5" s="30" t="s">
        <v>26</v>
      </c>
      <c r="Y5" s="32" t="str">
        <f>IFERROR(C5*E5*J5*O5*T5/X5,"-")</f>
        <v>-</v>
      </c>
      <c r="Z5" s="44" t="s">
        <v>26</v>
      </c>
      <c r="AA5" s="25" t="s">
        <v>50</v>
      </c>
      <c r="AB5" s="30">
        <v>645</v>
      </c>
      <c r="AC5" s="26">
        <f>IFERROR(C5*(E5*J5*O5*T5)*AE5/AB5,"-")</f>
        <v>3.0658232558139535</v>
      </c>
      <c r="AD5" s="46">
        <f>C5*(E5*J5*O5*T5)*AE5*1.111</f>
        <v>2196.9536160000002</v>
      </c>
      <c r="AE5" s="25">
        <v>5.0704000000000002</v>
      </c>
      <c r="AF5" s="25" t="s">
        <v>26</v>
      </c>
      <c r="AG5" s="30" t="s">
        <v>26</v>
      </c>
      <c r="AH5" s="32" t="str">
        <f t="shared" si="3"/>
        <v>-</v>
      </c>
      <c r="AI5" s="44" t="s">
        <v>26</v>
      </c>
      <c r="AJ5" s="25" t="s">
        <v>26</v>
      </c>
      <c r="AK5" s="30" t="s">
        <v>26</v>
      </c>
      <c r="AL5" s="33" t="str">
        <f t="shared" si="4"/>
        <v>-</v>
      </c>
      <c r="AM5" s="49" t="str">
        <f t="shared" si="5"/>
        <v>-</v>
      </c>
      <c r="AN5" s="25" t="s">
        <v>26</v>
      </c>
      <c r="AP5" s="38"/>
    </row>
    <row r="6" spans="1:42" x14ac:dyDescent="0.25">
      <c r="A6" s="29" t="s">
        <v>54</v>
      </c>
      <c r="B6" s="30">
        <v>15</v>
      </c>
      <c r="C6" s="24">
        <v>768</v>
      </c>
      <c r="D6" s="30">
        <v>120</v>
      </c>
      <c r="E6" s="31">
        <v>3</v>
      </c>
      <c r="F6" s="32">
        <f t="shared" si="0"/>
        <v>6.4</v>
      </c>
      <c r="G6" s="44">
        <v>0</v>
      </c>
      <c r="H6" s="25" t="s">
        <v>56</v>
      </c>
      <c r="I6" s="30">
        <v>1200</v>
      </c>
      <c r="J6" s="31">
        <v>0.125</v>
      </c>
      <c r="K6" s="32">
        <f t="shared" si="1"/>
        <v>1.92</v>
      </c>
      <c r="L6" s="44">
        <v>0.5</v>
      </c>
      <c r="M6" s="25" t="s">
        <v>26</v>
      </c>
      <c r="N6" s="30" t="s">
        <v>26</v>
      </c>
      <c r="O6" s="31">
        <v>1</v>
      </c>
      <c r="P6" s="32" t="str">
        <f t="shared" si="2"/>
        <v>-</v>
      </c>
      <c r="Q6" s="44" t="s">
        <v>26</v>
      </c>
      <c r="R6" s="25" t="s">
        <v>26</v>
      </c>
      <c r="S6" s="30" t="s">
        <v>26</v>
      </c>
      <c r="T6" s="31">
        <v>1</v>
      </c>
      <c r="U6" s="24" t="str">
        <f>IFERROR((C6*E6*O6*J6)/S6,"-")</f>
        <v>-</v>
      </c>
      <c r="V6" s="33" t="str">
        <f>IFERROR((#REF!*#REF!*#REF!*#REF!)/T6,"-")</f>
        <v>-</v>
      </c>
      <c r="W6" s="25" t="s">
        <v>58</v>
      </c>
      <c r="X6" s="30">
        <v>974.57627000000002</v>
      </c>
      <c r="Y6" s="32">
        <f>IFERROR(C6*2/X6,"-")</f>
        <v>1.5760695671360847</v>
      </c>
      <c r="Z6" s="44">
        <v>0.38</v>
      </c>
      <c r="AA6" s="25" t="s">
        <v>51</v>
      </c>
      <c r="AB6" s="30">
        <v>417</v>
      </c>
      <c r="AC6" s="26">
        <f>IFERROR(C6*2*AE6/AB6,"-")</f>
        <v>2.7165467625899287</v>
      </c>
      <c r="AD6" s="46">
        <f>C6*2*AE6*1.111</f>
        <v>1258.5408000000002</v>
      </c>
      <c r="AE6" s="25">
        <v>0.73750000000000004</v>
      </c>
      <c r="AF6" s="25" t="s">
        <v>60</v>
      </c>
      <c r="AG6" s="30">
        <v>635.59</v>
      </c>
      <c r="AH6" s="32">
        <f t="shared" si="3"/>
        <v>0.45312229581963215</v>
      </c>
      <c r="AI6" s="44">
        <v>0.38</v>
      </c>
      <c r="AJ6" s="25" t="s">
        <v>62</v>
      </c>
      <c r="AK6" s="30">
        <v>522</v>
      </c>
      <c r="AL6" s="33">
        <f t="shared" si="4"/>
        <v>1.4523034482758621</v>
      </c>
      <c r="AM6" s="49">
        <f t="shared" si="5"/>
        <v>842.25176639999995</v>
      </c>
      <c r="AN6" s="25">
        <v>2.6322999999999999</v>
      </c>
      <c r="AP6" s="38"/>
    </row>
    <row r="7" spans="1:42" x14ac:dyDescent="0.25">
      <c r="A7" s="29">
        <v>7000009</v>
      </c>
      <c r="B7" s="30">
        <v>30</v>
      </c>
      <c r="C7" s="24">
        <v>900</v>
      </c>
      <c r="D7" s="30">
        <v>60</v>
      </c>
      <c r="E7" s="31">
        <v>1</v>
      </c>
      <c r="F7" s="32">
        <f t="shared" si="0"/>
        <v>15</v>
      </c>
      <c r="G7" s="44">
        <v>0</v>
      </c>
      <c r="H7" s="25" t="s">
        <v>69</v>
      </c>
      <c r="I7" s="30">
        <v>70</v>
      </c>
      <c r="J7" s="31">
        <v>1</v>
      </c>
      <c r="K7" s="32">
        <f t="shared" si="1"/>
        <v>12.857142857142858</v>
      </c>
      <c r="L7" s="44">
        <v>0.5</v>
      </c>
      <c r="M7" s="25" t="s">
        <v>68</v>
      </c>
      <c r="N7" s="30">
        <v>400</v>
      </c>
      <c r="O7" s="31">
        <v>1</v>
      </c>
      <c r="P7" s="32">
        <f t="shared" si="2"/>
        <v>2.25</v>
      </c>
      <c r="Q7" s="44">
        <v>0.25</v>
      </c>
      <c r="R7" s="25" t="s">
        <v>72</v>
      </c>
      <c r="S7" s="30">
        <v>150</v>
      </c>
      <c r="T7" s="31">
        <v>1</v>
      </c>
      <c r="U7" s="24">
        <f>IFERROR((C7*E7*2*J7)/S7,"-")</f>
        <v>12</v>
      </c>
      <c r="V7" s="33" t="str">
        <f>IFERROR((#REF!*#REF!*2*#REF!)/T7,"-")</f>
        <v>-</v>
      </c>
      <c r="W7" s="25" t="s">
        <v>73</v>
      </c>
      <c r="X7" s="30">
        <v>821.43</v>
      </c>
      <c r="Y7" s="32">
        <f>IFERROR(C7*E7*J7*O7*T7/X7,"-")</f>
        <v>1.0956502684343159</v>
      </c>
      <c r="Z7" s="44">
        <v>0.38</v>
      </c>
      <c r="AA7" s="25" t="s">
        <v>74</v>
      </c>
      <c r="AB7" s="30">
        <v>363</v>
      </c>
      <c r="AC7" s="26">
        <f>IFERROR(C7*(E7*J7*O7*T7)*AE7/AB7,"-")</f>
        <v>1.8163636363636364</v>
      </c>
      <c r="AD7" s="46">
        <f>C7*(E7*J7*O7*T7)*AE7*1.111</f>
        <v>732.52674000000002</v>
      </c>
      <c r="AE7" s="25">
        <v>0.73260000000000003</v>
      </c>
      <c r="AF7" s="25" t="s">
        <v>26</v>
      </c>
      <c r="AG7" s="30" t="s">
        <v>26</v>
      </c>
      <c r="AH7" s="32" t="str">
        <f t="shared" si="3"/>
        <v>-</v>
      </c>
      <c r="AI7" s="44" t="s">
        <v>26</v>
      </c>
      <c r="AJ7" s="25" t="s">
        <v>26</v>
      </c>
      <c r="AK7" s="30" t="s">
        <v>26</v>
      </c>
      <c r="AL7" s="33" t="str">
        <f t="shared" si="4"/>
        <v>-</v>
      </c>
      <c r="AM7" s="49" t="str">
        <f t="shared" si="5"/>
        <v>-</v>
      </c>
      <c r="AN7" s="25" t="s">
        <v>26</v>
      </c>
      <c r="AP7" s="38"/>
    </row>
    <row r="8" spans="1:42" x14ac:dyDescent="0.25">
      <c r="AP8" s="38"/>
    </row>
    <row r="9" spans="1:42" x14ac:dyDescent="0.25">
      <c r="AP9" s="38"/>
    </row>
    <row r="10" spans="1:42" x14ac:dyDescent="0.25">
      <c r="AP10" s="38"/>
    </row>
    <row r="11" spans="1:42" x14ac:dyDescent="0.25">
      <c r="AP11" s="38"/>
    </row>
    <row r="12" spans="1:42" x14ac:dyDescent="0.25">
      <c r="N12" s="41"/>
      <c r="O12" s="40"/>
      <c r="AP12" s="38"/>
    </row>
    <row r="15" spans="1:42" x14ac:dyDescent="0.25">
      <c r="AP15" s="38"/>
    </row>
    <row r="16" spans="1:42" x14ac:dyDescent="0.25">
      <c r="AP16" s="38"/>
    </row>
    <row r="21" spans="42:42" x14ac:dyDescent="0.25">
      <c r="AP21" s="38"/>
    </row>
    <row r="22" spans="42:42" x14ac:dyDescent="0.25">
      <c r="AP22" s="38"/>
    </row>
    <row r="23" spans="42:42" x14ac:dyDescent="0.25">
      <c r="AP23" s="38"/>
    </row>
    <row r="24" spans="42:42" x14ac:dyDescent="0.25">
      <c r="AP24" s="38"/>
    </row>
    <row r="25" spans="42:42" x14ac:dyDescent="0.25">
      <c r="AP25" s="38"/>
    </row>
    <row r="26" spans="42:42" x14ac:dyDescent="0.25">
      <c r="AP26" s="38"/>
    </row>
    <row r="27" spans="42:42" x14ac:dyDescent="0.25">
      <c r="AP27" s="38"/>
    </row>
    <row r="28" spans="42:42" x14ac:dyDescent="0.25">
      <c r="AP28" s="38"/>
    </row>
    <row r="29" spans="42:42" x14ac:dyDescent="0.25">
      <c r="AP29" s="38"/>
    </row>
    <row r="30" spans="42:42" x14ac:dyDescent="0.25">
      <c r="AP30" s="38"/>
    </row>
    <row r="31" spans="42:42" x14ac:dyDescent="0.25">
      <c r="AP31" s="38"/>
    </row>
    <row r="32" spans="42:42" x14ac:dyDescent="0.25">
      <c r="AP32" s="38"/>
    </row>
    <row r="33" spans="42:42" x14ac:dyDescent="0.25">
      <c r="AP33" s="38"/>
    </row>
    <row r="34" spans="42:42" x14ac:dyDescent="0.25">
      <c r="AP34" s="38"/>
    </row>
    <row r="35" spans="42:42" x14ac:dyDescent="0.25">
      <c r="AP35" s="38"/>
    </row>
    <row r="36" spans="42:42" x14ac:dyDescent="0.25">
      <c r="AP36" s="38"/>
    </row>
    <row r="37" spans="42:42" x14ac:dyDescent="0.25">
      <c r="AP37" s="38"/>
    </row>
    <row r="38" spans="42:42" x14ac:dyDescent="0.25">
      <c r="AP38" s="38"/>
    </row>
    <row r="39" spans="42:42" x14ac:dyDescent="0.25">
      <c r="AP39" s="38"/>
    </row>
    <row r="40" spans="42:42" x14ac:dyDescent="0.25">
      <c r="AP40" s="38"/>
    </row>
    <row r="41" spans="42:42" x14ac:dyDescent="0.25">
      <c r="AP41" s="38"/>
    </row>
    <row r="42" spans="42:42" x14ac:dyDescent="0.25">
      <c r="AP42" s="38"/>
    </row>
    <row r="43" spans="42:42" x14ac:dyDescent="0.25">
      <c r="AP43" s="38"/>
    </row>
    <row r="44" spans="42:42" x14ac:dyDescent="0.25">
      <c r="AP44" s="38"/>
    </row>
    <row r="45" spans="42:42" x14ac:dyDescent="0.25">
      <c r="AP45" s="38"/>
    </row>
    <row r="46" spans="42:42" x14ac:dyDescent="0.25">
      <c r="AP46" s="38"/>
    </row>
    <row r="47" spans="42:42" x14ac:dyDescent="0.25">
      <c r="AP47" s="38"/>
    </row>
    <row r="48" spans="42:42" x14ac:dyDescent="0.25">
      <c r="AP48" s="38"/>
    </row>
    <row r="49" spans="42:42" x14ac:dyDescent="0.25">
      <c r="AP49" s="38"/>
    </row>
    <row r="50" spans="42:42" x14ac:dyDescent="0.25">
      <c r="AP50" s="38"/>
    </row>
    <row r="51" spans="42:42" x14ac:dyDescent="0.25">
      <c r="AP51" s="38"/>
    </row>
    <row r="52" spans="42:42" x14ac:dyDescent="0.25">
      <c r="AP52" s="38"/>
    </row>
    <row r="53" spans="42:42" x14ac:dyDescent="0.25">
      <c r="AP53" s="38"/>
    </row>
    <row r="54" spans="42:42" x14ac:dyDescent="0.25">
      <c r="AP54" s="38"/>
    </row>
    <row r="55" spans="42:42" x14ac:dyDescent="0.25">
      <c r="AP55" s="38"/>
    </row>
    <row r="56" spans="42:42" x14ac:dyDescent="0.25">
      <c r="AP56" s="38"/>
    </row>
    <row r="57" spans="42:42" x14ac:dyDescent="0.25">
      <c r="AP57" s="38"/>
    </row>
    <row r="58" spans="42:42" x14ac:dyDescent="0.25">
      <c r="AP58" s="38"/>
    </row>
    <row r="59" spans="42:42" x14ac:dyDescent="0.25">
      <c r="AP59" s="38"/>
    </row>
    <row r="60" spans="42:42" x14ac:dyDescent="0.25">
      <c r="AP60" s="38"/>
    </row>
    <row r="61" spans="42:42" x14ac:dyDescent="0.25">
      <c r="AP61" s="38"/>
    </row>
    <row r="62" spans="42:42" x14ac:dyDescent="0.25">
      <c r="AP62" s="38"/>
    </row>
    <row r="63" spans="42:42" x14ac:dyDescent="0.25">
      <c r="AP63" s="38"/>
    </row>
    <row r="64" spans="42:42" x14ac:dyDescent="0.25">
      <c r="AP64" s="38"/>
    </row>
    <row r="65" spans="42:42" x14ac:dyDescent="0.25">
      <c r="AP65" s="38"/>
    </row>
    <row r="66" spans="42:42" x14ac:dyDescent="0.25">
      <c r="AP66" s="38"/>
    </row>
    <row r="67" spans="42:42" x14ac:dyDescent="0.25">
      <c r="AP67" s="38"/>
    </row>
    <row r="68" spans="42:42" x14ac:dyDescent="0.25">
      <c r="AP68" s="38"/>
    </row>
    <row r="69" spans="42:42" x14ac:dyDescent="0.25">
      <c r="AP69" s="38"/>
    </row>
    <row r="70" spans="42:42" x14ac:dyDescent="0.25">
      <c r="AP70" s="38"/>
    </row>
    <row r="71" spans="42:42" x14ac:dyDescent="0.25">
      <c r="AP71" s="38"/>
    </row>
    <row r="72" spans="42:42" x14ac:dyDescent="0.25">
      <c r="AP72" s="38"/>
    </row>
    <row r="73" spans="42:42" x14ac:dyDescent="0.25">
      <c r="AP73" s="38"/>
    </row>
    <row r="74" spans="42:42" x14ac:dyDescent="0.25">
      <c r="AP74" s="38"/>
    </row>
    <row r="75" spans="42:42" x14ac:dyDescent="0.25">
      <c r="AP75" s="38"/>
    </row>
    <row r="76" spans="42:42" x14ac:dyDescent="0.25">
      <c r="AP76" s="38"/>
    </row>
    <row r="77" spans="42:42" x14ac:dyDescent="0.25">
      <c r="AP77" s="38"/>
    </row>
    <row r="78" spans="42:42" x14ac:dyDescent="0.25">
      <c r="AP78" s="38"/>
    </row>
    <row r="79" spans="42:42" x14ac:dyDescent="0.25">
      <c r="AP79" s="38"/>
    </row>
    <row r="80" spans="42:42" x14ac:dyDescent="0.25">
      <c r="AP80" s="38"/>
    </row>
    <row r="81" spans="42:42" x14ac:dyDescent="0.25">
      <c r="AP81" s="38"/>
    </row>
    <row r="82" spans="42:42" x14ac:dyDescent="0.25">
      <c r="AP82" s="38"/>
    </row>
    <row r="83" spans="42:42" x14ac:dyDescent="0.25">
      <c r="AP83" s="38"/>
    </row>
    <row r="84" spans="42:42" x14ac:dyDescent="0.25">
      <c r="AP84" s="38"/>
    </row>
    <row r="85" spans="42:42" x14ac:dyDescent="0.25">
      <c r="AP85" s="38"/>
    </row>
    <row r="86" spans="42:42" x14ac:dyDescent="0.25">
      <c r="AP86" s="38"/>
    </row>
    <row r="87" spans="42:42" x14ac:dyDescent="0.25">
      <c r="AP87" s="38"/>
    </row>
    <row r="88" spans="42:42" x14ac:dyDescent="0.25">
      <c r="AP88" s="38"/>
    </row>
    <row r="89" spans="42:42" x14ac:dyDescent="0.25">
      <c r="AP89" s="38"/>
    </row>
    <row r="90" spans="42:42" x14ac:dyDescent="0.25">
      <c r="AP90" s="38"/>
    </row>
    <row r="91" spans="42:42" x14ac:dyDescent="0.25">
      <c r="AP91" s="38"/>
    </row>
    <row r="92" spans="42:42" x14ac:dyDescent="0.25">
      <c r="AP92" s="38"/>
    </row>
    <row r="93" spans="42:42" x14ac:dyDescent="0.25">
      <c r="AP93" s="38"/>
    </row>
    <row r="94" spans="42:42" x14ac:dyDescent="0.25">
      <c r="AP94" s="38"/>
    </row>
    <row r="95" spans="42:42" x14ac:dyDescent="0.25">
      <c r="AP95" s="38"/>
    </row>
    <row r="96" spans="42:42" x14ac:dyDescent="0.25">
      <c r="AP96" s="38"/>
    </row>
    <row r="97" spans="42:42" x14ac:dyDescent="0.25">
      <c r="AP97" s="38"/>
    </row>
    <row r="98" spans="42:42" x14ac:dyDescent="0.25">
      <c r="AP98" s="38"/>
    </row>
    <row r="99" spans="42:42" x14ac:dyDescent="0.25">
      <c r="AP99" s="38"/>
    </row>
    <row r="100" spans="42:42" x14ac:dyDescent="0.25">
      <c r="AP100" s="38"/>
    </row>
    <row r="101" spans="42:42" x14ac:dyDescent="0.25">
      <c r="AP101" s="38"/>
    </row>
    <row r="102" spans="42:42" x14ac:dyDescent="0.25">
      <c r="AP102" s="38"/>
    </row>
    <row r="103" spans="42:42" x14ac:dyDescent="0.25">
      <c r="AP103" s="38"/>
    </row>
    <row r="104" spans="42:42" x14ac:dyDescent="0.25">
      <c r="AP104" s="38"/>
    </row>
    <row r="105" spans="42:42" x14ac:dyDescent="0.25">
      <c r="AP105" s="38"/>
    </row>
    <row r="106" spans="42:42" x14ac:dyDescent="0.25">
      <c r="AP106" s="38"/>
    </row>
    <row r="107" spans="42:42" x14ac:dyDescent="0.25">
      <c r="AP107" s="38"/>
    </row>
    <row r="108" spans="42:42" x14ac:dyDescent="0.25">
      <c r="AP108" s="38"/>
    </row>
    <row r="109" spans="42:42" x14ac:dyDescent="0.25">
      <c r="AP109" s="38"/>
    </row>
    <row r="110" spans="42:42" x14ac:dyDescent="0.25">
      <c r="AP110" s="38"/>
    </row>
    <row r="111" spans="42:42" x14ac:dyDescent="0.25">
      <c r="AP111" s="38"/>
    </row>
    <row r="112" spans="42:42" x14ac:dyDescent="0.25">
      <c r="AP112" s="38"/>
    </row>
    <row r="113" spans="42:42" x14ac:dyDescent="0.25">
      <c r="AP113" s="38"/>
    </row>
    <row r="114" spans="42:42" x14ac:dyDescent="0.25">
      <c r="AP114" s="38"/>
    </row>
    <row r="115" spans="42:42" x14ac:dyDescent="0.25">
      <c r="AP115" s="38"/>
    </row>
    <row r="116" spans="42:42" x14ac:dyDescent="0.25">
      <c r="AP116" s="38"/>
    </row>
    <row r="117" spans="42:42" x14ac:dyDescent="0.25">
      <c r="AP117" s="38"/>
    </row>
    <row r="118" spans="42:42" x14ac:dyDescent="0.25">
      <c r="AP118" s="38"/>
    </row>
    <row r="119" spans="42:42" x14ac:dyDescent="0.25">
      <c r="AP119" s="38"/>
    </row>
    <row r="120" spans="42:42" x14ac:dyDescent="0.25">
      <c r="AP120" s="38"/>
    </row>
    <row r="121" spans="42:42" x14ac:dyDescent="0.25">
      <c r="AP121" s="38"/>
    </row>
    <row r="122" spans="42:42" x14ac:dyDescent="0.25">
      <c r="AP122" s="38"/>
    </row>
    <row r="123" spans="42:42" x14ac:dyDescent="0.25">
      <c r="AP123" s="38"/>
    </row>
    <row r="124" spans="42:42" x14ac:dyDescent="0.25">
      <c r="AP124" s="38"/>
    </row>
    <row r="125" spans="42:42" x14ac:dyDescent="0.25">
      <c r="AP125" s="38"/>
    </row>
    <row r="126" spans="42:42" x14ac:dyDescent="0.25">
      <c r="AP126" s="38"/>
    </row>
    <row r="127" spans="42:42" x14ac:dyDescent="0.25">
      <c r="AP127" s="38"/>
    </row>
    <row r="128" spans="42:42" x14ac:dyDescent="0.25">
      <c r="AP128" s="38"/>
    </row>
    <row r="129" spans="42:42" x14ac:dyDescent="0.25">
      <c r="AP129" s="38"/>
    </row>
    <row r="130" spans="42:42" x14ac:dyDescent="0.25">
      <c r="AP130" s="38"/>
    </row>
    <row r="131" spans="42:42" x14ac:dyDescent="0.25">
      <c r="AP131" s="38"/>
    </row>
    <row r="132" spans="42:42" x14ac:dyDescent="0.25">
      <c r="AP132" s="38"/>
    </row>
    <row r="133" spans="42:42" x14ac:dyDescent="0.25">
      <c r="AP133" s="38"/>
    </row>
    <row r="134" spans="42:42" x14ac:dyDescent="0.25">
      <c r="AP134" s="38"/>
    </row>
    <row r="135" spans="42:42" x14ac:dyDescent="0.25">
      <c r="AP135" s="38"/>
    </row>
    <row r="136" spans="42:42" x14ac:dyDescent="0.25">
      <c r="AP136" s="38"/>
    </row>
    <row r="137" spans="42:42" x14ac:dyDescent="0.25">
      <c r="AP137" s="38"/>
    </row>
    <row r="138" spans="42:42" x14ac:dyDescent="0.25">
      <c r="AP138" s="38"/>
    </row>
    <row r="139" spans="42:42" x14ac:dyDescent="0.25">
      <c r="AP139" s="38"/>
    </row>
    <row r="140" spans="42:42" x14ac:dyDescent="0.25">
      <c r="AP140" s="38"/>
    </row>
    <row r="141" spans="42:42" x14ac:dyDescent="0.25">
      <c r="AP141" s="38"/>
    </row>
    <row r="142" spans="42:42" x14ac:dyDescent="0.25">
      <c r="AP142" s="38"/>
    </row>
    <row r="143" spans="42:42" x14ac:dyDescent="0.25">
      <c r="AP143" s="38"/>
    </row>
    <row r="144" spans="42:42" x14ac:dyDescent="0.25">
      <c r="AP144" s="38"/>
    </row>
    <row r="145" spans="42:42" x14ac:dyDescent="0.25">
      <c r="AP145" s="38"/>
    </row>
    <row r="146" spans="42:42" x14ac:dyDescent="0.25">
      <c r="AP146" s="38"/>
    </row>
    <row r="147" spans="42:42" x14ac:dyDescent="0.25">
      <c r="AP147" s="38"/>
    </row>
    <row r="148" spans="42:42" x14ac:dyDescent="0.25">
      <c r="AP148" s="38"/>
    </row>
    <row r="149" spans="42:42" x14ac:dyDescent="0.25">
      <c r="AP149" s="38"/>
    </row>
    <row r="150" spans="42:42" x14ac:dyDescent="0.25">
      <c r="AP150" s="38"/>
    </row>
    <row r="151" spans="42:42" x14ac:dyDescent="0.25">
      <c r="AP151" s="38"/>
    </row>
    <row r="152" spans="42:42" x14ac:dyDescent="0.25">
      <c r="AP152" s="38"/>
    </row>
    <row r="153" spans="42:42" x14ac:dyDescent="0.25">
      <c r="AP153" s="38"/>
    </row>
    <row r="154" spans="42:42" x14ac:dyDescent="0.25">
      <c r="AP154" s="38"/>
    </row>
    <row r="155" spans="42:42" x14ac:dyDescent="0.25">
      <c r="AP155" s="38"/>
    </row>
    <row r="156" spans="42:42" x14ac:dyDescent="0.25">
      <c r="AP156" s="38"/>
    </row>
    <row r="157" spans="42:42" x14ac:dyDescent="0.25">
      <c r="AP157" s="38"/>
    </row>
    <row r="158" spans="42:42" x14ac:dyDescent="0.25">
      <c r="AP158" s="38"/>
    </row>
    <row r="159" spans="42:42" x14ac:dyDescent="0.25">
      <c r="AP159" s="38"/>
    </row>
    <row r="160" spans="42:42" x14ac:dyDescent="0.25">
      <c r="AP160" s="38"/>
    </row>
    <row r="161" spans="42:42" x14ac:dyDescent="0.25">
      <c r="AP161" s="38"/>
    </row>
    <row r="162" spans="42:42" x14ac:dyDescent="0.25">
      <c r="AP162" s="38"/>
    </row>
    <row r="163" spans="42:42" x14ac:dyDescent="0.25">
      <c r="AP163" s="38"/>
    </row>
    <row r="164" spans="42:42" x14ac:dyDescent="0.25">
      <c r="AP164" s="38"/>
    </row>
    <row r="165" spans="42:42" x14ac:dyDescent="0.25">
      <c r="AP165" s="38"/>
    </row>
    <row r="166" spans="42:42" x14ac:dyDescent="0.25">
      <c r="AP166" s="38"/>
    </row>
    <row r="167" spans="42:42" x14ac:dyDescent="0.25">
      <c r="AP167" s="38"/>
    </row>
    <row r="168" spans="42:42" x14ac:dyDescent="0.25">
      <c r="AP168" s="38"/>
    </row>
    <row r="169" spans="42:42" x14ac:dyDescent="0.25">
      <c r="AP169" s="38"/>
    </row>
    <row r="170" spans="42:42" x14ac:dyDescent="0.25">
      <c r="AP170" s="38"/>
    </row>
    <row r="171" spans="42:42" x14ac:dyDescent="0.25">
      <c r="AP171" s="38"/>
    </row>
    <row r="172" spans="42:42" x14ac:dyDescent="0.25">
      <c r="AP172" s="38"/>
    </row>
    <row r="173" spans="42:42" x14ac:dyDescent="0.25">
      <c r="AP173" s="38"/>
    </row>
    <row r="174" spans="42:42" x14ac:dyDescent="0.25">
      <c r="AP174" s="38"/>
    </row>
    <row r="175" spans="42:42" x14ac:dyDescent="0.25">
      <c r="AP175" s="38"/>
    </row>
    <row r="176" spans="42:42" x14ac:dyDescent="0.25">
      <c r="AP176" s="38"/>
    </row>
    <row r="177" spans="42:42" x14ac:dyDescent="0.25">
      <c r="AP177" s="38"/>
    </row>
    <row r="178" spans="42:42" x14ac:dyDescent="0.25">
      <c r="AP178" s="38"/>
    </row>
    <row r="179" spans="42:42" x14ac:dyDescent="0.25">
      <c r="AP179" s="38"/>
    </row>
    <row r="180" spans="42:42" x14ac:dyDescent="0.25">
      <c r="AP180" s="38"/>
    </row>
    <row r="181" spans="42:42" x14ac:dyDescent="0.25">
      <c r="AP181" s="38"/>
    </row>
    <row r="182" spans="42:42" x14ac:dyDescent="0.25">
      <c r="AP182" s="38"/>
    </row>
    <row r="183" spans="42:42" x14ac:dyDescent="0.25">
      <c r="AP183" s="38"/>
    </row>
    <row r="184" spans="42:42" x14ac:dyDescent="0.25">
      <c r="AP184" s="38"/>
    </row>
  </sheetData>
  <conditionalFormatting sqref="G1:G1048576">
    <cfRule type="cellIs" dxfId="1" priority="1" operator="equal">
      <formula>"0.00"</formula>
    </cfRule>
  </conditionalFormatting>
  <conditionalFormatting sqref="G2:G7">
    <cfRule type="cellIs" dxfId="0" priority="3" operator="equal">
      <formula>"0.00"</formula>
    </cfRule>
  </conditionalFormatting>
  <pageMargins left="0.25" right="0.25" top="0.75" bottom="0.75" header="0.3" footer="0.3"/>
  <pageSetup paperSize="9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</vt:lpstr>
      <vt:lpstr>Base de donnee</vt:lpstr>
    </vt:vector>
  </TitlesOfParts>
  <Company>Smurfit Kappa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Balvay, Alizee</dc:creator>
  <cp:lastModifiedBy>Balvay, Alizee</cp:lastModifiedBy>
  <cp:lastPrinted>2018-01-19T14:31:54Z</cp:lastPrinted>
  <dcterms:created xsi:type="dcterms:W3CDTF">2018-01-19T13:57:24Z</dcterms:created>
  <dcterms:modified xsi:type="dcterms:W3CDTF">2018-01-22T12:54:42Z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