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8730"/>
  <workbookPr/>
  <mc:AlternateContent xmlns:mc="http://schemas.openxmlformats.org/markup-compatibility/2006">
    <mc:Choice Requires="x15">
      <x15ac:absPath xmlns:x15ac="http://schemas.microsoft.com/office/spreadsheetml/2010/11/ac" url="C:\Users\Camille\Desktop\"/>
    </mc:Choice>
  </mc:AlternateContent>
  <bookViews>
    <workbookView xWindow="0" yWindow="0" windowWidth="14380" windowHeight="4090" tabRatio="686"/>
  </bookViews>
  <sheets>
    <sheet name="Janvier" sheetId="4" r:id="rId1"/>
    <sheet name="Février" sheetId="5" r:id="rId2"/>
    <sheet name="Mars" sheetId="17" r:id="rId3"/>
    <sheet name="Avril" sheetId="18" r:id="rId4"/>
    <sheet name="Mai" sheetId="19" r:id="rId5"/>
    <sheet name="Juin" sheetId="20" r:id="rId6"/>
    <sheet name="Juillet" sheetId="21" r:id="rId7"/>
    <sheet name="Août" sheetId="22" r:id="rId8"/>
    <sheet name="Septembre" sheetId="23" r:id="rId9"/>
    <sheet name="Octobre" sheetId="24" r:id="rId10"/>
    <sheet name="Novembre" sheetId="25" r:id="rId11"/>
    <sheet name="Décembre" sheetId="15" r:id="rId12"/>
    <sheet name="Noms des employés" sheetId="16" r:id="rId13"/>
  </sheets>
  <definedNames>
    <definedName name="AnnéeCalendrier">Janvier!$AH$4</definedName>
    <definedName name="CléCongé">Janvier!$C$2</definedName>
    <definedName name="CléMaladie">Janvier!$J$2</definedName>
    <definedName name="CléPersonnalisée1">Janvier!#REF!</definedName>
    <definedName name="CléPersonnalisée2">Janvier!#REF!</definedName>
    <definedName name="CléPersonnel">Janvier!$F$2</definedName>
    <definedName name="ÉtiquetteCléCongé">Janvier!$D$2</definedName>
    <definedName name="ÉtiquetteCléMaladie">Janvier!$K$2</definedName>
    <definedName name="ÉtiquetteCléPersonnalisée1">Janvier!#REF!</definedName>
    <definedName name="ÉtiquetteCléPersonnalisée2">Janvier!#REF!</definedName>
    <definedName name="ÉtiquetteCléPersonnel">Janvier!$G$2</definedName>
    <definedName name="_xlnm.Print_Titles" localSheetId="7">Août!$4:$6</definedName>
    <definedName name="_xlnm.Print_Titles" localSheetId="3">Avril!$4:$6</definedName>
    <definedName name="_xlnm.Print_Titles" localSheetId="11">Décembre!$4:$6</definedName>
    <definedName name="_xlnm.Print_Titles" localSheetId="1">Février!$4:$6</definedName>
    <definedName name="_xlnm.Print_Titles" localSheetId="0">Janvier!$4:$6</definedName>
    <definedName name="_xlnm.Print_Titles" localSheetId="6">Juillet!$4:$6</definedName>
    <definedName name="_xlnm.Print_Titles" localSheetId="5">Juin!$4:$6</definedName>
    <definedName name="_xlnm.Print_Titles" localSheetId="4">Mai!$4:$6</definedName>
    <definedName name="_xlnm.Print_Titles" localSheetId="2">Mars!$4:$6</definedName>
    <definedName name="_xlnm.Print_Titles" localSheetId="10">Novembre!$4:$6</definedName>
    <definedName name="_xlnm.Print_Titles" localSheetId="9">Octobre!$4:$6</definedName>
    <definedName name="_xlnm.Print_Titles" localSheetId="8">Septembre!$4:$6</definedName>
    <definedName name="Nom_clé">Janvier!$B$2</definedName>
    <definedName name="NomMois" localSheetId="7">Août!$B$4</definedName>
    <definedName name="NomMois" localSheetId="3">Avril!$B$4</definedName>
    <definedName name="NomMois" localSheetId="11">Décembre!$B$4</definedName>
    <definedName name="NomMois" localSheetId="1">Février!$B$4</definedName>
    <definedName name="NomMois" localSheetId="0">Janvier!$B$4</definedName>
    <definedName name="NomMois" localSheetId="6">Juillet!$B$4</definedName>
    <definedName name="NomMois" localSheetId="5">Juin!$B$4</definedName>
    <definedName name="NomMois" localSheetId="4">Mai!$B$4</definedName>
    <definedName name="NomMois" localSheetId="2">Mars!$B$4</definedName>
    <definedName name="NomMois" localSheetId="10">Novembre!$B$4</definedName>
    <definedName name="NomMois" localSheetId="9">Octobre!$B$4</definedName>
    <definedName name="NomMois" localSheetId="8">Septembre!$B$4</definedName>
    <definedName name="Titre_Absence_Employé">Janvier!$B$1</definedName>
    <definedName name="Titre1">Janvier[[#Headers],[Nom de l’employé]]</definedName>
    <definedName name="Titre10">Octobre[[#Headers],[Nom de l’employé]]</definedName>
    <definedName name="Titre11">Novembre[[#Headers],[Nom de l’employé]]</definedName>
    <definedName name="Titre12">Décembre[[#Headers],[Nom de l’employé]]</definedName>
    <definedName name="Titre2">Février[[#Headers],[Nom de l’employé]]</definedName>
    <definedName name="Titre3">Mars[[#Headers],[Nom de l’employé]]</definedName>
    <definedName name="Titre4">Avril[[#Headers],[Nom de l’employé]]</definedName>
    <definedName name="Titre5">Mai[[#Headers],[Nom de l’employé]]</definedName>
    <definedName name="Titre6">Juin[[#Headers],[Nom de l’employé]]</definedName>
    <definedName name="Titre7">Juillet[[#Headers],[Nom de l’employé]]</definedName>
    <definedName name="Titre8">Août[[#Headers],[Nom de l’employé]]</definedName>
    <definedName name="Titre9">Septembre[[#Headers],[Nom de l’employé]]</definedName>
    <definedName name="TitreColonne13">NomEmployé[[#Headers],[Noms des employés]]</definedName>
  </definedNames>
  <calcPr calcId="171027"/>
</workbook>
</file>

<file path=xl/calcChain.xml><?xml version="1.0" encoding="utf-8"?>
<calcChain xmlns="http://schemas.openxmlformats.org/spreadsheetml/2006/main">
  <c r="AH7" i="4" l="1"/>
  <c r="AH8" i="4"/>
  <c r="AH9" i="4"/>
  <c r="AH10" i="4"/>
  <c r="AH11" i="4"/>
  <c r="AH12" i="4"/>
  <c r="AH13" i="4"/>
  <c r="AH11" i="15" l="1"/>
  <c r="AH12" i="15"/>
  <c r="AH11" i="25"/>
  <c r="AH12" i="25"/>
  <c r="AH11" i="24"/>
  <c r="AH12" i="24"/>
  <c r="AH11" i="23"/>
  <c r="AH12" i="23"/>
  <c r="AH11" i="22"/>
  <c r="AH12" i="22"/>
  <c r="AH11" i="21"/>
  <c r="AH12" i="21"/>
  <c r="AH11" i="20"/>
  <c r="AH12" i="20"/>
  <c r="AH11" i="19"/>
  <c r="AH12" i="19"/>
  <c r="AH11" i="18"/>
  <c r="AH12" i="18"/>
  <c r="AH11" i="17"/>
  <c r="AH12" i="17"/>
  <c r="AI7" i="4"/>
  <c r="AI8" i="4"/>
  <c r="AI9" i="4"/>
  <c r="AI10" i="4"/>
  <c r="AI11" i="4"/>
  <c r="AI12" i="4"/>
  <c r="AI13" i="4"/>
  <c r="AH11" i="5" l="1"/>
  <c r="AH12" i="5"/>
  <c r="B14" i="15" l="1"/>
  <c r="B14" i="25"/>
  <c r="B14" i="24"/>
  <c r="B14" i="23"/>
  <c r="B14" i="22"/>
  <c r="B14" i="21"/>
  <c r="B14" i="20"/>
  <c r="B14" i="19"/>
  <c r="B14" i="18"/>
  <c r="B14" i="17"/>
  <c r="B14" i="5"/>
  <c r="B14" i="4"/>
  <c r="B1" i="17"/>
  <c r="B1" i="18"/>
  <c r="B1" i="19"/>
  <c r="B1" i="20"/>
  <c r="B1" i="21"/>
  <c r="B1" i="22"/>
  <c r="B1" i="23"/>
  <c r="B1" i="24"/>
  <c r="B1" i="25"/>
  <c r="B1" i="15"/>
  <c r="B1" i="5"/>
  <c r="AG14" i="4"/>
  <c r="AF14" i="4"/>
  <c r="AE14" i="4"/>
  <c r="AD14" i="4"/>
  <c r="AC14" i="4"/>
  <c r="AB14" i="4"/>
  <c r="AA14" i="4"/>
  <c r="Z14" i="4"/>
  <c r="Y14" i="4"/>
  <c r="X14" i="4"/>
  <c r="W14" i="4"/>
  <c r="V14" i="4"/>
  <c r="U14" i="4"/>
  <c r="T14" i="4"/>
  <c r="S14" i="4"/>
  <c r="R14" i="4"/>
  <c r="Q14" i="4"/>
  <c r="P14" i="4"/>
  <c r="O14" i="4"/>
  <c r="N14" i="4"/>
  <c r="M14" i="4"/>
  <c r="L14" i="4"/>
  <c r="K14" i="4"/>
  <c r="J14" i="4"/>
  <c r="I14" i="4"/>
  <c r="H14" i="4"/>
  <c r="G14" i="4"/>
  <c r="F14" i="4"/>
  <c r="E14" i="4"/>
  <c r="D14" i="4"/>
  <c r="C14" i="4"/>
  <c r="AH8" i="15"/>
  <c r="AH9" i="15"/>
  <c r="AH10" i="15"/>
  <c r="AH13" i="15"/>
  <c r="AH7" i="15"/>
  <c r="AH8" i="25"/>
  <c r="AH9" i="25"/>
  <c r="AH10" i="25"/>
  <c r="AH13" i="25"/>
  <c r="AH7" i="25"/>
  <c r="AH8" i="24"/>
  <c r="AH9" i="24"/>
  <c r="AH10" i="24"/>
  <c r="AH13" i="24"/>
  <c r="AH7" i="24"/>
  <c r="AH8" i="23"/>
  <c r="AH9" i="23"/>
  <c r="AH10" i="23"/>
  <c r="AH13" i="23"/>
  <c r="AH7" i="23"/>
  <c r="AH8" i="22"/>
  <c r="AH9" i="22"/>
  <c r="AH10" i="22"/>
  <c r="AH13" i="22"/>
  <c r="AH7" i="22"/>
  <c r="AH8" i="21"/>
  <c r="AH9" i="21"/>
  <c r="AH10" i="21"/>
  <c r="AH13" i="21"/>
  <c r="AH7" i="21"/>
  <c r="AH8" i="20"/>
  <c r="AH9" i="20"/>
  <c r="AH10" i="20"/>
  <c r="AH13" i="20"/>
  <c r="AH7" i="20"/>
  <c r="AH8" i="19"/>
  <c r="AH9" i="19"/>
  <c r="AH10" i="19"/>
  <c r="AH13" i="19"/>
  <c r="AH7" i="19"/>
  <c r="AH8" i="18"/>
  <c r="AH9" i="18"/>
  <c r="AH10" i="18"/>
  <c r="AH13" i="18"/>
  <c r="AH7" i="18"/>
  <c r="AH8" i="17"/>
  <c r="AH9" i="17"/>
  <c r="AH10" i="17"/>
  <c r="AH13" i="17"/>
  <c r="AH7" i="17"/>
  <c r="AH8" i="5"/>
  <c r="AH9" i="5"/>
  <c r="AH10" i="5"/>
  <c r="AH13" i="5"/>
  <c r="AH7" i="5"/>
  <c r="AG5" i="17"/>
  <c r="AF5" i="17"/>
  <c r="AE5" i="17"/>
  <c r="AD5" i="17"/>
  <c r="AC5" i="17"/>
  <c r="AB5" i="17"/>
  <c r="AA5" i="17"/>
  <c r="Z5" i="17"/>
  <c r="Y5" i="17"/>
  <c r="X5" i="17"/>
  <c r="W5" i="17"/>
  <c r="V5" i="17"/>
  <c r="U5" i="17"/>
  <c r="T5" i="17"/>
  <c r="S5" i="17"/>
  <c r="R5" i="17"/>
  <c r="Q5" i="17"/>
  <c r="P5" i="17"/>
  <c r="O5" i="17"/>
  <c r="N5" i="17"/>
  <c r="M5" i="17"/>
  <c r="L5" i="17"/>
  <c r="K5" i="17"/>
  <c r="J5" i="17"/>
  <c r="I5" i="17"/>
  <c r="H5" i="17"/>
  <c r="G5" i="17"/>
  <c r="F5" i="17"/>
  <c r="E5" i="17"/>
  <c r="D5" i="17"/>
  <c r="C5" i="17"/>
  <c r="AH4" i="17"/>
  <c r="AF5" i="18"/>
  <c r="AE5" i="18"/>
  <c r="AD5" i="18"/>
  <c r="AC5" i="18"/>
  <c r="AB5" i="18"/>
  <c r="AA5" i="18"/>
  <c r="Z5" i="18"/>
  <c r="Y5" i="18"/>
  <c r="X5" i="18"/>
  <c r="W5" i="18"/>
  <c r="V5" i="18"/>
  <c r="U5" i="18"/>
  <c r="T5" i="18"/>
  <c r="S5" i="18"/>
  <c r="R5" i="18"/>
  <c r="Q5" i="18"/>
  <c r="P5" i="18"/>
  <c r="O5" i="18"/>
  <c r="N5" i="18"/>
  <c r="M5" i="18"/>
  <c r="L5" i="18"/>
  <c r="K5" i="18"/>
  <c r="J5" i="18"/>
  <c r="I5" i="18"/>
  <c r="H5" i="18"/>
  <c r="G5" i="18"/>
  <c r="F5" i="18"/>
  <c r="E5" i="18"/>
  <c r="D5" i="18"/>
  <c r="C5" i="18"/>
  <c r="AH4" i="18"/>
  <c r="AG5" i="19"/>
  <c r="AF5" i="19"/>
  <c r="AE5" i="19"/>
  <c r="AD5" i="19"/>
  <c r="AC5" i="19"/>
  <c r="AB5" i="19"/>
  <c r="AA5" i="19"/>
  <c r="Z5" i="19"/>
  <c r="Y5" i="19"/>
  <c r="X5" i="19"/>
  <c r="W5" i="19"/>
  <c r="V5" i="19"/>
  <c r="U5" i="19"/>
  <c r="T5" i="19"/>
  <c r="S5" i="19"/>
  <c r="R5" i="19"/>
  <c r="Q5" i="19"/>
  <c r="P5" i="19"/>
  <c r="O5" i="19"/>
  <c r="N5" i="19"/>
  <c r="M5" i="19"/>
  <c r="L5" i="19"/>
  <c r="K5" i="19"/>
  <c r="J5" i="19"/>
  <c r="I5" i="19"/>
  <c r="H5" i="19"/>
  <c r="G5" i="19"/>
  <c r="F5" i="19"/>
  <c r="E5" i="19"/>
  <c r="D5" i="19"/>
  <c r="C5" i="19"/>
  <c r="AH4" i="19"/>
  <c r="AF5" i="20"/>
  <c r="AE5" i="20"/>
  <c r="AD5" i="20"/>
  <c r="AC5" i="20"/>
  <c r="AB5" i="20"/>
  <c r="AA5" i="20"/>
  <c r="Z5" i="20"/>
  <c r="Y5" i="20"/>
  <c r="X5" i="20"/>
  <c r="W5" i="20"/>
  <c r="V5" i="20"/>
  <c r="U5" i="20"/>
  <c r="T5" i="20"/>
  <c r="S5" i="20"/>
  <c r="R5" i="20"/>
  <c r="Q5" i="20"/>
  <c r="P5" i="20"/>
  <c r="O5" i="20"/>
  <c r="N5" i="20"/>
  <c r="M5" i="20"/>
  <c r="L5" i="20"/>
  <c r="K5" i="20"/>
  <c r="J5" i="20"/>
  <c r="I5" i="20"/>
  <c r="H5" i="20"/>
  <c r="G5" i="20"/>
  <c r="F5" i="20"/>
  <c r="E5" i="20"/>
  <c r="D5" i="20"/>
  <c r="C5" i="20"/>
  <c r="AH4" i="20"/>
  <c r="AG5" i="21"/>
  <c r="AF5" i="21"/>
  <c r="AE5" i="21"/>
  <c r="AD5" i="21"/>
  <c r="AC5" i="21"/>
  <c r="AB5" i="21"/>
  <c r="AA5" i="21"/>
  <c r="Z5" i="21"/>
  <c r="Y5" i="21"/>
  <c r="X5" i="21"/>
  <c r="W5" i="21"/>
  <c r="V5" i="21"/>
  <c r="U5" i="21"/>
  <c r="T5" i="21"/>
  <c r="S5" i="21"/>
  <c r="R5" i="21"/>
  <c r="Q5" i="21"/>
  <c r="P5" i="21"/>
  <c r="O5" i="21"/>
  <c r="N5" i="21"/>
  <c r="M5" i="21"/>
  <c r="L5" i="21"/>
  <c r="K5" i="21"/>
  <c r="J5" i="21"/>
  <c r="I5" i="21"/>
  <c r="H5" i="21"/>
  <c r="G5" i="21"/>
  <c r="F5" i="21"/>
  <c r="E5" i="21"/>
  <c r="D5" i="21"/>
  <c r="C5" i="21"/>
  <c r="AG5" i="22"/>
  <c r="AF5" i="22"/>
  <c r="AE5" i="22"/>
  <c r="AD5" i="22"/>
  <c r="AC5" i="22"/>
  <c r="AB5" i="22"/>
  <c r="AA5" i="22"/>
  <c r="Z5" i="22"/>
  <c r="Y5" i="22"/>
  <c r="X5" i="22"/>
  <c r="W5" i="22"/>
  <c r="V5" i="22"/>
  <c r="U5" i="22"/>
  <c r="T5" i="22"/>
  <c r="S5" i="22"/>
  <c r="R5" i="22"/>
  <c r="Q5" i="22"/>
  <c r="P5" i="22"/>
  <c r="O5" i="22"/>
  <c r="N5" i="22"/>
  <c r="M5" i="22"/>
  <c r="L5" i="22"/>
  <c r="K5" i="22"/>
  <c r="J5" i="22"/>
  <c r="I5" i="22"/>
  <c r="H5" i="22"/>
  <c r="G5" i="22"/>
  <c r="F5" i="22"/>
  <c r="E5" i="22"/>
  <c r="D5" i="22"/>
  <c r="C5" i="22"/>
  <c r="AH4" i="22"/>
  <c r="AF5" i="23"/>
  <c r="AE5" i="23"/>
  <c r="AD5" i="23"/>
  <c r="AC5" i="23"/>
  <c r="AB5" i="23"/>
  <c r="AA5" i="23"/>
  <c r="Z5" i="23"/>
  <c r="Y5" i="23"/>
  <c r="X5" i="23"/>
  <c r="W5" i="23"/>
  <c r="V5" i="23"/>
  <c r="U5" i="23"/>
  <c r="T5" i="23"/>
  <c r="S5" i="23"/>
  <c r="R5" i="23"/>
  <c r="Q5" i="23"/>
  <c r="P5" i="23"/>
  <c r="O5" i="23"/>
  <c r="N5" i="23"/>
  <c r="M5" i="23"/>
  <c r="L5" i="23"/>
  <c r="K5" i="23"/>
  <c r="J5" i="23"/>
  <c r="I5" i="23"/>
  <c r="H5" i="23"/>
  <c r="G5" i="23"/>
  <c r="F5" i="23"/>
  <c r="E5" i="23"/>
  <c r="D5" i="23"/>
  <c r="C5" i="23"/>
  <c r="AH4" i="23"/>
  <c r="AG5" i="24"/>
  <c r="AF5" i="24"/>
  <c r="AE5" i="24"/>
  <c r="AD5" i="24"/>
  <c r="AC5" i="24"/>
  <c r="AB5" i="24"/>
  <c r="AA5" i="24"/>
  <c r="Z5" i="24"/>
  <c r="Y5" i="24"/>
  <c r="X5" i="24"/>
  <c r="W5" i="24"/>
  <c r="V5" i="24"/>
  <c r="U5" i="24"/>
  <c r="T5" i="24"/>
  <c r="S5" i="24"/>
  <c r="R5" i="24"/>
  <c r="Q5" i="24"/>
  <c r="P5" i="24"/>
  <c r="O5" i="24"/>
  <c r="N5" i="24"/>
  <c r="M5" i="24"/>
  <c r="L5" i="24"/>
  <c r="K5" i="24"/>
  <c r="J5" i="24"/>
  <c r="I5" i="24"/>
  <c r="H5" i="24"/>
  <c r="G5" i="24"/>
  <c r="F5" i="24"/>
  <c r="E5" i="24"/>
  <c r="D5" i="24"/>
  <c r="C5" i="24"/>
  <c r="AH4" i="24"/>
  <c r="AF5" i="25"/>
  <c r="AE5" i="25"/>
  <c r="AD5" i="25"/>
  <c r="AC5" i="25"/>
  <c r="AB5" i="25"/>
  <c r="AA5" i="25"/>
  <c r="Z5" i="25"/>
  <c r="Y5" i="25"/>
  <c r="X5" i="25"/>
  <c r="W5" i="25"/>
  <c r="V5" i="25"/>
  <c r="U5" i="25"/>
  <c r="T5" i="25"/>
  <c r="S5" i="25"/>
  <c r="R5" i="25"/>
  <c r="Q5" i="25"/>
  <c r="P5" i="25"/>
  <c r="O5" i="25"/>
  <c r="N5" i="25"/>
  <c r="M5" i="25"/>
  <c r="L5" i="25"/>
  <c r="K5" i="25"/>
  <c r="J5" i="25"/>
  <c r="I5" i="25"/>
  <c r="H5" i="25"/>
  <c r="G5" i="25"/>
  <c r="F5" i="25"/>
  <c r="E5" i="25"/>
  <c r="D5" i="25"/>
  <c r="C5" i="25"/>
  <c r="AH4" i="25"/>
  <c r="AG5" i="15"/>
  <c r="AF5" i="15"/>
  <c r="AE5" i="15"/>
  <c r="AD5" i="15"/>
  <c r="AC5" i="15"/>
  <c r="AB5" i="15"/>
  <c r="AA5" i="15"/>
  <c r="Z5" i="15"/>
  <c r="Y5" i="15"/>
  <c r="X5" i="15"/>
  <c r="W5" i="15"/>
  <c r="V5" i="15"/>
  <c r="U5" i="15"/>
  <c r="T5" i="15"/>
  <c r="S5" i="15"/>
  <c r="R5" i="15"/>
  <c r="Q5" i="15"/>
  <c r="P5" i="15"/>
  <c r="O5" i="15"/>
  <c r="N5" i="15"/>
  <c r="M5" i="15"/>
  <c r="L5" i="15"/>
  <c r="K5" i="15"/>
  <c r="J5" i="15"/>
  <c r="I5" i="15"/>
  <c r="H5" i="15"/>
  <c r="G5" i="15"/>
  <c r="F5" i="15"/>
  <c r="E5" i="15"/>
  <c r="D5" i="15"/>
  <c r="C5" i="15"/>
  <c r="AH4" i="15"/>
  <c r="AE5" i="5"/>
  <c r="AD5" i="5"/>
  <c r="AC5" i="5"/>
  <c r="AB5" i="5"/>
  <c r="AA5" i="5"/>
  <c r="Z5" i="5"/>
  <c r="Y5" i="5"/>
  <c r="X5" i="5"/>
  <c r="W5" i="5"/>
  <c r="V5" i="5"/>
  <c r="U5" i="5"/>
  <c r="T5" i="5"/>
  <c r="S5" i="5"/>
  <c r="R5" i="5"/>
  <c r="Q5" i="5"/>
  <c r="P5" i="5"/>
  <c r="O5" i="5"/>
  <c r="N5" i="5"/>
  <c r="M5" i="5"/>
  <c r="L5" i="5"/>
  <c r="K5" i="5"/>
  <c r="J5" i="5"/>
  <c r="I5" i="5"/>
  <c r="H5" i="5"/>
  <c r="G5" i="5"/>
  <c r="F5" i="5"/>
  <c r="E5" i="5"/>
  <c r="D5" i="5"/>
  <c r="C5" i="5"/>
  <c r="AH4" i="5"/>
  <c r="AG5" i="4"/>
  <c r="AF5" i="4"/>
  <c r="AE5" i="4"/>
  <c r="AD5" i="4"/>
  <c r="AC5" i="4"/>
  <c r="AB5" i="4"/>
  <c r="AA5" i="4"/>
  <c r="Z5" i="4"/>
  <c r="Y5" i="4"/>
  <c r="X5" i="4"/>
  <c r="W5" i="4"/>
  <c r="V5" i="4"/>
  <c r="U5" i="4"/>
  <c r="T5" i="4"/>
  <c r="S5" i="4"/>
  <c r="R5" i="4"/>
  <c r="Q5" i="4"/>
  <c r="P5" i="4"/>
  <c r="O5" i="4"/>
  <c r="N5" i="4"/>
  <c r="M5" i="4"/>
  <c r="L5" i="4"/>
  <c r="K5" i="4"/>
  <c r="J5" i="4"/>
  <c r="I5" i="4"/>
  <c r="H5" i="4"/>
  <c r="G5" i="4"/>
  <c r="F5" i="4"/>
  <c r="E5" i="4"/>
  <c r="D5" i="4"/>
  <c r="C5" i="4"/>
  <c r="AG14" i="25" l="1"/>
  <c r="AF14" i="25"/>
  <c r="AE14" i="25"/>
  <c r="AD14" i="25"/>
  <c r="AC14" i="25"/>
  <c r="AB14" i="25"/>
  <c r="AA14" i="25"/>
  <c r="Z14" i="25"/>
  <c r="Y14" i="25"/>
  <c r="X14" i="25"/>
  <c r="W14" i="25"/>
  <c r="V14" i="25"/>
  <c r="U14" i="25"/>
  <c r="T14" i="25"/>
  <c r="S14" i="25"/>
  <c r="R14" i="25"/>
  <c r="Q14" i="25"/>
  <c r="P14" i="25"/>
  <c r="O14" i="25"/>
  <c r="N14" i="25"/>
  <c r="M14" i="25"/>
  <c r="L14" i="25"/>
  <c r="K14" i="25"/>
  <c r="J14" i="25"/>
  <c r="I14" i="25"/>
  <c r="H14" i="25"/>
  <c r="G14" i="25"/>
  <c r="F14" i="25"/>
  <c r="E14" i="25"/>
  <c r="D14" i="25"/>
  <c r="C14" i="25"/>
  <c r="AG14" i="24"/>
  <c r="AF14" i="24"/>
  <c r="AE14" i="24"/>
  <c r="AD14" i="24"/>
  <c r="AC14" i="24"/>
  <c r="AB14" i="24"/>
  <c r="AA14" i="24"/>
  <c r="Z14" i="24"/>
  <c r="Y14" i="24"/>
  <c r="X14" i="24"/>
  <c r="W14" i="24"/>
  <c r="V14" i="24"/>
  <c r="U14" i="24"/>
  <c r="T14" i="24"/>
  <c r="S14" i="24"/>
  <c r="R14" i="24"/>
  <c r="Q14" i="24"/>
  <c r="P14" i="24"/>
  <c r="O14" i="24"/>
  <c r="N14" i="24"/>
  <c r="M14" i="24"/>
  <c r="L14" i="24"/>
  <c r="K14" i="24"/>
  <c r="J14" i="24"/>
  <c r="I14" i="24"/>
  <c r="H14" i="24"/>
  <c r="G14" i="24"/>
  <c r="F14" i="24"/>
  <c r="E14" i="24"/>
  <c r="D14" i="24"/>
  <c r="C14" i="24"/>
  <c r="AG14" i="23"/>
  <c r="AF14" i="23"/>
  <c r="AE14" i="23"/>
  <c r="AD14" i="23"/>
  <c r="AC14" i="23"/>
  <c r="AB14" i="23"/>
  <c r="AA14" i="23"/>
  <c r="Z14" i="23"/>
  <c r="Y14" i="23"/>
  <c r="X14" i="23"/>
  <c r="W14" i="23"/>
  <c r="V14" i="23"/>
  <c r="U14" i="23"/>
  <c r="T14" i="23"/>
  <c r="S14" i="23"/>
  <c r="R14" i="23"/>
  <c r="Q14" i="23"/>
  <c r="P14" i="23"/>
  <c r="O14" i="23"/>
  <c r="N14" i="23"/>
  <c r="M14" i="23"/>
  <c r="L14" i="23"/>
  <c r="K14" i="23"/>
  <c r="J14" i="23"/>
  <c r="I14" i="23"/>
  <c r="H14" i="23"/>
  <c r="G14" i="23"/>
  <c r="F14" i="23"/>
  <c r="E14" i="23"/>
  <c r="D14" i="23"/>
  <c r="C14" i="23"/>
  <c r="AH14" i="23"/>
  <c r="AG14" i="22"/>
  <c r="AF14" i="22"/>
  <c r="AE14" i="22"/>
  <c r="AD14" i="22"/>
  <c r="AC14" i="22"/>
  <c r="AB14" i="22"/>
  <c r="AA14" i="22"/>
  <c r="Z14" i="22"/>
  <c r="Y14" i="22"/>
  <c r="X14" i="22"/>
  <c r="W14" i="22"/>
  <c r="V14" i="22"/>
  <c r="U14" i="22"/>
  <c r="T14" i="22"/>
  <c r="S14" i="22"/>
  <c r="R14" i="22"/>
  <c r="Q14" i="22"/>
  <c r="P14" i="22"/>
  <c r="O14" i="22"/>
  <c r="N14" i="22"/>
  <c r="M14" i="22"/>
  <c r="L14" i="22"/>
  <c r="K14" i="22"/>
  <c r="J14" i="22"/>
  <c r="I14" i="22"/>
  <c r="H14" i="22"/>
  <c r="G14" i="22"/>
  <c r="F14" i="22"/>
  <c r="E14" i="22"/>
  <c r="D14" i="22"/>
  <c r="C14" i="22"/>
  <c r="AG14" i="21"/>
  <c r="AF14" i="21"/>
  <c r="AE14" i="21"/>
  <c r="AD14" i="21"/>
  <c r="AC14" i="21"/>
  <c r="AB14" i="21"/>
  <c r="AA14" i="21"/>
  <c r="Z14" i="21"/>
  <c r="Y14" i="21"/>
  <c r="X14" i="21"/>
  <c r="W14" i="21"/>
  <c r="V14" i="21"/>
  <c r="U14" i="21"/>
  <c r="T14" i="21"/>
  <c r="S14" i="21"/>
  <c r="R14" i="21"/>
  <c r="Q14" i="21"/>
  <c r="P14" i="21"/>
  <c r="O14" i="21"/>
  <c r="N14" i="21"/>
  <c r="M14" i="21"/>
  <c r="L14" i="21"/>
  <c r="K14" i="21"/>
  <c r="J14" i="21"/>
  <c r="I14" i="21"/>
  <c r="H14" i="21"/>
  <c r="G14" i="21"/>
  <c r="F14" i="21"/>
  <c r="E14" i="21"/>
  <c r="D14" i="21"/>
  <c r="C14" i="21"/>
  <c r="AH14" i="21"/>
  <c r="AG14" i="20"/>
  <c r="AF14" i="20"/>
  <c r="AE14" i="20"/>
  <c r="AD14" i="20"/>
  <c r="AC14" i="20"/>
  <c r="AB14" i="20"/>
  <c r="AA14" i="20"/>
  <c r="Z14" i="20"/>
  <c r="Y14" i="20"/>
  <c r="X14" i="20"/>
  <c r="W14" i="20"/>
  <c r="V14" i="20"/>
  <c r="U14" i="20"/>
  <c r="T14" i="20"/>
  <c r="S14" i="20"/>
  <c r="R14" i="20"/>
  <c r="Q14" i="20"/>
  <c r="P14" i="20"/>
  <c r="O14" i="20"/>
  <c r="N14" i="20"/>
  <c r="M14" i="20"/>
  <c r="L14" i="20"/>
  <c r="K14" i="20"/>
  <c r="J14" i="20"/>
  <c r="I14" i="20"/>
  <c r="H14" i="20"/>
  <c r="G14" i="20"/>
  <c r="F14" i="20"/>
  <c r="E14" i="20"/>
  <c r="D14" i="20"/>
  <c r="C14" i="20"/>
  <c r="AG14" i="19"/>
  <c r="AF14" i="19"/>
  <c r="AE14" i="19"/>
  <c r="AD14" i="19"/>
  <c r="AC14" i="19"/>
  <c r="AB14" i="19"/>
  <c r="AA14" i="19"/>
  <c r="Z14" i="19"/>
  <c r="Y14" i="19"/>
  <c r="X14" i="19"/>
  <c r="W14" i="19"/>
  <c r="V14" i="19"/>
  <c r="U14" i="19"/>
  <c r="T14" i="19"/>
  <c r="S14" i="19"/>
  <c r="R14" i="19"/>
  <c r="Q14" i="19"/>
  <c r="P14" i="19"/>
  <c r="O14" i="19"/>
  <c r="N14" i="19"/>
  <c r="M14" i="19"/>
  <c r="L14" i="19"/>
  <c r="K14" i="19"/>
  <c r="J14" i="19"/>
  <c r="I14" i="19"/>
  <c r="H14" i="19"/>
  <c r="G14" i="19"/>
  <c r="F14" i="19"/>
  <c r="E14" i="19"/>
  <c r="D14" i="19"/>
  <c r="C14" i="19"/>
  <c r="AG14" i="18"/>
  <c r="AF14" i="18"/>
  <c r="AE14" i="18"/>
  <c r="AD14" i="18"/>
  <c r="AC14" i="18"/>
  <c r="AB14" i="18"/>
  <c r="AA14" i="18"/>
  <c r="Z14" i="18"/>
  <c r="Y14" i="18"/>
  <c r="X14" i="18"/>
  <c r="W14" i="18"/>
  <c r="V14" i="18"/>
  <c r="U14" i="18"/>
  <c r="T14" i="18"/>
  <c r="S14" i="18"/>
  <c r="R14" i="18"/>
  <c r="Q14" i="18"/>
  <c r="P14" i="18"/>
  <c r="O14" i="18"/>
  <c r="N14" i="18"/>
  <c r="M14" i="18"/>
  <c r="L14" i="18"/>
  <c r="K14" i="18"/>
  <c r="J14" i="18"/>
  <c r="I14" i="18"/>
  <c r="H14" i="18"/>
  <c r="G14" i="18"/>
  <c r="F14" i="18"/>
  <c r="E14" i="18"/>
  <c r="D14" i="18"/>
  <c r="C14" i="18"/>
  <c r="AH14" i="18"/>
  <c r="AG14" i="17"/>
  <c r="AF14" i="17"/>
  <c r="AE14" i="17"/>
  <c r="AD14" i="17"/>
  <c r="AC14" i="17"/>
  <c r="AB14" i="17"/>
  <c r="AA14" i="17"/>
  <c r="Z14" i="17"/>
  <c r="Y14" i="17"/>
  <c r="X14" i="17"/>
  <c r="W14" i="17"/>
  <c r="V14" i="17"/>
  <c r="U14" i="17"/>
  <c r="T14" i="17"/>
  <c r="S14" i="17"/>
  <c r="R14" i="17"/>
  <c r="Q14" i="17"/>
  <c r="P14" i="17"/>
  <c r="O14" i="17"/>
  <c r="N14" i="17"/>
  <c r="M14" i="17"/>
  <c r="L14" i="17"/>
  <c r="K14" i="17"/>
  <c r="J14" i="17"/>
  <c r="I14" i="17"/>
  <c r="H14" i="17"/>
  <c r="G14" i="17"/>
  <c r="F14" i="17"/>
  <c r="E14" i="17"/>
  <c r="D14" i="17"/>
  <c r="C14" i="17"/>
  <c r="AH14" i="17"/>
  <c r="AH14" i="22" l="1"/>
  <c r="AH14" i="25"/>
  <c r="AH14" i="20"/>
  <c r="AH14" i="19"/>
  <c r="AH14" i="24"/>
  <c r="AG14" i="15" l="1"/>
  <c r="AF14" i="15"/>
  <c r="AH14" i="15" l="1"/>
  <c r="C14" i="15"/>
  <c r="D14" i="15"/>
  <c r="E14" i="15"/>
  <c r="F14" i="15"/>
  <c r="G14" i="15"/>
  <c r="H14" i="15"/>
  <c r="I14" i="15"/>
  <c r="J14" i="15"/>
  <c r="K14" i="15"/>
  <c r="L14" i="15"/>
  <c r="M14" i="15"/>
  <c r="N14" i="15"/>
  <c r="O14" i="15"/>
  <c r="P14" i="15"/>
  <c r="Q14" i="15"/>
  <c r="R14" i="15"/>
  <c r="S14" i="15"/>
  <c r="T14" i="15"/>
  <c r="U14" i="15"/>
  <c r="V14" i="15"/>
  <c r="W14" i="15"/>
  <c r="X14" i="15"/>
  <c r="Y14" i="15"/>
  <c r="Z14" i="15"/>
  <c r="AA14" i="15"/>
  <c r="AB14" i="15"/>
  <c r="AC14" i="15"/>
  <c r="AD14" i="15"/>
  <c r="AE14" i="15"/>
  <c r="AE14" i="5" l="1"/>
  <c r="AD14" i="5"/>
  <c r="AC14" i="5"/>
  <c r="AB14" i="5"/>
  <c r="AA14" i="5"/>
  <c r="Z14" i="5"/>
  <c r="Y14" i="5"/>
  <c r="X14" i="5"/>
  <c r="W14" i="5"/>
  <c r="V14" i="5"/>
  <c r="U14" i="5"/>
  <c r="T14" i="5"/>
  <c r="S14" i="5"/>
  <c r="R14" i="5"/>
  <c r="Q14" i="5"/>
  <c r="P14" i="5"/>
  <c r="O14" i="5"/>
  <c r="N14" i="5"/>
  <c r="M14" i="5"/>
  <c r="L14" i="5"/>
  <c r="K14" i="5"/>
  <c r="J14" i="5"/>
  <c r="I14" i="5"/>
  <c r="H14" i="5"/>
  <c r="G14" i="5"/>
  <c r="F14" i="5"/>
  <c r="E14" i="5"/>
  <c r="D14" i="5"/>
  <c r="C14" i="5"/>
  <c r="AH14" i="5" l="1"/>
</calcChain>
</file>

<file path=xl/sharedStrings.xml><?xml version="1.0" encoding="utf-8"?>
<sst xmlns="http://schemas.openxmlformats.org/spreadsheetml/2006/main" count="629" uniqueCount="71">
  <si>
    <t>Calendrier des absences des employés</t>
  </si>
  <si>
    <t>Clé de motif d’absence</t>
  </si>
  <si>
    <t>Janvier</t>
  </si>
  <si>
    <t>Nom de l’employé</t>
  </si>
  <si>
    <t>C</t>
  </si>
  <si>
    <t>Dates d’absence</t>
  </si>
  <si>
    <t>1</t>
  </si>
  <si>
    <t>2</t>
  </si>
  <si>
    <t>3</t>
  </si>
  <si>
    <t>4</t>
  </si>
  <si>
    <t>M</t>
  </si>
  <si>
    <t>5</t>
  </si>
  <si>
    <t>6</t>
  </si>
  <si>
    <t>7</t>
  </si>
  <si>
    <t>8</t>
  </si>
  <si>
    <t>9</t>
  </si>
  <si>
    <t>Maladie</t>
  </si>
  <si>
    <t>10</t>
  </si>
  <si>
    <t>11</t>
  </si>
  <si>
    <t>12</t>
  </si>
  <si>
    <t>13</t>
  </si>
  <si>
    <t>14</t>
  </si>
  <si>
    <t>15</t>
  </si>
  <si>
    <t>16</t>
  </si>
  <si>
    <t>17</t>
  </si>
  <si>
    <t>18</t>
  </si>
  <si>
    <t>19</t>
  </si>
  <si>
    <t>20</t>
  </si>
  <si>
    <t>21</t>
  </si>
  <si>
    <t>22</t>
  </si>
  <si>
    <t>23</t>
  </si>
  <si>
    <t>24</t>
  </si>
  <si>
    <t>25</t>
  </si>
  <si>
    <t>26</t>
  </si>
  <si>
    <t>27</t>
  </si>
  <si>
    <t>28</t>
  </si>
  <si>
    <t>29</t>
  </si>
  <si>
    <t>30</t>
  </si>
  <si>
    <t>31</t>
  </si>
  <si>
    <t>Entrez l’année :</t>
  </si>
  <si>
    <t>Total des jours</t>
  </si>
  <si>
    <t>Février</t>
  </si>
  <si>
    <t xml:space="preserve"> </t>
  </si>
  <si>
    <t xml:space="preserve">  </t>
  </si>
  <si>
    <t>Mars</t>
  </si>
  <si>
    <t>Avril</t>
  </si>
  <si>
    <t>Mai</t>
  </si>
  <si>
    <t>Juin</t>
  </si>
  <si>
    <t>Juillet</t>
  </si>
  <si>
    <t>Août</t>
  </si>
  <si>
    <t>Septembre</t>
  </si>
  <si>
    <t>Octobre</t>
  </si>
  <si>
    <t>Novembre</t>
  </si>
  <si>
    <t>Décembre</t>
  </si>
  <si>
    <t>Noms des employés</t>
  </si>
  <si>
    <t>RTT</t>
  </si>
  <si>
    <t>R</t>
  </si>
  <si>
    <t>Congés payés</t>
  </si>
  <si>
    <t>Jours récupérés</t>
  </si>
  <si>
    <t>dRTT</t>
  </si>
  <si>
    <t>demi RTT</t>
  </si>
  <si>
    <t>Employé 1</t>
  </si>
  <si>
    <t>Employé 2</t>
  </si>
  <si>
    <t>Employé 3</t>
  </si>
  <si>
    <t>Employé 4</t>
  </si>
  <si>
    <t>Employé 5</t>
  </si>
  <si>
    <t>Employé 6</t>
  </si>
  <si>
    <t>Employé 7</t>
  </si>
  <si>
    <t>RTT restants</t>
  </si>
  <si>
    <t>CP restants</t>
  </si>
  <si>
    <t>CP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</si>
</sst>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10" x14ac:knownFonts="1">
    <font>
      <sz val="11"/>
      <color theme="1"/>
      <name val="Calibri"/>
      <family val="2"/>
      <scheme val="minor"/>
    </font>
    <font>
      <sz val="11"/>
      <color theme="1"/>
      <name val="Calibri"/>
      <family val="2"/>
      <scheme val="minor"/>
    </font>
    <font>
      <b/>
      <sz val="11"/>
      <color theme="1"/>
      <name val="Calibri"/>
      <family val="2"/>
      <scheme val="minor"/>
    </font>
    <font>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b/>
      <sz val="11"/>
      <color theme="3" tint="9.9978637043366805E-2"/>
      <name val="Calibri"/>
      <family val="2"/>
      <scheme val="minor"/>
    </font>
  </fonts>
  <fills count="23">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theme="8" tint="0.39994506668294322"/>
        <bgColor indexed="64"/>
      </patternFill>
    </fill>
    <fill>
      <patternFill patternType="solid">
        <fgColor theme="0"/>
        <bgColor indexed="64"/>
      </patternFill>
    </fill>
  </fills>
  <borders count="3">
    <border>
      <left/>
      <right/>
      <top/>
      <bottom/>
      <diagonal/>
    </border>
    <border>
      <left/>
      <right/>
      <top/>
      <bottom style="thin">
        <color indexed="64"/>
      </bottom>
      <diagonal/>
    </border>
    <border>
      <left style="thin">
        <color indexed="64"/>
      </left>
      <right style="thin">
        <color indexed="64"/>
      </right>
      <top style="thin">
        <color indexed="64"/>
      </top>
      <bottom style="thin">
        <color indexed="64"/>
      </bottom>
      <diagonal/>
    </border>
  </borders>
  <cellStyleXfs count="28">
    <xf numFmtId="0" fontId="0" fillId="0" borderId="0">
      <alignment horizontal="left" vertical="center"/>
    </xf>
    <xf numFmtId="0" fontId="7" fillId="0" borderId="0" applyNumberFormat="0" applyFill="0" applyBorder="0" applyProtection="0">
      <alignment vertical="top"/>
    </xf>
    <xf numFmtId="0" fontId="5" fillId="0" borderId="0" applyNumberFormat="0" applyFill="0" applyBorder="0" applyProtection="0">
      <alignment vertical="top"/>
    </xf>
    <xf numFmtId="0" fontId="6" fillId="2" borderId="0" applyNumberFormat="0" applyBorder="0" applyProtection="0">
      <alignment horizontal="center" vertical="center"/>
    </xf>
    <xf numFmtId="0" fontId="2" fillId="20" borderId="0" applyNumberFormat="0" applyProtection="0">
      <alignment horizontal="right" vertical="center" indent="1"/>
    </xf>
    <xf numFmtId="0" fontId="3" fillId="0" borderId="0" applyNumberFormat="0" applyFill="0" applyBorder="0" applyProtection="0">
      <alignment horizontal="left" vertical="center" indent="2"/>
    </xf>
    <xf numFmtId="0" fontId="4"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4"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4"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4" fillId="16" borderId="0" applyNumberFormat="0" applyBorder="0" applyAlignment="0" applyProtection="0"/>
    <xf numFmtId="0" fontId="4" fillId="19" borderId="0" applyNumberFormat="0" applyBorder="0" applyAlignment="0" applyProtection="0"/>
    <xf numFmtId="0" fontId="2" fillId="10" borderId="0" applyNumberFormat="0" applyBorder="0" applyAlignment="0" applyProtection="0"/>
    <xf numFmtId="0" fontId="4"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8" fillId="0" borderId="0">
      <alignment horizontal="center"/>
    </xf>
  </cellStyleXfs>
  <cellXfs count="35">
    <xf numFmtId="0" fontId="0" fillId="0" borderId="0" xfId="0">
      <alignment horizontal="left" vertical="center"/>
    </xf>
    <xf numFmtId="0" fontId="0" fillId="0" borderId="0" xfId="0" applyAlignment="1" applyProtection="1">
      <alignment horizontal="center" vertical="center"/>
    </xf>
    <xf numFmtId="0" fontId="0" fillId="0" borderId="0" xfId="0" applyFont="1" applyFill="1" applyBorder="1" applyAlignment="1" applyProtection="1">
      <alignment horizontal="center" vertical="center"/>
    </xf>
    <xf numFmtId="0" fontId="2" fillId="15" borderId="0" xfId="12" applyAlignment="1" applyProtection="1">
      <alignment horizontal="center" vertical="center"/>
    </xf>
    <xf numFmtId="0" fontId="2" fillId="10" borderId="0" xfId="19" applyAlignment="1" applyProtection="1">
      <alignment horizontal="center" vertical="center"/>
    </xf>
    <xf numFmtId="0" fontId="2" fillId="13" borderId="0" xfId="23" applyFont="1" applyAlignment="1" applyProtection="1">
      <alignment horizontal="center" vertical="center"/>
    </xf>
    <xf numFmtId="164" fontId="2" fillId="9" borderId="0" xfId="8" applyNumberFormat="1" applyFont="1" applyAlignment="1" applyProtection="1">
      <alignment horizontal="center" vertical="center"/>
    </xf>
    <xf numFmtId="1" fontId="1" fillId="0" borderId="0" xfId="25" applyFill="1" applyBorder="1" applyProtection="1">
      <alignment horizontal="center" vertical="center"/>
    </xf>
    <xf numFmtId="0" fontId="0" fillId="0" borderId="0" xfId="0" applyProtection="1">
      <alignment horizontal="left" vertical="center"/>
    </xf>
    <xf numFmtId="0" fontId="6" fillId="2" borderId="0" xfId="3" applyProtection="1">
      <alignment horizontal="center" vertical="center"/>
    </xf>
    <xf numFmtId="164" fontId="0" fillId="0" borderId="0" xfId="0" applyNumberFormat="1" applyFont="1" applyFill="1" applyBorder="1" applyAlignment="1" applyProtection="1">
      <alignment horizontal="center" vertical="center"/>
    </xf>
    <xf numFmtId="0" fontId="7" fillId="0" borderId="0" xfId="1" applyAlignment="1" applyProtection="1">
      <alignment vertical="top"/>
    </xf>
    <xf numFmtId="0" fontId="1" fillId="2" borderId="0" xfId="21" applyBorder="1" applyAlignment="1" applyProtection="1">
      <alignment horizontal="left" vertical="center" indent="1"/>
    </xf>
    <xf numFmtId="0" fontId="0" fillId="0" borderId="0" xfId="21" applyFont="1" applyFill="1" applyBorder="1" applyAlignment="1" applyProtection="1">
      <alignment horizontal="center" vertical="center"/>
    </xf>
    <xf numFmtId="0" fontId="1" fillId="0" borderId="0" xfId="26" applyFill="1" applyBorder="1" applyProtection="1">
      <alignment horizontal="left" vertical="center" wrapText="1" indent="2"/>
    </xf>
    <xf numFmtId="0" fontId="0" fillId="0" borderId="0" xfId="0" applyAlignment="1" applyProtection="1">
      <alignment horizontal="left" vertical="center" wrapText="1"/>
    </xf>
    <xf numFmtId="0" fontId="2" fillId="20" borderId="0" xfId="4" applyProtection="1">
      <alignment horizontal="right" vertical="center" indent="1"/>
    </xf>
    <xf numFmtId="0" fontId="8" fillId="0" borderId="0" xfId="27" applyProtection="1">
      <alignment horizontal="center"/>
    </xf>
    <xf numFmtId="0" fontId="0" fillId="0" borderId="0" xfId="0" applyFont="1" applyFill="1" applyBorder="1" applyAlignment="1" applyProtection="1">
      <alignment horizontal="left" vertical="center" indent="1"/>
    </xf>
    <xf numFmtId="0" fontId="7" fillId="0" borderId="0" xfId="1">
      <alignment vertical="top"/>
    </xf>
    <xf numFmtId="0" fontId="0" fillId="0" borderId="0" xfId="26" applyFont="1">
      <alignment horizontal="left" vertical="center" wrapText="1" indent="2"/>
    </xf>
    <xf numFmtId="0" fontId="0" fillId="21" borderId="0" xfId="0" applyFont="1" applyFill="1" applyBorder="1" applyAlignment="1" applyProtection="1">
      <alignment horizontal="center" vertical="center"/>
    </xf>
    <xf numFmtId="1" fontId="1" fillId="21" borderId="0" xfId="25" applyFill="1" applyBorder="1" applyProtection="1">
      <alignment horizontal="center" vertical="center"/>
    </xf>
    <xf numFmtId="1" fontId="0" fillId="21" borderId="0" xfId="25" applyFont="1" applyFill="1" applyBorder="1" applyProtection="1">
      <alignment horizontal="center" vertical="center"/>
    </xf>
    <xf numFmtId="0" fontId="1" fillId="2" borderId="0" xfId="21" applyAlignment="1" applyProtection="1">
      <alignment horizontal="left" vertical="center"/>
    </xf>
    <xf numFmtId="0" fontId="0" fillId="2" borderId="0" xfId="21" applyFont="1" applyAlignment="1" applyProtection="1">
      <alignment horizontal="left" vertical="center"/>
    </xf>
    <xf numFmtId="0" fontId="0" fillId="2" borderId="0" xfId="21" applyFont="1" applyBorder="1" applyAlignment="1" applyProtection="1">
      <alignment horizontal="left" vertical="center" indent="1"/>
    </xf>
    <xf numFmtId="1" fontId="1" fillId="0" borderId="0" xfId="25" applyProtection="1">
      <alignment horizontal="center" vertical="center"/>
    </xf>
    <xf numFmtId="0" fontId="0" fillId="0" borderId="1" xfId="0" applyBorder="1" applyProtection="1">
      <alignment horizontal="left" vertical="center"/>
    </xf>
    <xf numFmtId="1" fontId="1" fillId="22" borderId="2" xfId="25" applyFill="1" applyBorder="1" applyProtection="1">
      <alignment horizontal="center" vertical="center"/>
    </xf>
    <xf numFmtId="0" fontId="9" fillId="2" borderId="0" xfId="0" applyFont="1" applyFill="1" applyProtection="1">
      <alignment horizontal="left" vertical="center"/>
    </xf>
    <xf numFmtId="0" fontId="6" fillId="2" borderId="0" xfId="3" applyFill="1" applyProtection="1">
      <alignment horizontal="center" vertical="center"/>
    </xf>
    <xf numFmtId="0" fontId="6" fillId="2" borderId="0" xfId="3" applyProtection="1">
      <alignment horizontal="center" vertical="center"/>
    </xf>
    <xf numFmtId="0" fontId="0" fillId="2" borderId="0" xfId="21" applyFont="1" applyAlignment="1" applyProtection="1">
      <alignment horizontal="left" vertical="center"/>
    </xf>
    <xf numFmtId="0" fontId="1" fillId="2" borderId="0" xfId="21" applyAlignment="1" applyProtection="1">
      <alignment horizontal="left" vertical="center"/>
    </xf>
  </cellXfs>
  <cellStyles count="28">
    <cellStyle name="20 % - Accent1" xfId="15" builtinId="30" customBuiltin="1"/>
    <cellStyle name="20 % - Accent3" xfId="21" builtinId="38" customBuiltin="1"/>
    <cellStyle name="20 % - Accent4" xfId="7" builtinId="42"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3" xfId="23" builtinId="40" customBuiltin="1"/>
    <cellStyle name="60 % - Accent4" xfId="9" builtinId="44"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6" xfId="10" builtinId="49" customBuiltin="1"/>
    <cellStyle name="Employé" xfId="26"/>
    <cellStyle name="Étiquette" xfId="27"/>
    <cellStyle name="Normal" xfId="0" builtinId="0"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s>
  <dxfs count="936">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0"/>
      </font>
      <border>
        <vertical/>
        <horizontal/>
      </border>
    </dxf>
    <dxf>
      <font>
        <b val="0"/>
        <i val="0"/>
        <color theme="3"/>
      </font>
      <border>
        <vertical/>
        <horizontal/>
      </border>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fill>
        <patternFill patternType="none">
          <fgColor indexed="64"/>
          <bgColor indexed="65"/>
        </patternFill>
      </fill>
      <protection locked="1" hidden="0"/>
    </dxf>
    <dxf>
      <numFmt numFmtId="1" formatCode="0"/>
      <fill>
        <patternFill>
          <fgColor indexed="64"/>
          <bgColor theme="0"/>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numFmt numFmtId="1" formatCode="0"/>
      <fill>
        <patternFill>
          <fgColor indexed="64"/>
          <bgColor theme="0"/>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ill>
        <patternFill patternType="solid">
          <fgColor indexed="64"/>
          <bgColor theme="8" tint="0.39994506668294322"/>
        </patternFill>
      </fill>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ill>
        <patternFill patternType="none">
          <fgColor indexed="64"/>
          <bgColor indexed="65"/>
        </patternFill>
      </fill>
      <protection locked="1" hidden="0"/>
    </dxf>
    <dxf>
      <protection locked="1" hidden="0"/>
    </dxf>
    <dxf>
      <protection locked="1" hidden="0"/>
    </dxf>
    <dxf>
      <protection locked="1" hidden="0"/>
    </dxf>
    <dxf>
      <protection locked="1" hidden="0"/>
    </dxf>
    <dxf>
      <protection locked="1" hidden="0"/>
    </dxf>
    <dxf>
      <protection locked="1" hidden="0"/>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TableStyle="Tableau des absences des employés" defaultPivotStyle="PivotStyleLight16">
    <tableStyle name="Tableau des absences des employés" pivot="0" count="13">
      <tableStyleElement type="wholeTable" dxfId="935"/>
      <tableStyleElement type="headerRow" dxfId="934"/>
      <tableStyleElement type="totalRow" dxfId="933"/>
      <tableStyleElement type="firstColumn" dxfId="932"/>
      <tableStyleElement type="lastColumn" dxfId="931"/>
      <tableStyleElement type="firstRowStripe" dxfId="930"/>
      <tableStyleElement type="secondRowStripe" dxfId="929"/>
      <tableStyleElement type="firstColumnStripe" dxfId="928"/>
      <tableStyleElement type="secondColumnStripe" dxfId="927"/>
      <tableStyleElement type="firstHeaderCell" dxfId="926"/>
      <tableStyleElement type="lastHeaderCell" dxfId="925"/>
      <tableStyleElement type="firstTotalCell" dxfId="924"/>
      <tableStyleElement type="lastTotalCell" dxfId="923"/>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ables/table1.xml><?xml version="1.0" encoding="utf-8"?>
<table xmlns="http://schemas.openxmlformats.org/spreadsheetml/2006/main" id="3" name="Janvier" displayName="Janvier" ref="B6:AI14" totalsRowCount="1" headerRowDxfId="922" dataDxfId="921" totalsRowDxfId="920">
  <autoFilter ref="B6:AI13">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autoFilter>
  <tableColumns count="34">
    <tableColumn id="1" name="Nom de l’employé" totalsRowFunction="custom" dataDxfId="500" totalsRowDxfId="159" dataCellStyle="Employé">
      <totalsRowFormula>NomMois&amp;" Total"</totalsRowFormula>
    </tableColumn>
    <tableColumn id="2" name="1" totalsRowFunction="custom" dataDxfId="532" totalsRowDxfId="158" dataCellStyle="Total">
      <totalsRowFormula>SUBTOTAL(103,Janvier!$C$7:$C$13)</totalsRowFormula>
    </tableColumn>
    <tableColumn id="3" name="2" totalsRowFunction="custom" dataDxfId="531" totalsRowDxfId="157" dataCellStyle="Total">
      <totalsRowFormula>SUBTOTAL(103,Janvier!$D$7:$D$13)</totalsRowFormula>
    </tableColumn>
    <tableColumn id="4" name="3" totalsRowFunction="custom" dataDxfId="530" totalsRowDxfId="156" dataCellStyle="Total">
      <totalsRowFormula>SUBTOTAL(103,Janvier!$E$7:$E$13)</totalsRowFormula>
    </tableColumn>
    <tableColumn id="5" name="4" totalsRowFunction="custom" dataDxfId="529" totalsRowDxfId="155" dataCellStyle="Total">
      <totalsRowFormula>SUBTOTAL(103,Janvier!$F$7:$F$13)</totalsRowFormula>
    </tableColumn>
    <tableColumn id="6" name="5" totalsRowFunction="custom" totalsRowDxfId="154" dataCellStyle="Total">
      <totalsRowFormula>SUBTOTAL(103,Janvier!$G$7:$G$13)</totalsRowFormula>
    </tableColumn>
    <tableColumn id="7" name="6" totalsRowFunction="custom" dataDxfId="528" totalsRowDxfId="153" dataCellStyle="Total">
      <totalsRowFormula>SUBTOTAL(103,Janvier!$H$7:$H$13)</totalsRowFormula>
    </tableColumn>
    <tableColumn id="8" name="7" totalsRowFunction="custom" dataDxfId="527" totalsRowDxfId="152" dataCellStyle="Total">
      <totalsRowFormula>SUBTOTAL(103,Janvier!$I$7:$I$13)</totalsRowFormula>
    </tableColumn>
    <tableColumn id="9" name="8" totalsRowFunction="custom" dataDxfId="526" totalsRowDxfId="151" dataCellStyle="Total">
      <totalsRowFormula>SUBTOTAL(103,Janvier!$J$7:$J$13)</totalsRowFormula>
    </tableColumn>
    <tableColumn id="10" name="9" totalsRowFunction="custom" dataDxfId="525" totalsRowDxfId="150" dataCellStyle="Total">
      <totalsRowFormula>SUBTOTAL(103,Janvier!$K$7:$K$13)</totalsRowFormula>
    </tableColumn>
    <tableColumn id="11" name="10" totalsRowFunction="custom" dataDxfId="524" totalsRowDxfId="149" dataCellStyle="Total">
      <totalsRowFormula>SUBTOTAL(103,Janvier!$L$7:$L$13)</totalsRowFormula>
    </tableColumn>
    <tableColumn id="12" name="11" totalsRowFunction="custom" dataDxfId="523" totalsRowDxfId="148" dataCellStyle="Total">
      <totalsRowFormula>SUBTOTAL(103,Janvier!$M$7:$M$13)</totalsRowFormula>
    </tableColumn>
    <tableColumn id="13" name="12" totalsRowFunction="custom" dataDxfId="522" totalsRowDxfId="147" dataCellStyle="Total">
      <totalsRowFormula>SUBTOTAL(103,Janvier!$N$7:$N$13)</totalsRowFormula>
    </tableColumn>
    <tableColumn id="14" name="13" totalsRowFunction="custom" dataDxfId="521" totalsRowDxfId="146" dataCellStyle="Total">
      <totalsRowFormula>SUBTOTAL(103,Janvier!$O$7:$O$13)</totalsRowFormula>
    </tableColumn>
    <tableColumn id="15" name="14" totalsRowFunction="custom" dataDxfId="520" totalsRowDxfId="145" dataCellStyle="Total">
      <totalsRowFormula>SUBTOTAL(103,Janvier!$P$7:$P$13)</totalsRowFormula>
    </tableColumn>
    <tableColumn id="16" name="15" totalsRowFunction="custom" dataDxfId="519" totalsRowDxfId="144" dataCellStyle="Total">
      <totalsRowFormula>SUBTOTAL(103,Janvier!$Q$7:$Q$13)</totalsRowFormula>
    </tableColumn>
    <tableColumn id="17" name="16" totalsRowFunction="custom" dataDxfId="518" totalsRowDxfId="143" dataCellStyle="Total">
      <totalsRowFormula>SUBTOTAL(103,Janvier!$R$7:$R$13)</totalsRowFormula>
    </tableColumn>
    <tableColumn id="18" name="17" totalsRowFunction="custom" dataDxfId="517" totalsRowDxfId="142" dataCellStyle="Total">
      <totalsRowFormula>SUBTOTAL(103,Janvier!$S$7:$S$13)</totalsRowFormula>
    </tableColumn>
    <tableColumn id="19" name="18" totalsRowFunction="custom" dataDxfId="516" totalsRowDxfId="141" dataCellStyle="Total">
      <totalsRowFormula>SUBTOTAL(103,Janvier!$T$7:$T$13)</totalsRowFormula>
    </tableColumn>
    <tableColumn id="20" name="19" totalsRowFunction="custom" dataDxfId="515" totalsRowDxfId="140" dataCellStyle="Total">
      <totalsRowFormula>SUBTOTAL(103,Janvier!$U$7:$U$13)</totalsRowFormula>
    </tableColumn>
    <tableColumn id="21" name="20" totalsRowFunction="custom" dataDxfId="514" totalsRowDxfId="139" dataCellStyle="Total">
      <totalsRowFormula>SUBTOTAL(103,Janvier!$V$7:$V$13)</totalsRowFormula>
    </tableColumn>
    <tableColumn id="22" name="21" totalsRowFunction="custom" dataDxfId="513" totalsRowDxfId="138" dataCellStyle="Total">
      <totalsRowFormula>SUBTOTAL(103,Janvier!$W$7:$W$13)</totalsRowFormula>
    </tableColumn>
    <tableColumn id="23" name="22" totalsRowFunction="custom" dataDxfId="512" totalsRowDxfId="137" dataCellStyle="Total">
      <totalsRowFormula>SUBTOTAL(103,Janvier!$X$7:$X$13)</totalsRowFormula>
    </tableColumn>
    <tableColumn id="24" name="23" totalsRowFunction="custom" dataDxfId="511" totalsRowDxfId="136" dataCellStyle="Total">
      <totalsRowFormula>SUBTOTAL(103,Janvier!$Y$7:$Y$13)</totalsRowFormula>
    </tableColumn>
    <tableColumn id="25" name="24" totalsRowFunction="custom" dataDxfId="510" totalsRowDxfId="135" dataCellStyle="Total">
      <totalsRowFormula>SUBTOTAL(103,Janvier!$Z$7:$Z$13)</totalsRowFormula>
    </tableColumn>
    <tableColumn id="26" name="25" totalsRowFunction="custom" dataDxfId="509" totalsRowDxfId="134" dataCellStyle="Total">
      <totalsRowFormula>SUBTOTAL(103,Janvier!$AA$7:$AA$13)</totalsRowFormula>
    </tableColumn>
    <tableColumn id="27" name="26" totalsRowFunction="custom" dataDxfId="508" totalsRowDxfId="133" dataCellStyle="Total">
      <totalsRowFormula>SUBTOTAL(103,Janvier!$AB$7:$AB$13)</totalsRowFormula>
    </tableColumn>
    <tableColumn id="28" name="27" totalsRowFunction="custom" dataDxfId="507" totalsRowDxfId="132" dataCellStyle="Total">
      <totalsRowFormula>SUBTOTAL(103,Janvier!$AC$7:$AC$13)</totalsRowFormula>
    </tableColumn>
    <tableColumn id="29" name="28" totalsRowFunction="custom" dataDxfId="506" totalsRowDxfId="131" dataCellStyle="Total">
      <totalsRowFormula>SUBTOTAL(103,Janvier!$AD$7:$AD$13)</totalsRowFormula>
    </tableColumn>
    <tableColumn id="30" name="29" totalsRowFunction="custom" dataDxfId="505" totalsRowDxfId="130" dataCellStyle="Total">
      <totalsRowFormula>SUBTOTAL(103,Janvier!$AE$7:$AE$13)</totalsRowFormula>
    </tableColumn>
    <tableColumn id="31" name="30" totalsRowFunction="custom" dataDxfId="504" totalsRowDxfId="129" dataCellStyle="Total">
      <totalsRowFormula>SUBTOTAL(103,Janvier!$AF$7:$AF$13)</totalsRowFormula>
    </tableColumn>
    <tableColumn id="32" name="31" totalsRowFunction="custom" dataDxfId="503" totalsRowDxfId="128" dataCellStyle="Total">
      <totalsRowFormula>SUBTOTAL(103,Janvier!$AG$7:$AG$13)</totalsRowFormula>
    </tableColumn>
    <tableColumn id="34" name="RTT restants" dataDxfId="502" totalsRowDxfId="127" dataCellStyle="Total">
      <calculatedColumnFormula>COUNTIF(Janvier[[#This Row],[1]:[31]],"RTT")</calculatedColumnFormula>
    </tableColumn>
    <tableColumn id="35" name="CP restants" dataDxfId="501" totalsRowDxfId="126" dataCellStyle="Total">
      <calculatedColumnFormula>COUNTIF(Janvier[[#This Row],[1]:[31]],"C")</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id="2" name="Février" displayName="Février" ref="B6:AI14" totalsRowCount="1" headerRowDxfId="919" dataDxfId="918" totalsRowDxfId="917">
  <tableColumns count="34">
    <tableColumn id="1" name="Nom de l’employé" totalsRowFunction="custom" dataDxfId="916" totalsRowDxfId="125">
      <totalsRowFormula>NomMois&amp;" Total"</totalsRowFormula>
    </tableColumn>
    <tableColumn id="2" name="1" totalsRowFunction="count" dataDxfId="915" totalsRowDxfId="124" dataCellStyle="Total"/>
    <tableColumn id="3" name="2" totalsRowFunction="count" dataDxfId="914" totalsRowDxfId="123" dataCellStyle="Total"/>
    <tableColumn id="4" name="3" totalsRowFunction="count" dataDxfId="913" totalsRowDxfId="122" dataCellStyle="Total"/>
    <tableColumn id="5" name="4" totalsRowFunction="count" dataDxfId="912" totalsRowDxfId="121" dataCellStyle="Total"/>
    <tableColumn id="6" name="5" totalsRowFunction="count" dataDxfId="911" totalsRowDxfId="120" dataCellStyle="Total"/>
    <tableColumn id="7" name="6" totalsRowFunction="count" dataDxfId="910" totalsRowDxfId="119" dataCellStyle="Total"/>
    <tableColumn id="8" name="7" totalsRowFunction="count" dataDxfId="909" totalsRowDxfId="118" dataCellStyle="Total"/>
    <tableColumn id="9" name="8" totalsRowFunction="count" dataDxfId="908" totalsRowDxfId="117" dataCellStyle="Total"/>
    <tableColumn id="10" name="9" totalsRowFunction="count" dataDxfId="907" totalsRowDxfId="116" dataCellStyle="Total"/>
    <tableColumn id="11" name="10" totalsRowFunction="count" dataDxfId="906" totalsRowDxfId="115" dataCellStyle="Total"/>
    <tableColumn id="12" name="11" totalsRowFunction="count" dataDxfId="905" totalsRowDxfId="114" dataCellStyle="Total"/>
    <tableColumn id="13" name="12" totalsRowFunction="count" dataDxfId="904" totalsRowDxfId="113" dataCellStyle="Total"/>
    <tableColumn id="14" name="13" totalsRowFunction="count" dataDxfId="903" totalsRowDxfId="112" dataCellStyle="Total"/>
    <tableColumn id="15" name="14" totalsRowFunction="count" dataDxfId="902" totalsRowDxfId="111" dataCellStyle="Total"/>
    <tableColumn id="16" name="15" totalsRowFunction="count" dataDxfId="901" totalsRowDxfId="110" dataCellStyle="Total"/>
    <tableColumn id="17" name="16" totalsRowFunction="count" dataDxfId="900" totalsRowDxfId="109" dataCellStyle="Total"/>
    <tableColumn id="18" name="17" totalsRowFunction="count" dataDxfId="899" totalsRowDxfId="108" dataCellStyle="Total"/>
    <tableColumn id="19" name="18" totalsRowFunction="count" dataDxfId="898" totalsRowDxfId="107" dataCellStyle="Total"/>
    <tableColumn id="20" name="19" totalsRowFunction="count" dataDxfId="897" totalsRowDxfId="106" dataCellStyle="Total"/>
    <tableColumn id="21" name="20" totalsRowFunction="count" dataDxfId="896" totalsRowDxfId="105" dataCellStyle="Total"/>
    <tableColumn id="22" name="21" totalsRowFunction="count" dataDxfId="895" totalsRowDxfId="104" dataCellStyle="Total"/>
    <tableColumn id="23" name="22" totalsRowFunction="count" dataDxfId="894" totalsRowDxfId="103" dataCellStyle="Total"/>
    <tableColumn id="24" name="23" totalsRowFunction="count" dataDxfId="893" totalsRowDxfId="102" dataCellStyle="Total"/>
    <tableColumn id="25" name="24" totalsRowFunction="count" dataDxfId="892" totalsRowDxfId="101" dataCellStyle="Total"/>
    <tableColumn id="26" name="25" totalsRowFunction="count" dataDxfId="891" totalsRowDxfId="100" dataCellStyle="Total"/>
    <tableColumn id="27" name="26" totalsRowFunction="count" dataDxfId="890" totalsRowDxfId="99" dataCellStyle="Total"/>
    <tableColumn id="28" name="27" totalsRowFunction="count" dataDxfId="889" totalsRowDxfId="98" dataCellStyle="Total"/>
    <tableColumn id="29" name="28" totalsRowFunction="count" dataDxfId="888" totalsRowDxfId="97" dataCellStyle="Total"/>
    <tableColumn id="30" name="29" totalsRowFunction="count" dataDxfId="887" totalsRowDxfId="96" dataCellStyle="Total"/>
    <tableColumn id="31" name=" " dataDxfId="886" totalsRowDxfId="95" dataCellStyle="Total"/>
    <tableColumn id="32" name="  " dataDxfId="885" totalsRowDxfId="94" dataCellStyle="Total"/>
    <tableColumn id="33" name="RTT restants" totalsRowFunction="sum" dataDxfId="884" totalsRowDxfId="93" dataCellStyle="Total">
      <calculatedColumnFormula>COUNTA(Février[[#This Row],[1]:[29]])</calculatedColumnFormula>
    </tableColumn>
    <tableColumn id="34" name="CP restants" dataDxfId="883" totalsRowDxfId="92" dataCellStyle="Total"/>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id="14" name="Mars" displayName="Mars" ref="B6:AH14" totalsRowCount="1" headerRowDxfId="882" dataDxfId="881" totalsRowDxfId="880">
  <tableColumns count="33">
    <tableColumn id="1" name="Nom de l’employé" totalsRowFunction="custom" dataDxfId="499" totalsRowDxfId="498" dataCellStyle="Employé">
      <totalsRowFormula>NomMois&amp;" Total"</totalsRowFormula>
    </tableColumn>
    <tableColumn id="2" name="1" totalsRowFunction="count" dataDxfId="879" totalsRowDxfId="497"/>
    <tableColumn id="3" name="2" totalsRowFunction="count" dataDxfId="878" totalsRowDxfId="496"/>
    <tableColumn id="4" name="3" totalsRowFunction="count" dataDxfId="877" totalsRowDxfId="495"/>
    <tableColumn id="5" name="4" totalsRowFunction="count" dataDxfId="876" totalsRowDxfId="494"/>
    <tableColumn id="6" name="5" totalsRowFunction="count" dataDxfId="875" totalsRowDxfId="493"/>
    <tableColumn id="7" name="6" totalsRowFunction="count" dataDxfId="874" totalsRowDxfId="492"/>
    <tableColumn id="8" name="7" totalsRowFunction="count" dataDxfId="873" totalsRowDxfId="491"/>
    <tableColumn id="9" name="8" totalsRowFunction="count" dataDxfId="872" totalsRowDxfId="490"/>
    <tableColumn id="10" name="9" totalsRowFunction="count" dataDxfId="871" totalsRowDxfId="489"/>
    <tableColumn id="11" name="10" totalsRowFunction="count" dataDxfId="870" totalsRowDxfId="488"/>
    <tableColumn id="12" name="11" totalsRowFunction="count" dataDxfId="869" totalsRowDxfId="487"/>
    <tableColumn id="13" name="12" totalsRowFunction="count" dataDxfId="868" totalsRowDxfId="486"/>
    <tableColumn id="14" name="13" totalsRowFunction="count" dataDxfId="867" totalsRowDxfId="485"/>
    <tableColumn id="15" name="14" totalsRowFunction="count" dataDxfId="866" totalsRowDxfId="484"/>
    <tableColumn id="16" name="15" totalsRowFunction="count" dataDxfId="865" totalsRowDxfId="483"/>
    <tableColumn id="17" name="16" totalsRowFunction="count" dataDxfId="864" totalsRowDxfId="482"/>
    <tableColumn id="18" name="17" totalsRowFunction="count" dataDxfId="863" totalsRowDxfId="481"/>
    <tableColumn id="19" name="18" totalsRowFunction="count" dataDxfId="862" totalsRowDxfId="480"/>
    <tableColumn id="20" name="19" totalsRowFunction="count" dataDxfId="861" totalsRowDxfId="479"/>
    <tableColumn id="21" name="20" totalsRowFunction="count" dataDxfId="860" totalsRowDxfId="478"/>
    <tableColumn id="22" name="21" totalsRowFunction="count" dataDxfId="859" totalsRowDxfId="477"/>
    <tableColumn id="23" name="22" totalsRowFunction="count" dataDxfId="858" totalsRowDxfId="476"/>
    <tableColumn id="24" name="23" totalsRowFunction="count" dataDxfId="857" totalsRowDxfId="475"/>
    <tableColumn id="25" name="24" totalsRowFunction="count" dataDxfId="856" totalsRowDxfId="474"/>
    <tableColumn id="26" name="25" totalsRowFunction="count" dataDxfId="855" totalsRowDxfId="473"/>
    <tableColumn id="27" name="26" totalsRowFunction="count" dataDxfId="854" totalsRowDxfId="472"/>
    <tableColumn id="28" name="27" totalsRowFunction="count" dataDxfId="853" totalsRowDxfId="471"/>
    <tableColumn id="29" name="28" totalsRowFunction="count" dataDxfId="852" totalsRowDxfId="470"/>
    <tableColumn id="30" name="29" totalsRowFunction="count" dataDxfId="851" totalsRowDxfId="469"/>
    <tableColumn id="31" name="30" totalsRowFunction="sum" dataDxfId="850" totalsRowDxfId="468"/>
    <tableColumn id="32" name="31" totalsRowFunction="sum" dataDxfId="849" totalsRowDxfId="467" dataCellStyle="Total"/>
    <tableColumn id="33" name="Total des jours" totalsRowFunction="sum" dataDxfId="848" totalsRowDxfId="466" dataCellStyle="Total">
      <calculatedColumnFormula>COUNTA(Mars[[#This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id="15" name="Avril" displayName="Avril" ref="B6:AH14" totalsRowCount="1" headerRowDxfId="847" dataDxfId="846" totalsRowDxfId="845">
  <tableColumns count="33">
    <tableColumn id="1" name="Nom de l’employé" totalsRowFunction="custom" dataDxfId="465" totalsRowDxfId="464" dataCellStyle="Employé">
      <totalsRowFormula>NomMois&amp;" Total"</totalsRowFormula>
    </tableColumn>
    <tableColumn id="2" name="1" totalsRowFunction="count" dataDxfId="844" totalsRowDxfId="463"/>
    <tableColumn id="3" name="2" totalsRowFunction="count" dataDxfId="843" totalsRowDxfId="462"/>
    <tableColumn id="4" name="3" totalsRowFunction="count" dataDxfId="842" totalsRowDxfId="461"/>
    <tableColumn id="5" name="4" totalsRowFunction="count" dataDxfId="841" totalsRowDxfId="460"/>
    <tableColumn id="6" name="5" totalsRowFunction="count" dataDxfId="840" totalsRowDxfId="459"/>
    <tableColumn id="7" name="6" totalsRowFunction="count" dataDxfId="839" totalsRowDxfId="458"/>
    <tableColumn id="8" name="7" totalsRowFunction="count" dataDxfId="838" totalsRowDxfId="457"/>
    <tableColumn id="9" name="8" totalsRowFunction="count" dataDxfId="837" totalsRowDxfId="456"/>
    <tableColumn id="10" name="9" totalsRowFunction="count" dataDxfId="836" totalsRowDxfId="455"/>
    <tableColumn id="11" name="10" totalsRowFunction="count" dataDxfId="835" totalsRowDxfId="454"/>
    <tableColumn id="12" name="11" totalsRowFunction="count" dataDxfId="834" totalsRowDxfId="453"/>
    <tableColumn id="13" name="12" totalsRowFunction="count" dataDxfId="833" totalsRowDxfId="452"/>
    <tableColumn id="14" name="13" totalsRowFunction="count" dataDxfId="832" totalsRowDxfId="451"/>
    <tableColumn id="15" name="14" totalsRowFunction="count" dataDxfId="831" totalsRowDxfId="450"/>
    <tableColumn id="16" name="15" totalsRowFunction="count" dataDxfId="830" totalsRowDxfId="449"/>
    <tableColumn id="17" name="16" totalsRowFunction="count" dataDxfId="829" totalsRowDxfId="448"/>
    <tableColumn id="18" name="17" totalsRowFunction="count" dataDxfId="828" totalsRowDxfId="447"/>
    <tableColumn id="19" name="18" totalsRowFunction="count" dataDxfId="827" totalsRowDxfId="446"/>
    <tableColumn id="20" name="19" totalsRowFunction="count" dataDxfId="826" totalsRowDxfId="445"/>
    <tableColumn id="21" name="20" totalsRowFunction="count" dataDxfId="825" totalsRowDxfId="444"/>
    <tableColumn id="22" name="21" totalsRowFunction="count" dataDxfId="824" totalsRowDxfId="443"/>
    <tableColumn id="23" name="22" totalsRowFunction="count" dataDxfId="823" totalsRowDxfId="442"/>
    <tableColumn id="24" name="23" totalsRowFunction="count" dataDxfId="822" totalsRowDxfId="441"/>
    <tableColumn id="25" name="24" totalsRowFunction="count" dataDxfId="821" totalsRowDxfId="440"/>
    <tableColumn id="26" name="25" totalsRowFunction="count" dataDxfId="820" totalsRowDxfId="439"/>
    <tableColumn id="27" name="26" totalsRowFunction="count" dataDxfId="819" totalsRowDxfId="438"/>
    <tableColumn id="28" name="27" totalsRowFunction="count" dataDxfId="818" totalsRowDxfId="437"/>
    <tableColumn id="29" name="28" totalsRowFunction="count" dataDxfId="817" totalsRowDxfId="436"/>
    <tableColumn id="30" name="29" totalsRowFunction="count" dataDxfId="816" totalsRowDxfId="435"/>
    <tableColumn id="31" name="30" totalsRowFunction="sum" dataDxfId="815" totalsRowDxfId="434"/>
    <tableColumn id="32" name="31" totalsRowFunction="sum" dataDxfId="814" totalsRowDxfId="433" dataCellStyle="Total"/>
    <tableColumn id="33" name="Total des jours" totalsRowFunction="sum" dataDxfId="813" totalsRowDxfId="432" dataCellStyle="Total">
      <calculatedColumnFormula>COUNTA(Avril[[#This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id="16" name="Mai" displayName="Mai" ref="B6:AH14" totalsRowCount="1" headerRowDxfId="812" dataDxfId="811" totalsRowDxfId="810">
  <tableColumns count="33">
    <tableColumn id="1" name="Nom de l’employé" totalsRowFunction="custom" dataDxfId="431" totalsRowDxfId="430" dataCellStyle="Employé">
      <totalsRowFormula>NomMois&amp;" Total"</totalsRowFormula>
    </tableColumn>
    <tableColumn id="2" name="1" totalsRowFunction="count" dataDxfId="809" totalsRowDxfId="429"/>
    <tableColumn id="3" name="2" totalsRowFunction="count" dataDxfId="808" totalsRowDxfId="428"/>
    <tableColumn id="4" name="3" totalsRowFunction="count" dataDxfId="807" totalsRowDxfId="427"/>
    <tableColumn id="5" name="4" totalsRowFunction="count" dataDxfId="806" totalsRowDxfId="426"/>
    <tableColumn id="6" name="5" totalsRowFunction="count" dataDxfId="805" totalsRowDxfId="425"/>
    <tableColumn id="7" name="6" totalsRowFunction="count" dataDxfId="804" totalsRowDxfId="424"/>
    <tableColumn id="8" name="7" totalsRowFunction="count" dataDxfId="803" totalsRowDxfId="423"/>
    <tableColumn id="9" name="8" totalsRowFunction="count" dataDxfId="802" totalsRowDxfId="422"/>
    <tableColumn id="10" name="9" totalsRowFunction="count" dataDxfId="801" totalsRowDxfId="421"/>
    <tableColumn id="11" name="10" totalsRowFunction="count" dataDxfId="800" totalsRowDxfId="420"/>
    <tableColumn id="12" name="11" totalsRowFunction="count" dataDxfId="799" totalsRowDxfId="419"/>
    <tableColumn id="13" name="12" totalsRowFunction="count" dataDxfId="798" totalsRowDxfId="418"/>
    <tableColumn id="14" name="13" totalsRowFunction="count" dataDxfId="797" totalsRowDxfId="417"/>
    <tableColumn id="15" name="14" totalsRowFunction="count" dataDxfId="796" totalsRowDxfId="416"/>
    <tableColumn id="16" name="15" totalsRowFunction="count" dataDxfId="795" totalsRowDxfId="415"/>
    <tableColumn id="17" name="16" totalsRowFunction="count" dataDxfId="794" totalsRowDxfId="414"/>
    <tableColumn id="18" name="17" totalsRowFunction="count" dataDxfId="793" totalsRowDxfId="413"/>
    <tableColumn id="19" name="18" totalsRowFunction="count" dataDxfId="792" totalsRowDxfId="412"/>
    <tableColumn id="20" name="19" totalsRowFunction="count" dataDxfId="791" totalsRowDxfId="411"/>
    <tableColumn id="21" name="20" totalsRowFunction="count" dataDxfId="790" totalsRowDxfId="410"/>
    <tableColumn id="22" name="21" totalsRowFunction="count" dataDxfId="789" totalsRowDxfId="409"/>
    <tableColumn id="23" name="22" totalsRowFunction="count" dataDxfId="788" totalsRowDxfId="408"/>
    <tableColumn id="24" name="23" totalsRowFunction="count" dataDxfId="787" totalsRowDxfId="407"/>
    <tableColumn id="25" name="24" totalsRowFunction="count" dataDxfId="786" totalsRowDxfId="406"/>
    <tableColumn id="26" name="25" totalsRowFunction="count" dataDxfId="785" totalsRowDxfId="405"/>
    <tableColumn id="27" name="26" totalsRowFunction="count" dataDxfId="784" totalsRowDxfId="404"/>
    <tableColumn id="28" name="27" totalsRowFunction="count" dataDxfId="783" totalsRowDxfId="403"/>
    <tableColumn id="29" name="28" totalsRowFunction="count" dataDxfId="782" totalsRowDxfId="402"/>
    <tableColumn id="30" name="29" totalsRowFunction="count" dataDxfId="781" totalsRowDxfId="401"/>
    <tableColumn id="31" name="30" totalsRowFunction="sum" dataDxfId="780" totalsRowDxfId="400"/>
    <tableColumn id="32" name="31" totalsRowFunction="sum" dataDxfId="779" totalsRowDxfId="399" dataCellStyle="Total"/>
    <tableColumn id="33" name="Total des jours" totalsRowFunction="sum" dataDxfId="778" totalsRowDxfId="398" dataCellStyle="Total">
      <calculatedColumnFormula>COUNTA(Mai[[#This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id="17" name="Juin" displayName="Juin" ref="B6:AH14" totalsRowCount="1" headerRowDxfId="777" dataDxfId="776" totalsRowDxfId="775">
  <tableColumns count="33">
    <tableColumn id="1" name="Nom de l’employé" totalsRowFunction="custom" dataDxfId="397" totalsRowDxfId="396" dataCellStyle="Employé">
      <totalsRowFormula>NomMois&amp;" Total"</totalsRowFormula>
    </tableColumn>
    <tableColumn id="2" name="1" totalsRowFunction="count" dataDxfId="774" totalsRowDxfId="395"/>
    <tableColumn id="3" name="2" totalsRowFunction="count" dataDxfId="773" totalsRowDxfId="394"/>
    <tableColumn id="4" name="3" totalsRowFunction="count" dataDxfId="772" totalsRowDxfId="393"/>
    <tableColumn id="5" name="4" totalsRowFunction="count" dataDxfId="771" totalsRowDxfId="392"/>
    <tableColumn id="6" name="5" totalsRowFunction="count" dataDxfId="770" totalsRowDxfId="391"/>
    <tableColumn id="7" name="6" totalsRowFunction="count" dataDxfId="769" totalsRowDxfId="390"/>
    <tableColumn id="8" name="7" totalsRowFunction="count" dataDxfId="768" totalsRowDxfId="389"/>
    <tableColumn id="9" name="8" totalsRowFunction="count" dataDxfId="767" totalsRowDxfId="388"/>
    <tableColumn id="10" name="9" totalsRowFunction="count" dataDxfId="766" totalsRowDxfId="387"/>
    <tableColumn id="11" name="10" totalsRowFunction="count" dataDxfId="765" totalsRowDxfId="386"/>
    <tableColumn id="12" name="11" totalsRowFunction="count" dataDxfId="764" totalsRowDxfId="385"/>
    <tableColumn id="13" name="12" totalsRowFunction="count" dataDxfId="763" totalsRowDxfId="384"/>
    <tableColumn id="14" name="13" totalsRowFunction="count" dataDxfId="762" totalsRowDxfId="383"/>
    <tableColumn id="15" name="14" totalsRowFunction="count" dataDxfId="761" totalsRowDxfId="382"/>
    <tableColumn id="16" name="15" totalsRowFunction="count" dataDxfId="760" totalsRowDxfId="381"/>
    <tableColumn id="17" name="16" totalsRowFunction="count" dataDxfId="759" totalsRowDxfId="380"/>
    <tableColumn id="18" name="17" totalsRowFunction="count" dataDxfId="758" totalsRowDxfId="379"/>
    <tableColumn id="19" name="18" totalsRowFunction="count" dataDxfId="757" totalsRowDxfId="378"/>
    <tableColumn id="20" name="19" totalsRowFunction="count" dataDxfId="756" totalsRowDxfId="377"/>
    <tableColumn id="21" name="20" totalsRowFunction="count" dataDxfId="755" totalsRowDxfId="376"/>
    <tableColumn id="22" name="21" totalsRowFunction="count" dataDxfId="754" totalsRowDxfId="375"/>
    <tableColumn id="23" name="22" totalsRowFunction="count" dataDxfId="753" totalsRowDxfId="374"/>
    <tableColumn id="24" name="23" totalsRowFunction="count" dataDxfId="752" totalsRowDxfId="373"/>
    <tableColumn id="25" name="24" totalsRowFunction="count" dataDxfId="751" totalsRowDxfId="372"/>
    <tableColumn id="26" name="25" totalsRowFunction="count" dataDxfId="750" totalsRowDxfId="371"/>
    <tableColumn id="27" name="26" totalsRowFunction="count" dataDxfId="749" totalsRowDxfId="370"/>
    <tableColumn id="28" name="27" totalsRowFunction="count" dataDxfId="748" totalsRowDxfId="369"/>
    <tableColumn id="29" name="28" totalsRowFunction="count" dataDxfId="747" totalsRowDxfId="368"/>
    <tableColumn id="30" name="29" totalsRowFunction="count" dataDxfId="746" totalsRowDxfId="367"/>
    <tableColumn id="31" name="30" totalsRowFunction="sum" dataDxfId="745" totalsRowDxfId="366"/>
    <tableColumn id="32" name="31" totalsRowFunction="sum" dataDxfId="744" totalsRowDxfId="365" dataCellStyle="Total"/>
    <tableColumn id="33" name="Total des jours" totalsRowFunction="sum" dataDxfId="743" totalsRowDxfId="364" dataCellStyle="Total">
      <calculatedColumnFormula>COUNTA(Juin[[#This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id="18" name="Juillet" displayName="Juillet" ref="B6:AH14" totalsRowCount="1" headerRowDxfId="742" dataDxfId="741" totalsRowDxfId="740">
  <tableColumns count="33">
    <tableColumn id="1" name="Nom de l’employé" totalsRowFunction="custom" dataDxfId="363" totalsRowDxfId="362" dataCellStyle="Employé">
      <totalsRowFormula>NomMois&amp;" Total"</totalsRowFormula>
    </tableColumn>
    <tableColumn id="2" name="1" totalsRowFunction="count" dataDxfId="739" totalsRowDxfId="361"/>
    <tableColumn id="3" name="2" totalsRowFunction="count" dataDxfId="738" totalsRowDxfId="360"/>
    <tableColumn id="4" name="3" totalsRowFunction="count" dataDxfId="737" totalsRowDxfId="359"/>
    <tableColumn id="5" name="4" totalsRowFunction="count" dataDxfId="736" totalsRowDxfId="358"/>
    <tableColumn id="6" name="5" totalsRowFunction="count" dataDxfId="735" totalsRowDxfId="357"/>
    <tableColumn id="7" name="6" totalsRowFunction="count" dataDxfId="734" totalsRowDxfId="356"/>
    <tableColumn id="8" name="7" totalsRowFunction="count" dataDxfId="733" totalsRowDxfId="355"/>
    <tableColumn id="9" name="8" totalsRowFunction="count" dataDxfId="732" totalsRowDxfId="354"/>
    <tableColumn id="10" name="9" totalsRowFunction="count" dataDxfId="731" totalsRowDxfId="353"/>
    <tableColumn id="11" name="10" totalsRowFunction="count" dataDxfId="730" totalsRowDxfId="352"/>
    <tableColumn id="12" name="11" totalsRowFunction="count" dataDxfId="729" totalsRowDxfId="351"/>
    <tableColumn id="13" name="12" totalsRowFunction="count" dataDxfId="728" totalsRowDxfId="350"/>
    <tableColumn id="14" name="13" totalsRowFunction="count" dataDxfId="727" totalsRowDxfId="349"/>
    <tableColumn id="15" name="14" totalsRowFunction="count" dataDxfId="726" totalsRowDxfId="348"/>
    <tableColumn id="16" name="15" totalsRowFunction="count" dataDxfId="725" totalsRowDxfId="347"/>
    <tableColumn id="17" name="16" totalsRowFunction="count" dataDxfId="724" totalsRowDxfId="346"/>
    <tableColumn id="18" name="17" totalsRowFunction="count" dataDxfId="723" totalsRowDxfId="345"/>
    <tableColumn id="19" name="18" totalsRowFunction="count" dataDxfId="722" totalsRowDxfId="344"/>
    <tableColumn id="20" name="19" totalsRowFunction="count" dataDxfId="721" totalsRowDxfId="343"/>
    <tableColumn id="21" name="20" totalsRowFunction="count" dataDxfId="720" totalsRowDxfId="342"/>
    <tableColumn id="22" name="21" totalsRowFunction="count" dataDxfId="719" totalsRowDxfId="341"/>
    <tableColumn id="23" name="22" totalsRowFunction="count" dataDxfId="718" totalsRowDxfId="340"/>
    <tableColumn id="24" name="23" totalsRowFunction="count" dataDxfId="717" totalsRowDxfId="339"/>
    <tableColumn id="25" name="24" totalsRowFunction="count" dataDxfId="716" totalsRowDxfId="338"/>
    <tableColumn id="26" name="25" totalsRowFunction="count" dataDxfId="715" totalsRowDxfId="337"/>
    <tableColumn id="27" name="26" totalsRowFunction="count" dataDxfId="714" totalsRowDxfId="336"/>
    <tableColumn id="28" name="27" totalsRowFunction="count" dataDxfId="713" totalsRowDxfId="335"/>
    <tableColumn id="29" name="28" totalsRowFunction="count" dataDxfId="712" totalsRowDxfId="334"/>
    <tableColumn id="30" name="29" totalsRowFunction="count" dataDxfId="711" totalsRowDxfId="333"/>
    <tableColumn id="31" name="30" totalsRowFunction="sum" dataDxfId="710" totalsRowDxfId="332"/>
    <tableColumn id="32" name="31" totalsRowFunction="sum" dataDxfId="709" totalsRowDxfId="331" dataCellStyle="Total"/>
    <tableColumn id="33" name="Total des jours" totalsRowFunction="sum" dataDxfId="708" totalsRowDxfId="330" dataCellStyle="Total">
      <calculatedColumnFormula>COUNTA(Juillet[[#This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id="19" name="Août" displayName="Août" ref="B6:AH14" totalsRowCount="1" headerRowDxfId="707" dataDxfId="706" totalsRowDxfId="705">
  <tableColumns count="33">
    <tableColumn id="1" name="Nom de l’employé" totalsRowFunction="custom" dataDxfId="329" totalsRowDxfId="328" dataCellStyle="Employé">
      <totalsRowFormula>NomMois&amp;" Total"</totalsRowFormula>
    </tableColumn>
    <tableColumn id="2" name="1" totalsRowFunction="count" dataDxfId="704" totalsRowDxfId="327"/>
    <tableColumn id="3" name="2" totalsRowFunction="count" dataDxfId="703" totalsRowDxfId="326"/>
    <tableColumn id="4" name="3" totalsRowFunction="count" dataDxfId="702" totalsRowDxfId="325"/>
    <tableColumn id="5" name="4" totalsRowFunction="count" dataDxfId="701" totalsRowDxfId="324"/>
    <tableColumn id="6" name="5" totalsRowFunction="count" dataDxfId="700" totalsRowDxfId="323"/>
    <tableColumn id="7" name="6" totalsRowFunction="count" dataDxfId="699" totalsRowDxfId="322"/>
    <tableColumn id="8" name="7" totalsRowFunction="count" dataDxfId="698" totalsRowDxfId="321"/>
    <tableColumn id="9" name="8" totalsRowFunction="count" dataDxfId="697" totalsRowDxfId="320"/>
    <tableColumn id="10" name="9" totalsRowFunction="count" dataDxfId="696" totalsRowDxfId="319"/>
    <tableColumn id="11" name="10" totalsRowFunction="count" dataDxfId="695" totalsRowDxfId="318"/>
    <tableColumn id="12" name="11" totalsRowFunction="count" dataDxfId="694" totalsRowDxfId="317"/>
    <tableColumn id="13" name="12" totalsRowFunction="count" dataDxfId="693" totalsRowDxfId="316"/>
    <tableColumn id="14" name="13" totalsRowFunction="count" dataDxfId="692" totalsRowDxfId="315"/>
    <tableColumn id="15" name="14" totalsRowFunction="count" dataDxfId="691" totalsRowDxfId="314"/>
    <tableColumn id="16" name="15" totalsRowFunction="count" dataDxfId="690" totalsRowDxfId="313"/>
    <tableColumn id="17" name="16" totalsRowFunction="count" dataDxfId="689" totalsRowDxfId="312"/>
    <tableColumn id="18" name="17" totalsRowFunction="count" dataDxfId="688" totalsRowDxfId="311"/>
    <tableColumn id="19" name="18" totalsRowFunction="count" dataDxfId="687" totalsRowDxfId="310"/>
    <tableColumn id="20" name="19" totalsRowFunction="count" dataDxfId="686" totalsRowDxfId="309"/>
    <tableColumn id="21" name="20" totalsRowFunction="count" dataDxfId="685" totalsRowDxfId="308"/>
    <tableColumn id="22" name="21" totalsRowFunction="count" dataDxfId="684" totalsRowDxfId="307"/>
    <tableColumn id="23" name="22" totalsRowFunction="count" dataDxfId="683" totalsRowDxfId="306"/>
    <tableColumn id="24" name="23" totalsRowFunction="count" dataDxfId="682" totalsRowDxfId="305"/>
    <tableColumn id="25" name="24" totalsRowFunction="count" dataDxfId="681" totalsRowDxfId="304"/>
    <tableColumn id="26" name="25" totalsRowFunction="count" dataDxfId="680" totalsRowDxfId="303"/>
    <tableColumn id="27" name="26" totalsRowFunction="count" dataDxfId="679" totalsRowDxfId="302"/>
    <tableColumn id="28" name="27" totalsRowFunction="count" dataDxfId="678" totalsRowDxfId="301"/>
    <tableColumn id="29" name="28" totalsRowFunction="count" dataDxfId="677" totalsRowDxfId="300"/>
    <tableColumn id="30" name="29" totalsRowFunction="count" dataDxfId="676" totalsRowDxfId="299"/>
    <tableColumn id="31" name="30" totalsRowFunction="sum" dataDxfId="675" totalsRowDxfId="298"/>
    <tableColumn id="32" name="31" totalsRowFunction="sum" dataDxfId="674" totalsRowDxfId="297" dataCellStyle="Total"/>
    <tableColumn id="33" name="Total des jours" totalsRowFunction="sum" dataDxfId="673" totalsRowDxfId="296" dataCellStyle="Total">
      <calculatedColumnFormula>COUNTA(Août[[#This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id="20" name="Septembre" displayName="Septembre" ref="B6:AH14" totalsRowCount="1" headerRowDxfId="672" dataDxfId="671" totalsRowDxfId="670">
  <tableColumns count="33">
    <tableColumn id="1" name="Nom de l’employé" totalsRowFunction="custom" dataDxfId="295" totalsRowDxfId="294" dataCellStyle="Employé">
      <totalsRowFormula>NomMois&amp;" Total"</totalsRowFormula>
    </tableColumn>
    <tableColumn id="2" name="1" totalsRowFunction="count" dataDxfId="669" totalsRowDxfId="293"/>
    <tableColumn id="3" name="2" totalsRowFunction="count" dataDxfId="668" totalsRowDxfId="292"/>
    <tableColumn id="4" name="3" totalsRowFunction="count" dataDxfId="667" totalsRowDxfId="291"/>
    <tableColumn id="5" name="4" totalsRowFunction="count" dataDxfId="666" totalsRowDxfId="290"/>
    <tableColumn id="6" name="5" totalsRowFunction="count" dataDxfId="665" totalsRowDxfId="289"/>
    <tableColumn id="7" name="6" totalsRowFunction="count" dataDxfId="664" totalsRowDxfId="288"/>
    <tableColumn id="8" name="7" totalsRowFunction="count" dataDxfId="663" totalsRowDxfId="287"/>
    <tableColumn id="9" name="8" totalsRowFunction="count" dataDxfId="662" totalsRowDxfId="286"/>
    <tableColumn id="10" name="9" totalsRowFunction="count" dataDxfId="661" totalsRowDxfId="285"/>
    <tableColumn id="11" name="10" totalsRowFunction="count" dataDxfId="660" totalsRowDxfId="284"/>
    <tableColumn id="12" name="11" totalsRowFunction="count" dataDxfId="659" totalsRowDxfId="283"/>
    <tableColumn id="13" name="12" totalsRowFunction="count" dataDxfId="658" totalsRowDxfId="282"/>
    <tableColumn id="14" name="13" totalsRowFunction="count" dataDxfId="657" totalsRowDxfId="281"/>
    <tableColumn id="15" name="14" totalsRowFunction="count" dataDxfId="656" totalsRowDxfId="280"/>
    <tableColumn id="16" name="15" totalsRowFunction="count" dataDxfId="655" totalsRowDxfId="279"/>
    <tableColumn id="17" name="16" totalsRowFunction="count" dataDxfId="654" totalsRowDxfId="278"/>
    <tableColumn id="18" name="17" totalsRowFunction="count" dataDxfId="653" totalsRowDxfId="277"/>
    <tableColumn id="19" name="18" totalsRowFunction="count" dataDxfId="652" totalsRowDxfId="276"/>
    <tableColumn id="20" name="19" totalsRowFunction="count" dataDxfId="651" totalsRowDxfId="275"/>
    <tableColumn id="21" name="20" totalsRowFunction="count" dataDxfId="650" totalsRowDxfId="274"/>
    <tableColumn id="22" name="21" totalsRowFunction="count" dataDxfId="649" totalsRowDxfId="273"/>
    <tableColumn id="23" name="22" totalsRowFunction="count" dataDxfId="648" totalsRowDxfId="272"/>
    <tableColumn id="24" name="23" totalsRowFunction="count" dataDxfId="647" totalsRowDxfId="271"/>
    <tableColumn id="25" name="24" totalsRowFunction="count" dataDxfId="646" totalsRowDxfId="270"/>
    <tableColumn id="26" name="25" totalsRowFunction="count" dataDxfId="645" totalsRowDxfId="269"/>
    <tableColumn id="27" name="26" totalsRowFunction="count" dataDxfId="644" totalsRowDxfId="268"/>
    <tableColumn id="28" name="27" totalsRowFunction="count" dataDxfId="643" totalsRowDxfId="267"/>
    <tableColumn id="29" name="28" totalsRowFunction="count" dataDxfId="642" totalsRowDxfId="266"/>
    <tableColumn id="30" name="29" totalsRowFunction="count" dataDxfId="641" totalsRowDxfId="265"/>
    <tableColumn id="31" name="30" totalsRowFunction="sum" dataDxfId="640" totalsRowDxfId="264"/>
    <tableColumn id="32" name="31" totalsRowFunction="sum" dataDxfId="639" totalsRowDxfId="263" dataCellStyle="Total"/>
    <tableColumn id="33" name="Total des jours" totalsRowFunction="sum" dataDxfId="638" totalsRowDxfId="262" dataCellStyle="Total">
      <calculatedColumnFormula>COUNTA(Septembre[[#This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id="21" name="Octobre" displayName="Octobre" ref="B6:AH14" totalsRowCount="1" headerRowDxfId="637" dataDxfId="636" totalsRowDxfId="635">
  <tableColumns count="33">
    <tableColumn id="1" name="Nom de l’employé" totalsRowFunction="custom" dataDxfId="261" totalsRowDxfId="260" dataCellStyle="Employé">
      <totalsRowFormula>NomMois&amp;" Total"</totalsRowFormula>
    </tableColumn>
    <tableColumn id="2" name="1" totalsRowFunction="count" dataDxfId="634" totalsRowDxfId="259"/>
    <tableColumn id="3" name="2" totalsRowFunction="count" dataDxfId="633" totalsRowDxfId="258"/>
    <tableColumn id="4" name="3" totalsRowFunction="count" dataDxfId="632" totalsRowDxfId="257"/>
    <tableColumn id="5" name="4" totalsRowFunction="count" dataDxfId="631" totalsRowDxfId="256"/>
    <tableColumn id="6" name="5" totalsRowFunction="count" dataDxfId="630" totalsRowDxfId="255"/>
    <tableColumn id="7" name="6" totalsRowFunction="count" dataDxfId="629" totalsRowDxfId="254"/>
    <tableColumn id="8" name="7" totalsRowFunction="count" dataDxfId="628" totalsRowDxfId="253"/>
    <tableColumn id="9" name="8" totalsRowFunction="count" dataDxfId="627" totalsRowDxfId="252"/>
    <tableColumn id="10" name="9" totalsRowFunction="count" dataDxfId="626" totalsRowDxfId="251"/>
    <tableColumn id="11" name="10" totalsRowFunction="count" dataDxfId="625" totalsRowDxfId="250"/>
    <tableColumn id="12" name="11" totalsRowFunction="count" dataDxfId="624" totalsRowDxfId="249"/>
    <tableColumn id="13" name="12" totalsRowFunction="count" dataDxfId="623" totalsRowDxfId="248"/>
    <tableColumn id="14" name="13" totalsRowFunction="count" dataDxfId="622" totalsRowDxfId="247"/>
    <tableColumn id="15" name="14" totalsRowFunction="count" dataDxfId="621" totalsRowDxfId="246"/>
    <tableColumn id="16" name="15" totalsRowFunction="count" dataDxfId="620" totalsRowDxfId="245"/>
    <tableColumn id="17" name="16" totalsRowFunction="count" dataDxfId="619" totalsRowDxfId="244"/>
    <tableColumn id="18" name="17" totalsRowFunction="count" dataDxfId="618" totalsRowDxfId="243"/>
    <tableColumn id="19" name="18" totalsRowFunction="count" dataDxfId="617" totalsRowDxfId="242"/>
    <tableColumn id="20" name="19" totalsRowFunction="count" dataDxfId="616" totalsRowDxfId="241"/>
    <tableColumn id="21" name="20" totalsRowFunction="count" dataDxfId="615" totalsRowDxfId="240"/>
    <tableColumn id="22" name="21" totalsRowFunction="count" dataDxfId="614" totalsRowDxfId="239"/>
    <tableColumn id="23" name="22" totalsRowFunction="count" dataDxfId="613" totalsRowDxfId="238"/>
    <tableColumn id="24" name="23" totalsRowFunction="count" dataDxfId="612" totalsRowDxfId="237"/>
    <tableColumn id="25" name="24" totalsRowFunction="count" dataDxfId="611" totalsRowDxfId="236"/>
    <tableColumn id="26" name="25" totalsRowFunction="count" dataDxfId="610" totalsRowDxfId="235"/>
    <tableColumn id="27" name="26" totalsRowFunction="count" dataDxfId="609" totalsRowDxfId="234"/>
    <tableColumn id="28" name="27" totalsRowFunction="count" dataDxfId="608" totalsRowDxfId="233"/>
    <tableColumn id="29" name="28" totalsRowFunction="count" dataDxfId="607" totalsRowDxfId="232"/>
    <tableColumn id="30" name="29" totalsRowFunction="count" dataDxfId="606" totalsRowDxfId="231"/>
    <tableColumn id="31" name="30" totalsRowFunction="sum" dataDxfId="605" totalsRowDxfId="230"/>
    <tableColumn id="32" name="31" totalsRowFunction="sum" dataDxfId="604" totalsRowDxfId="229" dataCellStyle="Total"/>
    <tableColumn id="33" name="Total des jours" totalsRowFunction="sum" dataDxfId="603" totalsRowDxfId="228" dataCellStyle="Total">
      <calculatedColumnFormula>COUNTA(Octobre[[#This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id="22" name="Novembre" displayName="Novembre" ref="B6:AH14" totalsRowCount="1" headerRowDxfId="602" dataDxfId="601" totalsRowDxfId="600">
  <tableColumns count="33">
    <tableColumn id="1" name="Nom de l’employé" totalsRowFunction="custom" dataDxfId="227" totalsRowDxfId="226" dataCellStyle="Employé">
      <totalsRowFormula>NomMois&amp;" Total"</totalsRowFormula>
    </tableColumn>
    <tableColumn id="2" name="1" totalsRowFunction="count" dataDxfId="599" totalsRowDxfId="225"/>
    <tableColumn id="3" name="2" totalsRowFunction="count" dataDxfId="598" totalsRowDxfId="224"/>
    <tableColumn id="4" name="3" totalsRowFunction="count" dataDxfId="597" totalsRowDxfId="223"/>
    <tableColumn id="5" name="4" totalsRowFunction="count" dataDxfId="596" totalsRowDxfId="222"/>
    <tableColumn id="6" name="5" totalsRowFunction="count" dataDxfId="595" totalsRowDxfId="221"/>
    <tableColumn id="7" name="6" totalsRowFunction="count" dataDxfId="594" totalsRowDxfId="220"/>
    <tableColumn id="8" name="7" totalsRowFunction="count" dataDxfId="593" totalsRowDxfId="219"/>
    <tableColumn id="9" name="8" totalsRowFunction="count" dataDxfId="592" totalsRowDxfId="218"/>
    <tableColumn id="10" name="9" totalsRowFunction="count" dataDxfId="591" totalsRowDxfId="217"/>
    <tableColumn id="11" name="10" totalsRowFunction="count" dataDxfId="590" totalsRowDxfId="216"/>
    <tableColumn id="12" name="11" totalsRowFunction="count" dataDxfId="589" totalsRowDxfId="215"/>
    <tableColumn id="13" name="12" totalsRowFunction="count" dataDxfId="588" totalsRowDxfId="214"/>
    <tableColumn id="14" name="13" totalsRowFunction="count" dataDxfId="587" totalsRowDxfId="213"/>
    <tableColumn id="15" name="14" totalsRowFunction="count" dataDxfId="586" totalsRowDxfId="212"/>
    <tableColumn id="16" name="15" totalsRowFunction="count" dataDxfId="585" totalsRowDxfId="211"/>
    <tableColumn id="17" name="16" totalsRowFunction="count" dataDxfId="584" totalsRowDxfId="210"/>
    <tableColumn id="18" name="17" totalsRowFunction="count" dataDxfId="583" totalsRowDxfId="209"/>
    <tableColumn id="19" name="18" totalsRowFunction="count" dataDxfId="582" totalsRowDxfId="208"/>
    <tableColumn id="20" name="19" totalsRowFunction="count" dataDxfId="581" totalsRowDxfId="207"/>
    <tableColumn id="21" name="20" totalsRowFunction="count" dataDxfId="580" totalsRowDxfId="206"/>
    <tableColumn id="22" name="21" totalsRowFunction="count" dataDxfId="579" totalsRowDxfId="205"/>
    <tableColumn id="23" name="22" totalsRowFunction="count" dataDxfId="578" totalsRowDxfId="204"/>
    <tableColumn id="24" name="23" totalsRowFunction="count" dataDxfId="577" totalsRowDxfId="203"/>
    <tableColumn id="25" name="24" totalsRowFunction="count" dataDxfId="576" totalsRowDxfId="202"/>
    <tableColumn id="26" name="25" totalsRowFunction="count" dataDxfId="575" totalsRowDxfId="201"/>
    <tableColumn id="27" name="26" totalsRowFunction="count" dataDxfId="574" totalsRowDxfId="200"/>
    <tableColumn id="28" name="27" totalsRowFunction="count" dataDxfId="573" totalsRowDxfId="199"/>
    <tableColumn id="29" name="28" totalsRowFunction="count" dataDxfId="572" totalsRowDxfId="198"/>
    <tableColumn id="30" name="29" totalsRowFunction="count" dataDxfId="571" totalsRowDxfId="197"/>
    <tableColumn id="31" name="30" totalsRowFunction="sum" dataDxfId="570" totalsRowDxfId="196"/>
    <tableColumn id="32" name="31" totalsRowFunction="sum" dataDxfId="569" totalsRowDxfId="195" dataCellStyle="Total"/>
    <tableColumn id="33" name="Total des jours" totalsRowFunction="sum" dataDxfId="568" totalsRowDxfId="194" dataCellStyle="Total">
      <calculatedColumnFormula>COUNTA(Novembre[[#This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id="12" name="Décembre" displayName="Décembre" ref="B6:AH14" totalsRowCount="1" headerRowDxfId="567" dataDxfId="566" totalsRowDxfId="565">
  <tableColumns count="33">
    <tableColumn id="1" name="Nom de l’employé" totalsRowFunction="custom" dataDxfId="193" totalsRowDxfId="192" dataCellStyle="Employé">
      <totalsRowFormula>NomMois&amp;" Total"</totalsRowFormula>
    </tableColumn>
    <tableColumn id="2" name="1" totalsRowFunction="count" dataDxfId="564" totalsRowDxfId="191"/>
    <tableColumn id="3" name="2" totalsRowFunction="count" dataDxfId="563" totalsRowDxfId="190"/>
    <tableColumn id="4" name="3" totalsRowFunction="count" dataDxfId="562" totalsRowDxfId="189"/>
    <tableColumn id="5" name="4" totalsRowFunction="count" dataDxfId="561" totalsRowDxfId="188"/>
    <tableColumn id="6" name="5" totalsRowFunction="count" dataDxfId="560" totalsRowDxfId="187"/>
    <tableColumn id="7" name="6" totalsRowFunction="count" dataDxfId="559" totalsRowDxfId="186"/>
    <tableColumn id="8" name="7" totalsRowFunction="count" dataDxfId="558" totalsRowDxfId="185"/>
    <tableColumn id="9" name="8" totalsRowFunction="count" dataDxfId="557" totalsRowDxfId="184"/>
    <tableColumn id="10" name="9" totalsRowFunction="count" dataDxfId="556" totalsRowDxfId="183"/>
    <tableColumn id="11" name="10" totalsRowFunction="count" dataDxfId="555" totalsRowDxfId="182"/>
    <tableColumn id="12" name="11" totalsRowFunction="count" dataDxfId="554" totalsRowDxfId="181"/>
    <tableColumn id="13" name="12" totalsRowFunction="count" dataDxfId="553" totalsRowDxfId="180"/>
    <tableColumn id="14" name="13" totalsRowFunction="count" dataDxfId="552" totalsRowDxfId="179"/>
    <tableColumn id="15" name="14" totalsRowFunction="count" dataDxfId="551" totalsRowDxfId="178"/>
    <tableColumn id="16" name="15" totalsRowFunction="count" dataDxfId="550" totalsRowDxfId="177"/>
    <tableColumn id="17" name="16" totalsRowFunction="count" dataDxfId="549" totalsRowDxfId="176"/>
    <tableColumn id="18" name="17" totalsRowFunction="count" dataDxfId="548" totalsRowDxfId="175"/>
    <tableColumn id="19" name="18" totalsRowFunction="count" dataDxfId="547" totalsRowDxfId="174"/>
    <tableColumn id="20" name="19" totalsRowFunction="count" dataDxfId="546" totalsRowDxfId="173"/>
    <tableColumn id="21" name="20" totalsRowFunction="count" dataDxfId="545" totalsRowDxfId="172"/>
    <tableColumn id="22" name="21" totalsRowFunction="count" dataDxfId="544" totalsRowDxfId="171"/>
    <tableColumn id="23" name="22" totalsRowFunction="count" dataDxfId="543" totalsRowDxfId="170"/>
    <tableColumn id="24" name="23" totalsRowFunction="count" dataDxfId="542" totalsRowDxfId="169"/>
    <tableColumn id="25" name="24" totalsRowFunction="count" dataDxfId="541" totalsRowDxfId="168"/>
    <tableColumn id="26" name="25" totalsRowFunction="count" dataDxfId="540" totalsRowDxfId="167"/>
    <tableColumn id="27" name="26" totalsRowFunction="count" dataDxfId="539" totalsRowDxfId="166"/>
    <tableColumn id="28" name="27" totalsRowFunction="count" dataDxfId="538" totalsRowDxfId="165"/>
    <tableColumn id="29" name="28" totalsRowFunction="count" dataDxfId="537" totalsRowDxfId="164"/>
    <tableColumn id="30" name="29" totalsRowFunction="count" dataDxfId="536" totalsRowDxfId="163"/>
    <tableColumn id="31" name="30" totalsRowFunction="sum" dataDxfId="535" totalsRowDxfId="162"/>
    <tableColumn id="32" name="31" totalsRowFunction="sum" dataDxfId="534" totalsRowDxfId="161" dataCellStyle="Total"/>
    <tableColumn id="33" name="Total des jours" totalsRowFunction="sum" dataDxfId="533" totalsRowDxfId="160" dataCellStyle="Total">
      <calculatedColumnFormula>COUNTA(Décembre[[#This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Fournit une liste de noms et des dates de calendrier pour enregistrer les absences et motifs d’absence des employés (C= Congé, M=Maladie, P=Personnel, et deux espaces réservés pour des entrées personnalisées)"/>
    </ext>
  </extLst>
</table>
</file>

<file path=xl/tables/table13.xml><?xml version="1.0" encoding="utf-8"?>
<table xmlns="http://schemas.openxmlformats.org/spreadsheetml/2006/main" id="13" name="NomEmployé" displayName="NomEmployé" ref="B3:B10" totalsRowShown="0" dataCellStyle="Employé">
  <autoFilter ref="B3:B10"/>
  <tableColumns count="1">
    <tableColumn id="1" name="Noms des employés" dataCellStyle="Employé"/>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dans ce tableau. Ces noms sont utilisés en tant qu’options dans la colonne B du calendrier des absences de chaque mois."/>
    </ext>
  </extLst>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89999084444715716"/>
    <pageSetUpPr fitToPage="1"/>
  </sheetPr>
  <dimension ref="A1:AI20"/>
  <sheetViews>
    <sheetView showGridLines="0" tabSelected="1" zoomScale="62" zoomScaleNormal="62" workbookViewId="0">
      <selection activeCell="E16" sqref="E16"/>
    </sheetView>
  </sheetViews>
  <sheetFormatPr baseColWidth="10" defaultColWidth="9.1796875" defaultRowHeight="30" customHeight="1" x14ac:dyDescent="0.35"/>
  <cols>
    <col min="1" max="1" width="2.7265625" style="8" customWidth="1"/>
    <col min="2" max="2" width="25.7265625" style="8" customWidth="1"/>
    <col min="3" max="4" width="4.7265625" style="8" customWidth="1"/>
    <col min="5" max="5" width="10.26953125" style="8" customWidth="1"/>
    <col min="6" max="8" width="4.7265625" style="8" customWidth="1"/>
    <col min="9" max="9" width="4.54296875" style="8" customWidth="1"/>
    <col min="10" max="10" width="6" style="8" customWidth="1"/>
    <col min="11" max="11" width="4.7265625" style="8" customWidth="1"/>
    <col min="12" max="12" width="5.81640625" style="8" customWidth="1"/>
    <col min="13" max="13" width="5" style="8" customWidth="1"/>
    <col min="14" max="15" width="4.7265625" style="8" customWidth="1"/>
    <col min="16" max="16" width="11" style="8" customWidth="1"/>
    <col min="17" max="33" width="4.7265625" style="8" customWidth="1"/>
    <col min="34" max="34" width="13.81640625" style="8" customWidth="1"/>
    <col min="35" max="35" width="15" customWidth="1"/>
    <col min="36" max="36" width="13.1796875" customWidth="1"/>
  </cols>
  <sheetData>
    <row r="1" spans="1:35" ht="50.15" customHeight="1" x14ac:dyDescent="0.35">
      <c r="A1" s="15"/>
      <c r="B1" s="11" t="s">
        <v>0</v>
      </c>
    </row>
    <row r="2" spans="1:35" ht="15" customHeight="1" x14ac:dyDescent="0.35">
      <c r="B2" s="16" t="s">
        <v>1</v>
      </c>
      <c r="C2" s="3" t="s">
        <v>4</v>
      </c>
      <c r="D2" s="33" t="s">
        <v>57</v>
      </c>
      <c r="E2" s="34"/>
      <c r="F2" s="4" t="s">
        <v>55</v>
      </c>
      <c r="G2" s="33" t="s">
        <v>55</v>
      </c>
      <c r="H2" s="34"/>
      <c r="I2" s="34"/>
      <c r="J2" s="4" t="s">
        <v>59</v>
      </c>
      <c r="K2" s="33" t="s">
        <v>60</v>
      </c>
      <c r="L2" s="34"/>
      <c r="M2" s="34"/>
      <c r="N2" s="5" t="s">
        <v>56</v>
      </c>
      <c r="O2" s="25" t="s">
        <v>58</v>
      </c>
      <c r="P2" s="24"/>
      <c r="Q2" s="6" t="s">
        <v>10</v>
      </c>
      <c r="R2" s="25" t="s">
        <v>16</v>
      </c>
      <c r="S2" s="24"/>
      <c r="T2" s="24"/>
      <c r="U2" s="24"/>
      <c r="V2"/>
      <c r="W2"/>
      <c r="X2"/>
      <c r="Y2"/>
      <c r="Z2"/>
      <c r="AA2"/>
      <c r="AB2"/>
      <c r="AC2"/>
      <c r="AD2"/>
      <c r="AE2"/>
      <c r="AF2"/>
      <c r="AG2"/>
      <c r="AH2"/>
    </row>
    <row r="3" spans="1:35" ht="15" customHeight="1" x14ac:dyDescent="0.35">
      <c r="AH3" s="17" t="s">
        <v>39</v>
      </c>
    </row>
    <row r="4" spans="1:35" ht="30" customHeight="1" x14ac:dyDescent="0.35">
      <c r="B4" s="9" t="s">
        <v>2</v>
      </c>
      <c r="C4" s="32" t="s">
        <v>5</v>
      </c>
      <c r="D4" s="32"/>
      <c r="E4" s="32"/>
      <c r="F4" s="32"/>
      <c r="G4" s="32"/>
      <c r="H4" s="32"/>
      <c r="I4" s="32"/>
      <c r="J4" s="32"/>
      <c r="K4" s="32"/>
      <c r="L4" s="32"/>
      <c r="M4" s="32"/>
      <c r="N4" s="32"/>
      <c r="O4" s="32"/>
      <c r="P4" s="32"/>
      <c r="Q4" s="32"/>
      <c r="R4" s="32"/>
      <c r="S4" s="32"/>
      <c r="T4" s="32"/>
      <c r="U4" s="32"/>
      <c r="V4" s="32"/>
      <c r="W4" s="32"/>
      <c r="X4" s="32"/>
      <c r="Y4" s="32"/>
      <c r="Z4" s="32"/>
      <c r="AA4" s="32"/>
      <c r="AB4" s="32"/>
      <c r="AC4" s="32"/>
      <c r="AD4" s="32"/>
      <c r="AE4" s="32"/>
      <c r="AF4" s="32"/>
      <c r="AG4" s="32"/>
      <c r="AH4" s="9">
        <v>2018</v>
      </c>
    </row>
    <row r="5" spans="1:35" ht="15" customHeight="1" x14ac:dyDescent="0.35">
      <c r="B5" s="9"/>
      <c r="C5" s="1" t="str">
        <f>TEXT(WEEKDAY(DATE(AnnéeCalendrier,1,1),1),"jjj")</f>
        <v>lun</v>
      </c>
      <c r="D5" s="1" t="str">
        <f>TEXT(WEEKDAY(DATE(AnnéeCalendrier,1,2),1),"jjj")</f>
        <v>mar</v>
      </c>
      <c r="E5" s="1" t="str">
        <f>TEXT(WEEKDAY(DATE(AnnéeCalendrier,1,3),1),"jjj")</f>
        <v>mer</v>
      </c>
      <c r="F5" s="1" t="str">
        <f>TEXT(WEEKDAY(DATE(AnnéeCalendrier,1,4),1),"jjj")</f>
        <v>jeu</v>
      </c>
      <c r="G5" s="1" t="str">
        <f>TEXT(WEEKDAY(DATE(AnnéeCalendrier,1,5),1),"jjj")</f>
        <v>ven</v>
      </c>
      <c r="H5" s="1" t="str">
        <f>TEXT(WEEKDAY(DATE(AnnéeCalendrier,1,6),1),"jjj")</f>
        <v>sam</v>
      </c>
      <c r="I5" s="1" t="str">
        <f>TEXT(WEEKDAY(DATE(AnnéeCalendrier,1,7),1),"jjj")</f>
        <v>dim</v>
      </c>
      <c r="J5" s="1" t="str">
        <f>TEXT(WEEKDAY(DATE(AnnéeCalendrier,1,8),1),"jjj")</f>
        <v>lun</v>
      </c>
      <c r="K5" s="1" t="str">
        <f>TEXT(WEEKDAY(DATE(AnnéeCalendrier,1,9),1),"jjj")</f>
        <v>mar</v>
      </c>
      <c r="L5" s="1" t="str">
        <f>TEXT(WEEKDAY(DATE(AnnéeCalendrier,1,10),1),"jjj")</f>
        <v>mer</v>
      </c>
      <c r="M5" s="1" t="str">
        <f>TEXT(WEEKDAY(DATE(AnnéeCalendrier,1,11),1),"jjj")</f>
        <v>jeu</v>
      </c>
      <c r="N5" s="1" t="str">
        <f>TEXT(WEEKDAY(DATE(AnnéeCalendrier,1,12),1),"jjj")</f>
        <v>ven</v>
      </c>
      <c r="O5" s="1" t="str">
        <f>TEXT(WEEKDAY(DATE(AnnéeCalendrier,1,13),1),"jjj")</f>
        <v>sam</v>
      </c>
      <c r="P5" s="1" t="str">
        <f>TEXT(WEEKDAY(DATE(AnnéeCalendrier,1,14),1),"jjj")</f>
        <v>dim</v>
      </c>
      <c r="Q5" s="1" t="str">
        <f>TEXT(WEEKDAY(DATE(AnnéeCalendrier,1,15),1),"jjj")</f>
        <v>lun</v>
      </c>
      <c r="R5" s="1" t="str">
        <f>TEXT(WEEKDAY(DATE(AnnéeCalendrier,1,16),1),"jjj")</f>
        <v>mar</v>
      </c>
      <c r="S5" s="1" t="str">
        <f>TEXT(WEEKDAY(DATE(AnnéeCalendrier,1,17),1),"jjj")</f>
        <v>mer</v>
      </c>
      <c r="T5" s="1" t="str">
        <f>TEXT(WEEKDAY(DATE(AnnéeCalendrier,1,18),1),"jjj")</f>
        <v>jeu</v>
      </c>
      <c r="U5" s="1" t="str">
        <f>TEXT(WEEKDAY(DATE(AnnéeCalendrier,1,19),1),"jjj")</f>
        <v>ven</v>
      </c>
      <c r="V5" s="1" t="str">
        <f>TEXT(WEEKDAY(DATE(AnnéeCalendrier,1,20),1),"jjj")</f>
        <v>sam</v>
      </c>
      <c r="W5" s="1" t="str">
        <f>TEXT(WEEKDAY(DATE(AnnéeCalendrier,1,21),1),"jjj")</f>
        <v>dim</v>
      </c>
      <c r="X5" s="1" t="str">
        <f>TEXT(WEEKDAY(DATE(AnnéeCalendrier,1,22),1),"jjj")</f>
        <v>lun</v>
      </c>
      <c r="Y5" s="1" t="str">
        <f>TEXT(WEEKDAY(DATE(AnnéeCalendrier,1,23),1),"jjj")</f>
        <v>mar</v>
      </c>
      <c r="Z5" s="1" t="str">
        <f>TEXT(WEEKDAY(DATE(AnnéeCalendrier,1,24),1),"jjj")</f>
        <v>mer</v>
      </c>
      <c r="AA5" s="1" t="str">
        <f>TEXT(WEEKDAY(DATE(AnnéeCalendrier,1,25),1),"jjj")</f>
        <v>jeu</v>
      </c>
      <c r="AB5" s="1" t="str">
        <f>TEXT(WEEKDAY(DATE(AnnéeCalendrier,1,26),1),"jjj")</f>
        <v>ven</v>
      </c>
      <c r="AC5" s="1" t="str">
        <f>TEXT(WEEKDAY(DATE(AnnéeCalendrier,1,27),1),"jjj")</f>
        <v>sam</v>
      </c>
      <c r="AD5" s="1" t="str">
        <f>TEXT(WEEKDAY(DATE(AnnéeCalendrier,1,28),1),"jjj")</f>
        <v>dim</v>
      </c>
      <c r="AE5" s="1" t="str">
        <f>TEXT(WEEKDAY(DATE(AnnéeCalendrier,1,29),1),"jjj")</f>
        <v>lun</v>
      </c>
      <c r="AF5" s="1" t="str">
        <f>TEXT(WEEKDAY(DATE(AnnéeCalendrier,1,30),1),"jjj")</f>
        <v>mar</v>
      </c>
      <c r="AG5" s="1" t="str">
        <f>TEXT(WEEKDAY(DATE(AnnéeCalendrier,1,31),1),"jjj")</f>
        <v>mer</v>
      </c>
      <c r="AH5" s="31"/>
    </row>
    <row r="6" spans="1:35" ht="15" customHeight="1" x14ac:dyDescent="0.35">
      <c r="B6" s="26" t="s">
        <v>3</v>
      </c>
      <c r="C6" s="2" t="s">
        <v>6</v>
      </c>
      <c r="D6" s="2" t="s">
        <v>7</v>
      </c>
      <c r="E6" s="2" t="s">
        <v>8</v>
      </c>
      <c r="F6" s="2" t="s">
        <v>9</v>
      </c>
      <c r="G6" s="2" t="s">
        <v>11</v>
      </c>
      <c r="H6" s="2" t="s">
        <v>12</v>
      </c>
      <c r="I6" s="2" t="s">
        <v>13</v>
      </c>
      <c r="J6" s="2" t="s">
        <v>14</v>
      </c>
      <c r="K6" s="2" t="s">
        <v>15</v>
      </c>
      <c r="L6" s="2" t="s">
        <v>17</v>
      </c>
      <c r="M6" s="2" t="s">
        <v>18</v>
      </c>
      <c r="N6" s="2" t="s">
        <v>19</v>
      </c>
      <c r="O6" s="2" t="s">
        <v>20</v>
      </c>
      <c r="P6" s="2" t="s">
        <v>21</v>
      </c>
      <c r="Q6" s="2" t="s">
        <v>22</v>
      </c>
      <c r="R6" s="2" t="s">
        <v>23</v>
      </c>
      <c r="S6" s="2" t="s">
        <v>24</v>
      </c>
      <c r="T6" s="2" t="s">
        <v>25</v>
      </c>
      <c r="U6" s="2" t="s">
        <v>26</v>
      </c>
      <c r="V6" s="2" t="s">
        <v>27</v>
      </c>
      <c r="W6" s="2" t="s">
        <v>28</v>
      </c>
      <c r="X6" s="2" t="s">
        <v>29</v>
      </c>
      <c r="Y6" s="2" t="s">
        <v>30</v>
      </c>
      <c r="Z6" s="2" t="s">
        <v>31</v>
      </c>
      <c r="AA6" s="2" t="s">
        <v>32</v>
      </c>
      <c r="AB6" s="2" t="s">
        <v>33</v>
      </c>
      <c r="AC6" s="2" t="s">
        <v>34</v>
      </c>
      <c r="AD6" s="2" t="s">
        <v>35</v>
      </c>
      <c r="AE6" s="2" t="s">
        <v>36</v>
      </c>
      <c r="AF6" s="2" t="s">
        <v>37</v>
      </c>
      <c r="AG6" s="2" t="s">
        <v>38</v>
      </c>
      <c r="AH6" s="30" t="s">
        <v>68</v>
      </c>
      <c r="AI6" s="30" t="s">
        <v>69</v>
      </c>
    </row>
    <row r="7" spans="1:35" ht="30" customHeight="1" x14ac:dyDescent="0.35">
      <c r="B7" s="14" t="s">
        <v>61</v>
      </c>
      <c r="C7" s="21"/>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29">
        <f>COUNTIF(Janvier[[#This Row],[1]:[31]],"RTT")</f>
        <v>0</v>
      </c>
      <c r="AI7" s="29">
        <f>COUNTIF(Janvier[[#This Row],[1]:[31]],"C")</f>
        <v>0</v>
      </c>
    </row>
    <row r="8" spans="1:35" ht="30" customHeight="1" x14ac:dyDescent="0.35">
      <c r="B8" s="14" t="s">
        <v>62</v>
      </c>
      <c r="C8" s="21"/>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29">
        <f>COUNTIF(Janvier[[#This Row],[1]:[31]],"RTT")</f>
        <v>0</v>
      </c>
      <c r="AI8" s="29">
        <f>COUNTIF(Janvier[[#This Row],[1]:[31]],"C")</f>
        <v>0</v>
      </c>
    </row>
    <row r="9" spans="1:35" ht="30" customHeight="1" x14ac:dyDescent="0.35">
      <c r="B9" s="14" t="s">
        <v>63</v>
      </c>
      <c r="C9" s="21"/>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29">
        <f>COUNTIF(Janvier[[#This Row],[1]:[31]],"RTT")</f>
        <v>0</v>
      </c>
      <c r="AI9" s="29">
        <f>COUNTIF(Janvier[[#This Row],[1]:[31]],"C")</f>
        <v>0</v>
      </c>
    </row>
    <row r="10" spans="1:35" ht="30" customHeight="1" x14ac:dyDescent="0.35">
      <c r="B10" s="14" t="s">
        <v>64</v>
      </c>
      <c r="C10" s="21"/>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9">
        <f>COUNTIF(Janvier[[#This Row],[1]:[31]],"RTT")</f>
        <v>0</v>
      </c>
      <c r="AI10" s="29">
        <f>COUNTIF(Janvier[[#This Row],[1]:[31]],"C")</f>
        <v>0</v>
      </c>
    </row>
    <row r="11" spans="1:35" ht="30" customHeight="1" x14ac:dyDescent="0.35">
      <c r="B11" s="14" t="s">
        <v>65</v>
      </c>
      <c r="C11" s="22"/>
      <c r="D11" s="7"/>
      <c r="E11" s="2"/>
      <c r="F11" s="2"/>
      <c r="G11" s="2"/>
      <c r="H11" s="7"/>
      <c r="I11" s="7"/>
      <c r="J11" s="7"/>
      <c r="K11" s="7"/>
      <c r="L11" s="7"/>
      <c r="M11" s="7"/>
      <c r="N11" s="7"/>
      <c r="O11" s="7"/>
      <c r="P11" s="7"/>
      <c r="Q11" s="7"/>
      <c r="R11" s="7"/>
      <c r="S11" s="7"/>
      <c r="T11" s="7"/>
      <c r="U11" s="7"/>
      <c r="V11" s="7"/>
      <c r="W11" s="7"/>
      <c r="X11" s="7"/>
      <c r="Y11" s="7"/>
      <c r="Z11" s="7"/>
      <c r="AA11" s="7"/>
      <c r="AB11" s="7"/>
      <c r="AC11" s="7"/>
      <c r="AD11" s="7"/>
      <c r="AE11" s="7"/>
      <c r="AF11" s="7"/>
      <c r="AG11" s="7"/>
      <c r="AH11" s="29">
        <f>COUNTIF(Janvier[[#This Row],[1]:[31]],"RTT")</f>
        <v>0</v>
      </c>
      <c r="AI11" s="29">
        <f>COUNTIF(Janvier[[#This Row],[1]:[31]],"C")</f>
        <v>0</v>
      </c>
    </row>
    <row r="12" spans="1:35" ht="30" customHeight="1" x14ac:dyDescent="0.35">
      <c r="B12" s="14" t="s">
        <v>66</v>
      </c>
      <c r="C12" s="23"/>
      <c r="D12" s="2"/>
      <c r="E12" s="2"/>
      <c r="F12" s="2"/>
      <c r="G12" s="7"/>
      <c r="H12" s="7"/>
      <c r="I12" s="7"/>
      <c r="J12" s="7"/>
      <c r="K12" s="7"/>
      <c r="L12" s="7"/>
      <c r="M12" s="7"/>
      <c r="N12" s="7"/>
      <c r="O12" s="7"/>
      <c r="P12" s="7"/>
      <c r="Q12" s="7"/>
      <c r="R12" s="7"/>
      <c r="S12" s="7"/>
      <c r="T12" s="7"/>
      <c r="U12" s="7"/>
      <c r="V12" s="7"/>
      <c r="W12" s="7"/>
      <c r="X12" s="7"/>
      <c r="Y12" s="7"/>
      <c r="Z12" s="7"/>
      <c r="AA12" s="7"/>
      <c r="AB12" s="7"/>
      <c r="AC12" s="7"/>
      <c r="AD12" s="7"/>
      <c r="AE12" s="7"/>
      <c r="AF12" s="7"/>
      <c r="AG12" s="7"/>
      <c r="AH12" s="29">
        <f>COUNTIF(Janvier[[#This Row],[1]:[31]],"RTT")</f>
        <v>0</v>
      </c>
      <c r="AI12" s="29">
        <f>COUNTIF(Janvier[[#This Row],[1]:[31]],"C")</f>
        <v>0</v>
      </c>
    </row>
    <row r="13" spans="1:35" ht="30" customHeight="1" x14ac:dyDescent="0.35">
      <c r="B13" s="14" t="s">
        <v>67</v>
      </c>
      <c r="C13" s="22"/>
      <c r="D13" s="7"/>
      <c r="E13" s="7"/>
      <c r="F13" s="7"/>
      <c r="G13" s="7"/>
      <c r="H13" s="7"/>
      <c r="I13" s="7"/>
      <c r="J13" s="7"/>
      <c r="K13" s="7"/>
      <c r="L13" s="7"/>
      <c r="M13" s="7"/>
      <c r="N13" s="7"/>
      <c r="O13" s="7"/>
      <c r="P13" s="7"/>
      <c r="Q13" s="7"/>
      <c r="R13" s="7"/>
      <c r="S13" s="7"/>
      <c r="T13" s="7"/>
      <c r="U13" s="7"/>
      <c r="V13" s="7"/>
      <c r="W13" s="7"/>
      <c r="X13" s="7"/>
      <c r="Y13" s="7"/>
      <c r="Z13" s="7"/>
      <c r="AA13" s="7"/>
      <c r="AB13" s="7"/>
      <c r="AC13" s="7"/>
      <c r="AD13" s="7"/>
      <c r="AE13" s="7"/>
      <c r="AF13" s="7"/>
      <c r="AG13" s="7"/>
      <c r="AH13" s="29">
        <f>COUNTIF(Janvier[[#This Row],[1]:[31]],"RTT")</f>
        <v>0</v>
      </c>
      <c r="AI13" s="29">
        <f>COUNTIF(Janvier[[#This Row],[1]:[31]],"C")</f>
        <v>0</v>
      </c>
    </row>
    <row r="14" spans="1:35" ht="30" customHeight="1" x14ac:dyDescent="0.35">
      <c r="B14" s="18" t="str">
        <f>NomMois&amp;" Total"</f>
        <v>Janvier Total</v>
      </c>
      <c r="C14" s="10">
        <f>SUBTOTAL(103,Janvier!$C$7:$C$13)</f>
        <v>0</v>
      </c>
      <c r="D14" s="10">
        <f>SUBTOTAL(103,Janvier!$D$7:$D$13)</f>
        <v>0</v>
      </c>
      <c r="E14" s="10">
        <f>SUBTOTAL(103,Janvier!$E$7:$E$13)</f>
        <v>0</v>
      </c>
      <c r="F14" s="10">
        <f>SUBTOTAL(103,Janvier!$F$7:$F$13)</f>
        <v>0</v>
      </c>
      <c r="G14" s="10">
        <f>SUBTOTAL(103,Janvier!$G$7:$G$13)</f>
        <v>0</v>
      </c>
      <c r="H14" s="10">
        <f>SUBTOTAL(103,Janvier!$H$7:$H$13)</f>
        <v>0</v>
      </c>
      <c r="I14" s="10">
        <f>SUBTOTAL(103,Janvier!$I$7:$I$13)</f>
        <v>0</v>
      </c>
      <c r="J14" s="10">
        <f>SUBTOTAL(103,Janvier!$J$7:$J$13)</f>
        <v>0</v>
      </c>
      <c r="K14" s="10">
        <f>SUBTOTAL(103,Janvier!$K$7:$K$13)</f>
        <v>0</v>
      </c>
      <c r="L14" s="10">
        <f>SUBTOTAL(103,Janvier!$L$7:$L$13)</f>
        <v>0</v>
      </c>
      <c r="M14" s="10">
        <f>SUBTOTAL(103,Janvier!$M$7:$M$13)</f>
        <v>0</v>
      </c>
      <c r="N14" s="10">
        <f>SUBTOTAL(103,Janvier!$N$7:$N$13)</f>
        <v>0</v>
      </c>
      <c r="O14" s="10">
        <f>SUBTOTAL(103,Janvier!$O$7:$O$13)</f>
        <v>0</v>
      </c>
      <c r="P14" s="10">
        <f>SUBTOTAL(103,Janvier!$P$7:$P$13)</f>
        <v>0</v>
      </c>
      <c r="Q14" s="10">
        <f>SUBTOTAL(103,Janvier!$Q$7:$Q$13)</f>
        <v>0</v>
      </c>
      <c r="R14" s="10">
        <f>SUBTOTAL(103,Janvier!$R$7:$R$13)</f>
        <v>0</v>
      </c>
      <c r="S14" s="10">
        <f>SUBTOTAL(103,Janvier!$S$7:$S$13)</f>
        <v>0</v>
      </c>
      <c r="T14" s="10">
        <f>SUBTOTAL(103,Janvier!$T$7:$T$13)</f>
        <v>0</v>
      </c>
      <c r="U14" s="10">
        <f>SUBTOTAL(103,Janvier!$U$7:$U$13)</f>
        <v>0</v>
      </c>
      <c r="V14" s="10">
        <f>SUBTOTAL(103,Janvier!$V$7:$V$13)</f>
        <v>0</v>
      </c>
      <c r="W14" s="10">
        <f>SUBTOTAL(103,Janvier!$W$7:$W$13)</f>
        <v>0</v>
      </c>
      <c r="X14" s="10">
        <f>SUBTOTAL(103,Janvier!$X$7:$X$13)</f>
        <v>0</v>
      </c>
      <c r="Y14" s="10">
        <f>SUBTOTAL(103,Janvier!$Y$7:$Y$13)</f>
        <v>0</v>
      </c>
      <c r="Z14" s="10">
        <f>SUBTOTAL(103,Janvier!$Z$7:$Z$13)</f>
        <v>0</v>
      </c>
      <c r="AA14" s="10">
        <f>SUBTOTAL(103,Janvier!$AA$7:$AA$13)</f>
        <v>0</v>
      </c>
      <c r="AB14" s="10">
        <f>SUBTOTAL(103,Janvier!$AB$7:$AB$13)</f>
        <v>0</v>
      </c>
      <c r="AC14" s="10">
        <f>SUBTOTAL(103,Janvier!$AC$7:$AC$13)</f>
        <v>0</v>
      </c>
      <c r="AD14" s="10">
        <f>SUBTOTAL(103,Janvier!$AD$7:$AD$13)</f>
        <v>0</v>
      </c>
      <c r="AE14" s="10">
        <f>SUBTOTAL(103,Janvier!$AE$7:$AE$13)</f>
        <v>0</v>
      </c>
      <c r="AF14" s="10">
        <f>SUBTOTAL(103,Janvier!$AF$7:$AF$13)</f>
        <v>0</v>
      </c>
      <c r="AG14" s="10">
        <f>SUBTOTAL(103,Janvier!$AG$7:$AG$13)</f>
        <v>0</v>
      </c>
      <c r="AH14" s="2"/>
      <c r="AI14" s="2"/>
    </row>
    <row r="16" spans="1:35" ht="30" customHeight="1" x14ac:dyDescent="0.35">
      <c r="C16" s="8" t="s">
        <v>55</v>
      </c>
      <c r="D16" s="8">
        <v>23</v>
      </c>
    </row>
    <row r="17" spans="3:12" ht="30" customHeight="1" x14ac:dyDescent="0.35">
      <c r="C17" s="8" t="s">
        <v>70</v>
      </c>
      <c r="D17" s="8">
        <v>27</v>
      </c>
    </row>
    <row r="20" spans="3:12" ht="30" customHeight="1" x14ac:dyDescent="0.35">
      <c r="L20" s="28"/>
    </row>
  </sheetData>
  <mergeCells count="4">
    <mergeCell ref="C4:AG4"/>
    <mergeCell ref="D2:E2"/>
    <mergeCell ref="G2:I2"/>
    <mergeCell ref="K2:M2"/>
  </mergeCells>
  <conditionalFormatting sqref="C7 J7:K7 C8:AG13 U7:AG7 M7:N7 P7:S7">
    <cfRule type="expression" priority="31" stopIfTrue="1">
      <formula>C7=""</formula>
    </cfRule>
    <cfRule type="expression" dxfId="91" priority="36" stopIfTrue="1">
      <formula>C7=CléPersonnalisée2</formula>
    </cfRule>
    <cfRule type="expression" dxfId="90" priority="37" stopIfTrue="1">
      <formula>C7=CléPersonnalisée1</formula>
    </cfRule>
    <cfRule type="expression" dxfId="89" priority="38" stopIfTrue="1">
      <formula>C7=CléMaladie</formula>
    </cfRule>
    <cfRule type="expression" dxfId="88" priority="39" stopIfTrue="1">
      <formula>C7=CléPersonnel</formula>
    </cfRule>
    <cfRule type="expression" dxfId="87" priority="40" stopIfTrue="1">
      <formula>C7=CléCongé</formula>
    </cfRule>
  </conditionalFormatting>
  <conditionalFormatting sqref="D7:H7">
    <cfRule type="expression" priority="25" stopIfTrue="1">
      <formula>D7=""</formula>
    </cfRule>
    <cfRule type="expression" dxfId="86" priority="26" stopIfTrue="1">
      <formula>D7=CléPersonnalisée2</formula>
    </cfRule>
    <cfRule type="expression" dxfId="85" priority="27" stopIfTrue="1">
      <formula>D7=CléPersonnalisée1</formula>
    </cfRule>
    <cfRule type="expression" dxfId="84" priority="28" stopIfTrue="1">
      <formula>D7=CléMaladie</formula>
    </cfRule>
    <cfRule type="expression" dxfId="83" priority="29" stopIfTrue="1">
      <formula>D7=CléPersonnel</formula>
    </cfRule>
    <cfRule type="expression" dxfId="82" priority="30" stopIfTrue="1">
      <formula>D7=CléCongé</formula>
    </cfRule>
  </conditionalFormatting>
  <conditionalFormatting sqref="I7">
    <cfRule type="expression" priority="19" stopIfTrue="1">
      <formula>I7=""</formula>
    </cfRule>
    <cfRule type="expression" dxfId="81" priority="20" stopIfTrue="1">
      <formula>I7=CléPersonnalisée2</formula>
    </cfRule>
    <cfRule type="expression" dxfId="80" priority="21" stopIfTrue="1">
      <formula>I7=CléPersonnalisée1</formula>
    </cfRule>
    <cfRule type="expression" dxfId="79" priority="22" stopIfTrue="1">
      <formula>I7=CléMaladie</formula>
    </cfRule>
    <cfRule type="expression" dxfId="78" priority="23" stopIfTrue="1">
      <formula>I7=CléPersonnel</formula>
    </cfRule>
    <cfRule type="expression" dxfId="77" priority="24" stopIfTrue="1">
      <formula>I7=CléCongé</formula>
    </cfRule>
  </conditionalFormatting>
  <conditionalFormatting sqref="L7">
    <cfRule type="expression" priority="13" stopIfTrue="1">
      <formula>L7=""</formula>
    </cfRule>
    <cfRule type="expression" dxfId="76" priority="14" stopIfTrue="1">
      <formula>L7=CléPersonnalisée2</formula>
    </cfRule>
    <cfRule type="expression" dxfId="75" priority="15" stopIfTrue="1">
      <formula>L7=CléPersonnalisée1</formula>
    </cfRule>
    <cfRule type="expression" dxfId="74" priority="16" stopIfTrue="1">
      <formula>L7=CléMaladie</formula>
    </cfRule>
    <cfRule type="expression" dxfId="73" priority="17" stopIfTrue="1">
      <formula>L7=CléPersonnel</formula>
    </cfRule>
    <cfRule type="expression" dxfId="72" priority="18" stopIfTrue="1">
      <formula>L7=CléCongé</formula>
    </cfRule>
  </conditionalFormatting>
  <conditionalFormatting sqref="O7">
    <cfRule type="expression" priority="7" stopIfTrue="1">
      <formula>O7=""</formula>
    </cfRule>
    <cfRule type="expression" dxfId="71" priority="8" stopIfTrue="1">
      <formula>O7=CléPersonnalisée2</formula>
    </cfRule>
    <cfRule type="expression" dxfId="70" priority="9" stopIfTrue="1">
      <formula>O7=CléPersonnalisée1</formula>
    </cfRule>
    <cfRule type="expression" dxfId="69" priority="10" stopIfTrue="1">
      <formula>O7=CléMaladie</formula>
    </cfRule>
    <cfRule type="expression" dxfId="68" priority="11" stopIfTrue="1">
      <formula>O7=CléPersonnel</formula>
    </cfRule>
    <cfRule type="expression" dxfId="67" priority="12" stopIfTrue="1">
      <formula>O7=CléCongé</formula>
    </cfRule>
  </conditionalFormatting>
  <conditionalFormatting sqref="T7">
    <cfRule type="expression" priority="1" stopIfTrue="1">
      <formula>T7=""</formula>
    </cfRule>
    <cfRule type="expression" dxfId="66" priority="2" stopIfTrue="1">
      <formula>T7=CléPersonnalisée2</formula>
    </cfRule>
    <cfRule type="expression" dxfId="65" priority="3" stopIfTrue="1">
      <formula>T7=CléPersonnalisée1</formula>
    </cfRule>
    <cfRule type="expression" dxfId="64" priority="4" stopIfTrue="1">
      <formula>T7=CléMaladie</formula>
    </cfRule>
    <cfRule type="expression" dxfId="63" priority="5" stopIfTrue="1">
      <formula>T7=CléPersonnel</formula>
    </cfRule>
    <cfRule type="expression" dxfId="62" priority="6" stopIfTrue="1">
      <formula>T7=CléCongé</formula>
    </cfRule>
  </conditionalFormatting>
  <dataValidations count="14">
    <dataValidation allowBlank="1" showInputMessage="1" showErrorMessage="1" prompt="Entrez l’année dans cette cellule" sqref="AH4"/>
    <dataValidation errorStyle="warning"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6"/>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dataValidation allowBlank="1" showInputMessage="1" showErrorMessage="1" prompt="Le titre de la feuille de calcul figure dans cette cellule. Si vous mettez à jour le titre, le changement est automatiquement répercuté sur chaque feuille de calcul" sqref="B1"/>
    <dataValidation allowBlank="1" showInputMessage="1" showErrorMessage="1" prompt="Mois de ce calendrier des absences. Mettez à jour l’année dans la cellule AH4. Suivez les totaux mensuels dans la dernière cellule du tableau. Entr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 sqref="B2"/>
    <dataValidation allowBlank="1" showInputMessage="1" showErrorMessage="1" prompt="La lettre « C » indique une absence pour cause de congé" sqref="C2"/>
    <dataValidation allowBlank="1" showInputMessage="1" showErrorMessage="1" prompt="La lettre « P » indique une absence pour motifs personnels" sqref="F2 J2"/>
    <dataValidation allowBlank="1" showInputMessage="1" showErrorMessage="1" prompt="La lettre « M » indique une absence pour cause de maladie" sqref="N2"/>
    <dataValidation allowBlank="1" showInputMessage="1" showErrorMessage="1" prompt="Utilisez le calendrier des absences des employés pour noter et suivre les absences des employés chaque mois. Il contient 13 feuilles de calcul, 12 par mois et 1 pour les noms des employés. Suivez les absences de janvier dans cette feuille de calcul" sqref="A1"/>
    <dataValidation allowBlank="1" showInputMessage="1" showErrorMessage="1" prompt="Entrez l’année dans la cellule ci-dessous" sqref="AH3"/>
    <dataValidation allowBlank="1" showInputMessage="1" showErrorMessage="1" prompt="Entrez une lettre et personnalisez l’étiquette à droite pour ajouter un élément de clé" sqref="Q2"/>
    <dataValidation allowBlank="1" showInputMessage="1" showErrorMessage="1" prompt="Entrez une étiquette pour décrire la clé personnalisée à gauche" sqref="R2"/>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employés'!$B$4:$B$10</xm:f>
          </x14:formula1>
          <xm:sqref>B7:B13</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749992370372631"/>
    <pageSetUpPr fitToPage="1"/>
  </sheetPr>
  <dimension ref="A1:AI14"/>
  <sheetViews>
    <sheetView showGridLines="0" topLeftCell="A2" zoomScale="76" zoomScaleNormal="76" workbookViewId="0">
      <selection activeCell="AH7" sqref="AH7"/>
    </sheetView>
  </sheetViews>
  <sheetFormatPr baseColWidth="10" defaultColWidth="9.1796875" defaultRowHeight="30" customHeight="1" x14ac:dyDescent="0.35"/>
  <cols>
    <col min="1" max="1" width="2.7265625" style="8" customWidth="1"/>
    <col min="2" max="2" width="25.7265625" style="8" customWidth="1"/>
    <col min="3" max="4" width="4.7265625" style="8" customWidth="1"/>
    <col min="5" max="5" width="9.26953125" style="8" customWidth="1"/>
    <col min="6" max="11" width="4.7265625" style="8" customWidth="1"/>
    <col min="12" max="12" width="10.26953125" style="8" customWidth="1"/>
    <col min="13" max="33" width="4.7265625" style="8" customWidth="1"/>
    <col min="34" max="34" width="13.54296875" style="8" customWidth="1"/>
    <col min="35" max="35" width="12.08984375" customWidth="1"/>
  </cols>
  <sheetData>
    <row r="1" spans="2:35" ht="50.15" customHeight="1" x14ac:dyDescent="0.35">
      <c r="B1" s="11" t="str">
        <f>Titre_Absence_Employé</f>
        <v>Calendrier des absences des employés</v>
      </c>
    </row>
    <row r="2" spans="2:35" ht="15" customHeight="1" x14ac:dyDescent="0.35">
      <c r="B2" s="16" t="s">
        <v>1</v>
      </c>
      <c r="C2" s="3" t="s">
        <v>4</v>
      </c>
      <c r="D2" s="33" t="s">
        <v>57</v>
      </c>
      <c r="E2" s="34"/>
      <c r="F2" s="4" t="s">
        <v>55</v>
      </c>
      <c r="G2" s="33" t="s">
        <v>55</v>
      </c>
      <c r="H2" s="34"/>
      <c r="I2" s="34"/>
      <c r="J2" s="5" t="s">
        <v>56</v>
      </c>
      <c r="K2" s="33" t="s">
        <v>58</v>
      </c>
      <c r="L2" s="34"/>
      <c r="M2" s="6" t="s">
        <v>10</v>
      </c>
      <c r="N2" s="33" t="s">
        <v>16</v>
      </c>
      <c r="O2" s="34"/>
      <c r="P2" s="34"/>
      <c r="Q2" s="34"/>
      <c r="Y2"/>
      <c r="Z2"/>
      <c r="AA2"/>
      <c r="AB2"/>
      <c r="AC2"/>
      <c r="AD2"/>
      <c r="AE2"/>
      <c r="AF2"/>
      <c r="AG2"/>
      <c r="AH2"/>
    </row>
    <row r="3" spans="2:35" ht="15" customHeight="1" x14ac:dyDescent="0.35">
      <c r="B3"/>
    </row>
    <row r="4" spans="2:35" ht="30" customHeight="1" x14ac:dyDescent="0.35">
      <c r="B4" s="9" t="s">
        <v>41</v>
      </c>
      <c r="C4" s="32" t="s">
        <v>5</v>
      </c>
      <c r="D4" s="32"/>
      <c r="E4" s="32"/>
      <c r="F4" s="32"/>
      <c r="G4" s="32"/>
      <c r="H4" s="32"/>
      <c r="I4" s="32"/>
      <c r="J4" s="32"/>
      <c r="K4" s="32"/>
      <c r="L4" s="32"/>
      <c r="M4" s="32"/>
      <c r="N4" s="32"/>
      <c r="O4" s="32"/>
      <c r="P4" s="32"/>
      <c r="Q4" s="32"/>
      <c r="R4" s="32"/>
      <c r="S4" s="32"/>
      <c r="T4" s="32"/>
      <c r="U4" s="32"/>
      <c r="V4" s="32"/>
      <c r="W4" s="32"/>
      <c r="X4" s="32"/>
      <c r="Y4" s="32"/>
      <c r="Z4" s="32"/>
      <c r="AA4" s="32"/>
      <c r="AB4" s="32"/>
      <c r="AC4" s="32"/>
      <c r="AD4" s="32"/>
      <c r="AE4" s="32"/>
      <c r="AF4" s="32"/>
      <c r="AG4" s="32"/>
      <c r="AH4" s="9">
        <f>AnnéeCalendrier</f>
        <v>2018</v>
      </c>
    </row>
    <row r="5" spans="2:35" ht="15" customHeight="1" x14ac:dyDescent="0.35">
      <c r="B5" s="9"/>
      <c r="C5" s="1" t="str">
        <f>TEXT(WEEKDAY(DATE(AnnéeCalendrier,2,1),1),"jjj")</f>
        <v>jeu</v>
      </c>
      <c r="D5" s="1" t="str">
        <f>TEXT(WEEKDAY(DATE(AnnéeCalendrier,2,2),1),"jjj")</f>
        <v>ven</v>
      </c>
      <c r="E5" s="1" t="str">
        <f>TEXT(WEEKDAY(DATE(AnnéeCalendrier,2,3),1),"jjj")</f>
        <v>sam</v>
      </c>
      <c r="F5" s="1" t="str">
        <f>TEXT(WEEKDAY(DATE(AnnéeCalendrier,2,4),1),"jjj")</f>
        <v>dim</v>
      </c>
      <c r="G5" s="1" t="str">
        <f>TEXT(WEEKDAY(DATE(AnnéeCalendrier,2,5),1),"jjj")</f>
        <v>lun</v>
      </c>
      <c r="H5" s="1" t="str">
        <f>TEXT(WEEKDAY(DATE(AnnéeCalendrier,2,6),1),"jjj")</f>
        <v>mar</v>
      </c>
      <c r="I5" s="1" t="str">
        <f>TEXT(WEEKDAY(DATE(AnnéeCalendrier,2,7),1),"jjj")</f>
        <v>mer</v>
      </c>
      <c r="J5" s="1" t="str">
        <f>TEXT(WEEKDAY(DATE(AnnéeCalendrier,2,8),1),"jjj")</f>
        <v>jeu</v>
      </c>
      <c r="K5" s="1" t="str">
        <f>TEXT(WEEKDAY(DATE(AnnéeCalendrier,2,9),1),"jjj")</f>
        <v>ven</v>
      </c>
      <c r="L5" s="1" t="str">
        <f>TEXT(WEEKDAY(DATE(AnnéeCalendrier,2,10),1),"jjj")</f>
        <v>sam</v>
      </c>
      <c r="M5" s="1" t="str">
        <f>TEXT(WEEKDAY(DATE(AnnéeCalendrier,2,11),1),"jjj")</f>
        <v>dim</v>
      </c>
      <c r="N5" s="1" t="str">
        <f>TEXT(WEEKDAY(DATE(AnnéeCalendrier,2,12),1),"jjj")</f>
        <v>lun</v>
      </c>
      <c r="O5" s="1" t="str">
        <f>TEXT(WEEKDAY(DATE(AnnéeCalendrier,2,13),1),"jjj")</f>
        <v>mar</v>
      </c>
      <c r="P5" s="1" t="str">
        <f>TEXT(WEEKDAY(DATE(AnnéeCalendrier,2,14),1),"jjj")</f>
        <v>mer</v>
      </c>
      <c r="Q5" s="1" t="str">
        <f>TEXT(WEEKDAY(DATE(AnnéeCalendrier,2,15),1),"jjj")</f>
        <v>jeu</v>
      </c>
      <c r="R5" s="1" t="str">
        <f>TEXT(WEEKDAY(DATE(AnnéeCalendrier,2,16),1),"jjj")</f>
        <v>ven</v>
      </c>
      <c r="S5" s="1" t="str">
        <f>TEXT(WEEKDAY(DATE(AnnéeCalendrier,2,17),1),"jjj")</f>
        <v>sam</v>
      </c>
      <c r="T5" s="1" t="str">
        <f>TEXT(WEEKDAY(DATE(AnnéeCalendrier,2,18),1),"jjj")</f>
        <v>dim</v>
      </c>
      <c r="U5" s="1" t="str">
        <f>TEXT(WEEKDAY(DATE(AnnéeCalendrier,2,19),1),"jjj")</f>
        <v>lun</v>
      </c>
      <c r="V5" s="1" t="str">
        <f>TEXT(WEEKDAY(DATE(AnnéeCalendrier,2,20),1),"jjj")</f>
        <v>mar</v>
      </c>
      <c r="W5" s="1" t="str">
        <f>TEXT(WEEKDAY(DATE(AnnéeCalendrier,2,21),1),"jjj")</f>
        <v>mer</v>
      </c>
      <c r="X5" s="1" t="str">
        <f>TEXT(WEEKDAY(DATE(AnnéeCalendrier,2,22),1),"jjj")</f>
        <v>jeu</v>
      </c>
      <c r="Y5" s="1" t="str">
        <f>TEXT(WEEKDAY(DATE(AnnéeCalendrier,2,23),1),"jjj")</f>
        <v>ven</v>
      </c>
      <c r="Z5" s="1" t="str">
        <f>TEXT(WEEKDAY(DATE(AnnéeCalendrier,2,24),1),"jjj")</f>
        <v>sam</v>
      </c>
      <c r="AA5" s="1" t="str">
        <f>TEXT(WEEKDAY(DATE(AnnéeCalendrier,2,25),1),"jjj")</f>
        <v>dim</v>
      </c>
      <c r="AB5" s="1" t="str">
        <f>TEXT(WEEKDAY(DATE(AnnéeCalendrier,2,26),1),"jjj")</f>
        <v>lun</v>
      </c>
      <c r="AC5" s="1" t="str">
        <f>TEXT(WEEKDAY(DATE(AnnéeCalendrier,2,27),1),"jjj")</f>
        <v>mar</v>
      </c>
      <c r="AD5" s="1" t="str">
        <f>TEXT(WEEKDAY(DATE(AnnéeCalendrier,2,28),1),"jjj")</f>
        <v>mer</v>
      </c>
      <c r="AE5" s="1" t="str">
        <f>TEXT(WEEKDAY(DATE(AnnéeCalendrier,2,29),1),"jjj")</f>
        <v>jeu</v>
      </c>
      <c r="AF5" s="1"/>
      <c r="AG5" s="1"/>
      <c r="AH5" s="9"/>
    </row>
    <row r="6" spans="2:35" ht="15" customHeight="1" x14ac:dyDescent="0.35">
      <c r="B6" s="12" t="s">
        <v>3</v>
      </c>
      <c r="C6" s="2" t="s">
        <v>6</v>
      </c>
      <c r="D6" s="2" t="s">
        <v>7</v>
      </c>
      <c r="E6" s="2" t="s">
        <v>8</v>
      </c>
      <c r="F6" s="2" t="s">
        <v>9</v>
      </c>
      <c r="G6" s="2" t="s">
        <v>11</v>
      </c>
      <c r="H6" s="2" t="s">
        <v>12</v>
      </c>
      <c r="I6" s="2" t="s">
        <v>13</v>
      </c>
      <c r="J6" s="2" t="s">
        <v>14</v>
      </c>
      <c r="K6" s="2" t="s">
        <v>15</v>
      </c>
      <c r="L6" s="2" t="s">
        <v>17</v>
      </c>
      <c r="M6" s="2" t="s">
        <v>18</v>
      </c>
      <c r="N6" s="2" t="s">
        <v>19</v>
      </c>
      <c r="O6" s="2" t="s">
        <v>20</v>
      </c>
      <c r="P6" s="2" t="s">
        <v>21</v>
      </c>
      <c r="Q6" s="2" t="s">
        <v>22</v>
      </c>
      <c r="R6" s="2" t="s">
        <v>23</v>
      </c>
      <c r="S6" s="2" t="s">
        <v>24</v>
      </c>
      <c r="T6" s="2" t="s">
        <v>25</v>
      </c>
      <c r="U6" s="2" t="s">
        <v>26</v>
      </c>
      <c r="V6" s="2" t="s">
        <v>27</v>
      </c>
      <c r="W6" s="2" t="s">
        <v>28</v>
      </c>
      <c r="X6" s="2" t="s">
        <v>29</v>
      </c>
      <c r="Y6" s="2" t="s">
        <v>30</v>
      </c>
      <c r="Z6" s="2" t="s">
        <v>31</v>
      </c>
      <c r="AA6" s="2" t="s">
        <v>32</v>
      </c>
      <c r="AB6" s="2" t="s">
        <v>33</v>
      </c>
      <c r="AC6" s="2" t="s">
        <v>34</v>
      </c>
      <c r="AD6" s="2" t="s">
        <v>35</v>
      </c>
      <c r="AE6" s="2" t="s">
        <v>36</v>
      </c>
      <c r="AF6" s="2" t="s">
        <v>42</v>
      </c>
      <c r="AG6" s="2" t="s">
        <v>43</v>
      </c>
      <c r="AH6" s="30" t="s">
        <v>68</v>
      </c>
      <c r="AI6" s="30" t="s">
        <v>69</v>
      </c>
    </row>
    <row r="7" spans="2:35" ht="30" customHeight="1" x14ac:dyDescent="0.35">
      <c r="B7" s="14" t="s">
        <v>61</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7">
        <f>COUNTA(Février[[#This Row],[1]:[29]])</f>
        <v>0</v>
      </c>
      <c r="AI7" s="27"/>
    </row>
    <row r="8" spans="2:35" ht="30" customHeight="1" x14ac:dyDescent="0.35">
      <c r="B8" s="14" t="s">
        <v>62</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7">
        <f>COUNTA(Février[[#This Row],[1]:[29]])</f>
        <v>0</v>
      </c>
      <c r="AI8" s="27"/>
    </row>
    <row r="9" spans="2:35" ht="30" customHeight="1" x14ac:dyDescent="0.35">
      <c r="B9" s="14" t="s">
        <v>63</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7">
        <f>COUNTA(Février[[#This Row],[1]:[29]])</f>
        <v>0</v>
      </c>
      <c r="AI9" s="27"/>
    </row>
    <row r="10" spans="2:35" ht="30" customHeight="1" x14ac:dyDescent="0.35">
      <c r="B10" s="14" t="s">
        <v>64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7">
        <f>COUNTA(Février[[#This Row],[1]:[29]])</f>
        <v>0</v>
      </c>
      <c r="AI10" s="27"/>
    </row>
    <row r="11" spans="2:35" ht="30" customHeight="1" x14ac:dyDescent="0.35">
      <c r="B11" s="14" t="s">
        <v>65</v>
      </c>
      <c r="C11" s="7"/>
      <c r="D11" s="7"/>
      <c r="E11" s="7"/>
      <c r="F11" s="7"/>
      <c r="G11" s="7"/>
      <c r="H11" s="7"/>
      <c r="I11" s="7"/>
      <c r="J11" s="7"/>
      <c r="K11" s="7"/>
      <c r="L11" s="7"/>
      <c r="M11" s="7"/>
      <c r="N11" s="7"/>
      <c r="O11" s="7"/>
      <c r="P11" s="7"/>
      <c r="Q11" s="7"/>
      <c r="R11" s="7"/>
      <c r="S11" s="7"/>
      <c r="T11" s="7"/>
      <c r="U11" s="7"/>
      <c r="V11" s="7"/>
      <c r="W11" s="7"/>
      <c r="X11" s="7"/>
      <c r="Y11" s="7"/>
      <c r="Z11" s="7"/>
      <c r="AA11" s="7"/>
      <c r="AB11" s="7"/>
      <c r="AC11" s="7"/>
      <c r="AD11" s="7"/>
      <c r="AE11" s="7"/>
      <c r="AF11" s="7"/>
      <c r="AG11" s="7"/>
      <c r="AH11" s="7">
        <f>COUNTA(Février[[#This Row],[1]:[29]])</f>
        <v>0</v>
      </c>
      <c r="AI11" s="27"/>
    </row>
    <row r="12" spans="2:35" ht="30" customHeight="1" x14ac:dyDescent="0.35">
      <c r="B12" s="14" t="s">
        <v>66</v>
      </c>
      <c r="C12" s="7"/>
      <c r="D12" s="7"/>
      <c r="E12" s="7"/>
      <c r="F12" s="7"/>
      <c r="G12" s="7"/>
      <c r="H12" s="7"/>
      <c r="I12" s="7"/>
      <c r="J12" s="7"/>
      <c r="K12" s="7"/>
      <c r="L12" s="7"/>
      <c r="M12" s="7"/>
      <c r="N12" s="7"/>
      <c r="O12" s="7"/>
      <c r="P12" s="7"/>
      <c r="Q12" s="7"/>
      <c r="R12" s="7"/>
      <c r="S12" s="7"/>
      <c r="T12" s="7"/>
      <c r="U12" s="7"/>
      <c r="V12" s="7"/>
      <c r="W12" s="7"/>
      <c r="X12" s="7"/>
      <c r="Y12" s="7"/>
      <c r="Z12" s="7"/>
      <c r="AA12" s="7"/>
      <c r="AB12" s="7"/>
      <c r="AC12" s="7"/>
      <c r="AD12" s="7"/>
      <c r="AE12" s="7"/>
      <c r="AF12" s="7"/>
      <c r="AG12" s="7"/>
      <c r="AH12" s="7">
        <f>COUNTA(Février[[#This Row],[1]:[29]])</f>
        <v>0</v>
      </c>
      <c r="AI12" s="27"/>
    </row>
    <row r="13" spans="2:35" ht="30" customHeight="1" x14ac:dyDescent="0.35">
      <c r="B13" s="14" t="s">
        <v>67</v>
      </c>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7">
        <f>COUNTA(Février[[#This Row],[1]:[29]])</f>
        <v>0</v>
      </c>
      <c r="AI13" s="27"/>
    </row>
    <row r="14" spans="2:35" ht="30" customHeight="1" x14ac:dyDescent="0.35">
      <c r="B14" s="18" t="str">
        <f>NomMois&amp;" Total"</f>
        <v>Février Total</v>
      </c>
      <c r="C14" s="10">
        <f>SUBTOTAL(103,Février[1])</f>
        <v>0</v>
      </c>
      <c r="D14" s="10">
        <f>SUBTOTAL(103,Février[2])</f>
        <v>0</v>
      </c>
      <c r="E14" s="10">
        <f>SUBTOTAL(103,Février[3])</f>
        <v>0</v>
      </c>
      <c r="F14" s="10">
        <f>SUBTOTAL(103,Février[4])</f>
        <v>0</v>
      </c>
      <c r="G14" s="10">
        <f>SUBTOTAL(103,Février[5])</f>
        <v>0</v>
      </c>
      <c r="H14" s="10">
        <f>SUBTOTAL(103,Février[6])</f>
        <v>0</v>
      </c>
      <c r="I14" s="10">
        <f>SUBTOTAL(103,Février[7])</f>
        <v>0</v>
      </c>
      <c r="J14" s="10">
        <f>SUBTOTAL(103,Février[8])</f>
        <v>0</v>
      </c>
      <c r="K14" s="10">
        <f>SUBTOTAL(103,Février[9])</f>
        <v>0</v>
      </c>
      <c r="L14" s="10">
        <f>SUBTOTAL(103,Février[10])</f>
        <v>0</v>
      </c>
      <c r="M14" s="10">
        <f>SUBTOTAL(103,Février[11])</f>
        <v>0</v>
      </c>
      <c r="N14" s="10">
        <f>SUBTOTAL(103,Février[12])</f>
        <v>0</v>
      </c>
      <c r="O14" s="10">
        <f>SUBTOTAL(103,Février[13])</f>
        <v>0</v>
      </c>
      <c r="P14" s="10">
        <f>SUBTOTAL(103,Février[14])</f>
        <v>0</v>
      </c>
      <c r="Q14" s="10">
        <f>SUBTOTAL(103,Février[15])</f>
        <v>0</v>
      </c>
      <c r="R14" s="10">
        <f>SUBTOTAL(103,Février[16])</f>
        <v>0</v>
      </c>
      <c r="S14" s="10">
        <f>SUBTOTAL(103,Février[17])</f>
        <v>0</v>
      </c>
      <c r="T14" s="10">
        <f>SUBTOTAL(103,Février[18])</f>
        <v>0</v>
      </c>
      <c r="U14" s="10">
        <f>SUBTOTAL(103,Février[19])</f>
        <v>0</v>
      </c>
      <c r="V14" s="10">
        <f>SUBTOTAL(103,Février[20])</f>
        <v>0</v>
      </c>
      <c r="W14" s="10">
        <f>SUBTOTAL(103,Février[21])</f>
        <v>0</v>
      </c>
      <c r="X14" s="10">
        <f>SUBTOTAL(103,Février[22])</f>
        <v>0</v>
      </c>
      <c r="Y14" s="10">
        <f>SUBTOTAL(103,Février[23])</f>
        <v>0</v>
      </c>
      <c r="Z14" s="10">
        <f>SUBTOTAL(103,Février[24])</f>
        <v>0</v>
      </c>
      <c r="AA14" s="10">
        <f>SUBTOTAL(103,Février[25])</f>
        <v>0</v>
      </c>
      <c r="AB14" s="10">
        <f>SUBTOTAL(103,Février[26])</f>
        <v>0</v>
      </c>
      <c r="AC14" s="10">
        <f>SUBTOTAL(103,Février[27])</f>
        <v>0</v>
      </c>
      <c r="AD14" s="10">
        <f>SUBTOTAL(103,Février[28])</f>
        <v>0</v>
      </c>
      <c r="AE14" s="10">
        <f>SUBTOTAL(103,Février[29])</f>
        <v>0</v>
      </c>
      <c r="AF14" s="10"/>
      <c r="AG14" s="10"/>
      <c r="AH14" s="10">
        <f>SUBTOTAL(109,Février[RTT restants])</f>
        <v>0</v>
      </c>
      <c r="AI14" s="2"/>
    </row>
  </sheetData>
  <mergeCells count="5">
    <mergeCell ref="C4:AG4"/>
    <mergeCell ref="D2:E2"/>
    <mergeCell ref="G2:I2"/>
    <mergeCell ref="K2:L2"/>
    <mergeCell ref="N2:Q2"/>
  </mergeCells>
  <conditionalFormatting sqref="AE6">
    <cfRule type="expression" dxfId="61" priority="22">
      <formula>MONTH(DATE(AnnéeCalendrier,2,29))&lt;&gt;2</formula>
    </cfRule>
  </conditionalFormatting>
  <conditionalFormatting sqref="AE5">
    <cfRule type="expression" dxfId="60" priority="21">
      <formula>MONTH(DATE(AnnéeCalendrier,2,29))&lt;&gt;2</formula>
    </cfRule>
  </conditionalFormatting>
  <conditionalFormatting sqref="C8:AG13 D7:AG7">
    <cfRule type="expression" priority="8" stopIfTrue="1">
      <formula>C7=""</formula>
    </cfRule>
    <cfRule type="expression" dxfId="59" priority="9" stopIfTrue="1">
      <formula>C7=CléPersonnalisée2</formula>
    </cfRule>
  </conditionalFormatting>
  <conditionalFormatting sqref="C8:AG13 D7:AG7">
    <cfRule type="expression" dxfId="58" priority="11" stopIfTrue="1">
      <formula>C7=CléPersonnalisée1</formula>
    </cfRule>
    <cfRule type="expression" dxfId="57" priority="12" stopIfTrue="1">
      <formula>C7=CléMaladie</formula>
    </cfRule>
    <cfRule type="expression" dxfId="56" priority="13" stopIfTrue="1">
      <formula>C7=CléPersonnel</formula>
    </cfRule>
    <cfRule type="expression" dxfId="55" priority="14" stopIfTrue="1">
      <formula>C7=CléCongé</formula>
    </cfRule>
  </conditionalFormatting>
  <conditionalFormatting sqref="AH7:AH13">
    <cfRule type="dataBar" priority="159">
      <dataBar>
        <cfvo type="min"/>
        <cfvo type="formula" val="DATEDIF(DATE(CalendarYear,2,1),DATE(CalendarYear,3,1),&quot;d&quot;)"/>
        <color theme="2" tint="-0.249977111117893"/>
      </dataBar>
      <extLst>
        <ext xmlns:x14="http://schemas.microsoft.com/office/spreadsheetml/2009/9/main" uri="{B025F937-C7B1-47D3-B67F-A62EFF666E3E}">
          <x14:id>{94738C71-AB78-40C3-A818-D083AE35CC38}</x14:id>
        </ext>
      </extLst>
    </cfRule>
  </conditionalFormatting>
  <conditionalFormatting sqref="C7">
    <cfRule type="expression" priority="1" stopIfTrue="1">
      <formula>C7=""</formula>
    </cfRule>
    <cfRule type="expression" dxfId="54" priority="2" stopIfTrue="1">
      <formula>C7=CléPersonnalisée2</formula>
    </cfRule>
  </conditionalFormatting>
  <conditionalFormatting sqref="C7">
    <cfRule type="expression" dxfId="53" priority="3" stopIfTrue="1">
      <formula>C7=CléPersonnalisée1</formula>
    </cfRule>
    <cfRule type="expression" dxfId="52" priority="4" stopIfTrue="1">
      <formula>C7=CléMaladie</formula>
    </cfRule>
    <cfRule type="expression" dxfId="51" priority="5" stopIfTrue="1">
      <formula>C7=CléPersonnel</formula>
    </cfRule>
    <cfRule type="expression" dxfId="50" priority="6" stopIfTrue="1">
      <formula>C7=CléCongé</formula>
    </cfRule>
  </conditionalFormatting>
  <dataValidations xWindow="664" yWindow="430" count="13">
    <dataValidation allowBlank="1" showInputMessage="1" showErrorMessage="1" prompt="Année mise à jour automatiquement en fonction de l’année entrée dans la feuille de calcul Janvier" sqref="AH4"/>
    <dataValidation allowBlank="1" showInputMessage="1" showErrorMessage="1" prompt="Suivez les absences du mois de février dans cette feuille de calcul" sqref="A1"/>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Cette ligne définit les clés utilisées dans le tableau : Congé en C2, Personnel en F2 et Congé maladie en J2. Les cellules M2 et R2 sont personnalisables " sqref="B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Entrez une étiquette pour décrire la clé personnalisée à gauche" sqref="N2"/>
    <dataValidation allowBlank="1" showInputMessage="1" showErrorMessage="1" prompt="Entrez une lettre et personnalisez l’étiquette à droite pour ajouter un élément de clé" sqref="M2"/>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94738C71-AB78-40C3-A818-D083AE35CC38}">
            <x14:dataBar minLength="0" maxLength="100">
              <x14:cfvo type="autoMin"/>
              <x14:cfvo type="formula">
                <xm:f>DATEDIF(DATE(CalendarYear,2,1),DATE(CalendarYear,3,1),"d")</xm:f>
              </x14:cfvo>
              <x14:negativeFillColor rgb="FFFF0000"/>
              <x14:axisColor rgb="FF000000"/>
            </x14:dataBar>
          </x14:cfRule>
          <xm:sqref>AH7:AH13</xm:sqref>
        </x14:conditionalFormatting>
      </x14:conditionalFormattings>
    </ext>
    <ext xmlns:x14="http://schemas.microsoft.com/office/spreadsheetml/2009/9/main" uri="{CCE6A557-97BC-4b89-ADB6-D9C93CAAB3DF}">
      <x14:dataValidations xmlns:xm="http://schemas.microsoft.com/office/excel/2006/main" xWindow="664" yWindow="430" count="1">
        <x14:dataValidation type="list" allowBlank="1" showInputMessage="1" showErrorMessage="1">
          <x14:formula1>
            <xm:f>'Noms des employés'!$B$4:$B$10</xm:f>
          </x14:formula1>
          <xm:sqref>B7:B13</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499984740745262"/>
    <pageSetUpPr fitToPage="1"/>
  </sheetPr>
  <dimension ref="A1:AH14"/>
  <sheetViews>
    <sheetView showGridLines="0" zoomScale="48" zoomScaleNormal="48" workbookViewId="0">
      <selection activeCell="B7" sqref="B7:B13"/>
    </sheetView>
  </sheetViews>
  <sheetFormatPr baseColWidth="10" defaultColWidth="9.1796875" defaultRowHeight="30" customHeight="1" x14ac:dyDescent="0.35"/>
  <cols>
    <col min="1" max="1" width="2.7265625" style="8" customWidth="1"/>
    <col min="2" max="2" width="25.7265625" style="8" customWidth="1"/>
    <col min="3" max="4" width="4.7265625" style="8" customWidth="1"/>
    <col min="5" max="5" width="10" style="8" customWidth="1"/>
    <col min="6" max="11" width="4.7265625" style="8" customWidth="1"/>
    <col min="12" max="12" width="12.1796875" style="8" customWidth="1"/>
    <col min="13" max="33" width="4.7265625" style="8" customWidth="1"/>
    <col min="34" max="34" width="13.54296875" style="8" customWidth="1"/>
    <col min="35" max="35" width="2.7265625" customWidth="1"/>
  </cols>
  <sheetData>
    <row r="1" spans="2:34" ht="50.15" customHeight="1" x14ac:dyDescent="0.35">
      <c r="B1" s="11" t="str">
        <f>Titre_Absence_Employé</f>
        <v>Calendrier des absences des employés</v>
      </c>
    </row>
    <row r="2" spans="2:34" ht="15" customHeight="1" x14ac:dyDescent="0.35">
      <c r="B2" s="16" t="s">
        <v>1</v>
      </c>
      <c r="C2" s="3" t="s">
        <v>4</v>
      </c>
      <c r="D2" s="33" t="s">
        <v>57</v>
      </c>
      <c r="E2" s="34"/>
      <c r="F2" s="4" t="s">
        <v>55</v>
      </c>
      <c r="G2" s="33" t="s">
        <v>55</v>
      </c>
      <c r="H2" s="34"/>
      <c r="I2" s="34"/>
      <c r="J2" s="5" t="s">
        <v>56</v>
      </c>
      <c r="K2" s="33" t="s">
        <v>58</v>
      </c>
      <c r="L2" s="34"/>
      <c r="M2" s="6" t="s">
        <v>10</v>
      </c>
      <c r="N2" s="33" t="s">
        <v>16</v>
      </c>
      <c r="O2" s="34"/>
      <c r="P2" s="34"/>
      <c r="Q2" s="34"/>
      <c r="X2"/>
      <c r="Y2"/>
      <c r="Z2"/>
      <c r="AA2"/>
      <c r="AB2"/>
      <c r="AC2"/>
      <c r="AD2"/>
      <c r="AE2"/>
      <c r="AF2"/>
      <c r="AG2"/>
      <c r="AH2"/>
    </row>
    <row r="3" spans="2:34" ht="15" customHeight="1" x14ac:dyDescent="0.35">
      <c r="B3" s="11"/>
    </row>
    <row r="4" spans="2:34" ht="30" customHeight="1" x14ac:dyDescent="0.35">
      <c r="B4" s="9" t="s">
        <v>44</v>
      </c>
      <c r="C4" s="32" t="s">
        <v>5</v>
      </c>
      <c r="D4" s="32"/>
      <c r="E4" s="32"/>
      <c r="F4" s="32"/>
      <c r="G4" s="32"/>
      <c r="H4" s="32"/>
      <c r="I4" s="32"/>
      <c r="J4" s="32"/>
      <c r="K4" s="32"/>
      <c r="L4" s="32"/>
      <c r="M4" s="32"/>
      <c r="N4" s="32"/>
      <c r="O4" s="32"/>
      <c r="P4" s="32"/>
      <c r="Q4" s="32"/>
      <c r="R4" s="32"/>
      <c r="S4" s="32"/>
      <c r="T4" s="32"/>
      <c r="U4" s="32"/>
      <c r="V4" s="32"/>
      <c r="W4" s="32"/>
      <c r="X4" s="32"/>
      <c r="Y4" s="32"/>
      <c r="Z4" s="32"/>
      <c r="AA4" s="32"/>
      <c r="AB4" s="32"/>
      <c r="AC4" s="32"/>
      <c r="AD4" s="32"/>
      <c r="AE4" s="32"/>
      <c r="AF4" s="32"/>
      <c r="AG4" s="32"/>
      <c r="AH4" s="9">
        <f>AnnéeCalendrier</f>
        <v>2018</v>
      </c>
    </row>
    <row r="5" spans="2:34" ht="15" customHeight="1" x14ac:dyDescent="0.35">
      <c r="B5" s="9"/>
      <c r="C5" s="1" t="str">
        <f>TEXT(WEEKDAY(DATE(AnnéeCalendrier,3,1),1),"jjj")</f>
        <v>jeu</v>
      </c>
      <c r="D5" s="1" t="str">
        <f>TEXT(WEEKDAY(DATE(AnnéeCalendrier,3,2),1),"jjj")</f>
        <v>ven</v>
      </c>
      <c r="E5" s="1" t="str">
        <f>TEXT(WEEKDAY(DATE(AnnéeCalendrier,3,3),1),"jjj")</f>
        <v>sam</v>
      </c>
      <c r="F5" s="1" t="str">
        <f>TEXT(WEEKDAY(DATE(AnnéeCalendrier,3,4),1),"jjj")</f>
        <v>dim</v>
      </c>
      <c r="G5" s="1" t="str">
        <f>TEXT(WEEKDAY(DATE(AnnéeCalendrier,3,5),1),"jjj")</f>
        <v>lun</v>
      </c>
      <c r="H5" s="1" t="str">
        <f>TEXT(WEEKDAY(DATE(AnnéeCalendrier,3,6),1),"jjj")</f>
        <v>mar</v>
      </c>
      <c r="I5" s="1" t="str">
        <f>TEXT(WEEKDAY(DATE(AnnéeCalendrier,3,7),1),"jjj")</f>
        <v>mer</v>
      </c>
      <c r="J5" s="1" t="str">
        <f>TEXT(WEEKDAY(DATE(AnnéeCalendrier,3,8),1),"jjj")</f>
        <v>jeu</v>
      </c>
      <c r="K5" s="1" t="str">
        <f>TEXT(WEEKDAY(DATE(AnnéeCalendrier,3,9),1),"jjj")</f>
        <v>ven</v>
      </c>
      <c r="L5" s="1" t="str">
        <f>TEXT(WEEKDAY(DATE(AnnéeCalendrier,3,10),1),"jjj")</f>
        <v>sam</v>
      </c>
      <c r="M5" s="1" t="str">
        <f>TEXT(WEEKDAY(DATE(AnnéeCalendrier,3,11),1),"jjj")</f>
        <v>dim</v>
      </c>
      <c r="N5" s="1" t="str">
        <f>TEXT(WEEKDAY(DATE(AnnéeCalendrier,3,12),1),"jjj")</f>
        <v>lun</v>
      </c>
      <c r="O5" s="1" t="str">
        <f>TEXT(WEEKDAY(DATE(AnnéeCalendrier,3,13),1),"jjj")</f>
        <v>mar</v>
      </c>
      <c r="P5" s="1" t="str">
        <f>TEXT(WEEKDAY(DATE(AnnéeCalendrier,3,14),1),"jjj")</f>
        <v>mer</v>
      </c>
      <c r="Q5" s="1" t="str">
        <f>TEXT(WEEKDAY(DATE(AnnéeCalendrier,3,15),1),"jjj")</f>
        <v>jeu</v>
      </c>
      <c r="R5" s="1" t="str">
        <f>TEXT(WEEKDAY(DATE(AnnéeCalendrier,3,16),1),"jjj")</f>
        <v>ven</v>
      </c>
      <c r="S5" s="1" t="str">
        <f>TEXT(WEEKDAY(DATE(AnnéeCalendrier,3,17),1),"jjj")</f>
        <v>sam</v>
      </c>
      <c r="T5" s="1" t="str">
        <f>TEXT(WEEKDAY(DATE(AnnéeCalendrier,3,18),1),"jjj")</f>
        <v>dim</v>
      </c>
      <c r="U5" s="1" t="str">
        <f>TEXT(WEEKDAY(DATE(AnnéeCalendrier,3,19),1),"jjj")</f>
        <v>lun</v>
      </c>
      <c r="V5" s="1" t="str">
        <f>TEXT(WEEKDAY(DATE(AnnéeCalendrier,3,20),1),"jjj")</f>
        <v>mar</v>
      </c>
      <c r="W5" s="1" t="str">
        <f>TEXT(WEEKDAY(DATE(AnnéeCalendrier,3,21),1),"jjj")</f>
        <v>mer</v>
      </c>
      <c r="X5" s="1" t="str">
        <f>TEXT(WEEKDAY(DATE(AnnéeCalendrier,3,22),1),"jjj")</f>
        <v>jeu</v>
      </c>
      <c r="Y5" s="1" t="str">
        <f>TEXT(WEEKDAY(DATE(AnnéeCalendrier,3,23),1),"jjj")</f>
        <v>ven</v>
      </c>
      <c r="Z5" s="1" t="str">
        <f>TEXT(WEEKDAY(DATE(AnnéeCalendrier,3,24),1),"jjj")</f>
        <v>sam</v>
      </c>
      <c r="AA5" s="1" t="str">
        <f>TEXT(WEEKDAY(DATE(AnnéeCalendrier,3,25),1),"jjj")</f>
        <v>dim</v>
      </c>
      <c r="AB5" s="1" t="str">
        <f>TEXT(WEEKDAY(DATE(AnnéeCalendrier,3,26),1),"jjj")</f>
        <v>lun</v>
      </c>
      <c r="AC5" s="1" t="str">
        <f>TEXT(WEEKDAY(DATE(AnnéeCalendrier,3,27),1),"jjj")</f>
        <v>mar</v>
      </c>
      <c r="AD5" s="1" t="str">
        <f>TEXT(WEEKDAY(DATE(AnnéeCalendrier,3,28),1),"jjj")</f>
        <v>mer</v>
      </c>
      <c r="AE5" s="1" t="str">
        <f>TEXT(WEEKDAY(DATE(AnnéeCalendrier,3,29),1),"jjj")</f>
        <v>jeu</v>
      </c>
      <c r="AF5" s="1" t="str">
        <f>TEXT(WEEKDAY(DATE(AnnéeCalendrier,3,30),1),"jjj")</f>
        <v>ven</v>
      </c>
      <c r="AG5" s="1" t="str">
        <f>TEXT(WEEKDAY(DATE(AnnéeCalendrier,3,31),1),"jjj")</f>
        <v>sam</v>
      </c>
      <c r="AH5" s="9"/>
    </row>
    <row r="6" spans="2:34" ht="15" customHeight="1" x14ac:dyDescent="0.35">
      <c r="B6" s="12" t="s">
        <v>3</v>
      </c>
      <c r="C6" s="2" t="s">
        <v>6</v>
      </c>
      <c r="D6" s="2" t="s">
        <v>7</v>
      </c>
      <c r="E6" s="2" t="s">
        <v>8</v>
      </c>
      <c r="F6" s="2" t="s">
        <v>9</v>
      </c>
      <c r="G6" s="2" t="s">
        <v>11</v>
      </c>
      <c r="H6" s="2" t="s">
        <v>12</v>
      </c>
      <c r="I6" s="2" t="s">
        <v>13</v>
      </c>
      <c r="J6" s="2" t="s">
        <v>14</v>
      </c>
      <c r="K6" s="2" t="s">
        <v>15</v>
      </c>
      <c r="L6" s="2" t="s">
        <v>17</v>
      </c>
      <c r="M6" s="2" t="s">
        <v>18</v>
      </c>
      <c r="N6" s="2" t="s">
        <v>19</v>
      </c>
      <c r="O6" s="2" t="s">
        <v>20</v>
      </c>
      <c r="P6" s="2" t="s">
        <v>21</v>
      </c>
      <c r="Q6" s="2" t="s">
        <v>22</v>
      </c>
      <c r="R6" s="2" t="s">
        <v>23</v>
      </c>
      <c r="S6" s="2" t="s">
        <v>24</v>
      </c>
      <c r="T6" s="2" t="s">
        <v>25</v>
      </c>
      <c r="U6" s="2" t="s">
        <v>26</v>
      </c>
      <c r="V6" s="2" t="s">
        <v>27</v>
      </c>
      <c r="W6" s="2" t="s">
        <v>28</v>
      </c>
      <c r="X6" s="2" t="s">
        <v>29</v>
      </c>
      <c r="Y6" s="2" t="s">
        <v>30</v>
      </c>
      <c r="Z6" s="2" t="s">
        <v>31</v>
      </c>
      <c r="AA6" s="2" t="s">
        <v>32</v>
      </c>
      <c r="AB6" s="2" t="s">
        <v>33</v>
      </c>
      <c r="AC6" s="2" t="s">
        <v>34</v>
      </c>
      <c r="AD6" s="2" t="s">
        <v>35</v>
      </c>
      <c r="AE6" s="2" t="s">
        <v>36</v>
      </c>
      <c r="AF6" s="2" t="s">
        <v>37</v>
      </c>
      <c r="AG6" s="2" t="s">
        <v>38</v>
      </c>
      <c r="AH6" s="13" t="s">
        <v>40</v>
      </c>
    </row>
    <row r="7" spans="2:34" ht="30" customHeight="1" x14ac:dyDescent="0.35">
      <c r="B7" s="14" t="s">
        <v>61</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7">
        <f>COUNTA(Mars[[#This Row],[1]:[31]])</f>
        <v>0</v>
      </c>
    </row>
    <row r="8" spans="2:34" ht="30" customHeight="1" x14ac:dyDescent="0.35">
      <c r="B8" s="14" t="s">
        <v>62</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7">
        <f>COUNTA(Mars[[#This Row],[1]:[31]])</f>
        <v>0</v>
      </c>
    </row>
    <row r="9" spans="2:34" ht="30" customHeight="1" x14ac:dyDescent="0.35">
      <c r="B9" s="14" t="s">
        <v>63</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7">
        <f>COUNTA(Mars[[#This Row],[1]:[31]])</f>
        <v>0</v>
      </c>
    </row>
    <row r="10" spans="2:34" ht="30" customHeight="1" x14ac:dyDescent="0.35">
      <c r="B10" s="14" t="s">
        <v>64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7">
        <f>COUNTA(Mars[[#This Row],[1]:[31]])</f>
        <v>0</v>
      </c>
    </row>
    <row r="11" spans="2:34" ht="30" customHeight="1" x14ac:dyDescent="0.35">
      <c r="B11" s="14" t="s">
        <v>65</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7"/>
      <c r="AH11" s="7">
        <f>COUNTA(Mars[[#This Row],[1]:[31]])</f>
        <v>0</v>
      </c>
    </row>
    <row r="12" spans="2:34" ht="30" customHeight="1" x14ac:dyDescent="0.35">
      <c r="B12" s="14" t="s">
        <v>66</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7"/>
      <c r="AH12" s="7">
        <f>COUNTA(Mars[[#This Row],[1]:[31]])</f>
        <v>0</v>
      </c>
    </row>
    <row r="13" spans="2:34" ht="30" customHeight="1" x14ac:dyDescent="0.35">
      <c r="B13" s="14" t="s">
        <v>67</v>
      </c>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7">
        <f>COUNTA(Mars[[#This Row],[1]:[31]])</f>
        <v>0</v>
      </c>
    </row>
    <row r="14" spans="2:34" ht="30" customHeight="1" x14ac:dyDescent="0.35">
      <c r="B14" s="18" t="str">
        <f>NomMois&amp;" Total"</f>
        <v>Mars Total</v>
      </c>
      <c r="C14" s="10">
        <f>SUBTOTAL(103,Mars[1])</f>
        <v>0</v>
      </c>
      <c r="D14" s="10">
        <f>SUBTOTAL(103,Mars[2])</f>
        <v>0</v>
      </c>
      <c r="E14" s="10">
        <f>SUBTOTAL(103,Mars[3])</f>
        <v>0</v>
      </c>
      <c r="F14" s="10">
        <f>SUBTOTAL(103,Mars[4])</f>
        <v>0</v>
      </c>
      <c r="G14" s="10">
        <f>SUBTOTAL(103,Mars[5])</f>
        <v>0</v>
      </c>
      <c r="H14" s="10">
        <f>SUBTOTAL(103,Mars[6])</f>
        <v>0</v>
      </c>
      <c r="I14" s="10">
        <f>SUBTOTAL(103,Mars[7])</f>
        <v>0</v>
      </c>
      <c r="J14" s="10">
        <f>SUBTOTAL(103,Mars[8])</f>
        <v>0</v>
      </c>
      <c r="K14" s="10">
        <f>SUBTOTAL(103,Mars[9])</f>
        <v>0</v>
      </c>
      <c r="L14" s="10">
        <f>SUBTOTAL(103,Mars[10])</f>
        <v>0</v>
      </c>
      <c r="M14" s="10">
        <f>SUBTOTAL(103,Mars[11])</f>
        <v>0</v>
      </c>
      <c r="N14" s="10">
        <f>SUBTOTAL(103,Mars[12])</f>
        <v>0</v>
      </c>
      <c r="O14" s="10">
        <f>SUBTOTAL(103,Mars[13])</f>
        <v>0</v>
      </c>
      <c r="P14" s="10">
        <f>SUBTOTAL(103,Mars[14])</f>
        <v>0</v>
      </c>
      <c r="Q14" s="10">
        <f>SUBTOTAL(103,Mars[15])</f>
        <v>0</v>
      </c>
      <c r="R14" s="10">
        <f>SUBTOTAL(103,Mars[16])</f>
        <v>0</v>
      </c>
      <c r="S14" s="10">
        <f>SUBTOTAL(103,Mars[17])</f>
        <v>0</v>
      </c>
      <c r="T14" s="10">
        <f>SUBTOTAL(103,Mars[18])</f>
        <v>0</v>
      </c>
      <c r="U14" s="10">
        <f>SUBTOTAL(103,Mars[19])</f>
        <v>0</v>
      </c>
      <c r="V14" s="10">
        <f>SUBTOTAL(103,Mars[20])</f>
        <v>0</v>
      </c>
      <c r="W14" s="10">
        <f>SUBTOTAL(103,Mars[21])</f>
        <v>0</v>
      </c>
      <c r="X14" s="10">
        <f>SUBTOTAL(103,Mars[22])</f>
        <v>0</v>
      </c>
      <c r="Y14" s="10">
        <f>SUBTOTAL(103,Mars[23])</f>
        <v>0</v>
      </c>
      <c r="Z14" s="10">
        <f>SUBTOTAL(103,Mars[24])</f>
        <v>0</v>
      </c>
      <c r="AA14" s="10">
        <f>SUBTOTAL(103,Mars[25])</f>
        <v>0</v>
      </c>
      <c r="AB14" s="10">
        <f>SUBTOTAL(103,Mars[26])</f>
        <v>0</v>
      </c>
      <c r="AC14" s="10">
        <f>SUBTOTAL(103,Mars[27])</f>
        <v>0</v>
      </c>
      <c r="AD14" s="10">
        <f>SUBTOTAL(103,Mars[28])</f>
        <v>0</v>
      </c>
      <c r="AE14" s="10">
        <f>SUBTOTAL(103,Mars[29])</f>
        <v>0</v>
      </c>
      <c r="AF14" s="10">
        <f>SUBTOTAL(109,Mars[30])</f>
        <v>0</v>
      </c>
      <c r="AG14" s="10">
        <f>SUBTOTAL(109,Mars[31])</f>
        <v>0</v>
      </c>
      <c r="AH14" s="10">
        <f>SUBTOTAL(109,Mars[Total des jours])</f>
        <v>0</v>
      </c>
    </row>
  </sheetData>
  <mergeCells count="5">
    <mergeCell ref="C4:AG4"/>
    <mergeCell ref="D2:E2"/>
    <mergeCell ref="G2:I2"/>
    <mergeCell ref="K2:L2"/>
    <mergeCell ref="N2:Q2"/>
  </mergeCells>
  <conditionalFormatting sqref="C7:AG13">
    <cfRule type="expression" priority="1" stopIfTrue="1">
      <formula>C7=""</formula>
    </cfRule>
  </conditionalFormatting>
  <conditionalFormatting sqref="C7:AG13">
    <cfRule type="expression" dxfId="49" priority="2" stopIfTrue="1">
      <formula>C7=CléPersonnalisée2</formula>
    </cfRule>
    <cfRule type="expression" dxfId="48" priority="3" stopIfTrue="1">
      <formula>C7=CléPersonnalisée1</formula>
    </cfRule>
    <cfRule type="expression" dxfId="47" priority="4" stopIfTrue="1">
      <formula>C7=CléMaladie</formula>
    </cfRule>
    <cfRule type="expression" dxfId="46" priority="5" stopIfTrue="1">
      <formula>C7=CléPersonnel</formula>
    </cfRule>
    <cfRule type="expression" dxfId="45" priority="6" stopIfTrue="1">
      <formula>C7=CléCongé</formula>
    </cfRule>
  </conditionalFormatting>
  <conditionalFormatting sqref="AH7:AH13">
    <cfRule type="dataBar" priority="7">
      <dataBar>
        <cfvo type="min"/>
        <cfvo type="formula" val="DATEDIF(DATE(CalendarYear,2,1),DATE(CalendarYear,3,1),&quot;d&quot;)"/>
        <color theme="2" tint="-0.249977111117893"/>
      </dataBar>
      <extLst>
        <ext xmlns:x14="http://schemas.microsoft.com/office/spreadsheetml/2009/9/main" uri="{B025F937-C7B1-47D3-B67F-A62EFF666E3E}">
          <x14:id>{7C2B6C3E-666E-4369-8C57-FD32A7D03A3C}</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 sqref="B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mars dans cette feuille de calcul" sqref="A1"/>
    <dataValidation allowBlank="1" showInputMessage="1" showErrorMessage="1" prompt="Calcule automatiquement le nombre total de jours d’absence d’un employé durant ce mois dans cette colonne" sqref="AH6"/>
    <dataValidation allowBlank="1" showInputMessage="1" showErrorMessage="1" prompt="Année mise à jour automatiquement en fonction de l’année entrée dans la feuille de calcul Janvier" sqref="AH4"/>
    <dataValidation allowBlank="1" showInputMessage="1" showErrorMessage="1" prompt="Entrez une étiquette pour décrire la clé personnalisée à gauche" sqref="N2"/>
    <dataValidation allowBlank="1" showInputMessage="1" showErrorMessage="1" prompt="Entrez une lettre et personnalisez l’étiquette à droite pour ajouter un élément de clé" sqref="M2"/>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7C2B6C3E-666E-4369-8C57-FD32A7D03A3C}">
            <x14:dataBar minLength="0" maxLength="100">
              <x14:cfvo type="autoMin"/>
              <x14:cfvo type="formula">
                <xm:f>DATEDIF(DATE(CalendarYear,2,1),DATE(CalendarYear,3,1),"d")</xm:f>
              </x14:cfvo>
              <x14:negativeFillColor rgb="FFFF0000"/>
              <x14:axisColor rgb="FF000000"/>
            </x14:dataBar>
          </x14:cfRule>
          <xm:sqref>AH7:AH13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employés'!$B$4:$B$10</xm:f>
          </x14:formula1>
          <xm:sqref>B7:B13</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249977111117893"/>
    <pageSetUpPr fitToPage="1"/>
  </sheetPr>
  <dimension ref="A1:AH14"/>
  <sheetViews>
    <sheetView showGridLines="0" topLeftCell="A5" zoomScaleNormal="100" workbookViewId="0">
      <selection activeCell="B7" sqref="B7:B13"/>
    </sheetView>
  </sheetViews>
  <sheetFormatPr baseColWidth="10" defaultColWidth="9.1796875" defaultRowHeight="30" customHeight="1" x14ac:dyDescent="0.35"/>
  <cols>
    <col min="1" max="1" width="2.7265625" style="8" customWidth="1"/>
    <col min="2" max="2" width="25.7265625" style="8" customWidth="1"/>
    <col min="3" max="4" width="4.7265625" style="8" customWidth="1"/>
    <col min="5" max="5" width="10.453125" style="8" customWidth="1"/>
    <col min="6" max="11" width="4.7265625" style="8" customWidth="1"/>
    <col min="12" max="12" width="11.54296875" style="8" customWidth="1"/>
    <col min="13" max="33" width="4.7265625" style="8" customWidth="1"/>
    <col min="34" max="34" width="13.54296875" style="8" customWidth="1"/>
    <col min="35" max="35" width="2.7265625" customWidth="1"/>
  </cols>
  <sheetData>
    <row r="1" spans="2:34" ht="50.15" customHeight="1" x14ac:dyDescent="0.35">
      <c r="B1" s="11" t="str">
        <f>Titre_Absence_Employé</f>
        <v>Calendrier des absences des employés</v>
      </c>
    </row>
    <row r="2" spans="2:34" ht="15" customHeight="1" x14ac:dyDescent="0.35">
      <c r="B2" s="16" t="s">
        <v>1</v>
      </c>
      <c r="C2" s="3" t="s">
        <v>4</v>
      </c>
      <c r="D2" s="33" t="s">
        <v>57</v>
      </c>
      <c r="E2" s="34"/>
      <c r="F2" s="4" t="s">
        <v>55</v>
      </c>
      <c r="G2" s="33" t="s">
        <v>55</v>
      </c>
      <c r="H2" s="34"/>
      <c r="I2" s="34"/>
      <c r="J2" s="5" t="s">
        <v>56</v>
      </c>
      <c r="K2" s="33" t="s">
        <v>58</v>
      </c>
      <c r="L2" s="34"/>
      <c r="M2" s="6" t="s">
        <v>10</v>
      </c>
      <c r="N2" s="33" t="s">
        <v>16</v>
      </c>
      <c r="O2" s="34"/>
      <c r="P2" s="34"/>
      <c r="Q2" s="34"/>
      <c r="Y2"/>
      <c r="Z2"/>
      <c r="AA2"/>
      <c r="AB2"/>
      <c r="AC2"/>
      <c r="AD2"/>
      <c r="AE2"/>
      <c r="AF2"/>
      <c r="AG2"/>
      <c r="AH2"/>
    </row>
    <row r="3" spans="2:34" ht="15" customHeight="1" x14ac:dyDescent="0.35">
      <c r="B3" s="11"/>
    </row>
    <row r="4" spans="2:34" ht="30" customHeight="1" x14ac:dyDescent="0.35">
      <c r="B4" s="9" t="s">
        <v>45</v>
      </c>
      <c r="C4" s="32" t="s">
        <v>5</v>
      </c>
      <c r="D4" s="32"/>
      <c r="E4" s="32"/>
      <c r="F4" s="32"/>
      <c r="G4" s="32"/>
      <c r="H4" s="32"/>
      <c r="I4" s="32"/>
      <c r="J4" s="32"/>
      <c r="K4" s="32"/>
      <c r="L4" s="32"/>
      <c r="M4" s="32"/>
      <c r="N4" s="32"/>
      <c r="O4" s="32"/>
      <c r="P4" s="32"/>
      <c r="Q4" s="32"/>
      <c r="R4" s="32"/>
      <c r="S4" s="32"/>
      <c r="T4" s="32"/>
      <c r="U4" s="32"/>
      <c r="V4" s="32"/>
      <c r="W4" s="32"/>
      <c r="X4" s="32"/>
      <c r="Y4" s="32"/>
      <c r="Z4" s="32"/>
      <c r="AA4" s="32"/>
      <c r="AB4" s="32"/>
      <c r="AC4" s="32"/>
      <c r="AD4" s="32"/>
      <c r="AE4" s="32"/>
      <c r="AF4" s="32"/>
      <c r="AG4" s="32"/>
      <c r="AH4" s="9">
        <f>AnnéeCalendrier</f>
        <v>2018</v>
      </c>
    </row>
    <row r="5" spans="2:34" ht="15" customHeight="1" x14ac:dyDescent="0.35">
      <c r="B5" s="9"/>
      <c r="C5" s="1" t="str">
        <f>TEXT(WEEKDAY(DATE(AnnéeCalendrier,4,1),1),"jjj")</f>
        <v>dim</v>
      </c>
      <c r="D5" s="1" t="str">
        <f>TEXT(WEEKDAY(DATE(AnnéeCalendrier,4,2),1),"jjj")</f>
        <v>lun</v>
      </c>
      <c r="E5" s="1" t="str">
        <f>TEXT(WEEKDAY(DATE(AnnéeCalendrier,4,3),1),"jjj")</f>
        <v>mar</v>
      </c>
      <c r="F5" s="1" t="str">
        <f>TEXT(WEEKDAY(DATE(AnnéeCalendrier,4,4),1),"jjj")</f>
        <v>mer</v>
      </c>
      <c r="G5" s="1" t="str">
        <f>TEXT(WEEKDAY(DATE(AnnéeCalendrier,4,5),1),"jjj")</f>
        <v>jeu</v>
      </c>
      <c r="H5" s="1" t="str">
        <f>TEXT(WEEKDAY(DATE(AnnéeCalendrier,4,6),1),"jjj")</f>
        <v>ven</v>
      </c>
      <c r="I5" s="1" t="str">
        <f>TEXT(WEEKDAY(DATE(AnnéeCalendrier,4,7),1),"jjj")</f>
        <v>sam</v>
      </c>
      <c r="J5" s="1" t="str">
        <f>TEXT(WEEKDAY(DATE(AnnéeCalendrier,4,8),1),"jjj")</f>
        <v>dim</v>
      </c>
      <c r="K5" s="1" t="str">
        <f>TEXT(WEEKDAY(DATE(AnnéeCalendrier,4,9),1),"jjj")</f>
        <v>lun</v>
      </c>
      <c r="L5" s="1" t="str">
        <f>TEXT(WEEKDAY(DATE(AnnéeCalendrier,4,10),1),"jjj")</f>
        <v>mar</v>
      </c>
      <c r="M5" s="1" t="str">
        <f>TEXT(WEEKDAY(DATE(AnnéeCalendrier,4,11),1),"jjj")</f>
        <v>mer</v>
      </c>
      <c r="N5" s="1" t="str">
        <f>TEXT(WEEKDAY(DATE(AnnéeCalendrier,4,12),1),"jjj")</f>
        <v>jeu</v>
      </c>
      <c r="O5" s="1" t="str">
        <f>TEXT(WEEKDAY(DATE(AnnéeCalendrier,4,13),1),"jjj")</f>
        <v>ven</v>
      </c>
      <c r="P5" s="1" t="str">
        <f>TEXT(WEEKDAY(DATE(AnnéeCalendrier,4,14),1),"jjj")</f>
        <v>sam</v>
      </c>
      <c r="Q5" s="1" t="str">
        <f>TEXT(WEEKDAY(DATE(AnnéeCalendrier,4,15),1),"jjj")</f>
        <v>dim</v>
      </c>
      <c r="R5" s="1" t="str">
        <f>TEXT(WEEKDAY(DATE(AnnéeCalendrier,4,16),1),"jjj")</f>
        <v>lun</v>
      </c>
      <c r="S5" s="1" t="str">
        <f>TEXT(WEEKDAY(DATE(AnnéeCalendrier,4,17),1),"jjj")</f>
        <v>mar</v>
      </c>
      <c r="T5" s="1" t="str">
        <f>TEXT(WEEKDAY(DATE(AnnéeCalendrier,4,18),1),"jjj")</f>
        <v>mer</v>
      </c>
      <c r="U5" s="1" t="str">
        <f>TEXT(WEEKDAY(DATE(AnnéeCalendrier,4,19),1),"jjj")</f>
        <v>jeu</v>
      </c>
      <c r="V5" s="1" t="str">
        <f>TEXT(WEEKDAY(DATE(AnnéeCalendrier,4,20),1),"jjj")</f>
        <v>ven</v>
      </c>
      <c r="W5" s="1" t="str">
        <f>TEXT(WEEKDAY(DATE(AnnéeCalendrier,4,21),1),"jjj")</f>
        <v>sam</v>
      </c>
      <c r="X5" s="1" t="str">
        <f>TEXT(WEEKDAY(DATE(AnnéeCalendrier,4,22),1),"jjj")</f>
        <v>dim</v>
      </c>
      <c r="Y5" s="1" t="str">
        <f>TEXT(WEEKDAY(DATE(AnnéeCalendrier,4,23),1),"jjj")</f>
        <v>lun</v>
      </c>
      <c r="Z5" s="1" t="str">
        <f>TEXT(WEEKDAY(DATE(AnnéeCalendrier,4,24),1),"jjj")</f>
        <v>mar</v>
      </c>
      <c r="AA5" s="1" t="str">
        <f>TEXT(WEEKDAY(DATE(AnnéeCalendrier,4,25),1),"jjj")</f>
        <v>mer</v>
      </c>
      <c r="AB5" s="1" t="str">
        <f>TEXT(WEEKDAY(DATE(AnnéeCalendrier,4,26),1),"jjj")</f>
        <v>jeu</v>
      </c>
      <c r="AC5" s="1" t="str">
        <f>TEXT(WEEKDAY(DATE(AnnéeCalendrier,4,27),1),"jjj")</f>
        <v>ven</v>
      </c>
      <c r="AD5" s="1" t="str">
        <f>TEXT(WEEKDAY(DATE(AnnéeCalendrier,4,28),1),"jjj")</f>
        <v>sam</v>
      </c>
      <c r="AE5" s="1" t="str">
        <f>TEXT(WEEKDAY(DATE(AnnéeCalendrier,4,29),1),"jjj")</f>
        <v>dim</v>
      </c>
      <c r="AF5" s="1" t="str">
        <f>TEXT(WEEKDAY(DATE(AnnéeCalendrier,4,30),1),"jjj")</f>
        <v>lun</v>
      </c>
      <c r="AG5" s="1"/>
      <c r="AH5" s="9"/>
    </row>
    <row r="6" spans="2:34" ht="15" customHeight="1" x14ac:dyDescent="0.35">
      <c r="B6" s="12" t="s">
        <v>3</v>
      </c>
      <c r="C6" s="2" t="s">
        <v>6</v>
      </c>
      <c r="D6" s="2" t="s">
        <v>7</v>
      </c>
      <c r="E6" s="2" t="s">
        <v>8</v>
      </c>
      <c r="F6" s="2" t="s">
        <v>9</v>
      </c>
      <c r="G6" s="2" t="s">
        <v>11</v>
      </c>
      <c r="H6" s="2" t="s">
        <v>12</v>
      </c>
      <c r="I6" s="2" t="s">
        <v>13</v>
      </c>
      <c r="J6" s="2" t="s">
        <v>14</v>
      </c>
      <c r="K6" s="2" t="s">
        <v>15</v>
      </c>
      <c r="L6" s="2" t="s">
        <v>17</v>
      </c>
      <c r="M6" s="2" t="s">
        <v>18</v>
      </c>
      <c r="N6" s="2" t="s">
        <v>19</v>
      </c>
      <c r="O6" s="2" t="s">
        <v>20</v>
      </c>
      <c r="P6" s="2" t="s">
        <v>21</v>
      </c>
      <c r="Q6" s="2" t="s">
        <v>22</v>
      </c>
      <c r="R6" s="2" t="s">
        <v>23</v>
      </c>
      <c r="S6" s="2" t="s">
        <v>24</v>
      </c>
      <c r="T6" s="2" t="s">
        <v>25</v>
      </c>
      <c r="U6" s="2" t="s">
        <v>26</v>
      </c>
      <c r="V6" s="2" t="s">
        <v>27</v>
      </c>
      <c r="W6" s="2" t="s">
        <v>28</v>
      </c>
      <c r="X6" s="2" t="s">
        <v>29</v>
      </c>
      <c r="Y6" s="2" t="s">
        <v>30</v>
      </c>
      <c r="Z6" s="2" t="s">
        <v>31</v>
      </c>
      <c r="AA6" s="2" t="s">
        <v>32</v>
      </c>
      <c r="AB6" s="2" t="s">
        <v>33</v>
      </c>
      <c r="AC6" s="2" t="s">
        <v>34</v>
      </c>
      <c r="AD6" s="2" t="s">
        <v>35</v>
      </c>
      <c r="AE6" s="2" t="s">
        <v>36</v>
      </c>
      <c r="AF6" s="2" t="s">
        <v>37</v>
      </c>
      <c r="AG6" s="2" t="s">
        <v>38</v>
      </c>
      <c r="AH6" s="13" t="s">
        <v>40</v>
      </c>
    </row>
    <row r="7" spans="2:34" ht="30" customHeight="1" x14ac:dyDescent="0.35">
      <c r="B7" s="14" t="s">
        <v>61</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7">
        <f>COUNTA(Avril[[#This Row],[1]:[31]])</f>
        <v>0</v>
      </c>
    </row>
    <row r="8" spans="2:34" ht="30" customHeight="1" x14ac:dyDescent="0.35">
      <c r="B8" s="14" t="s">
        <v>62</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7">
        <f>COUNTA(Avril[[#This Row],[1]:[31]])</f>
        <v>0</v>
      </c>
    </row>
    <row r="9" spans="2:34" ht="30" customHeight="1" x14ac:dyDescent="0.35">
      <c r="B9" s="14" t="s">
        <v>63</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7">
        <f>COUNTA(Avril[[#This Row],[1]:[31]])</f>
        <v>0</v>
      </c>
    </row>
    <row r="10" spans="2:34" ht="30" customHeight="1" x14ac:dyDescent="0.35">
      <c r="B10" s="14" t="s">
        <v>64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7">
        <f>COUNTA(Avril[[#This Row],[1]:[31]])</f>
        <v>0</v>
      </c>
    </row>
    <row r="11" spans="2:34" ht="30" customHeight="1" x14ac:dyDescent="0.35">
      <c r="B11" s="14" t="s">
        <v>65</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7"/>
      <c r="AH11" s="7">
        <f>COUNTA(Avril[[#This Row],[1]:[31]])</f>
        <v>0</v>
      </c>
    </row>
    <row r="12" spans="2:34" ht="30" customHeight="1" x14ac:dyDescent="0.35">
      <c r="B12" s="14" t="s">
        <v>66</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7"/>
      <c r="AH12" s="7">
        <f>COUNTA(Avril[[#This Row],[1]:[31]])</f>
        <v>0</v>
      </c>
    </row>
    <row r="13" spans="2:34" ht="30" customHeight="1" x14ac:dyDescent="0.35">
      <c r="B13" s="14" t="s">
        <v>67</v>
      </c>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7">
        <f>COUNTA(Avril[[#This Row],[1]:[31]])</f>
        <v>0</v>
      </c>
    </row>
    <row r="14" spans="2:34" ht="30" customHeight="1" x14ac:dyDescent="0.35">
      <c r="B14" s="18" t="str">
        <f>NomMois&amp;" Total"</f>
        <v>Avril Total</v>
      </c>
      <c r="C14" s="10">
        <f>SUBTOTAL(103,Avril[1])</f>
        <v>0</v>
      </c>
      <c r="D14" s="10">
        <f>SUBTOTAL(103,Avril[2])</f>
        <v>0</v>
      </c>
      <c r="E14" s="10">
        <f>SUBTOTAL(103,Avril[3])</f>
        <v>0</v>
      </c>
      <c r="F14" s="10">
        <f>SUBTOTAL(103,Avril[4])</f>
        <v>0</v>
      </c>
      <c r="G14" s="10">
        <f>SUBTOTAL(103,Avril[5])</f>
        <v>0</v>
      </c>
      <c r="H14" s="10">
        <f>SUBTOTAL(103,Avril[6])</f>
        <v>0</v>
      </c>
      <c r="I14" s="10">
        <f>SUBTOTAL(103,Avril[7])</f>
        <v>0</v>
      </c>
      <c r="J14" s="10">
        <f>SUBTOTAL(103,Avril[8])</f>
        <v>0</v>
      </c>
      <c r="K14" s="10">
        <f>SUBTOTAL(103,Avril[9])</f>
        <v>0</v>
      </c>
      <c r="L14" s="10">
        <f>SUBTOTAL(103,Avril[10])</f>
        <v>0</v>
      </c>
      <c r="M14" s="10">
        <f>SUBTOTAL(103,Avril[11])</f>
        <v>0</v>
      </c>
      <c r="N14" s="10">
        <f>SUBTOTAL(103,Avril[12])</f>
        <v>0</v>
      </c>
      <c r="O14" s="10">
        <f>SUBTOTAL(103,Avril[13])</f>
        <v>0</v>
      </c>
      <c r="P14" s="10">
        <f>SUBTOTAL(103,Avril[14])</f>
        <v>0</v>
      </c>
      <c r="Q14" s="10">
        <f>SUBTOTAL(103,Avril[15])</f>
        <v>0</v>
      </c>
      <c r="R14" s="10">
        <f>SUBTOTAL(103,Avril[16])</f>
        <v>0</v>
      </c>
      <c r="S14" s="10">
        <f>SUBTOTAL(103,Avril[17])</f>
        <v>0</v>
      </c>
      <c r="T14" s="10">
        <f>SUBTOTAL(103,Avril[18])</f>
        <v>0</v>
      </c>
      <c r="U14" s="10">
        <f>SUBTOTAL(103,Avril[19])</f>
        <v>0</v>
      </c>
      <c r="V14" s="10">
        <f>SUBTOTAL(103,Avril[20])</f>
        <v>0</v>
      </c>
      <c r="W14" s="10">
        <f>SUBTOTAL(103,Avril[21])</f>
        <v>0</v>
      </c>
      <c r="X14" s="10">
        <f>SUBTOTAL(103,Avril[22])</f>
        <v>0</v>
      </c>
      <c r="Y14" s="10">
        <f>SUBTOTAL(103,Avril[23])</f>
        <v>0</v>
      </c>
      <c r="Z14" s="10">
        <f>SUBTOTAL(103,Avril[24])</f>
        <v>0</v>
      </c>
      <c r="AA14" s="10">
        <f>SUBTOTAL(103,Avril[25])</f>
        <v>0</v>
      </c>
      <c r="AB14" s="10">
        <f>SUBTOTAL(103,Avril[26])</f>
        <v>0</v>
      </c>
      <c r="AC14" s="10">
        <f>SUBTOTAL(103,Avril[27])</f>
        <v>0</v>
      </c>
      <c r="AD14" s="10">
        <f>SUBTOTAL(103,Avril[28])</f>
        <v>0</v>
      </c>
      <c r="AE14" s="10">
        <f>SUBTOTAL(103,Avril[29])</f>
        <v>0</v>
      </c>
      <c r="AF14" s="10">
        <f>SUBTOTAL(109,Avril[30])</f>
        <v>0</v>
      </c>
      <c r="AG14" s="10">
        <f>SUBTOTAL(109,Avril[31])</f>
        <v>0</v>
      </c>
      <c r="AH14" s="10">
        <f>SUBTOTAL(109,Avril[Total des jours])</f>
        <v>0</v>
      </c>
    </row>
  </sheetData>
  <mergeCells count="5">
    <mergeCell ref="C4:AG4"/>
    <mergeCell ref="D2:E2"/>
    <mergeCell ref="G2:I2"/>
    <mergeCell ref="K2:L2"/>
    <mergeCell ref="N2:Q2"/>
  </mergeCells>
  <conditionalFormatting sqref="C7:AG13">
    <cfRule type="expression" priority="1" stopIfTrue="1">
      <formula>C7=""</formula>
    </cfRule>
  </conditionalFormatting>
  <conditionalFormatting sqref="C7:AG13">
    <cfRule type="expression" dxfId="44" priority="2" stopIfTrue="1">
      <formula>C7=CléPersonnalisée2</formula>
    </cfRule>
    <cfRule type="expression" dxfId="43" priority="3" stopIfTrue="1">
      <formula>C7=CléPersonnalisée1</formula>
    </cfRule>
    <cfRule type="expression" dxfId="42" priority="4" stopIfTrue="1">
      <formula>C7=CléMaladie</formula>
    </cfRule>
    <cfRule type="expression" dxfId="41" priority="5" stopIfTrue="1">
      <formula>C7=CléPersonnel</formula>
    </cfRule>
    <cfRule type="expression" dxfId="40" priority="6" stopIfTrue="1">
      <formula>C7=CléCongé</formula>
    </cfRule>
  </conditionalFormatting>
  <conditionalFormatting sqref="AH7:AH13">
    <cfRule type="dataBar" priority="7">
      <dataBar>
        <cfvo type="min"/>
        <cfvo type="formula" val="DATEDIF(DATE(CalendarYear,2,1),DATE(CalendarYear,3,1),&quot;d&quot;)"/>
        <color theme="2" tint="-0.249977111117893"/>
      </dataBar>
      <extLst>
        <ext xmlns:x14="http://schemas.microsoft.com/office/spreadsheetml/2009/9/main" uri="{B025F937-C7B1-47D3-B67F-A62EFF666E3E}">
          <x14:id>{0C86709F-D813-4066-A3F1-C30F11214F4B}</x14:id>
        </ext>
      </extLst>
    </cfRule>
  </conditionalFormatting>
  <dataValidations count="14">
    <dataValidation allowBlank="1" showInputMessage="1" showErrorMessage="1" prompt="Année mise à jour automatiquement en fonction de l’année entrée dans la feuille de calcul Janvier" sqref="AH4"/>
    <dataValidation allowBlank="1" showInputMessage="1" showErrorMessage="1" prompt="Calcule automatiquement le nombre total de jours d’absence d’un employé durant ce mois dans cette colonne" sqref="AH6"/>
    <dataValidation allowBlank="1" showInputMessage="1" showErrorMessage="1" prompt="Suivez les absences du mois d’avril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Cette ligne définit les clés utilisées dans le tableau : Congé en C2, Personnel en F2 et Congé maladie en J2. Les cellules M2 et R2 sont personnalisables "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Entrez une étiquette pour décrire la clé personnalisée à gauche" sqref="N2"/>
    <dataValidation allowBlank="1" showInputMessage="1" showErrorMessage="1" prompt="Entrez une lettre et personnalisez l’étiquette à droite pour ajouter un élément de clé" sqref="M2"/>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C86709F-D813-4066-A3F1-C30F11214F4B}">
            <x14:dataBar minLength="0" maxLength="100">
              <x14:cfvo type="autoMin"/>
              <x14:cfvo type="formula">
                <xm:f>DATEDIF(DATE(CalendarYear,2,1),DATE(CalendarYear,3,1),"d")</xm:f>
              </x14:cfvo>
              <x14:negativeFillColor rgb="FFFF0000"/>
              <x14:axisColor rgb="FF000000"/>
            </x14:dataBar>
          </x14:cfRule>
          <xm:sqref>AH7:AH13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employés'!$B$4:$B$10</xm:f>
          </x14:formula1>
          <xm:sqref>B7:B13</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9.9978637043366805E-2"/>
    <pageSetUpPr fitToPage="1"/>
  </sheetPr>
  <dimension ref="A1:AH14"/>
  <sheetViews>
    <sheetView showGridLines="0" topLeftCell="A5" zoomScaleNormal="100" workbookViewId="0">
      <selection activeCell="B7" sqref="B7:B13"/>
    </sheetView>
  </sheetViews>
  <sheetFormatPr baseColWidth="10" defaultColWidth="9.1796875" defaultRowHeight="30" customHeight="1" x14ac:dyDescent="0.35"/>
  <cols>
    <col min="1" max="1" width="2.7265625" style="8" customWidth="1"/>
    <col min="2" max="2" width="25.7265625" style="8" customWidth="1"/>
    <col min="3" max="4" width="4.7265625" style="8" customWidth="1"/>
    <col min="5" max="5" width="10" style="8" customWidth="1"/>
    <col min="6" max="11" width="4.7265625" style="8" customWidth="1"/>
    <col min="12" max="12" width="10.81640625" style="8" customWidth="1"/>
    <col min="13" max="33" width="4.7265625" style="8" customWidth="1"/>
    <col min="34" max="34" width="13.54296875" style="8" customWidth="1"/>
    <col min="35" max="35" width="2.7265625" customWidth="1"/>
  </cols>
  <sheetData>
    <row r="1" spans="2:34" ht="50.15" customHeight="1" x14ac:dyDescent="0.35">
      <c r="B1" s="11" t="str">
        <f>Titre_Absence_Employé</f>
        <v>Calendrier des absences des employés</v>
      </c>
    </row>
    <row r="2" spans="2:34" ht="15" customHeight="1" x14ac:dyDescent="0.35">
      <c r="B2" s="16" t="s">
        <v>1</v>
      </c>
      <c r="C2" s="3" t="s">
        <v>4</v>
      </c>
      <c r="D2" s="33" t="s">
        <v>57</v>
      </c>
      <c r="E2" s="34"/>
      <c r="F2" s="4" t="s">
        <v>55</v>
      </c>
      <c r="G2" s="33" t="s">
        <v>55</v>
      </c>
      <c r="H2" s="34"/>
      <c r="I2" s="34"/>
      <c r="J2" s="5" t="s">
        <v>56</v>
      </c>
      <c r="K2" s="33" t="s">
        <v>58</v>
      </c>
      <c r="L2" s="34"/>
      <c r="M2" s="6" t="s">
        <v>10</v>
      </c>
      <c r="N2" s="33" t="s">
        <v>16</v>
      </c>
      <c r="O2" s="34"/>
      <c r="P2" s="34"/>
      <c r="Q2" s="34"/>
      <c r="Y2"/>
      <c r="Z2"/>
      <c r="AA2"/>
      <c r="AB2"/>
      <c r="AC2"/>
      <c r="AD2"/>
      <c r="AE2"/>
      <c r="AF2"/>
      <c r="AG2"/>
      <c r="AH2"/>
    </row>
    <row r="3" spans="2:34" ht="15" customHeight="1" x14ac:dyDescent="0.35">
      <c r="B3" s="11"/>
    </row>
    <row r="4" spans="2:34" ht="30" customHeight="1" x14ac:dyDescent="0.35">
      <c r="B4" s="9" t="s">
        <v>46</v>
      </c>
      <c r="C4" s="32" t="s">
        <v>5</v>
      </c>
      <c r="D4" s="32"/>
      <c r="E4" s="32"/>
      <c r="F4" s="32"/>
      <c r="G4" s="32"/>
      <c r="H4" s="32"/>
      <c r="I4" s="32"/>
      <c r="J4" s="32"/>
      <c r="K4" s="32"/>
      <c r="L4" s="32"/>
      <c r="M4" s="32"/>
      <c r="N4" s="32"/>
      <c r="O4" s="32"/>
      <c r="P4" s="32"/>
      <c r="Q4" s="32"/>
      <c r="R4" s="32"/>
      <c r="S4" s="32"/>
      <c r="T4" s="32"/>
      <c r="U4" s="32"/>
      <c r="V4" s="32"/>
      <c r="W4" s="32"/>
      <c r="X4" s="32"/>
      <c r="Y4" s="32"/>
      <c r="Z4" s="32"/>
      <c r="AA4" s="32"/>
      <c r="AB4" s="32"/>
      <c r="AC4" s="32"/>
      <c r="AD4" s="32"/>
      <c r="AE4" s="32"/>
      <c r="AF4" s="32"/>
      <c r="AG4" s="32"/>
      <c r="AH4" s="9">
        <f>AnnéeCalendrier</f>
        <v>2018</v>
      </c>
    </row>
    <row r="5" spans="2:34" ht="15" customHeight="1" x14ac:dyDescent="0.35">
      <c r="B5" s="9"/>
      <c r="C5" s="1" t="str">
        <f>TEXT(WEEKDAY(DATE(AnnéeCalendrier,5,1),1),"jjj")</f>
        <v>mar</v>
      </c>
      <c r="D5" s="1" t="str">
        <f>TEXT(WEEKDAY(DATE(AnnéeCalendrier,5,2),1),"jjj")</f>
        <v>mer</v>
      </c>
      <c r="E5" s="1" t="str">
        <f>TEXT(WEEKDAY(DATE(AnnéeCalendrier,5,3),1),"jjj")</f>
        <v>jeu</v>
      </c>
      <c r="F5" s="1" t="str">
        <f>TEXT(WEEKDAY(DATE(AnnéeCalendrier,5,4),1),"jjj")</f>
        <v>ven</v>
      </c>
      <c r="G5" s="1" t="str">
        <f>TEXT(WEEKDAY(DATE(AnnéeCalendrier,5,5),1),"jjj")</f>
        <v>sam</v>
      </c>
      <c r="H5" s="1" t="str">
        <f>TEXT(WEEKDAY(DATE(AnnéeCalendrier,5,6),1),"jjj")</f>
        <v>dim</v>
      </c>
      <c r="I5" s="1" t="str">
        <f>TEXT(WEEKDAY(DATE(AnnéeCalendrier,5,7),1),"jjj")</f>
        <v>lun</v>
      </c>
      <c r="J5" s="1" t="str">
        <f>TEXT(WEEKDAY(DATE(AnnéeCalendrier,5,8),1),"jjj")</f>
        <v>mar</v>
      </c>
      <c r="K5" s="1" t="str">
        <f>TEXT(WEEKDAY(DATE(AnnéeCalendrier,5,9),1),"jjj")</f>
        <v>mer</v>
      </c>
      <c r="L5" s="1" t="str">
        <f>TEXT(WEEKDAY(DATE(AnnéeCalendrier,5,10),1),"jjj")</f>
        <v>jeu</v>
      </c>
      <c r="M5" s="1" t="str">
        <f>TEXT(WEEKDAY(DATE(AnnéeCalendrier,5,11),1),"jjj")</f>
        <v>ven</v>
      </c>
      <c r="N5" s="1" t="str">
        <f>TEXT(WEEKDAY(DATE(AnnéeCalendrier,5,12),1),"jjj")</f>
        <v>sam</v>
      </c>
      <c r="O5" s="1" t="str">
        <f>TEXT(WEEKDAY(DATE(AnnéeCalendrier,5,13),1),"jjj")</f>
        <v>dim</v>
      </c>
      <c r="P5" s="1" t="str">
        <f>TEXT(WEEKDAY(DATE(AnnéeCalendrier,5,14),1),"jjj")</f>
        <v>lun</v>
      </c>
      <c r="Q5" s="1" t="str">
        <f>TEXT(WEEKDAY(DATE(AnnéeCalendrier,5,15),1),"jjj")</f>
        <v>mar</v>
      </c>
      <c r="R5" s="1" t="str">
        <f>TEXT(WEEKDAY(DATE(AnnéeCalendrier,5,16),1),"jjj")</f>
        <v>mer</v>
      </c>
      <c r="S5" s="1" t="str">
        <f>TEXT(WEEKDAY(DATE(AnnéeCalendrier,5,17),1),"jjj")</f>
        <v>jeu</v>
      </c>
      <c r="T5" s="1" t="str">
        <f>TEXT(WEEKDAY(DATE(AnnéeCalendrier,5,18),1),"jjj")</f>
        <v>ven</v>
      </c>
      <c r="U5" s="1" t="str">
        <f>TEXT(WEEKDAY(DATE(AnnéeCalendrier,5,19),1),"jjj")</f>
        <v>sam</v>
      </c>
      <c r="V5" s="1" t="str">
        <f>TEXT(WEEKDAY(DATE(AnnéeCalendrier,5,20),1),"jjj")</f>
        <v>dim</v>
      </c>
      <c r="W5" s="1" t="str">
        <f>TEXT(WEEKDAY(DATE(AnnéeCalendrier,5,21),1),"jjj")</f>
        <v>lun</v>
      </c>
      <c r="X5" s="1" t="str">
        <f>TEXT(WEEKDAY(DATE(AnnéeCalendrier,5,22),1),"jjj")</f>
        <v>mar</v>
      </c>
      <c r="Y5" s="1" t="str">
        <f>TEXT(WEEKDAY(DATE(AnnéeCalendrier,5,23),1),"jjj")</f>
        <v>mer</v>
      </c>
      <c r="Z5" s="1" t="str">
        <f>TEXT(WEEKDAY(DATE(AnnéeCalendrier,5,24),1),"jjj")</f>
        <v>jeu</v>
      </c>
      <c r="AA5" s="1" t="str">
        <f>TEXT(WEEKDAY(DATE(AnnéeCalendrier,5,25),1),"jjj")</f>
        <v>ven</v>
      </c>
      <c r="AB5" s="1" t="str">
        <f>TEXT(WEEKDAY(DATE(AnnéeCalendrier,5,26),1),"jjj")</f>
        <v>sam</v>
      </c>
      <c r="AC5" s="1" t="str">
        <f>TEXT(WEEKDAY(DATE(AnnéeCalendrier,5,27),1),"jjj")</f>
        <v>dim</v>
      </c>
      <c r="AD5" s="1" t="str">
        <f>TEXT(WEEKDAY(DATE(AnnéeCalendrier,5,28),1),"jjj")</f>
        <v>lun</v>
      </c>
      <c r="AE5" s="1" t="str">
        <f>TEXT(WEEKDAY(DATE(AnnéeCalendrier,5,29),1),"jjj")</f>
        <v>mar</v>
      </c>
      <c r="AF5" s="1" t="str">
        <f>TEXT(WEEKDAY(DATE(AnnéeCalendrier,5,30),1),"jjj")</f>
        <v>mer</v>
      </c>
      <c r="AG5" s="1" t="str">
        <f>TEXT(WEEKDAY(DATE(AnnéeCalendrier,5,31),1),"jjj")</f>
        <v>jeu</v>
      </c>
      <c r="AH5" s="9"/>
    </row>
    <row r="6" spans="2:34" ht="15" customHeight="1" x14ac:dyDescent="0.35">
      <c r="B6" s="12" t="s">
        <v>3</v>
      </c>
      <c r="C6" s="2" t="s">
        <v>6</v>
      </c>
      <c r="D6" s="2" t="s">
        <v>7</v>
      </c>
      <c r="E6" s="2" t="s">
        <v>8</v>
      </c>
      <c r="F6" s="2" t="s">
        <v>9</v>
      </c>
      <c r="G6" s="2" t="s">
        <v>11</v>
      </c>
      <c r="H6" s="2" t="s">
        <v>12</v>
      </c>
      <c r="I6" s="2" t="s">
        <v>13</v>
      </c>
      <c r="J6" s="2" t="s">
        <v>14</v>
      </c>
      <c r="K6" s="2" t="s">
        <v>15</v>
      </c>
      <c r="L6" s="2" t="s">
        <v>17</v>
      </c>
      <c r="M6" s="2" t="s">
        <v>18</v>
      </c>
      <c r="N6" s="2" t="s">
        <v>19</v>
      </c>
      <c r="O6" s="2" t="s">
        <v>20</v>
      </c>
      <c r="P6" s="2" t="s">
        <v>21</v>
      </c>
      <c r="Q6" s="2" t="s">
        <v>22</v>
      </c>
      <c r="R6" s="2" t="s">
        <v>23</v>
      </c>
      <c r="S6" s="2" t="s">
        <v>24</v>
      </c>
      <c r="T6" s="2" t="s">
        <v>25</v>
      </c>
      <c r="U6" s="2" t="s">
        <v>26</v>
      </c>
      <c r="V6" s="2" t="s">
        <v>27</v>
      </c>
      <c r="W6" s="2" t="s">
        <v>28</v>
      </c>
      <c r="X6" s="2" t="s">
        <v>29</v>
      </c>
      <c r="Y6" s="2" t="s">
        <v>30</v>
      </c>
      <c r="Z6" s="2" t="s">
        <v>31</v>
      </c>
      <c r="AA6" s="2" t="s">
        <v>32</v>
      </c>
      <c r="AB6" s="2" t="s">
        <v>33</v>
      </c>
      <c r="AC6" s="2" t="s">
        <v>34</v>
      </c>
      <c r="AD6" s="2" t="s">
        <v>35</v>
      </c>
      <c r="AE6" s="2" t="s">
        <v>36</v>
      </c>
      <c r="AF6" s="2" t="s">
        <v>37</v>
      </c>
      <c r="AG6" s="2" t="s">
        <v>38</v>
      </c>
      <c r="AH6" s="13" t="s">
        <v>40</v>
      </c>
    </row>
    <row r="7" spans="2:34" ht="30" customHeight="1" x14ac:dyDescent="0.35">
      <c r="B7" s="14" t="s">
        <v>61</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7">
        <f>COUNTA(Mai[[#This Row],[1]:[31]])</f>
        <v>0</v>
      </c>
    </row>
    <row r="8" spans="2:34" ht="30" customHeight="1" x14ac:dyDescent="0.35">
      <c r="B8" s="14" t="s">
        <v>62</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7">
        <f>COUNTA(Mai[[#This Row],[1]:[31]])</f>
        <v>0</v>
      </c>
    </row>
    <row r="9" spans="2:34" ht="30" customHeight="1" x14ac:dyDescent="0.35">
      <c r="B9" s="14" t="s">
        <v>63</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7">
        <f>COUNTA(Mai[[#This Row],[1]:[31]])</f>
        <v>0</v>
      </c>
    </row>
    <row r="10" spans="2:34" ht="30" customHeight="1" x14ac:dyDescent="0.35">
      <c r="B10" s="14" t="s">
        <v>64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7">
        <f>COUNTA(Mai[[#This Row],[1]:[31]])</f>
        <v>0</v>
      </c>
    </row>
    <row r="11" spans="2:34" ht="30" customHeight="1" x14ac:dyDescent="0.35">
      <c r="B11" s="14" t="s">
        <v>65</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7"/>
      <c r="AH11" s="7">
        <f>COUNTA(Mai[[#This Row],[1]:[31]])</f>
        <v>0</v>
      </c>
    </row>
    <row r="12" spans="2:34" ht="30" customHeight="1" x14ac:dyDescent="0.35">
      <c r="B12" s="14" t="s">
        <v>66</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7"/>
      <c r="AH12" s="7">
        <f>COUNTA(Mai[[#This Row],[1]:[31]])</f>
        <v>0</v>
      </c>
    </row>
    <row r="13" spans="2:34" ht="30" customHeight="1" x14ac:dyDescent="0.35">
      <c r="B13" s="14" t="s">
        <v>67</v>
      </c>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7">
        <f>COUNTA(Mai[[#This Row],[1]:[31]])</f>
        <v>0</v>
      </c>
    </row>
    <row r="14" spans="2:34" ht="30" customHeight="1" x14ac:dyDescent="0.35">
      <c r="B14" s="18" t="str">
        <f>NomMois&amp;" Total"</f>
        <v>Mai Total</v>
      </c>
      <c r="C14" s="10">
        <f>SUBTOTAL(103,Mai[1])</f>
        <v>0</v>
      </c>
      <c r="D14" s="10">
        <f>SUBTOTAL(103,Mai[2])</f>
        <v>0</v>
      </c>
      <c r="E14" s="10">
        <f>SUBTOTAL(103,Mai[3])</f>
        <v>0</v>
      </c>
      <c r="F14" s="10">
        <f>SUBTOTAL(103,Mai[4])</f>
        <v>0</v>
      </c>
      <c r="G14" s="10">
        <f>SUBTOTAL(103,Mai[5])</f>
        <v>0</v>
      </c>
      <c r="H14" s="10">
        <f>SUBTOTAL(103,Mai[6])</f>
        <v>0</v>
      </c>
      <c r="I14" s="10">
        <f>SUBTOTAL(103,Mai[7])</f>
        <v>0</v>
      </c>
      <c r="J14" s="10">
        <f>SUBTOTAL(103,Mai[8])</f>
        <v>0</v>
      </c>
      <c r="K14" s="10">
        <f>SUBTOTAL(103,Mai[9])</f>
        <v>0</v>
      </c>
      <c r="L14" s="10">
        <f>SUBTOTAL(103,Mai[10])</f>
        <v>0</v>
      </c>
      <c r="M14" s="10">
        <f>SUBTOTAL(103,Mai[11])</f>
        <v>0</v>
      </c>
      <c r="N14" s="10">
        <f>SUBTOTAL(103,Mai[12])</f>
        <v>0</v>
      </c>
      <c r="O14" s="10">
        <f>SUBTOTAL(103,Mai[13])</f>
        <v>0</v>
      </c>
      <c r="P14" s="10">
        <f>SUBTOTAL(103,Mai[14])</f>
        <v>0</v>
      </c>
      <c r="Q14" s="10">
        <f>SUBTOTAL(103,Mai[15])</f>
        <v>0</v>
      </c>
      <c r="R14" s="10">
        <f>SUBTOTAL(103,Mai[16])</f>
        <v>0</v>
      </c>
      <c r="S14" s="10">
        <f>SUBTOTAL(103,Mai[17])</f>
        <v>0</v>
      </c>
      <c r="T14" s="10">
        <f>SUBTOTAL(103,Mai[18])</f>
        <v>0</v>
      </c>
      <c r="U14" s="10">
        <f>SUBTOTAL(103,Mai[19])</f>
        <v>0</v>
      </c>
      <c r="V14" s="10">
        <f>SUBTOTAL(103,Mai[20])</f>
        <v>0</v>
      </c>
      <c r="W14" s="10">
        <f>SUBTOTAL(103,Mai[21])</f>
        <v>0</v>
      </c>
      <c r="X14" s="10">
        <f>SUBTOTAL(103,Mai[22])</f>
        <v>0</v>
      </c>
      <c r="Y14" s="10">
        <f>SUBTOTAL(103,Mai[23])</f>
        <v>0</v>
      </c>
      <c r="Z14" s="10">
        <f>SUBTOTAL(103,Mai[24])</f>
        <v>0</v>
      </c>
      <c r="AA14" s="10">
        <f>SUBTOTAL(103,Mai[25])</f>
        <v>0</v>
      </c>
      <c r="AB14" s="10">
        <f>SUBTOTAL(103,Mai[26])</f>
        <v>0</v>
      </c>
      <c r="AC14" s="10">
        <f>SUBTOTAL(103,Mai[27])</f>
        <v>0</v>
      </c>
      <c r="AD14" s="10">
        <f>SUBTOTAL(103,Mai[28])</f>
        <v>0</v>
      </c>
      <c r="AE14" s="10">
        <f>SUBTOTAL(103,Mai[29])</f>
        <v>0</v>
      </c>
      <c r="AF14" s="10">
        <f>SUBTOTAL(109,Mai[30])</f>
        <v>0</v>
      </c>
      <c r="AG14" s="10">
        <f>SUBTOTAL(109,Mai[31])</f>
        <v>0</v>
      </c>
      <c r="AH14" s="10">
        <f>SUBTOTAL(109,Mai[Total des jours])</f>
        <v>0</v>
      </c>
    </row>
  </sheetData>
  <mergeCells count="5">
    <mergeCell ref="C4:AG4"/>
    <mergeCell ref="D2:E2"/>
    <mergeCell ref="G2:I2"/>
    <mergeCell ref="K2:L2"/>
    <mergeCell ref="N2:Q2"/>
  </mergeCells>
  <conditionalFormatting sqref="C7:AG13">
    <cfRule type="expression" priority="1" stopIfTrue="1">
      <formula>C7=""</formula>
    </cfRule>
  </conditionalFormatting>
  <conditionalFormatting sqref="C7:AG13">
    <cfRule type="expression" dxfId="39" priority="2" stopIfTrue="1">
      <formula>C7=CléPersonnalisée2</formula>
    </cfRule>
    <cfRule type="expression" dxfId="38" priority="3" stopIfTrue="1">
      <formula>C7=CléPersonnalisée1</formula>
    </cfRule>
    <cfRule type="expression" dxfId="37" priority="4" stopIfTrue="1">
      <formula>C7=CléMaladie</formula>
    </cfRule>
    <cfRule type="expression" dxfId="36" priority="5" stopIfTrue="1">
      <formula>C7=CléPersonnel</formula>
    </cfRule>
    <cfRule type="expression" dxfId="35" priority="6" stopIfTrue="1">
      <formula>C7=CléCongé</formula>
    </cfRule>
  </conditionalFormatting>
  <conditionalFormatting sqref="AH7:AH13">
    <cfRule type="dataBar" priority="7">
      <dataBar>
        <cfvo type="min"/>
        <cfvo type="formula" val="DATEDIF(DATE(CalendarYear,2,1),DATE(CalendarYear,3,1),&quot;d&quot;)"/>
        <color theme="2" tint="-0.249977111117893"/>
      </dataBar>
      <extLst>
        <ext xmlns:x14="http://schemas.microsoft.com/office/spreadsheetml/2009/9/main" uri="{B025F937-C7B1-47D3-B67F-A62EFF666E3E}">
          <x14:id>{5670947F-8B3C-4A6C-A280-4F5E10811DCE}</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 sqref="B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mai dans cette feuille de calcul" sqref="A1"/>
    <dataValidation allowBlank="1" showInputMessage="1" showErrorMessage="1" prompt="Calcule automatiquement le nombre total de jours d’absence d’un employé durant ce mois dans cette colonne" sqref="AH6"/>
    <dataValidation allowBlank="1" showInputMessage="1" showErrorMessage="1" prompt="Année mise à jour automatiquement en fonction de l’année entrée dans la feuille de calcul Janvier" sqref="AH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Entrez une étiquette pour décrire la clé personnalisée à gauche" sqref="N2"/>
    <dataValidation allowBlank="1" showInputMessage="1" showErrorMessage="1" prompt="Entrez une lettre et personnalisez l’étiquette à droite pour ajouter un élément de clé" sqref="M2"/>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670947F-8B3C-4A6C-A280-4F5E10811DCE}">
            <x14:dataBar minLength="0" maxLength="100">
              <x14:cfvo type="autoMin"/>
              <x14:cfvo type="formula">
                <xm:f>DATEDIF(DATE(CalendarYear,2,1),DATE(CalendarYear,3,1),"d")</xm:f>
              </x14:cfvo>
              <x14:negativeFillColor rgb="FFFF0000"/>
              <x14:axisColor rgb="FF000000"/>
            </x14:dataBar>
          </x14:cfRule>
          <xm:sqref>AH7:AH13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employés'!$B$4:$B$10</xm:f>
          </x14:formula1>
          <xm:sqref>B7:B13</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pageSetUpPr fitToPage="1"/>
  </sheetPr>
  <dimension ref="A1:AH14"/>
  <sheetViews>
    <sheetView showGridLines="0" topLeftCell="A5" zoomScaleNormal="100" workbookViewId="0">
      <selection activeCell="B7" sqref="B7:B13"/>
    </sheetView>
  </sheetViews>
  <sheetFormatPr baseColWidth="10" defaultColWidth="9.1796875" defaultRowHeight="30" customHeight="1" x14ac:dyDescent="0.35"/>
  <cols>
    <col min="1" max="1" width="2.7265625" style="8" customWidth="1"/>
    <col min="2" max="2" width="25.7265625" style="8" customWidth="1"/>
    <col min="3" max="4" width="4.7265625" style="8" customWidth="1"/>
    <col min="5" max="5" width="11.26953125" style="8" customWidth="1"/>
    <col min="6" max="11" width="4.7265625" style="8" customWidth="1"/>
    <col min="12" max="12" width="11.7265625" style="8" customWidth="1"/>
    <col min="13" max="33" width="4.7265625" style="8" customWidth="1"/>
    <col min="34" max="34" width="13.54296875" style="8" customWidth="1"/>
    <col min="35" max="35" width="2.7265625" customWidth="1"/>
  </cols>
  <sheetData>
    <row r="1" spans="2:34" ht="50.15" customHeight="1" x14ac:dyDescent="0.35">
      <c r="B1" s="11" t="str">
        <f>Titre_Absence_Employé</f>
        <v>Calendrier des absences des employés</v>
      </c>
    </row>
    <row r="2" spans="2:34" ht="15" customHeight="1" x14ac:dyDescent="0.35">
      <c r="B2" s="16" t="s">
        <v>1</v>
      </c>
      <c r="C2" s="3" t="s">
        <v>4</v>
      </c>
      <c r="D2" s="33" t="s">
        <v>57</v>
      </c>
      <c r="E2" s="34"/>
      <c r="F2" s="4" t="s">
        <v>55</v>
      </c>
      <c r="G2" s="33" t="s">
        <v>55</v>
      </c>
      <c r="H2" s="34"/>
      <c r="I2" s="34"/>
      <c r="J2" s="5" t="s">
        <v>56</v>
      </c>
      <c r="K2" s="33" t="s">
        <v>58</v>
      </c>
      <c r="L2" s="34"/>
      <c r="M2" s="6" t="s">
        <v>10</v>
      </c>
      <c r="N2" s="33" t="s">
        <v>16</v>
      </c>
      <c r="O2" s="34"/>
      <c r="P2" s="34"/>
      <c r="Q2" s="34"/>
      <c r="Y2"/>
      <c r="Z2"/>
      <c r="AA2"/>
      <c r="AB2"/>
      <c r="AC2"/>
      <c r="AD2"/>
      <c r="AE2"/>
      <c r="AF2"/>
      <c r="AG2"/>
      <c r="AH2"/>
    </row>
    <row r="3" spans="2:34" ht="15" customHeight="1" x14ac:dyDescent="0.35">
      <c r="B3" s="11"/>
    </row>
    <row r="4" spans="2:34" ht="30" customHeight="1" x14ac:dyDescent="0.35">
      <c r="B4" s="9" t="s">
        <v>47</v>
      </c>
      <c r="C4" s="32" t="s">
        <v>5</v>
      </c>
      <c r="D4" s="32"/>
      <c r="E4" s="32"/>
      <c r="F4" s="32"/>
      <c r="G4" s="32"/>
      <c r="H4" s="32"/>
      <c r="I4" s="32"/>
      <c r="J4" s="32"/>
      <c r="K4" s="32"/>
      <c r="L4" s="32"/>
      <c r="M4" s="32"/>
      <c r="N4" s="32"/>
      <c r="O4" s="32"/>
      <c r="P4" s="32"/>
      <c r="Q4" s="32"/>
      <c r="R4" s="32"/>
      <c r="S4" s="32"/>
      <c r="T4" s="32"/>
      <c r="U4" s="32"/>
      <c r="V4" s="32"/>
      <c r="W4" s="32"/>
      <c r="X4" s="32"/>
      <c r="Y4" s="32"/>
      <c r="Z4" s="32"/>
      <c r="AA4" s="32"/>
      <c r="AB4" s="32"/>
      <c r="AC4" s="32"/>
      <c r="AD4" s="32"/>
      <c r="AE4" s="32"/>
      <c r="AF4" s="32"/>
      <c r="AG4" s="32"/>
      <c r="AH4" s="9">
        <f>AnnéeCalendrier</f>
        <v>2018</v>
      </c>
    </row>
    <row r="5" spans="2:34" ht="15" customHeight="1" x14ac:dyDescent="0.35">
      <c r="B5" s="9"/>
      <c r="C5" s="1" t="str">
        <f>TEXT(WEEKDAY(DATE(AnnéeCalendrier,6,1),1),"jjj")</f>
        <v>ven</v>
      </c>
      <c r="D5" s="1" t="str">
        <f>TEXT(WEEKDAY(DATE(AnnéeCalendrier,6,2),1),"jjj")</f>
        <v>sam</v>
      </c>
      <c r="E5" s="1" t="str">
        <f>TEXT(WEEKDAY(DATE(AnnéeCalendrier,6,3),1),"jjj")</f>
        <v>dim</v>
      </c>
      <c r="F5" s="1" t="str">
        <f>TEXT(WEEKDAY(DATE(AnnéeCalendrier,6,4),1),"jjj")</f>
        <v>lun</v>
      </c>
      <c r="G5" s="1" t="str">
        <f>TEXT(WEEKDAY(DATE(AnnéeCalendrier,6,5),1),"jjj")</f>
        <v>mar</v>
      </c>
      <c r="H5" s="1" t="str">
        <f>TEXT(WEEKDAY(DATE(AnnéeCalendrier,6,6),1),"jjj")</f>
        <v>mer</v>
      </c>
      <c r="I5" s="1" t="str">
        <f>TEXT(WEEKDAY(DATE(AnnéeCalendrier,6,7),1),"jjj")</f>
        <v>jeu</v>
      </c>
      <c r="J5" s="1" t="str">
        <f>TEXT(WEEKDAY(DATE(AnnéeCalendrier,6,8),1),"jjj")</f>
        <v>ven</v>
      </c>
      <c r="K5" s="1" t="str">
        <f>TEXT(WEEKDAY(DATE(AnnéeCalendrier,6,9),1),"jjj")</f>
        <v>sam</v>
      </c>
      <c r="L5" s="1" t="str">
        <f>TEXT(WEEKDAY(DATE(AnnéeCalendrier,6,10),1),"jjj")</f>
        <v>dim</v>
      </c>
      <c r="M5" s="1" t="str">
        <f>TEXT(WEEKDAY(DATE(AnnéeCalendrier,6,11),1),"jjj")</f>
        <v>lun</v>
      </c>
      <c r="N5" s="1" t="str">
        <f>TEXT(WEEKDAY(DATE(AnnéeCalendrier,6,12),1),"jjj")</f>
        <v>mar</v>
      </c>
      <c r="O5" s="1" t="str">
        <f>TEXT(WEEKDAY(DATE(AnnéeCalendrier,6,13),1),"jjj")</f>
        <v>mer</v>
      </c>
      <c r="P5" s="1" t="str">
        <f>TEXT(WEEKDAY(DATE(AnnéeCalendrier,6,14),1),"jjj")</f>
        <v>jeu</v>
      </c>
      <c r="Q5" s="1" t="str">
        <f>TEXT(WEEKDAY(DATE(AnnéeCalendrier,6,15),1),"jjj")</f>
        <v>ven</v>
      </c>
      <c r="R5" s="1" t="str">
        <f>TEXT(WEEKDAY(DATE(AnnéeCalendrier,6,16),1),"jjj")</f>
        <v>sam</v>
      </c>
      <c r="S5" s="1" t="str">
        <f>TEXT(WEEKDAY(DATE(AnnéeCalendrier,6,17),1),"jjj")</f>
        <v>dim</v>
      </c>
      <c r="T5" s="1" t="str">
        <f>TEXT(WEEKDAY(DATE(AnnéeCalendrier,6,18),1),"jjj")</f>
        <v>lun</v>
      </c>
      <c r="U5" s="1" t="str">
        <f>TEXT(WEEKDAY(DATE(AnnéeCalendrier,6,19),1),"jjj")</f>
        <v>mar</v>
      </c>
      <c r="V5" s="1" t="str">
        <f>TEXT(WEEKDAY(DATE(AnnéeCalendrier,6,20),1),"jjj")</f>
        <v>mer</v>
      </c>
      <c r="W5" s="1" t="str">
        <f>TEXT(WEEKDAY(DATE(AnnéeCalendrier,6,21),1),"jjj")</f>
        <v>jeu</v>
      </c>
      <c r="X5" s="1" t="str">
        <f>TEXT(WEEKDAY(DATE(AnnéeCalendrier,6,22),1),"jjj")</f>
        <v>ven</v>
      </c>
      <c r="Y5" s="1" t="str">
        <f>TEXT(WEEKDAY(DATE(AnnéeCalendrier,6,23),1),"jjj")</f>
        <v>sam</v>
      </c>
      <c r="Z5" s="1" t="str">
        <f>TEXT(WEEKDAY(DATE(AnnéeCalendrier,6,24),1),"jjj")</f>
        <v>dim</v>
      </c>
      <c r="AA5" s="1" t="str">
        <f>TEXT(WEEKDAY(DATE(AnnéeCalendrier,6,25),1),"jjj")</f>
        <v>lun</v>
      </c>
      <c r="AB5" s="1" t="str">
        <f>TEXT(WEEKDAY(DATE(AnnéeCalendrier,6,26),1),"jjj")</f>
        <v>mar</v>
      </c>
      <c r="AC5" s="1" t="str">
        <f>TEXT(WEEKDAY(DATE(AnnéeCalendrier,6,27),1),"jjj")</f>
        <v>mer</v>
      </c>
      <c r="AD5" s="1" t="str">
        <f>TEXT(WEEKDAY(DATE(AnnéeCalendrier,6,28),1),"jjj")</f>
        <v>jeu</v>
      </c>
      <c r="AE5" s="1" t="str">
        <f>TEXT(WEEKDAY(DATE(AnnéeCalendrier,6,29),1),"jjj")</f>
        <v>ven</v>
      </c>
      <c r="AF5" s="1" t="str">
        <f>TEXT(WEEKDAY(DATE(AnnéeCalendrier,6,30),1),"jjj")</f>
        <v>sam</v>
      </c>
      <c r="AG5" s="1"/>
      <c r="AH5" s="9"/>
    </row>
    <row r="6" spans="2:34" ht="15" customHeight="1" x14ac:dyDescent="0.35">
      <c r="B6" s="12" t="s">
        <v>3</v>
      </c>
      <c r="C6" s="2" t="s">
        <v>6</v>
      </c>
      <c r="D6" s="2" t="s">
        <v>7</v>
      </c>
      <c r="E6" s="2" t="s">
        <v>8</v>
      </c>
      <c r="F6" s="2" t="s">
        <v>9</v>
      </c>
      <c r="G6" s="2" t="s">
        <v>11</v>
      </c>
      <c r="H6" s="2" t="s">
        <v>12</v>
      </c>
      <c r="I6" s="2" t="s">
        <v>13</v>
      </c>
      <c r="J6" s="2" t="s">
        <v>14</v>
      </c>
      <c r="K6" s="2" t="s">
        <v>15</v>
      </c>
      <c r="L6" s="2" t="s">
        <v>17</v>
      </c>
      <c r="M6" s="2" t="s">
        <v>18</v>
      </c>
      <c r="N6" s="2" t="s">
        <v>19</v>
      </c>
      <c r="O6" s="2" t="s">
        <v>20</v>
      </c>
      <c r="P6" s="2" t="s">
        <v>21</v>
      </c>
      <c r="Q6" s="2" t="s">
        <v>22</v>
      </c>
      <c r="R6" s="2" t="s">
        <v>23</v>
      </c>
      <c r="S6" s="2" t="s">
        <v>24</v>
      </c>
      <c r="T6" s="2" t="s">
        <v>25</v>
      </c>
      <c r="U6" s="2" t="s">
        <v>26</v>
      </c>
      <c r="V6" s="2" t="s">
        <v>27</v>
      </c>
      <c r="W6" s="2" t="s">
        <v>28</v>
      </c>
      <c r="X6" s="2" t="s">
        <v>29</v>
      </c>
      <c r="Y6" s="2" t="s">
        <v>30</v>
      </c>
      <c r="Z6" s="2" t="s">
        <v>31</v>
      </c>
      <c r="AA6" s="2" t="s">
        <v>32</v>
      </c>
      <c r="AB6" s="2" t="s">
        <v>33</v>
      </c>
      <c r="AC6" s="2" t="s">
        <v>34</v>
      </c>
      <c r="AD6" s="2" t="s">
        <v>35</v>
      </c>
      <c r="AE6" s="2" t="s">
        <v>36</v>
      </c>
      <c r="AF6" s="2" t="s">
        <v>37</v>
      </c>
      <c r="AG6" s="2" t="s">
        <v>38</v>
      </c>
      <c r="AH6" s="13" t="s">
        <v>40</v>
      </c>
    </row>
    <row r="7" spans="2:34" ht="30" customHeight="1" x14ac:dyDescent="0.35">
      <c r="B7" s="14" t="s">
        <v>61</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7">
        <f>COUNTA(Juin[[#This Row],[1]:[31]])</f>
        <v>0</v>
      </c>
    </row>
    <row r="8" spans="2:34" ht="30" customHeight="1" x14ac:dyDescent="0.35">
      <c r="B8" s="14" t="s">
        <v>62</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7">
        <f>COUNTA(Juin[[#This Row],[1]:[31]])</f>
        <v>0</v>
      </c>
    </row>
    <row r="9" spans="2:34" ht="30" customHeight="1" x14ac:dyDescent="0.35">
      <c r="B9" s="14" t="s">
        <v>63</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7">
        <f>COUNTA(Juin[[#This Row],[1]:[31]])</f>
        <v>0</v>
      </c>
    </row>
    <row r="10" spans="2:34" ht="30" customHeight="1" x14ac:dyDescent="0.35">
      <c r="B10" s="14" t="s">
        <v>64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7">
        <f>COUNTA(Juin[[#This Row],[1]:[31]])</f>
        <v>0</v>
      </c>
    </row>
    <row r="11" spans="2:34" ht="30" customHeight="1" x14ac:dyDescent="0.35">
      <c r="B11" s="14" t="s">
        <v>65</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7"/>
      <c r="AH11" s="7">
        <f>COUNTA(Juin[[#This Row],[1]:[31]])</f>
        <v>0</v>
      </c>
    </row>
    <row r="12" spans="2:34" ht="30" customHeight="1" x14ac:dyDescent="0.35">
      <c r="B12" s="14" t="s">
        <v>66</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7"/>
      <c r="AH12" s="7">
        <f>COUNTA(Juin[[#This Row],[1]:[31]])</f>
        <v>0</v>
      </c>
    </row>
    <row r="13" spans="2:34" ht="30" customHeight="1" x14ac:dyDescent="0.35">
      <c r="B13" s="14" t="s">
        <v>67</v>
      </c>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7">
        <f>COUNTA(Juin[[#This Row],[1]:[31]])</f>
        <v>0</v>
      </c>
    </row>
    <row r="14" spans="2:34" ht="30" customHeight="1" x14ac:dyDescent="0.35">
      <c r="B14" s="18" t="str">
        <f>NomMois&amp;" Total"</f>
        <v>Juin Total</v>
      </c>
      <c r="C14" s="10">
        <f>SUBTOTAL(103,Juin[1])</f>
        <v>0</v>
      </c>
      <c r="D14" s="10">
        <f>SUBTOTAL(103,Juin[2])</f>
        <v>0</v>
      </c>
      <c r="E14" s="10">
        <f>SUBTOTAL(103,Juin[3])</f>
        <v>0</v>
      </c>
      <c r="F14" s="10">
        <f>SUBTOTAL(103,Juin[4])</f>
        <v>0</v>
      </c>
      <c r="G14" s="10">
        <f>SUBTOTAL(103,Juin[5])</f>
        <v>0</v>
      </c>
      <c r="H14" s="10">
        <f>SUBTOTAL(103,Juin[6])</f>
        <v>0</v>
      </c>
      <c r="I14" s="10">
        <f>SUBTOTAL(103,Juin[7])</f>
        <v>0</v>
      </c>
      <c r="J14" s="10">
        <f>SUBTOTAL(103,Juin[8])</f>
        <v>0</v>
      </c>
      <c r="K14" s="10">
        <f>SUBTOTAL(103,Juin[9])</f>
        <v>0</v>
      </c>
      <c r="L14" s="10">
        <f>SUBTOTAL(103,Juin[10])</f>
        <v>0</v>
      </c>
      <c r="M14" s="10">
        <f>SUBTOTAL(103,Juin[11])</f>
        <v>0</v>
      </c>
      <c r="N14" s="10">
        <f>SUBTOTAL(103,Juin[12])</f>
        <v>0</v>
      </c>
      <c r="O14" s="10">
        <f>SUBTOTAL(103,Juin[13])</f>
        <v>0</v>
      </c>
      <c r="P14" s="10">
        <f>SUBTOTAL(103,Juin[14])</f>
        <v>0</v>
      </c>
      <c r="Q14" s="10">
        <f>SUBTOTAL(103,Juin[15])</f>
        <v>0</v>
      </c>
      <c r="R14" s="10">
        <f>SUBTOTAL(103,Juin[16])</f>
        <v>0</v>
      </c>
      <c r="S14" s="10">
        <f>SUBTOTAL(103,Juin[17])</f>
        <v>0</v>
      </c>
      <c r="T14" s="10">
        <f>SUBTOTAL(103,Juin[18])</f>
        <v>0</v>
      </c>
      <c r="U14" s="10">
        <f>SUBTOTAL(103,Juin[19])</f>
        <v>0</v>
      </c>
      <c r="V14" s="10">
        <f>SUBTOTAL(103,Juin[20])</f>
        <v>0</v>
      </c>
      <c r="W14" s="10">
        <f>SUBTOTAL(103,Juin[21])</f>
        <v>0</v>
      </c>
      <c r="X14" s="10">
        <f>SUBTOTAL(103,Juin[22])</f>
        <v>0</v>
      </c>
      <c r="Y14" s="10">
        <f>SUBTOTAL(103,Juin[23])</f>
        <v>0</v>
      </c>
      <c r="Z14" s="10">
        <f>SUBTOTAL(103,Juin[24])</f>
        <v>0</v>
      </c>
      <c r="AA14" s="10">
        <f>SUBTOTAL(103,Juin[25])</f>
        <v>0</v>
      </c>
      <c r="AB14" s="10">
        <f>SUBTOTAL(103,Juin[26])</f>
        <v>0</v>
      </c>
      <c r="AC14" s="10">
        <f>SUBTOTAL(103,Juin[27])</f>
        <v>0</v>
      </c>
      <c r="AD14" s="10">
        <f>SUBTOTAL(103,Juin[28])</f>
        <v>0</v>
      </c>
      <c r="AE14" s="10">
        <f>SUBTOTAL(103,Juin[29])</f>
        <v>0</v>
      </c>
      <c r="AF14" s="10">
        <f>SUBTOTAL(109,Juin[30])</f>
        <v>0</v>
      </c>
      <c r="AG14" s="10">
        <f>SUBTOTAL(109,Juin[31])</f>
        <v>0</v>
      </c>
      <c r="AH14" s="10">
        <f>SUBTOTAL(109,Juin[Total des jours])</f>
        <v>0</v>
      </c>
    </row>
  </sheetData>
  <mergeCells count="5">
    <mergeCell ref="C4:AG4"/>
    <mergeCell ref="D2:E2"/>
    <mergeCell ref="G2:I2"/>
    <mergeCell ref="K2:L2"/>
    <mergeCell ref="N2:Q2"/>
  </mergeCells>
  <conditionalFormatting sqref="C7:AG13">
    <cfRule type="expression" priority="1" stopIfTrue="1">
      <formula>C7=""</formula>
    </cfRule>
  </conditionalFormatting>
  <conditionalFormatting sqref="C7:AG13">
    <cfRule type="expression" dxfId="34" priority="2" stopIfTrue="1">
      <formula>C7=CléPersonnalisée2</formula>
    </cfRule>
    <cfRule type="expression" dxfId="33" priority="3" stopIfTrue="1">
      <formula>C7=CléPersonnalisée1</formula>
    </cfRule>
    <cfRule type="expression" dxfId="32" priority="4" stopIfTrue="1">
      <formula>C7=CléMaladie</formula>
    </cfRule>
    <cfRule type="expression" dxfId="31" priority="5" stopIfTrue="1">
      <formula>C7=CléPersonnel</formula>
    </cfRule>
    <cfRule type="expression" dxfId="30" priority="6" stopIfTrue="1">
      <formula>C7=CléCongé</formula>
    </cfRule>
  </conditionalFormatting>
  <conditionalFormatting sqref="AH7:AH13">
    <cfRule type="dataBar" priority="7">
      <dataBar>
        <cfvo type="min"/>
        <cfvo type="formula" val="DATEDIF(DATE(CalendarYear,2,1),DATE(CalendarYear,3,1),&quot;d&quot;)"/>
        <color theme="2" tint="-0.249977111117893"/>
      </dataBar>
      <extLst>
        <ext xmlns:x14="http://schemas.microsoft.com/office/spreadsheetml/2009/9/main" uri="{B025F937-C7B1-47D3-B67F-A62EFF666E3E}">
          <x14:id>{5E94D469-7B22-408B-924D-8DC8A136AD3B}</x14:id>
        </ext>
      </extLst>
    </cfRule>
  </conditionalFormatting>
  <dataValidations count="1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Année mise à jour automatiquement en fonction de l’année entrée dans la feuille de calcul Janvier" sqref="AH4"/>
    <dataValidation allowBlank="1" showInputMessage="1" showErrorMessage="1" prompt="Calcule automatiquement le nombre total de jours d’absence d’un employé durant ce mois dans cette colonne" sqref="AH6"/>
    <dataValidation allowBlank="1" showInputMessage="1" showErrorMessage="1" prompt="Suivez les absences du mois de juin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Cette ligne définit les clés utilisées dans le tableau : Congé en C2, Personnel en F2 et Congé maladie en J2. Les cellules M2 et R2 sont personnalisables "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Entrez une étiquette pour décrire la clé personnalisée à gauche" sqref="N2"/>
    <dataValidation allowBlank="1" showInputMessage="1" showErrorMessage="1" prompt="Entrez une lettre et personnalisez l’étiquette à droite pour ajouter un élément de clé" sqref="M2"/>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E94D469-7B22-408B-924D-8DC8A136AD3B}">
            <x14:dataBar minLength="0" maxLength="100">
              <x14:cfvo type="autoMin"/>
              <x14:cfvo type="formula">
                <xm:f>DATEDIF(DATE(CalendarYear,2,1),DATE(CalendarYear,3,1),"d")</xm:f>
              </x14:cfvo>
              <x14:negativeFillColor rgb="FFFF0000"/>
              <x14:axisColor rgb="FF000000"/>
            </x14:dataBar>
          </x14:cfRule>
          <xm:sqref>AH7:AH13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employés'!$B$4:$B$10</xm:f>
          </x14:formula1>
          <xm:sqref>B7:B13</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1"/>
    <pageSetUpPr fitToPage="1"/>
  </sheetPr>
  <dimension ref="A1:AH14"/>
  <sheetViews>
    <sheetView showGridLines="0" topLeftCell="A5" zoomScaleNormal="100" workbookViewId="0">
      <selection activeCell="B7" sqref="B7:B13"/>
    </sheetView>
  </sheetViews>
  <sheetFormatPr baseColWidth="10" defaultColWidth="9.1796875" defaultRowHeight="30" customHeight="1" x14ac:dyDescent="0.35"/>
  <cols>
    <col min="1" max="1" width="2.7265625" style="8" customWidth="1"/>
    <col min="2" max="2" width="25.7265625" style="8" customWidth="1"/>
    <col min="3" max="4" width="4.7265625" style="8" customWidth="1"/>
    <col min="5" max="5" width="10.54296875" style="8" customWidth="1"/>
    <col min="6" max="11" width="4.7265625" style="8" customWidth="1"/>
    <col min="12" max="12" width="12.453125" style="8" customWidth="1"/>
    <col min="13" max="33" width="4.7265625" style="8" customWidth="1"/>
    <col min="34" max="34" width="13.54296875" style="8" customWidth="1"/>
    <col min="35" max="35" width="2.7265625" customWidth="1"/>
  </cols>
  <sheetData>
    <row r="1" spans="2:34" ht="50.15" customHeight="1" x14ac:dyDescent="0.35">
      <c r="B1" s="11" t="str">
        <f>Titre_Absence_Employé</f>
        <v>Calendrier des absences des employés</v>
      </c>
    </row>
    <row r="2" spans="2:34" ht="15" customHeight="1" x14ac:dyDescent="0.35">
      <c r="B2" s="16" t="s">
        <v>1</v>
      </c>
      <c r="C2" s="3" t="s">
        <v>4</v>
      </c>
      <c r="D2" s="33" t="s">
        <v>57</v>
      </c>
      <c r="E2" s="34"/>
      <c r="F2" s="4" t="s">
        <v>55</v>
      </c>
      <c r="G2" s="33" t="s">
        <v>55</v>
      </c>
      <c r="H2" s="34"/>
      <c r="I2" s="34"/>
      <c r="J2" s="5" t="s">
        <v>56</v>
      </c>
      <c r="K2" s="33" t="s">
        <v>58</v>
      </c>
      <c r="L2" s="34"/>
      <c r="M2" s="6" t="s">
        <v>10</v>
      </c>
      <c r="N2" s="33" t="s">
        <v>16</v>
      </c>
      <c r="O2" s="34"/>
      <c r="P2" s="34"/>
      <c r="Q2" s="34"/>
      <c r="Y2"/>
      <c r="Z2"/>
      <c r="AA2"/>
      <c r="AB2"/>
      <c r="AC2"/>
      <c r="AD2"/>
      <c r="AE2"/>
      <c r="AF2"/>
      <c r="AG2"/>
      <c r="AH2"/>
    </row>
    <row r="3" spans="2:34" ht="15" customHeight="1" x14ac:dyDescent="0.35">
      <c r="B3" s="11"/>
    </row>
    <row r="4" spans="2:34" ht="30" customHeight="1" x14ac:dyDescent="0.35">
      <c r="B4" s="9" t="s">
        <v>48</v>
      </c>
      <c r="C4" s="32" t="s">
        <v>5</v>
      </c>
      <c r="D4" s="32"/>
      <c r="E4" s="32"/>
      <c r="F4" s="32"/>
      <c r="G4" s="32"/>
      <c r="H4" s="32"/>
      <c r="I4" s="32"/>
      <c r="J4" s="32"/>
      <c r="K4" s="32"/>
      <c r="L4" s="32"/>
      <c r="M4" s="32"/>
      <c r="N4" s="32"/>
      <c r="O4" s="32"/>
      <c r="P4" s="32"/>
      <c r="Q4" s="32"/>
      <c r="R4" s="32"/>
      <c r="S4" s="32"/>
      <c r="T4" s="32"/>
      <c r="U4" s="32"/>
      <c r="V4" s="32"/>
      <c r="W4" s="32"/>
      <c r="X4" s="32"/>
      <c r="Y4" s="32"/>
      <c r="Z4" s="32"/>
      <c r="AA4" s="32"/>
      <c r="AB4" s="32"/>
      <c r="AC4" s="32"/>
      <c r="AD4" s="32"/>
      <c r="AE4" s="32"/>
      <c r="AF4" s="32"/>
      <c r="AG4" s="32"/>
      <c r="AH4" s="9">
        <v>2017</v>
      </c>
    </row>
    <row r="5" spans="2:34" ht="15" customHeight="1" x14ac:dyDescent="0.35">
      <c r="B5" s="9"/>
      <c r="C5" s="1" t="str">
        <f>TEXT(WEEKDAY(DATE(AnnéeCalendrier,7,1),1),"jjj")</f>
        <v>dim</v>
      </c>
      <c r="D5" s="1" t="str">
        <f>TEXT(WEEKDAY(DATE(AnnéeCalendrier,7,2),1),"jjj")</f>
        <v>lun</v>
      </c>
      <c r="E5" s="1" t="str">
        <f>TEXT(WEEKDAY(DATE(AnnéeCalendrier,7,3),1),"jjj")</f>
        <v>mar</v>
      </c>
      <c r="F5" s="1" t="str">
        <f>TEXT(WEEKDAY(DATE(AnnéeCalendrier,7,4),1),"jjj")</f>
        <v>mer</v>
      </c>
      <c r="G5" s="1" t="str">
        <f>TEXT(WEEKDAY(DATE(AnnéeCalendrier,7,5),1),"jjj")</f>
        <v>jeu</v>
      </c>
      <c r="H5" s="1" t="str">
        <f>TEXT(WEEKDAY(DATE(AnnéeCalendrier,7,6),1),"jjj")</f>
        <v>ven</v>
      </c>
      <c r="I5" s="1" t="str">
        <f>TEXT(WEEKDAY(DATE(AnnéeCalendrier,7,7),1),"jjj")</f>
        <v>sam</v>
      </c>
      <c r="J5" s="1" t="str">
        <f>TEXT(WEEKDAY(DATE(AnnéeCalendrier,7,8),1),"jjj")</f>
        <v>dim</v>
      </c>
      <c r="K5" s="1" t="str">
        <f>TEXT(WEEKDAY(DATE(AnnéeCalendrier,7,9),1),"jjj")</f>
        <v>lun</v>
      </c>
      <c r="L5" s="1" t="str">
        <f>TEXT(WEEKDAY(DATE(AnnéeCalendrier,7,10),1),"jjj")</f>
        <v>mar</v>
      </c>
      <c r="M5" s="1" t="str">
        <f>TEXT(WEEKDAY(DATE(AnnéeCalendrier,7,11),1),"jjj")</f>
        <v>mer</v>
      </c>
      <c r="N5" s="1" t="str">
        <f>TEXT(WEEKDAY(DATE(AnnéeCalendrier,7,12),1),"jjj")</f>
        <v>jeu</v>
      </c>
      <c r="O5" s="1" t="str">
        <f>TEXT(WEEKDAY(DATE(AnnéeCalendrier,7,13),1),"jjj")</f>
        <v>ven</v>
      </c>
      <c r="P5" s="1" t="str">
        <f>TEXT(WEEKDAY(DATE(AnnéeCalendrier,7,14),1),"jjj")</f>
        <v>sam</v>
      </c>
      <c r="Q5" s="1" t="str">
        <f>TEXT(WEEKDAY(DATE(AnnéeCalendrier,7,15),1),"jjj")</f>
        <v>dim</v>
      </c>
      <c r="R5" s="1" t="str">
        <f>TEXT(WEEKDAY(DATE(AnnéeCalendrier,7,16),1),"jjj")</f>
        <v>lun</v>
      </c>
      <c r="S5" s="1" t="str">
        <f>TEXT(WEEKDAY(DATE(AnnéeCalendrier,7,17),1),"jjj")</f>
        <v>mar</v>
      </c>
      <c r="T5" s="1" t="str">
        <f>TEXT(WEEKDAY(DATE(AnnéeCalendrier,7,18),1),"jjj")</f>
        <v>mer</v>
      </c>
      <c r="U5" s="1" t="str">
        <f>TEXT(WEEKDAY(DATE(AnnéeCalendrier,7,19),1),"jjj")</f>
        <v>jeu</v>
      </c>
      <c r="V5" s="1" t="str">
        <f>TEXT(WEEKDAY(DATE(AnnéeCalendrier,7,20),1),"jjj")</f>
        <v>ven</v>
      </c>
      <c r="W5" s="1" t="str">
        <f>TEXT(WEEKDAY(DATE(AnnéeCalendrier,7,21),1),"jjj")</f>
        <v>sam</v>
      </c>
      <c r="X5" s="1" t="str">
        <f>TEXT(WEEKDAY(DATE(AnnéeCalendrier,7,22),1),"jjj")</f>
        <v>dim</v>
      </c>
      <c r="Y5" s="1" t="str">
        <f>TEXT(WEEKDAY(DATE(AnnéeCalendrier,7,23),1),"jjj")</f>
        <v>lun</v>
      </c>
      <c r="Z5" s="1" t="str">
        <f>TEXT(WEEKDAY(DATE(AnnéeCalendrier,7,24),1),"jjj")</f>
        <v>mar</v>
      </c>
      <c r="AA5" s="1" t="str">
        <f>TEXT(WEEKDAY(DATE(AnnéeCalendrier,7,25),1),"jjj")</f>
        <v>mer</v>
      </c>
      <c r="AB5" s="1" t="str">
        <f>TEXT(WEEKDAY(DATE(AnnéeCalendrier,7,26),1),"jjj")</f>
        <v>jeu</v>
      </c>
      <c r="AC5" s="1" t="str">
        <f>TEXT(WEEKDAY(DATE(AnnéeCalendrier,7,27),1),"jjj")</f>
        <v>ven</v>
      </c>
      <c r="AD5" s="1" t="str">
        <f>TEXT(WEEKDAY(DATE(AnnéeCalendrier,7,28),1),"jjj")</f>
        <v>sam</v>
      </c>
      <c r="AE5" s="1" t="str">
        <f>TEXT(WEEKDAY(DATE(AnnéeCalendrier,7,29),1),"jjj")</f>
        <v>dim</v>
      </c>
      <c r="AF5" s="1" t="str">
        <f>TEXT(WEEKDAY(DATE(AnnéeCalendrier,7,30),1),"jjj")</f>
        <v>lun</v>
      </c>
      <c r="AG5" s="1" t="str">
        <f>TEXT(WEEKDAY(DATE(AnnéeCalendrier,7,31),1),"jjj")</f>
        <v>mar</v>
      </c>
      <c r="AH5" s="9"/>
    </row>
    <row r="6" spans="2:34" ht="15" customHeight="1" x14ac:dyDescent="0.35">
      <c r="B6" s="12" t="s">
        <v>3</v>
      </c>
      <c r="C6" s="2" t="s">
        <v>6</v>
      </c>
      <c r="D6" s="2" t="s">
        <v>7</v>
      </c>
      <c r="E6" s="2" t="s">
        <v>8</v>
      </c>
      <c r="F6" s="2" t="s">
        <v>9</v>
      </c>
      <c r="G6" s="2" t="s">
        <v>11</v>
      </c>
      <c r="H6" s="2" t="s">
        <v>12</v>
      </c>
      <c r="I6" s="2" t="s">
        <v>13</v>
      </c>
      <c r="J6" s="2" t="s">
        <v>14</v>
      </c>
      <c r="K6" s="2" t="s">
        <v>15</v>
      </c>
      <c r="L6" s="2" t="s">
        <v>17</v>
      </c>
      <c r="M6" s="2" t="s">
        <v>18</v>
      </c>
      <c r="N6" s="2" t="s">
        <v>19</v>
      </c>
      <c r="O6" s="2" t="s">
        <v>20</v>
      </c>
      <c r="P6" s="2" t="s">
        <v>21</v>
      </c>
      <c r="Q6" s="2" t="s">
        <v>22</v>
      </c>
      <c r="R6" s="2" t="s">
        <v>23</v>
      </c>
      <c r="S6" s="2" t="s">
        <v>24</v>
      </c>
      <c r="T6" s="2" t="s">
        <v>25</v>
      </c>
      <c r="U6" s="2" t="s">
        <v>26</v>
      </c>
      <c r="V6" s="2" t="s">
        <v>27</v>
      </c>
      <c r="W6" s="2" t="s">
        <v>28</v>
      </c>
      <c r="X6" s="2" t="s">
        <v>29</v>
      </c>
      <c r="Y6" s="2" t="s">
        <v>30</v>
      </c>
      <c r="Z6" s="2" t="s">
        <v>31</v>
      </c>
      <c r="AA6" s="2" t="s">
        <v>32</v>
      </c>
      <c r="AB6" s="2" t="s">
        <v>33</v>
      </c>
      <c r="AC6" s="2" t="s">
        <v>34</v>
      </c>
      <c r="AD6" s="2" t="s">
        <v>35</v>
      </c>
      <c r="AE6" s="2" t="s">
        <v>36</v>
      </c>
      <c r="AF6" s="2" t="s">
        <v>37</v>
      </c>
      <c r="AG6" s="2" t="s">
        <v>38</v>
      </c>
      <c r="AH6" s="13" t="s">
        <v>40</v>
      </c>
    </row>
    <row r="7" spans="2:34" ht="30" customHeight="1" x14ac:dyDescent="0.35">
      <c r="B7" s="14" t="s">
        <v>61</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7">
        <f>COUNTA(Juillet[[#This Row],[1]:[31]])</f>
        <v>0</v>
      </c>
    </row>
    <row r="8" spans="2:34" ht="30" customHeight="1" x14ac:dyDescent="0.35">
      <c r="B8" s="14" t="s">
        <v>62</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7">
        <f>COUNTA(Juillet[[#This Row],[1]:[31]])</f>
        <v>0</v>
      </c>
    </row>
    <row r="9" spans="2:34" ht="30" customHeight="1" x14ac:dyDescent="0.35">
      <c r="B9" s="14" t="s">
        <v>63</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7">
        <f>COUNTA(Juillet[[#This Row],[1]:[31]])</f>
        <v>0</v>
      </c>
    </row>
    <row r="10" spans="2:34" ht="30" customHeight="1" x14ac:dyDescent="0.35">
      <c r="B10" s="14" t="s">
        <v>64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7">
        <f>COUNTA(Juillet[[#This Row],[1]:[31]])</f>
        <v>0</v>
      </c>
    </row>
    <row r="11" spans="2:34" ht="30" customHeight="1" x14ac:dyDescent="0.35">
      <c r="B11" s="14" t="s">
        <v>65</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7"/>
      <c r="AH11" s="7">
        <f>COUNTA(Juillet[[#This Row],[1]:[31]])</f>
        <v>0</v>
      </c>
    </row>
    <row r="12" spans="2:34" ht="30" customHeight="1" x14ac:dyDescent="0.35">
      <c r="B12" s="14" t="s">
        <v>66</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7"/>
      <c r="AH12" s="7">
        <f>COUNTA(Juillet[[#This Row],[1]:[31]])</f>
        <v>0</v>
      </c>
    </row>
    <row r="13" spans="2:34" ht="30" customHeight="1" x14ac:dyDescent="0.35">
      <c r="B13" s="14" t="s">
        <v>67</v>
      </c>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7">
        <f>COUNTA(Juillet[[#This Row],[1]:[31]])</f>
        <v>0</v>
      </c>
    </row>
    <row r="14" spans="2:34" ht="30" customHeight="1" x14ac:dyDescent="0.35">
      <c r="B14" s="18" t="str">
        <f>NomMois&amp;" Total"</f>
        <v>Juillet Total</v>
      </c>
      <c r="C14" s="10">
        <f>SUBTOTAL(103,Juillet[1])</f>
        <v>0</v>
      </c>
      <c r="D14" s="10">
        <f>SUBTOTAL(103,Juillet[2])</f>
        <v>0</v>
      </c>
      <c r="E14" s="10">
        <f>SUBTOTAL(103,Juillet[3])</f>
        <v>0</v>
      </c>
      <c r="F14" s="10">
        <f>SUBTOTAL(103,Juillet[4])</f>
        <v>0</v>
      </c>
      <c r="G14" s="10">
        <f>SUBTOTAL(103,Juillet[5])</f>
        <v>0</v>
      </c>
      <c r="H14" s="10">
        <f>SUBTOTAL(103,Juillet[6])</f>
        <v>0</v>
      </c>
      <c r="I14" s="10">
        <f>SUBTOTAL(103,Juillet[7])</f>
        <v>0</v>
      </c>
      <c r="J14" s="10">
        <f>SUBTOTAL(103,Juillet[8])</f>
        <v>0</v>
      </c>
      <c r="K14" s="10">
        <f>SUBTOTAL(103,Juillet[9])</f>
        <v>0</v>
      </c>
      <c r="L14" s="10">
        <f>SUBTOTAL(103,Juillet[10])</f>
        <v>0</v>
      </c>
      <c r="M14" s="10">
        <f>SUBTOTAL(103,Juillet[11])</f>
        <v>0</v>
      </c>
      <c r="N14" s="10">
        <f>SUBTOTAL(103,Juillet[12])</f>
        <v>0</v>
      </c>
      <c r="O14" s="10">
        <f>SUBTOTAL(103,Juillet[13])</f>
        <v>0</v>
      </c>
      <c r="P14" s="10">
        <f>SUBTOTAL(103,Juillet[14])</f>
        <v>0</v>
      </c>
      <c r="Q14" s="10">
        <f>SUBTOTAL(103,Juillet[15])</f>
        <v>0</v>
      </c>
      <c r="R14" s="10">
        <f>SUBTOTAL(103,Juillet[16])</f>
        <v>0</v>
      </c>
      <c r="S14" s="10">
        <f>SUBTOTAL(103,Juillet[17])</f>
        <v>0</v>
      </c>
      <c r="T14" s="10">
        <f>SUBTOTAL(103,Juillet[18])</f>
        <v>0</v>
      </c>
      <c r="U14" s="10">
        <f>SUBTOTAL(103,Juillet[19])</f>
        <v>0</v>
      </c>
      <c r="V14" s="10">
        <f>SUBTOTAL(103,Juillet[20])</f>
        <v>0</v>
      </c>
      <c r="W14" s="10">
        <f>SUBTOTAL(103,Juillet[21])</f>
        <v>0</v>
      </c>
      <c r="X14" s="10">
        <f>SUBTOTAL(103,Juillet[22])</f>
        <v>0</v>
      </c>
      <c r="Y14" s="10">
        <f>SUBTOTAL(103,Juillet[23])</f>
        <v>0</v>
      </c>
      <c r="Z14" s="10">
        <f>SUBTOTAL(103,Juillet[24])</f>
        <v>0</v>
      </c>
      <c r="AA14" s="10">
        <f>SUBTOTAL(103,Juillet[25])</f>
        <v>0</v>
      </c>
      <c r="AB14" s="10">
        <f>SUBTOTAL(103,Juillet[26])</f>
        <v>0</v>
      </c>
      <c r="AC14" s="10">
        <f>SUBTOTAL(103,Juillet[27])</f>
        <v>0</v>
      </c>
      <c r="AD14" s="10">
        <f>SUBTOTAL(103,Juillet[28])</f>
        <v>0</v>
      </c>
      <c r="AE14" s="10">
        <f>SUBTOTAL(103,Juillet[29])</f>
        <v>0</v>
      </c>
      <c r="AF14" s="10">
        <f>SUBTOTAL(109,Juillet[30])</f>
        <v>0</v>
      </c>
      <c r="AG14" s="10">
        <f>SUBTOTAL(109,Juillet[31])</f>
        <v>0</v>
      </c>
      <c r="AH14" s="10">
        <f>SUBTOTAL(109,Juillet[Total des jours])</f>
        <v>0</v>
      </c>
    </row>
  </sheetData>
  <mergeCells count="5">
    <mergeCell ref="C4:AG4"/>
    <mergeCell ref="D2:E2"/>
    <mergeCell ref="G2:I2"/>
    <mergeCell ref="K2:L2"/>
    <mergeCell ref="N2:Q2"/>
  </mergeCells>
  <conditionalFormatting sqref="C7:AG13">
    <cfRule type="expression" priority="1" stopIfTrue="1">
      <formula>C7=""</formula>
    </cfRule>
  </conditionalFormatting>
  <conditionalFormatting sqref="C7:AG13">
    <cfRule type="expression" dxfId="29" priority="2" stopIfTrue="1">
      <formula>C7=CléPersonnalisée2</formula>
    </cfRule>
    <cfRule type="expression" dxfId="28" priority="3" stopIfTrue="1">
      <formula>C7=CléPersonnalisée1</formula>
    </cfRule>
    <cfRule type="expression" dxfId="27" priority="4" stopIfTrue="1">
      <formula>C7=CléMaladie</formula>
    </cfRule>
    <cfRule type="expression" dxfId="26" priority="5" stopIfTrue="1">
      <formula>C7=CléPersonnel</formula>
    </cfRule>
    <cfRule type="expression" dxfId="25" priority="6" stopIfTrue="1">
      <formula>C7=CléCongé</formula>
    </cfRule>
  </conditionalFormatting>
  <conditionalFormatting sqref="AH7:AH13">
    <cfRule type="dataBar" priority="7">
      <dataBar>
        <cfvo type="min"/>
        <cfvo type="formula" val="DATEDIF(DATE(CalendarYear,2,1),DATE(CalendarYear,3,1),&quot;d&quot;)"/>
        <color theme="2" tint="-0.249977111117893"/>
      </dataBar>
      <extLst>
        <ext xmlns:x14="http://schemas.microsoft.com/office/spreadsheetml/2009/9/main" uri="{B025F937-C7B1-47D3-B67F-A62EFF666E3E}">
          <x14:id>{E0DCF129-9B2A-4CEB-9E56-27607F4BED20}</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 sqref="B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juillet dans cette feuille de calcul" sqref="A1"/>
    <dataValidation allowBlank="1" showInputMessage="1" showErrorMessage="1" prompt="Calcule automatiquement le nombre total de jours d’absence d’un employé durant ce mois dans cette colonne" sqref="AH6"/>
    <dataValidation allowBlank="1" showInputMessage="1" showErrorMessage="1" prompt="Année mise à jour automatiquement en fonction de l’année entrée dans la feuille de calcul Janvier" sqref="AH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Entrez une étiquette pour décrire la clé personnalisée à gauche" sqref="N2"/>
    <dataValidation allowBlank="1" showInputMessage="1" showErrorMessage="1" prompt="Entrez une lettre et personnalisez l’étiquette à droite pour ajouter un élément de clé" sqref="M2"/>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0DCF129-9B2A-4CEB-9E56-27607F4BED20}">
            <x14:dataBar minLength="0" maxLength="100">
              <x14:cfvo type="autoMin"/>
              <x14:cfvo type="formula">
                <xm:f>DATEDIF(DATE(CalendarYear,2,1),DATE(CalendarYear,3,1),"d")</xm:f>
              </x14:cfvo>
              <x14:negativeFillColor rgb="FFFF0000"/>
              <x14:axisColor rgb="FF000000"/>
            </x14:dataBar>
          </x14:cfRule>
          <xm:sqref>AH7:AH13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employés'!$B$4:$B$10</xm:f>
          </x14:formula1>
          <xm:sqref>B7:B13</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749992370372631"/>
    <pageSetUpPr fitToPage="1"/>
  </sheetPr>
  <dimension ref="A1:AH14"/>
  <sheetViews>
    <sheetView showGridLines="0" topLeftCell="A5" zoomScaleNormal="100" workbookViewId="0">
      <selection activeCell="B7" sqref="B7:B13"/>
    </sheetView>
  </sheetViews>
  <sheetFormatPr baseColWidth="10" defaultColWidth="9.1796875" defaultRowHeight="30" customHeight="1" x14ac:dyDescent="0.35"/>
  <cols>
    <col min="1" max="1" width="2.7265625" style="8" customWidth="1"/>
    <col min="2" max="2" width="25.7265625" style="8" customWidth="1"/>
    <col min="3" max="4" width="4.7265625" style="8" customWidth="1"/>
    <col min="5" max="5" width="9.7265625" style="8" customWidth="1"/>
    <col min="6" max="11" width="4.7265625" style="8" customWidth="1"/>
    <col min="12" max="12" width="11.7265625" style="8" customWidth="1"/>
    <col min="13" max="33" width="4.7265625" style="8" customWidth="1"/>
    <col min="34" max="34" width="13.54296875" style="8" customWidth="1"/>
    <col min="35" max="35" width="2.7265625" customWidth="1"/>
  </cols>
  <sheetData>
    <row r="1" spans="2:34" ht="50.15" customHeight="1" x14ac:dyDescent="0.35">
      <c r="B1" s="11" t="str">
        <f>Titre_Absence_Employé</f>
        <v>Calendrier des absences des employés</v>
      </c>
    </row>
    <row r="2" spans="2:34" ht="15" customHeight="1" x14ac:dyDescent="0.35">
      <c r="B2" s="16" t="s">
        <v>1</v>
      </c>
      <c r="C2" s="3" t="s">
        <v>4</v>
      </c>
      <c r="D2" s="33" t="s">
        <v>57</v>
      </c>
      <c r="E2" s="34"/>
      <c r="F2" s="4" t="s">
        <v>55</v>
      </c>
      <c r="G2" s="33" t="s">
        <v>55</v>
      </c>
      <c r="H2" s="34"/>
      <c r="I2" s="34"/>
      <c r="J2" s="5" t="s">
        <v>56</v>
      </c>
      <c r="K2" s="33" t="s">
        <v>58</v>
      </c>
      <c r="L2" s="34"/>
      <c r="M2" s="6" t="s">
        <v>10</v>
      </c>
      <c r="N2" s="33" t="s">
        <v>16</v>
      </c>
      <c r="O2" s="34"/>
      <c r="P2" s="34"/>
      <c r="Q2" s="34"/>
      <c r="Y2"/>
      <c r="Z2"/>
      <c r="AA2"/>
      <c r="AB2"/>
      <c r="AC2"/>
      <c r="AD2"/>
      <c r="AE2"/>
      <c r="AF2"/>
      <c r="AG2"/>
      <c r="AH2"/>
    </row>
    <row r="3" spans="2:34" ht="15" customHeight="1" x14ac:dyDescent="0.35">
      <c r="B3" s="11"/>
    </row>
    <row r="4" spans="2:34" ht="30" customHeight="1" x14ac:dyDescent="0.35">
      <c r="B4" s="9" t="s">
        <v>49</v>
      </c>
      <c r="C4" s="32" t="s">
        <v>5</v>
      </c>
      <c r="D4" s="32"/>
      <c r="E4" s="32"/>
      <c r="F4" s="32"/>
      <c r="G4" s="32"/>
      <c r="H4" s="32"/>
      <c r="I4" s="32"/>
      <c r="J4" s="32"/>
      <c r="K4" s="32"/>
      <c r="L4" s="32"/>
      <c r="M4" s="32"/>
      <c r="N4" s="32"/>
      <c r="O4" s="32"/>
      <c r="P4" s="32"/>
      <c r="Q4" s="32"/>
      <c r="R4" s="32"/>
      <c r="S4" s="32"/>
      <c r="T4" s="32"/>
      <c r="U4" s="32"/>
      <c r="V4" s="32"/>
      <c r="W4" s="32"/>
      <c r="X4" s="32"/>
      <c r="Y4" s="32"/>
      <c r="Z4" s="32"/>
      <c r="AA4" s="32"/>
      <c r="AB4" s="32"/>
      <c r="AC4" s="32"/>
      <c r="AD4" s="32"/>
      <c r="AE4" s="32"/>
      <c r="AF4" s="32"/>
      <c r="AG4" s="32"/>
      <c r="AH4" s="9">
        <f>AnnéeCalendrier</f>
        <v>2018</v>
      </c>
    </row>
    <row r="5" spans="2:34" ht="15" customHeight="1" x14ac:dyDescent="0.35">
      <c r="B5" s="9"/>
      <c r="C5" s="1" t="str">
        <f>TEXT(WEEKDAY(DATE(AnnéeCalendrier,8,1),1),"jjj")</f>
        <v>mer</v>
      </c>
      <c r="D5" s="1" t="str">
        <f>TEXT(WEEKDAY(DATE(AnnéeCalendrier,8,2),1),"jjj")</f>
        <v>jeu</v>
      </c>
      <c r="E5" s="1" t="str">
        <f>TEXT(WEEKDAY(DATE(AnnéeCalendrier,8,3),1),"jjj")</f>
        <v>ven</v>
      </c>
      <c r="F5" s="1" t="str">
        <f>TEXT(WEEKDAY(DATE(AnnéeCalendrier,8,4),1),"jjj")</f>
        <v>sam</v>
      </c>
      <c r="G5" s="1" t="str">
        <f>TEXT(WEEKDAY(DATE(AnnéeCalendrier,8,5),1),"jjj")</f>
        <v>dim</v>
      </c>
      <c r="H5" s="1" t="str">
        <f>TEXT(WEEKDAY(DATE(AnnéeCalendrier,8,6),1),"jjj")</f>
        <v>lun</v>
      </c>
      <c r="I5" s="1" t="str">
        <f>TEXT(WEEKDAY(DATE(AnnéeCalendrier,8,7),1),"jjj")</f>
        <v>mar</v>
      </c>
      <c r="J5" s="1" t="str">
        <f>TEXT(WEEKDAY(DATE(AnnéeCalendrier,8,8),1),"jjj")</f>
        <v>mer</v>
      </c>
      <c r="K5" s="1" t="str">
        <f>TEXT(WEEKDAY(DATE(AnnéeCalendrier,8,9),1),"jjj")</f>
        <v>jeu</v>
      </c>
      <c r="L5" s="1" t="str">
        <f>TEXT(WEEKDAY(DATE(AnnéeCalendrier,8,10),1),"jjj")</f>
        <v>ven</v>
      </c>
      <c r="M5" s="1" t="str">
        <f>TEXT(WEEKDAY(DATE(AnnéeCalendrier,8,11),1),"jjj")</f>
        <v>sam</v>
      </c>
      <c r="N5" s="1" t="str">
        <f>TEXT(WEEKDAY(DATE(AnnéeCalendrier,8,12),1),"jjj")</f>
        <v>dim</v>
      </c>
      <c r="O5" s="1" t="str">
        <f>TEXT(WEEKDAY(DATE(AnnéeCalendrier,8,13),1),"jjj")</f>
        <v>lun</v>
      </c>
      <c r="P5" s="1" t="str">
        <f>TEXT(WEEKDAY(DATE(AnnéeCalendrier,8,14),1),"jjj")</f>
        <v>mar</v>
      </c>
      <c r="Q5" s="1" t="str">
        <f>TEXT(WEEKDAY(DATE(AnnéeCalendrier,8,15),1),"jjj")</f>
        <v>mer</v>
      </c>
      <c r="R5" s="1" t="str">
        <f>TEXT(WEEKDAY(DATE(AnnéeCalendrier,8,16),1),"jjj")</f>
        <v>jeu</v>
      </c>
      <c r="S5" s="1" t="str">
        <f>TEXT(WEEKDAY(DATE(AnnéeCalendrier,8,17),1),"jjj")</f>
        <v>ven</v>
      </c>
      <c r="T5" s="1" t="str">
        <f>TEXT(WEEKDAY(DATE(AnnéeCalendrier,8,18),1),"jjj")</f>
        <v>sam</v>
      </c>
      <c r="U5" s="1" t="str">
        <f>TEXT(WEEKDAY(DATE(AnnéeCalendrier,8,19),1),"jjj")</f>
        <v>dim</v>
      </c>
      <c r="V5" s="1" t="str">
        <f>TEXT(WEEKDAY(DATE(AnnéeCalendrier,8,20),1),"jjj")</f>
        <v>lun</v>
      </c>
      <c r="W5" s="1" t="str">
        <f>TEXT(WEEKDAY(DATE(AnnéeCalendrier,8,21),1),"jjj")</f>
        <v>mar</v>
      </c>
      <c r="X5" s="1" t="str">
        <f>TEXT(WEEKDAY(DATE(AnnéeCalendrier,8,22),1),"jjj")</f>
        <v>mer</v>
      </c>
      <c r="Y5" s="1" t="str">
        <f>TEXT(WEEKDAY(DATE(AnnéeCalendrier,8,23),1),"jjj")</f>
        <v>jeu</v>
      </c>
      <c r="Z5" s="1" t="str">
        <f>TEXT(WEEKDAY(DATE(AnnéeCalendrier,8,24),1),"jjj")</f>
        <v>ven</v>
      </c>
      <c r="AA5" s="1" t="str">
        <f>TEXT(WEEKDAY(DATE(AnnéeCalendrier,8,25),1),"jjj")</f>
        <v>sam</v>
      </c>
      <c r="AB5" s="1" t="str">
        <f>TEXT(WEEKDAY(DATE(AnnéeCalendrier,8,26),1),"jjj")</f>
        <v>dim</v>
      </c>
      <c r="AC5" s="1" t="str">
        <f>TEXT(WEEKDAY(DATE(AnnéeCalendrier,8,27),1),"jjj")</f>
        <v>lun</v>
      </c>
      <c r="AD5" s="1" t="str">
        <f>TEXT(WEEKDAY(DATE(AnnéeCalendrier,8,28),1),"jjj")</f>
        <v>mar</v>
      </c>
      <c r="AE5" s="1" t="str">
        <f>TEXT(WEEKDAY(DATE(AnnéeCalendrier,8,29),1),"jjj")</f>
        <v>mer</v>
      </c>
      <c r="AF5" s="1" t="str">
        <f>TEXT(WEEKDAY(DATE(AnnéeCalendrier,8,30),1),"jjj")</f>
        <v>jeu</v>
      </c>
      <c r="AG5" s="1" t="str">
        <f>TEXT(WEEKDAY(DATE(AnnéeCalendrier,8,31),1),"jjj")</f>
        <v>ven</v>
      </c>
      <c r="AH5" s="9"/>
    </row>
    <row r="6" spans="2:34" ht="15" customHeight="1" x14ac:dyDescent="0.35">
      <c r="B6" s="12" t="s">
        <v>3</v>
      </c>
      <c r="C6" s="2" t="s">
        <v>6</v>
      </c>
      <c r="D6" s="2" t="s">
        <v>7</v>
      </c>
      <c r="E6" s="2" t="s">
        <v>8</v>
      </c>
      <c r="F6" s="2" t="s">
        <v>9</v>
      </c>
      <c r="G6" s="2" t="s">
        <v>11</v>
      </c>
      <c r="H6" s="2" t="s">
        <v>12</v>
      </c>
      <c r="I6" s="2" t="s">
        <v>13</v>
      </c>
      <c r="J6" s="2" t="s">
        <v>14</v>
      </c>
      <c r="K6" s="2" t="s">
        <v>15</v>
      </c>
      <c r="L6" s="2" t="s">
        <v>17</v>
      </c>
      <c r="M6" s="2" t="s">
        <v>18</v>
      </c>
      <c r="N6" s="2" t="s">
        <v>19</v>
      </c>
      <c r="O6" s="2" t="s">
        <v>20</v>
      </c>
      <c r="P6" s="2" t="s">
        <v>21</v>
      </c>
      <c r="Q6" s="2" t="s">
        <v>22</v>
      </c>
      <c r="R6" s="2" t="s">
        <v>23</v>
      </c>
      <c r="S6" s="2" t="s">
        <v>24</v>
      </c>
      <c r="T6" s="2" t="s">
        <v>25</v>
      </c>
      <c r="U6" s="2" t="s">
        <v>26</v>
      </c>
      <c r="V6" s="2" t="s">
        <v>27</v>
      </c>
      <c r="W6" s="2" t="s">
        <v>28</v>
      </c>
      <c r="X6" s="2" t="s">
        <v>29</v>
      </c>
      <c r="Y6" s="2" t="s">
        <v>30</v>
      </c>
      <c r="Z6" s="2" t="s">
        <v>31</v>
      </c>
      <c r="AA6" s="2" t="s">
        <v>32</v>
      </c>
      <c r="AB6" s="2" t="s">
        <v>33</v>
      </c>
      <c r="AC6" s="2" t="s">
        <v>34</v>
      </c>
      <c r="AD6" s="2" t="s">
        <v>35</v>
      </c>
      <c r="AE6" s="2" t="s">
        <v>36</v>
      </c>
      <c r="AF6" s="2" t="s">
        <v>37</v>
      </c>
      <c r="AG6" s="2" t="s">
        <v>38</v>
      </c>
      <c r="AH6" s="13" t="s">
        <v>40</v>
      </c>
    </row>
    <row r="7" spans="2:34" ht="30" customHeight="1" x14ac:dyDescent="0.35">
      <c r="B7" s="14" t="s">
        <v>61</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7">
        <f>COUNTA(Août[[#This Row],[1]:[31]])</f>
        <v>0</v>
      </c>
    </row>
    <row r="8" spans="2:34" ht="30" customHeight="1" x14ac:dyDescent="0.35">
      <c r="B8" s="14" t="s">
        <v>62</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7">
        <f>COUNTA(Août[[#This Row],[1]:[31]])</f>
        <v>0</v>
      </c>
    </row>
    <row r="9" spans="2:34" ht="30" customHeight="1" x14ac:dyDescent="0.35">
      <c r="B9" s="14" t="s">
        <v>63</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7">
        <f>COUNTA(Août[[#This Row],[1]:[31]])</f>
        <v>0</v>
      </c>
    </row>
    <row r="10" spans="2:34" ht="30" customHeight="1" x14ac:dyDescent="0.35">
      <c r="B10" s="14" t="s">
        <v>64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7">
        <f>COUNTA(Août[[#This Row],[1]:[31]])</f>
        <v>0</v>
      </c>
    </row>
    <row r="11" spans="2:34" ht="30" customHeight="1" x14ac:dyDescent="0.35">
      <c r="B11" s="14" t="s">
        <v>65</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7"/>
      <c r="AH11" s="7">
        <f>COUNTA(Août[[#This Row],[1]:[31]])</f>
        <v>0</v>
      </c>
    </row>
    <row r="12" spans="2:34" ht="30" customHeight="1" x14ac:dyDescent="0.35">
      <c r="B12" s="14" t="s">
        <v>66</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7"/>
      <c r="AH12" s="7">
        <f>COUNTA(Août[[#This Row],[1]:[31]])</f>
        <v>0</v>
      </c>
    </row>
    <row r="13" spans="2:34" ht="30" customHeight="1" x14ac:dyDescent="0.35">
      <c r="B13" s="14" t="s">
        <v>67</v>
      </c>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7">
        <f>COUNTA(Août[[#This Row],[1]:[31]])</f>
        <v>0</v>
      </c>
    </row>
    <row r="14" spans="2:34" ht="30" customHeight="1" x14ac:dyDescent="0.35">
      <c r="B14" s="18" t="str">
        <f>NomMois&amp;" Total"</f>
        <v>Août Total</v>
      </c>
      <c r="C14" s="10">
        <f>SUBTOTAL(103,Août[1])</f>
        <v>0</v>
      </c>
      <c r="D14" s="10">
        <f>SUBTOTAL(103,Août[2])</f>
        <v>0</v>
      </c>
      <c r="E14" s="10">
        <f>SUBTOTAL(103,Août[3])</f>
        <v>0</v>
      </c>
      <c r="F14" s="10">
        <f>SUBTOTAL(103,Août[4])</f>
        <v>0</v>
      </c>
      <c r="G14" s="10">
        <f>SUBTOTAL(103,Août[5])</f>
        <v>0</v>
      </c>
      <c r="H14" s="10">
        <f>SUBTOTAL(103,Août[6])</f>
        <v>0</v>
      </c>
      <c r="I14" s="10">
        <f>SUBTOTAL(103,Août[7])</f>
        <v>0</v>
      </c>
      <c r="J14" s="10">
        <f>SUBTOTAL(103,Août[8])</f>
        <v>0</v>
      </c>
      <c r="K14" s="10">
        <f>SUBTOTAL(103,Août[9])</f>
        <v>0</v>
      </c>
      <c r="L14" s="10">
        <f>SUBTOTAL(103,Août[10])</f>
        <v>0</v>
      </c>
      <c r="M14" s="10">
        <f>SUBTOTAL(103,Août[11])</f>
        <v>0</v>
      </c>
      <c r="N14" s="10">
        <f>SUBTOTAL(103,Août[12])</f>
        <v>0</v>
      </c>
      <c r="O14" s="10">
        <f>SUBTOTAL(103,Août[13])</f>
        <v>0</v>
      </c>
      <c r="P14" s="10">
        <f>SUBTOTAL(103,Août[14])</f>
        <v>0</v>
      </c>
      <c r="Q14" s="10">
        <f>SUBTOTAL(103,Août[15])</f>
        <v>0</v>
      </c>
      <c r="R14" s="10">
        <f>SUBTOTAL(103,Août[16])</f>
        <v>0</v>
      </c>
      <c r="S14" s="10">
        <f>SUBTOTAL(103,Août[17])</f>
        <v>0</v>
      </c>
      <c r="T14" s="10">
        <f>SUBTOTAL(103,Août[18])</f>
        <v>0</v>
      </c>
      <c r="U14" s="10">
        <f>SUBTOTAL(103,Août[19])</f>
        <v>0</v>
      </c>
      <c r="V14" s="10">
        <f>SUBTOTAL(103,Août[20])</f>
        <v>0</v>
      </c>
      <c r="W14" s="10">
        <f>SUBTOTAL(103,Août[21])</f>
        <v>0</v>
      </c>
      <c r="X14" s="10">
        <f>SUBTOTAL(103,Août[22])</f>
        <v>0</v>
      </c>
      <c r="Y14" s="10">
        <f>SUBTOTAL(103,Août[23])</f>
        <v>0</v>
      </c>
      <c r="Z14" s="10">
        <f>SUBTOTAL(103,Août[24])</f>
        <v>0</v>
      </c>
      <c r="AA14" s="10">
        <f>SUBTOTAL(103,Août[25])</f>
        <v>0</v>
      </c>
      <c r="AB14" s="10">
        <f>SUBTOTAL(103,Août[26])</f>
        <v>0</v>
      </c>
      <c r="AC14" s="10">
        <f>SUBTOTAL(103,Août[27])</f>
        <v>0</v>
      </c>
      <c r="AD14" s="10">
        <f>SUBTOTAL(103,Août[28])</f>
        <v>0</v>
      </c>
      <c r="AE14" s="10">
        <f>SUBTOTAL(103,Août[29])</f>
        <v>0</v>
      </c>
      <c r="AF14" s="10">
        <f>SUBTOTAL(109,Août[30])</f>
        <v>0</v>
      </c>
      <c r="AG14" s="10">
        <f>SUBTOTAL(109,Août[31])</f>
        <v>0</v>
      </c>
      <c r="AH14" s="10">
        <f>SUBTOTAL(109,Août[Total des jours])</f>
        <v>0</v>
      </c>
    </row>
  </sheetData>
  <mergeCells count="5">
    <mergeCell ref="C4:AG4"/>
    <mergeCell ref="D2:E2"/>
    <mergeCell ref="G2:I2"/>
    <mergeCell ref="K2:L2"/>
    <mergeCell ref="N2:Q2"/>
  </mergeCells>
  <conditionalFormatting sqref="C7:AG13">
    <cfRule type="expression" priority="1" stopIfTrue="1">
      <formula>C7=""</formula>
    </cfRule>
  </conditionalFormatting>
  <conditionalFormatting sqref="C7:AG13">
    <cfRule type="expression" dxfId="24" priority="2" stopIfTrue="1">
      <formula>C7=CléPersonnalisée2</formula>
    </cfRule>
    <cfRule type="expression" dxfId="23" priority="3" stopIfTrue="1">
      <formula>C7=CléPersonnalisée1</formula>
    </cfRule>
    <cfRule type="expression" dxfId="22" priority="4" stopIfTrue="1">
      <formula>C7=CléMaladie</formula>
    </cfRule>
    <cfRule type="expression" dxfId="21" priority="5" stopIfTrue="1">
      <formula>C7=CléPersonnel</formula>
    </cfRule>
    <cfRule type="expression" dxfId="20" priority="6" stopIfTrue="1">
      <formula>C7=CléCongé</formula>
    </cfRule>
  </conditionalFormatting>
  <conditionalFormatting sqref="AH7:AH13">
    <cfRule type="dataBar" priority="7">
      <dataBar>
        <cfvo type="min"/>
        <cfvo type="formula" val="DATEDIF(DATE(CalendarYear,2,1),DATE(CalendarYear,3,1),&quot;d&quot;)"/>
        <color theme="2" tint="-0.249977111117893"/>
      </dataBar>
      <extLst>
        <ext xmlns:x14="http://schemas.microsoft.com/office/spreadsheetml/2009/9/main" uri="{B025F937-C7B1-47D3-B67F-A62EFF666E3E}">
          <x14:id>{09900229-9536-43AB-AAE0-FC121BDECD61}</x14:id>
        </ext>
      </extLst>
    </cfRule>
  </conditionalFormatting>
  <dataValidations count="1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Année mise à jour automatiquement en fonction de l’année entrée dans la feuille de calcul Janvier" sqref="AH4"/>
    <dataValidation allowBlank="1" showInputMessage="1" showErrorMessage="1" prompt="Calcule automatiquement le nombre total de jours d’absence d’un employé durant ce mois dans cette colonne" sqref="AH6"/>
    <dataValidation allowBlank="1" showInputMessage="1" showErrorMessage="1" prompt="Suivez les absences du mois d’août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Cette ligne définit les clés utilisées dans le tableau : Congé en C2, Personnel en F2 et Congé maladie en J2. Les cellules M2 et R2 sont personnalisables  "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Entrez une étiquette pour décrire la clé personnalisée à gauche" sqref="N2"/>
    <dataValidation allowBlank="1" showInputMessage="1" showErrorMessage="1" prompt="Entrez une lettre et personnalisez l’étiquette à droite pour ajouter un élément de clé" sqref="M2"/>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9900229-9536-43AB-AAE0-FC121BDECD61}">
            <x14:dataBar minLength="0" maxLength="100">
              <x14:cfvo type="autoMin"/>
              <x14:cfvo type="formula">
                <xm:f>DATEDIF(DATE(CalendarYear,2,1),DATE(CalendarYear,3,1),"d")</xm:f>
              </x14:cfvo>
              <x14:negativeFillColor rgb="FFFF0000"/>
              <x14:axisColor rgb="FF000000"/>
            </x14:dataBar>
          </x14:cfRule>
          <xm:sqref>AH7:AH13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employés'!$B$4:$B$10</xm:f>
          </x14:formula1>
          <xm:sqref>B7:B13</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499984740745262"/>
    <pageSetUpPr fitToPage="1"/>
  </sheetPr>
  <dimension ref="A1:AH14"/>
  <sheetViews>
    <sheetView showGridLines="0" topLeftCell="A5" zoomScaleNormal="100" workbookViewId="0">
      <selection activeCell="B7" sqref="B7:B13"/>
    </sheetView>
  </sheetViews>
  <sheetFormatPr baseColWidth="10" defaultColWidth="9.1796875" defaultRowHeight="30" customHeight="1" x14ac:dyDescent="0.35"/>
  <cols>
    <col min="1" max="1" width="2.7265625" style="8" customWidth="1"/>
    <col min="2" max="2" width="25.7265625" style="8" customWidth="1"/>
    <col min="3" max="4" width="4.7265625" style="8" customWidth="1"/>
    <col min="5" max="5" width="9.54296875" style="8" customWidth="1"/>
    <col min="6" max="11" width="4.7265625" style="8" customWidth="1"/>
    <col min="12" max="12" width="10.54296875" style="8" customWidth="1"/>
    <col min="13" max="33" width="4.7265625" style="8" customWidth="1"/>
    <col min="34" max="34" width="13.54296875" style="8" customWidth="1"/>
    <col min="35" max="35" width="2.7265625" customWidth="1"/>
  </cols>
  <sheetData>
    <row r="1" spans="2:34" ht="50.15" customHeight="1" x14ac:dyDescent="0.35">
      <c r="B1" s="11" t="str">
        <f>Titre_Absence_Employé</f>
        <v>Calendrier des absences des employés</v>
      </c>
    </row>
    <row r="2" spans="2:34" ht="15" customHeight="1" x14ac:dyDescent="0.35">
      <c r="B2" s="16" t="s">
        <v>1</v>
      </c>
      <c r="C2" s="3" t="s">
        <v>4</v>
      </c>
      <c r="D2" s="33" t="s">
        <v>57</v>
      </c>
      <c r="E2" s="34"/>
      <c r="F2" s="4" t="s">
        <v>55</v>
      </c>
      <c r="G2" s="33" t="s">
        <v>55</v>
      </c>
      <c r="H2" s="34"/>
      <c r="I2" s="34"/>
      <c r="J2" s="5" t="s">
        <v>56</v>
      </c>
      <c r="K2" s="33" t="s">
        <v>58</v>
      </c>
      <c r="L2" s="34"/>
      <c r="M2" s="6" t="s">
        <v>10</v>
      </c>
      <c r="N2" s="33" t="s">
        <v>16</v>
      </c>
      <c r="O2" s="34"/>
      <c r="P2" s="34"/>
      <c r="Q2" s="34"/>
      <c r="Y2"/>
      <c r="Z2"/>
      <c r="AA2"/>
      <c r="AB2"/>
      <c r="AC2"/>
      <c r="AD2"/>
      <c r="AE2"/>
      <c r="AF2"/>
      <c r="AG2"/>
      <c r="AH2"/>
    </row>
    <row r="3" spans="2:34" ht="15" customHeight="1" x14ac:dyDescent="0.35">
      <c r="B3" s="11"/>
    </row>
    <row r="4" spans="2:34" ht="30" customHeight="1" x14ac:dyDescent="0.35">
      <c r="B4" s="9" t="s">
        <v>50</v>
      </c>
      <c r="C4" s="32" t="s">
        <v>5</v>
      </c>
      <c r="D4" s="32"/>
      <c r="E4" s="32"/>
      <c r="F4" s="32"/>
      <c r="G4" s="32"/>
      <c r="H4" s="32"/>
      <c r="I4" s="32"/>
      <c r="J4" s="32"/>
      <c r="K4" s="32"/>
      <c r="L4" s="32"/>
      <c r="M4" s="32"/>
      <c r="N4" s="32"/>
      <c r="O4" s="32"/>
      <c r="P4" s="32"/>
      <c r="Q4" s="32"/>
      <c r="R4" s="32"/>
      <c r="S4" s="32"/>
      <c r="T4" s="32"/>
      <c r="U4" s="32"/>
      <c r="V4" s="32"/>
      <c r="W4" s="32"/>
      <c r="X4" s="32"/>
      <c r="Y4" s="32"/>
      <c r="Z4" s="32"/>
      <c r="AA4" s="32"/>
      <c r="AB4" s="32"/>
      <c r="AC4" s="32"/>
      <c r="AD4" s="32"/>
      <c r="AE4" s="32"/>
      <c r="AF4" s="32"/>
      <c r="AG4" s="32"/>
      <c r="AH4" s="9">
        <f>AnnéeCalendrier</f>
        <v>2018</v>
      </c>
    </row>
    <row r="5" spans="2:34" ht="15" customHeight="1" x14ac:dyDescent="0.35">
      <c r="B5" s="9"/>
      <c r="C5" s="1" t="str">
        <f>TEXT(WEEKDAY(DATE(AnnéeCalendrier,9,1),1),"jjj")</f>
        <v>sam</v>
      </c>
      <c r="D5" s="1" t="str">
        <f>TEXT(WEEKDAY(DATE(AnnéeCalendrier,9,2),1),"jjj")</f>
        <v>dim</v>
      </c>
      <c r="E5" s="1" t="str">
        <f>TEXT(WEEKDAY(DATE(AnnéeCalendrier,9,3),1),"jjj")</f>
        <v>lun</v>
      </c>
      <c r="F5" s="1" t="str">
        <f>TEXT(WEEKDAY(DATE(AnnéeCalendrier,9,4),1),"jjj")</f>
        <v>mar</v>
      </c>
      <c r="G5" s="1" t="str">
        <f>TEXT(WEEKDAY(DATE(AnnéeCalendrier,9,5),1),"jjj")</f>
        <v>mer</v>
      </c>
      <c r="H5" s="1" t="str">
        <f>TEXT(WEEKDAY(DATE(AnnéeCalendrier,9,6),1),"jjj")</f>
        <v>jeu</v>
      </c>
      <c r="I5" s="1" t="str">
        <f>TEXT(WEEKDAY(DATE(AnnéeCalendrier,9,7),1),"jjj")</f>
        <v>ven</v>
      </c>
      <c r="J5" s="1" t="str">
        <f>TEXT(WEEKDAY(DATE(AnnéeCalendrier,9,8),1),"jjj")</f>
        <v>sam</v>
      </c>
      <c r="K5" s="1" t="str">
        <f>TEXT(WEEKDAY(DATE(AnnéeCalendrier,9,9),1),"jjj")</f>
        <v>dim</v>
      </c>
      <c r="L5" s="1" t="str">
        <f>TEXT(WEEKDAY(DATE(AnnéeCalendrier,9,10),1),"jjj")</f>
        <v>lun</v>
      </c>
      <c r="M5" s="1" t="str">
        <f>TEXT(WEEKDAY(DATE(AnnéeCalendrier,9,11),1),"jjj")</f>
        <v>mar</v>
      </c>
      <c r="N5" s="1" t="str">
        <f>TEXT(WEEKDAY(DATE(AnnéeCalendrier,9,12),1),"jjj")</f>
        <v>mer</v>
      </c>
      <c r="O5" s="1" t="str">
        <f>TEXT(WEEKDAY(DATE(AnnéeCalendrier,9,13),1),"jjj")</f>
        <v>jeu</v>
      </c>
      <c r="P5" s="1" t="str">
        <f>TEXT(WEEKDAY(DATE(AnnéeCalendrier,9,14),1),"jjj")</f>
        <v>ven</v>
      </c>
      <c r="Q5" s="1" t="str">
        <f>TEXT(WEEKDAY(DATE(AnnéeCalendrier,9,15),1),"jjj")</f>
        <v>sam</v>
      </c>
      <c r="R5" s="1" t="str">
        <f>TEXT(WEEKDAY(DATE(AnnéeCalendrier,9,16),1),"jjj")</f>
        <v>dim</v>
      </c>
      <c r="S5" s="1" t="str">
        <f>TEXT(WEEKDAY(DATE(AnnéeCalendrier,9,17),1),"jjj")</f>
        <v>lun</v>
      </c>
      <c r="T5" s="1" t="str">
        <f>TEXT(WEEKDAY(DATE(AnnéeCalendrier,9,18),1),"jjj")</f>
        <v>mar</v>
      </c>
      <c r="U5" s="1" t="str">
        <f>TEXT(WEEKDAY(DATE(AnnéeCalendrier,9,19),1),"jjj")</f>
        <v>mer</v>
      </c>
      <c r="V5" s="1" t="str">
        <f>TEXT(WEEKDAY(DATE(AnnéeCalendrier,9,20),1),"jjj")</f>
        <v>jeu</v>
      </c>
      <c r="W5" s="1" t="str">
        <f>TEXT(WEEKDAY(DATE(AnnéeCalendrier,9,21),1),"jjj")</f>
        <v>ven</v>
      </c>
      <c r="X5" s="1" t="str">
        <f>TEXT(WEEKDAY(DATE(AnnéeCalendrier,9,22),1),"jjj")</f>
        <v>sam</v>
      </c>
      <c r="Y5" s="1" t="str">
        <f>TEXT(WEEKDAY(DATE(AnnéeCalendrier,9,23),1),"jjj")</f>
        <v>dim</v>
      </c>
      <c r="Z5" s="1" t="str">
        <f>TEXT(WEEKDAY(DATE(AnnéeCalendrier,9,24),1),"jjj")</f>
        <v>lun</v>
      </c>
      <c r="AA5" s="1" t="str">
        <f>TEXT(WEEKDAY(DATE(AnnéeCalendrier,9,25),1),"jjj")</f>
        <v>mar</v>
      </c>
      <c r="AB5" s="1" t="str">
        <f>TEXT(WEEKDAY(DATE(AnnéeCalendrier,9,26),1),"jjj")</f>
        <v>mer</v>
      </c>
      <c r="AC5" s="1" t="str">
        <f>TEXT(WEEKDAY(DATE(AnnéeCalendrier,9,27),1),"jjj")</f>
        <v>jeu</v>
      </c>
      <c r="AD5" s="1" t="str">
        <f>TEXT(WEEKDAY(DATE(AnnéeCalendrier,9,28),1),"jjj")</f>
        <v>ven</v>
      </c>
      <c r="AE5" s="1" t="str">
        <f>TEXT(WEEKDAY(DATE(AnnéeCalendrier,9,29),1),"jjj")</f>
        <v>sam</v>
      </c>
      <c r="AF5" s="1" t="str">
        <f>TEXT(WEEKDAY(DATE(AnnéeCalendrier,9,30),1),"jjj")</f>
        <v>dim</v>
      </c>
      <c r="AG5" s="1"/>
      <c r="AH5" s="9"/>
    </row>
    <row r="6" spans="2:34" ht="15" customHeight="1" x14ac:dyDescent="0.35">
      <c r="B6" s="12" t="s">
        <v>3</v>
      </c>
      <c r="C6" s="2" t="s">
        <v>6</v>
      </c>
      <c r="D6" s="2" t="s">
        <v>7</v>
      </c>
      <c r="E6" s="2" t="s">
        <v>8</v>
      </c>
      <c r="F6" s="2" t="s">
        <v>9</v>
      </c>
      <c r="G6" s="2" t="s">
        <v>11</v>
      </c>
      <c r="H6" s="2" t="s">
        <v>12</v>
      </c>
      <c r="I6" s="2" t="s">
        <v>13</v>
      </c>
      <c r="J6" s="2" t="s">
        <v>14</v>
      </c>
      <c r="K6" s="2" t="s">
        <v>15</v>
      </c>
      <c r="L6" s="2" t="s">
        <v>17</v>
      </c>
      <c r="M6" s="2" t="s">
        <v>18</v>
      </c>
      <c r="N6" s="2" t="s">
        <v>19</v>
      </c>
      <c r="O6" s="2" t="s">
        <v>20</v>
      </c>
      <c r="P6" s="2" t="s">
        <v>21</v>
      </c>
      <c r="Q6" s="2" t="s">
        <v>22</v>
      </c>
      <c r="R6" s="2" t="s">
        <v>23</v>
      </c>
      <c r="S6" s="2" t="s">
        <v>24</v>
      </c>
      <c r="T6" s="2" t="s">
        <v>25</v>
      </c>
      <c r="U6" s="2" t="s">
        <v>26</v>
      </c>
      <c r="V6" s="2" t="s">
        <v>27</v>
      </c>
      <c r="W6" s="2" t="s">
        <v>28</v>
      </c>
      <c r="X6" s="2" t="s">
        <v>29</v>
      </c>
      <c r="Y6" s="2" t="s">
        <v>30</v>
      </c>
      <c r="Z6" s="2" t="s">
        <v>31</v>
      </c>
      <c r="AA6" s="2" t="s">
        <v>32</v>
      </c>
      <c r="AB6" s="2" t="s">
        <v>33</v>
      </c>
      <c r="AC6" s="2" t="s">
        <v>34</v>
      </c>
      <c r="AD6" s="2" t="s">
        <v>35</v>
      </c>
      <c r="AE6" s="2" t="s">
        <v>36</v>
      </c>
      <c r="AF6" s="2" t="s">
        <v>37</v>
      </c>
      <c r="AG6" s="2" t="s">
        <v>38</v>
      </c>
      <c r="AH6" s="13" t="s">
        <v>40</v>
      </c>
    </row>
    <row r="7" spans="2:34" ht="30" customHeight="1" x14ac:dyDescent="0.35">
      <c r="B7" s="14" t="s">
        <v>61</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7">
        <f>COUNTA(Septembre[[#This Row],[1]:[31]])</f>
        <v>0</v>
      </c>
    </row>
    <row r="8" spans="2:34" ht="30" customHeight="1" x14ac:dyDescent="0.35">
      <c r="B8" s="14" t="s">
        <v>62</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7">
        <f>COUNTA(Septembre[[#This Row],[1]:[31]])</f>
        <v>0</v>
      </c>
    </row>
    <row r="9" spans="2:34" ht="30" customHeight="1" x14ac:dyDescent="0.35">
      <c r="B9" s="14" t="s">
        <v>63</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7">
        <f>COUNTA(Septembre[[#This Row],[1]:[31]])</f>
        <v>0</v>
      </c>
    </row>
    <row r="10" spans="2:34" ht="30" customHeight="1" x14ac:dyDescent="0.35">
      <c r="B10" s="14" t="s">
        <v>64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7">
        <f>COUNTA(Septembre[[#This Row],[1]:[31]])</f>
        <v>0</v>
      </c>
    </row>
    <row r="11" spans="2:34" ht="30" customHeight="1" x14ac:dyDescent="0.35">
      <c r="B11" s="14" t="s">
        <v>65</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7"/>
      <c r="AH11" s="7">
        <f>COUNTA(Septembre[[#This Row],[1]:[31]])</f>
        <v>0</v>
      </c>
    </row>
    <row r="12" spans="2:34" ht="30" customHeight="1" x14ac:dyDescent="0.35">
      <c r="B12" s="14" t="s">
        <v>66</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7"/>
      <c r="AH12" s="7">
        <f>COUNTA(Septembre[[#This Row],[1]:[31]])</f>
        <v>0</v>
      </c>
    </row>
    <row r="13" spans="2:34" ht="30" customHeight="1" x14ac:dyDescent="0.35">
      <c r="B13" s="14" t="s">
        <v>67</v>
      </c>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7">
        <f>COUNTA(Septembre[[#This Row],[1]:[31]])</f>
        <v>0</v>
      </c>
    </row>
    <row r="14" spans="2:34" ht="30" customHeight="1" x14ac:dyDescent="0.35">
      <c r="B14" s="18" t="str">
        <f>NomMois&amp;" Total"</f>
        <v>Septembre Total</v>
      </c>
      <c r="C14" s="10">
        <f>SUBTOTAL(103,Septembre[1])</f>
        <v>0</v>
      </c>
      <c r="D14" s="10">
        <f>SUBTOTAL(103,Septembre[2])</f>
        <v>0</v>
      </c>
      <c r="E14" s="10">
        <f>SUBTOTAL(103,Septembre[3])</f>
        <v>0</v>
      </c>
      <c r="F14" s="10">
        <f>SUBTOTAL(103,Septembre[4])</f>
        <v>0</v>
      </c>
      <c r="G14" s="10">
        <f>SUBTOTAL(103,Septembre[5])</f>
        <v>0</v>
      </c>
      <c r="H14" s="10">
        <f>SUBTOTAL(103,Septembre[6])</f>
        <v>0</v>
      </c>
      <c r="I14" s="10">
        <f>SUBTOTAL(103,Septembre[7])</f>
        <v>0</v>
      </c>
      <c r="J14" s="10">
        <f>SUBTOTAL(103,Septembre[8])</f>
        <v>0</v>
      </c>
      <c r="K14" s="10">
        <f>SUBTOTAL(103,Septembre[9])</f>
        <v>0</v>
      </c>
      <c r="L14" s="10">
        <f>SUBTOTAL(103,Septembre[10])</f>
        <v>0</v>
      </c>
      <c r="M14" s="10">
        <f>SUBTOTAL(103,Septembre[11])</f>
        <v>0</v>
      </c>
      <c r="N14" s="10">
        <f>SUBTOTAL(103,Septembre[12])</f>
        <v>0</v>
      </c>
      <c r="O14" s="10">
        <f>SUBTOTAL(103,Septembre[13])</f>
        <v>0</v>
      </c>
      <c r="P14" s="10">
        <f>SUBTOTAL(103,Septembre[14])</f>
        <v>0</v>
      </c>
      <c r="Q14" s="10">
        <f>SUBTOTAL(103,Septembre[15])</f>
        <v>0</v>
      </c>
      <c r="R14" s="10">
        <f>SUBTOTAL(103,Septembre[16])</f>
        <v>0</v>
      </c>
      <c r="S14" s="10">
        <f>SUBTOTAL(103,Septembre[17])</f>
        <v>0</v>
      </c>
      <c r="T14" s="10">
        <f>SUBTOTAL(103,Septembre[18])</f>
        <v>0</v>
      </c>
      <c r="U14" s="10">
        <f>SUBTOTAL(103,Septembre[19])</f>
        <v>0</v>
      </c>
      <c r="V14" s="10">
        <f>SUBTOTAL(103,Septembre[20])</f>
        <v>0</v>
      </c>
      <c r="W14" s="10">
        <f>SUBTOTAL(103,Septembre[21])</f>
        <v>0</v>
      </c>
      <c r="X14" s="10">
        <f>SUBTOTAL(103,Septembre[22])</f>
        <v>0</v>
      </c>
      <c r="Y14" s="10">
        <f>SUBTOTAL(103,Septembre[23])</f>
        <v>0</v>
      </c>
      <c r="Z14" s="10">
        <f>SUBTOTAL(103,Septembre[24])</f>
        <v>0</v>
      </c>
      <c r="AA14" s="10">
        <f>SUBTOTAL(103,Septembre[25])</f>
        <v>0</v>
      </c>
      <c r="AB14" s="10">
        <f>SUBTOTAL(103,Septembre[26])</f>
        <v>0</v>
      </c>
      <c r="AC14" s="10">
        <f>SUBTOTAL(103,Septembre[27])</f>
        <v>0</v>
      </c>
      <c r="AD14" s="10">
        <f>SUBTOTAL(103,Septembre[28])</f>
        <v>0</v>
      </c>
      <c r="AE14" s="10">
        <f>SUBTOTAL(103,Septembre[29])</f>
        <v>0</v>
      </c>
      <c r="AF14" s="10">
        <f>SUBTOTAL(109,Septembre[30])</f>
        <v>0</v>
      </c>
      <c r="AG14" s="10">
        <f>SUBTOTAL(109,Septembre[31])</f>
        <v>0</v>
      </c>
      <c r="AH14" s="10">
        <f>SUBTOTAL(109,Septembre[Total des jours])</f>
        <v>0</v>
      </c>
    </row>
  </sheetData>
  <mergeCells count="5">
    <mergeCell ref="C4:AG4"/>
    <mergeCell ref="D2:E2"/>
    <mergeCell ref="G2:I2"/>
    <mergeCell ref="K2:L2"/>
    <mergeCell ref="N2:Q2"/>
  </mergeCells>
  <conditionalFormatting sqref="C7:AG13">
    <cfRule type="expression" priority="1" stopIfTrue="1">
      <formula>C7=""</formula>
    </cfRule>
  </conditionalFormatting>
  <conditionalFormatting sqref="C7:AG13">
    <cfRule type="expression" dxfId="19" priority="2" stopIfTrue="1">
      <formula>C7=CléPersonnalisée2</formula>
    </cfRule>
    <cfRule type="expression" dxfId="18" priority="3" stopIfTrue="1">
      <formula>C7=CléPersonnalisée1</formula>
    </cfRule>
    <cfRule type="expression" dxfId="17" priority="4" stopIfTrue="1">
      <formula>C7=CléMaladie</formula>
    </cfRule>
    <cfRule type="expression" dxfId="16" priority="5" stopIfTrue="1">
      <formula>C7=CléPersonnel</formula>
    </cfRule>
    <cfRule type="expression" dxfId="15" priority="6" stopIfTrue="1">
      <formula>C7=CléCongé</formula>
    </cfRule>
  </conditionalFormatting>
  <conditionalFormatting sqref="AH7:AH13">
    <cfRule type="dataBar" priority="7">
      <dataBar>
        <cfvo type="min"/>
        <cfvo type="formula" val="DATEDIF(DATE(CalendarYear,2,1),DATE(CalendarYear,3,1),&quot;d&quot;)"/>
        <color theme="2" tint="-0.249977111117893"/>
      </dataBar>
      <extLst>
        <ext xmlns:x14="http://schemas.microsoft.com/office/spreadsheetml/2009/9/main" uri="{B025F937-C7B1-47D3-B67F-A62EFF666E3E}">
          <x14:id>{1A021984-06A1-41D9-90D2-8C16E885020B}</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 sqref="B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septembre dans cette feuille de calcul" sqref="A1"/>
    <dataValidation allowBlank="1" showInputMessage="1" showErrorMessage="1" prompt="Calcule automatiquement le nombre total de jours d’absence d’un employé durant ce mois dans cette colonne" sqref="AH6"/>
    <dataValidation allowBlank="1" showInputMessage="1" showErrorMessage="1" prompt="Année mise à jour automatiquement en fonction de l’année entrée dans la feuille de calcul Janvier" sqref="AH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Entrez une étiquette pour décrire la clé personnalisée à gauche" sqref="N2"/>
    <dataValidation allowBlank="1" showInputMessage="1" showErrorMessage="1" prompt="Entrez une lettre et personnalisez l’étiquette à droite pour ajouter un élément de clé" sqref="M2"/>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A021984-06A1-41D9-90D2-8C16E885020B}">
            <x14:dataBar minLength="0" maxLength="100">
              <x14:cfvo type="autoMin"/>
              <x14:cfvo type="formula">
                <xm:f>DATEDIF(DATE(CalendarYear,2,1),DATE(CalendarYear,3,1),"d")</xm:f>
              </x14:cfvo>
              <x14:negativeFillColor rgb="FFFF0000"/>
              <x14:axisColor rgb="FF000000"/>
            </x14:dataBar>
          </x14:cfRule>
          <xm:sqref>AH7:AH13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employés'!$B$4:$B$10</xm:f>
          </x14:formula1>
          <xm:sqref>B7:B13</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249977111117893"/>
    <pageSetUpPr fitToPage="1"/>
  </sheetPr>
  <dimension ref="A1:AH14"/>
  <sheetViews>
    <sheetView showGridLines="0" topLeftCell="A5" zoomScaleNormal="100" workbookViewId="0">
      <selection activeCell="B7" sqref="B7:B13"/>
    </sheetView>
  </sheetViews>
  <sheetFormatPr baseColWidth="10" defaultColWidth="9.1796875" defaultRowHeight="30" customHeight="1" x14ac:dyDescent="0.35"/>
  <cols>
    <col min="1" max="1" width="2.7265625" style="8" customWidth="1"/>
    <col min="2" max="2" width="25.7265625" style="8" customWidth="1"/>
    <col min="3" max="4" width="4.7265625" style="8" customWidth="1"/>
    <col min="5" max="5" width="10.26953125" style="8" customWidth="1"/>
    <col min="6" max="11" width="4.7265625" style="8" customWidth="1"/>
    <col min="12" max="12" width="13.453125" style="8" customWidth="1"/>
    <col min="13" max="33" width="4.7265625" style="8" customWidth="1"/>
    <col min="34" max="34" width="13.54296875" style="8" customWidth="1"/>
    <col min="35" max="35" width="2.7265625" customWidth="1"/>
  </cols>
  <sheetData>
    <row r="1" spans="2:34" ht="50.15" customHeight="1" x14ac:dyDescent="0.35">
      <c r="B1" s="11" t="str">
        <f>Titre_Absence_Employé</f>
        <v>Calendrier des absences des employés</v>
      </c>
    </row>
    <row r="2" spans="2:34" ht="15" customHeight="1" x14ac:dyDescent="0.35">
      <c r="B2" s="16" t="s">
        <v>1</v>
      </c>
      <c r="C2" s="3" t="s">
        <v>4</v>
      </c>
      <c r="D2" s="33" t="s">
        <v>57</v>
      </c>
      <c r="E2" s="34"/>
      <c r="F2" s="4" t="s">
        <v>55</v>
      </c>
      <c r="G2" s="33" t="s">
        <v>55</v>
      </c>
      <c r="H2" s="34"/>
      <c r="I2" s="34"/>
      <c r="J2" s="5" t="s">
        <v>56</v>
      </c>
      <c r="K2" s="33" t="s">
        <v>58</v>
      </c>
      <c r="L2" s="34"/>
      <c r="M2" s="6" t="s">
        <v>10</v>
      </c>
      <c r="N2" s="33" t="s">
        <v>16</v>
      </c>
      <c r="O2" s="34"/>
      <c r="P2" s="34"/>
      <c r="Q2" s="34"/>
      <c r="Y2"/>
      <c r="Z2"/>
      <c r="AA2"/>
      <c r="AB2"/>
      <c r="AC2"/>
      <c r="AD2"/>
      <c r="AE2"/>
      <c r="AF2"/>
      <c r="AG2"/>
      <c r="AH2"/>
    </row>
    <row r="3" spans="2:34" ht="15" customHeight="1" x14ac:dyDescent="0.35">
      <c r="B3" s="11"/>
    </row>
    <row r="4" spans="2:34" ht="30" customHeight="1" x14ac:dyDescent="0.35">
      <c r="B4" s="9" t="s">
        <v>51</v>
      </c>
      <c r="C4" s="32" t="s">
        <v>5</v>
      </c>
      <c r="D4" s="32"/>
      <c r="E4" s="32"/>
      <c r="F4" s="32"/>
      <c r="G4" s="32"/>
      <c r="H4" s="32"/>
      <c r="I4" s="32"/>
      <c r="J4" s="32"/>
      <c r="K4" s="32"/>
      <c r="L4" s="32"/>
      <c r="M4" s="32"/>
      <c r="N4" s="32"/>
      <c r="O4" s="32"/>
      <c r="P4" s="32"/>
      <c r="Q4" s="32"/>
      <c r="R4" s="32"/>
      <c r="S4" s="32"/>
      <c r="T4" s="32"/>
      <c r="U4" s="32"/>
      <c r="V4" s="32"/>
      <c r="W4" s="32"/>
      <c r="X4" s="32"/>
      <c r="Y4" s="32"/>
      <c r="Z4" s="32"/>
      <c r="AA4" s="32"/>
      <c r="AB4" s="32"/>
      <c r="AC4" s="32"/>
      <c r="AD4" s="32"/>
      <c r="AE4" s="32"/>
      <c r="AF4" s="32"/>
      <c r="AG4" s="32"/>
      <c r="AH4" s="9">
        <f>AnnéeCalendrier</f>
        <v>2018</v>
      </c>
    </row>
    <row r="5" spans="2:34" ht="15" customHeight="1" x14ac:dyDescent="0.35">
      <c r="B5" s="9"/>
      <c r="C5" s="1" t="str">
        <f>TEXT(WEEKDAY(DATE(AnnéeCalendrier,10,1),1),"jjj")</f>
        <v>lun</v>
      </c>
      <c r="D5" s="1" t="str">
        <f>TEXT(WEEKDAY(DATE(AnnéeCalendrier,10,2),1),"jjj")</f>
        <v>mar</v>
      </c>
      <c r="E5" s="1" t="str">
        <f>TEXT(WEEKDAY(DATE(AnnéeCalendrier,10,3),1),"jjj")</f>
        <v>mer</v>
      </c>
      <c r="F5" s="1" t="str">
        <f>TEXT(WEEKDAY(DATE(AnnéeCalendrier,10,4),1),"jjj")</f>
        <v>jeu</v>
      </c>
      <c r="G5" s="1" t="str">
        <f>TEXT(WEEKDAY(DATE(AnnéeCalendrier,10,5),1),"jjj")</f>
        <v>ven</v>
      </c>
      <c r="H5" s="1" t="str">
        <f>TEXT(WEEKDAY(DATE(AnnéeCalendrier,10,6),1),"jjj")</f>
        <v>sam</v>
      </c>
      <c r="I5" s="1" t="str">
        <f>TEXT(WEEKDAY(DATE(AnnéeCalendrier,10,7),1),"jjj")</f>
        <v>dim</v>
      </c>
      <c r="J5" s="1" t="str">
        <f>TEXT(WEEKDAY(DATE(AnnéeCalendrier,10,8),1),"jjj")</f>
        <v>lun</v>
      </c>
      <c r="K5" s="1" t="str">
        <f>TEXT(WEEKDAY(DATE(AnnéeCalendrier,10,9),1),"jjj")</f>
        <v>mar</v>
      </c>
      <c r="L5" s="1" t="str">
        <f>TEXT(WEEKDAY(DATE(AnnéeCalendrier,10,10),1),"jjj")</f>
        <v>mer</v>
      </c>
      <c r="M5" s="1" t="str">
        <f>TEXT(WEEKDAY(DATE(AnnéeCalendrier,10,11),1),"jjj")</f>
        <v>jeu</v>
      </c>
      <c r="N5" s="1" t="str">
        <f>TEXT(WEEKDAY(DATE(AnnéeCalendrier,10,12),1),"jjj")</f>
        <v>ven</v>
      </c>
      <c r="O5" s="1" t="str">
        <f>TEXT(WEEKDAY(DATE(AnnéeCalendrier,10,13),1),"jjj")</f>
        <v>sam</v>
      </c>
      <c r="P5" s="1" t="str">
        <f>TEXT(WEEKDAY(DATE(AnnéeCalendrier,10,14),1),"jjj")</f>
        <v>dim</v>
      </c>
      <c r="Q5" s="1" t="str">
        <f>TEXT(WEEKDAY(DATE(AnnéeCalendrier,10,15),1),"jjj")</f>
        <v>lun</v>
      </c>
      <c r="R5" s="1" t="str">
        <f>TEXT(WEEKDAY(DATE(AnnéeCalendrier,10,16),1),"jjj")</f>
        <v>mar</v>
      </c>
      <c r="S5" s="1" t="str">
        <f>TEXT(WEEKDAY(DATE(AnnéeCalendrier,10,17),1),"jjj")</f>
        <v>mer</v>
      </c>
      <c r="T5" s="1" t="str">
        <f>TEXT(WEEKDAY(DATE(AnnéeCalendrier,10,18),1),"jjj")</f>
        <v>jeu</v>
      </c>
      <c r="U5" s="1" t="str">
        <f>TEXT(WEEKDAY(DATE(AnnéeCalendrier,10,19),1),"jjj")</f>
        <v>ven</v>
      </c>
      <c r="V5" s="1" t="str">
        <f>TEXT(WEEKDAY(DATE(AnnéeCalendrier,10,20),1),"jjj")</f>
        <v>sam</v>
      </c>
      <c r="W5" s="1" t="str">
        <f>TEXT(WEEKDAY(DATE(AnnéeCalendrier,10,21),1),"jjj")</f>
        <v>dim</v>
      </c>
      <c r="X5" s="1" t="str">
        <f>TEXT(WEEKDAY(DATE(AnnéeCalendrier,10,22),1),"jjj")</f>
        <v>lun</v>
      </c>
      <c r="Y5" s="1" t="str">
        <f>TEXT(WEEKDAY(DATE(AnnéeCalendrier,10,23),1),"jjj")</f>
        <v>mar</v>
      </c>
      <c r="Z5" s="1" t="str">
        <f>TEXT(WEEKDAY(DATE(AnnéeCalendrier,10,24),1),"jjj")</f>
        <v>mer</v>
      </c>
      <c r="AA5" s="1" t="str">
        <f>TEXT(WEEKDAY(DATE(AnnéeCalendrier,10,25),1),"jjj")</f>
        <v>jeu</v>
      </c>
      <c r="AB5" s="1" t="str">
        <f>TEXT(WEEKDAY(DATE(AnnéeCalendrier,10,26),1),"jjj")</f>
        <v>ven</v>
      </c>
      <c r="AC5" s="1" t="str">
        <f>TEXT(WEEKDAY(DATE(AnnéeCalendrier,10,27),1),"jjj")</f>
        <v>sam</v>
      </c>
      <c r="AD5" s="1" t="str">
        <f>TEXT(WEEKDAY(DATE(AnnéeCalendrier,10,28),1),"jjj")</f>
        <v>dim</v>
      </c>
      <c r="AE5" s="1" t="str">
        <f>TEXT(WEEKDAY(DATE(AnnéeCalendrier,10,29),1),"jjj")</f>
        <v>lun</v>
      </c>
      <c r="AF5" s="1" t="str">
        <f>TEXT(WEEKDAY(DATE(AnnéeCalendrier,10,30),1),"jjj")</f>
        <v>mar</v>
      </c>
      <c r="AG5" s="1" t="str">
        <f>TEXT(WEEKDAY(DATE(AnnéeCalendrier,10,31),1),"jjj")</f>
        <v>mer</v>
      </c>
      <c r="AH5" s="9"/>
    </row>
    <row r="6" spans="2:34" ht="15" customHeight="1" x14ac:dyDescent="0.35">
      <c r="B6" s="12" t="s">
        <v>3</v>
      </c>
      <c r="C6" s="2" t="s">
        <v>6</v>
      </c>
      <c r="D6" s="2" t="s">
        <v>7</v>
      </c>
      <c r="E6" s="2" t="s">
        <v>8</v>
      </c>
      <c r="F6" s="2" t="s">
        <v>9</v>
      </c>
      <c r="G6" s="2" t="s">
        <v>11</v>
      </c>
      <c r="H6" s="2" t="s">
        <v>12</v>
      </c>
      <c r="I6" s="2" t="s">
        <v>13</v>
      </c>
      <c r="J6" s="2" t="s">
        <v>14</v>
      </c>
      <c r="K6" s="2" t="s">
        <v>15</v>
      </c>
      <c r="L6" s="2" t="s">
        <v>17</v>
      </c>
      <c r="M6" s="2" t="s">
        <v>18</v>
      </c>
      <c r="N6" s="2" t="s">
        <v>19</v>
      </c>
      <c r="O6" s="2" t="s">
        <v>20</v>
      </c>
      <c r="P6" s="2" t="s">
        <v>21</v>
      </c>
      <c r="Q6" s="2" t="s">
        <v>22</v>
      </c>
      <c r="R6" s="2" t="s">
        <v>23</v>
      </c>
      <c r="S6" s="2" t="s">
        <v>24</v>
      </c>
      <c r="T6" s="2" t="s">
        <v>25</v>
      </c>
      <c r="U6" s="2" t="s">
        <v>26</v>
      </c>
      <c r="V6" s="2" t="s">
        <v>27</v>
      </c>
      <c r="W6" s="2" t="s">
        <v>28</v>
      </c>
      <c r="X6" s="2" t="s">
        <v>29</v>
      </c>
      <c r="Y6" s="2" t="s">
        <v>30</v>
      </c>
      <c r="Z6" s="2" t="s">
        <v>31</v>
      </c>
      <c r="AA6" s="2" t="s">
        <v>32</v>
      </c>
      <c r="AB6" s="2" t="s">
        <v>33</v>
      </c>
      <c r="AC6" s="2" t="s">
        <v>34</v>
      </c>
      <c r="AD6" s="2" t="s">
        <v>35</v>
      </c>
      <c r="AE6" s="2" t="s">
        <v>36</v>
      </c>
      <c r="AF6" s="2" t="s">
        <v>37</v>
      </c>
      <c r="AG6" s="2" t="s">
        <v>38</v>
      </c>
      <c r="AH6" s="13" t="s">
        <v>40</v>
      </c>
    </row>
    <row r="7" spans="2:34" ht="30" customHeight="1" x14ac:dyDescent="0.35">
      <c r="B7" s="14" t="s">
        <v>61</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7">
        <f>COUNTA(Octobre[[#This Row],[1]:[31]])</f>
        <v>0</v>
      </c>
    </row>
    <row r="8" spans="2:34" ht="30" customHeight="1" x14ac:dyDescent="0.35">
      <c r="B8" s="14" t="s">
        <v>62</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7">
        <f>COUNTA(Octobre[[#This Row],[1]:[31]])</f>
        <v>0</v>
      </c>
    </row>
    <row r="9" spans="2:34" ht="30" customHeight="1" x14ac:dyDescent="0.35">
      <c r="B9" s="14" t="s">
        <v>63</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7">
        <f>COUNTA(Octobre[[#This Row],[1]:[31]])</f>
        <v>0</v>
      </c>
    </row>
    <row r="10" spans="2:34" ht="30" customHeight="1" x14ac:dyDescent="0.35">
      <c r="B10" s="14" t="s">
        <v>64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7">
        <f>COUNTA(Octobre[[#This Row],[1]:[31]])</f>
        <v>0</v>
      </c>
    </row>
    <row r="11" spans="2:34" ht="30" customHeight="1" x14ac:dyDescent="0.35">
      <c r="B11" s="14" t="s">
        <v>65</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7"/>
      <c r="AH11" s="7">
        <f>COUNTA(Octobre[[#This Row],[1]:[31]])</f>
        <v>0</v>
      </c>
    </row>
    <row r="12" spans="2:34" ht="30" customHeight="1" x14ac:dyDescent="0.35">
      <c r="B12" s="14" t="s">
        <v>66</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7"/>
      <c r="AH12" s="7">
        <f>COUNTA(Octobre[[#This Row],[1]:[31]])</f>
        <v>0</v>
      </c>
    </row>
    <row r="13" spans="2:34" ht="30" customHeight="1" x14ac:dyDescent="0.35">
      <c r="B13" s="14" t="s">
        <v>67</v>
      </c>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7">
        <f>COUNTA(Octobre[[#This Row],[1]:[31]])</f>
        <v>0</v>
      </c>
    </row>
    <row r="14" spans="2:34" ht="30" customHeight="1" x14ac:dyDescent="0.35">
      <c r="B14" s="18" t="str">
        <f>NomMois&amp;" Total"</f>
        <v>Octobre Total</v>
      </c>
      <c r="C14" s="10">
        <f>SUBTOTAL(103,Octobre[1])</f>
        <v>0</v>
      </c>
      <c r="D14" s="10">
        <f>SUBTOTAL(103,Octobre[2])</f>
        <v>0</v>
      </c>
      <c r="E14" s="10">
        <f>SUBTOTAL(103,Octobre[3])</f>
        <v>0</v>
      </c>
      <c r="F14" s="10">
        <f>SUBTOTAL(103,Octobre[4])</f>
        <v>0</v>
      </c>
      <c r="G14" s="10">
        <f>SUBTOTAL(103,Octobre[5])</f>
        <v>0</v>
      </c>
      <c r="H14" s="10">
        <f>SUBTOTAL(103,Octobre[6])</f>
        <v>0</v>
      </c>
      <c r="I14" s="10">
        <f>SUBTOTAL(103,Octobre[7])</f>
        <v>0</v>
      </c>
      <c r="J14" s="10">
        <f>SUBTOTAL(103,Octobre[8])</f>
        <v>0</v>
      </c>
      <c r="K14" s="10">
        <f>SUBTOTAL(103,Octobre[9])</f>
        <v>0</v>
      </c>
      <c r="L14" s="10">
        <f>SUBTOTAL(103,Octobre[10])</f>
        <v>0</v>
      </c>
      <c r="M14" s="10">
        <f>SUBTOTAL(103,Octobre[11])</f>
        <v>0</v>
      </c>
      <c r="N14" s="10">
        <f>SUBTOTAL(103,Octobre[12])</f>
        <v>0</v>
      </c>
      <c r="O14" s="10">
        <f>SUBTOTAL(103,Octobre[13])</f>
        <v>0</v>
      </c>
      <c r="P14" s="10">
        <f>SUBTOTAL(103,Octobre[14])</f>
        <v>0</v>
      </c>
      <c r="Q14" s="10">
        <f>SUBTOTAL(103,Octobre[15])</f>
        <v>0</v>
      </c>
      <c r="R14" s="10">
        <f>SUBTOTAL(103,Octobre[16])</f>
        <v>0</v>
      </c>
      <c r="S14" s="10">
        <f>SUBTOTAL(103,Octobre[17])</f>
        <v>0</v>
      </c>
      <c r="T14" s="10">
        <f>SUBTOTAL(103,Octobre[18])</f>
        <v>0</v>
      </c>
      <c r="U14" s="10">
        <f>SUBTOTAL(103,Octobre[19])</f>
        <v>0</v>
      </c>
      <c r="V14" s="10">
        <f>SUBTOTAL(103,Octobre[20])</f>
        <v>0</v>
      </c>
      <c r="W14" s="10">
        <f>SUBTOTAL(103,Octobre[21])</f>
        <v>0</v>
      </c>
      <c r="X14" s="10">
        <f>SUBTOTAL(103,Octobre[22])</f>
        <v>0</v>
      </c>
      <c r="Y14" s="10">
        <f>SUBTOTAL(103,Octobre[23])</f>
        <v>0</v>
      </c>
      <c r="Z14" s="10">
        <f>SUBTOTAL(103,Octobre[24])</f>
        <v>0</v>
      </c>
      <c r="AA14" s="10">
        <f>SUBTOTAL(103,Octobre[25])</f>
        <v>0</v>
      </c>
      <c r="AB14" s="10">
        <f>SUBTOTAL(103,Octobre[26])</f>
        <v>0</v>
      </c>
      <c r="AC14" s="10">
        <f>SUBTOTAL(103,Octobre[27])</f>
        <v>0</v>
      </c>
      <c r="AD14" s="10">
        <f>SUBTOTAL(103,Octobre[28])</f>
        <v>0</v>
      </c>
      <c r="AE14" s="10">
        <f>SUBTOTAL(103,Octobre[29])</f>
        <v>0</v>
      </c>
      <c r="AF14" s="10">
        <f>SUBTOTAL(109,Octobre[30])</f>
        <v>0</v>
      </c>
      <c r="AG14" s="10">
        <f>SUBTOTAL(109,Octobre[31])</f>
        <v>0</v>
      </c>
      <c r="AH14" s="10">
        <f>SUBTOTAL(109,Octobre[Total des jours])</f>
        <v>0</v>
      </c>
    </row>
  </sheetData>
  <mergeCells count="5">
    <mergeCell ref="C4:AG4"/>
    <mergeCell ref="D2:E2"/>
    <mergeCell ref="G2:I2"/>
    <mergeCell ref="K2:L2"/>
    <mergeCell ref="N2:Q2"/>
  </mergeCells>
  <conditionalFormatting sqref="C7:AG13">
    <cfRule type="expression" priority="1" stopIfTrue="1">
      <formula>C7=""</formula>
    </cfRule>
  </conditionalFormatting>
  <conditionalFormatting sqref="C7:AG13">
    <cfRule type="expression" dxfId="14" priority="2" stopIfTrue="1">
      <formula>C7=CléPersonnalisée2</formula>
    </cfRule>
    <cfRule type="expression" dxfId="13" priority="3" stopIfTrue="1">
      <formula>C7=CléPersonnalisée1</formula>
    </cfRule>
    <cfRule type="expression" dxfId="12" priority="4" stopIfTrue="1">
      <formula>C7=CléMaladie</formula>
    </cfRule>
    <cfRule type="expression" dxfId="11" priority="5" stopIfTrue="1">
      <formula>C7=CléPersonnel</formula>
    </cfRule>
    <cfRule type="expression" dxfId="10" priority="6" stopIfTrue="1">
      <formula>C7=CléCongé</formula>
    </cfRule>
  </conditionalFormatting>
  <conditionalFormatting sqref="AH7:AH13">
    <cfRule type="dataBar" priority="7">
      <dataBar>
        <cfvo type="min"/>
        <cfvo type="formula" val="DATEDIF(DATE(CalendarYear,2,1),DATE(CalendarYear,3,1),&quot;d&quot;)"/>
        <color theme="2" tint="-0.249977111117893"/>
      </dataBar>
      <extLst>
        <ext xmlns:x14="http://schemas.microsoft.com/office/spreadsheetml/2009/9/main" uri="{B025F937-C7B1-47D3-B67F-A62EFF666E3E}">
          <x14:id>{F32A08EA-50E8-4B5F-AB1F-5A7739FBC16C}</x14:id>
        </ext>
      </extLst>
    </cfRule>
  </conditionalFormatting>
  <dataValidations count="1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Année mise à jour automatiquement en fonction de l’année entrée dans la feuille de calcul Janvier" sqref="AH4"/>
    <dataValidation allowBlank="1" showInputMessage="1" showErrorMessage="1" prompt="Calcule automatiquement le nombre total de jours d’absence d’un employé durant ce mois dans cette colonne" sqref="AH6"/>
    <dataValidation allowBlank="1" showInputMessage="1" showErrorMessage="1" prompt="Suivez les absences du mois d’octobre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Cette ligne définit les clés utilisées dans le tableau : Congé en C2, Personnel en F2 et Congé maladie en J2. Les cellules M2 et R2 sont personnalisables "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Entrez une étiquette pour décrire la clé personnalisée à gauche" sqref="N2"/>
    <dataValidation allowBlank="1" showInputMessage="1" showErrorMessage="1" prompt="Entrez une lettre et personnalisez l’étiquette à droite pour ajouter un élément de clé" sqref="M2"/>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F32A08EA-50E8-4B5F-AB1F-5A7739FBC16C}">
            <x14:dataBar minLength="0" maxLength="100">
              <x14:cfvo type="autoMin"/>
              <x14:cfvo type="formula">
                <xm:f>DATEDIF(DATE(CalendarYear,2,1),DATE(CalendarYear,3,1),"d")</xm:f>
              </x14:cfvo>
              <x14:negativeFillColor rgb="FFFF0000"/>
              <x14:axisColor rgb="FF000000"/>
            </x14:dataBar>
          </x14:cfRule>
          <xm:sqref>AH7:AH13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employés'!$B$4:$B$10</xm:f>
          </x14:formula1>
          <xm:sqref>B7:B13</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249977111117893"/>
    <pageSetUpPr fitToPage="1"/>
  </sheetPr>
  <dimension ref="A1:AH14"/>
  <sheetViews>
    <sheetView showGridLines="0" topLeftCell="A5" zoomScaleNormal="100" workbookViewId="0">
      <selection activeCell="B7" sqref="B7:B13"/>
    </sheetView>
  </sheetViews>
  <sheetFormatPr baseColWidth="10" defaultColWidth="9.1796875" defaultRowHeight="30" customHeight="1" x14ac:dyDescent="0.35"/>
  <cols>
    <col min="1" max="1" width="2.7265625" style="8" customWidth="1"/>
    <col min="2" max="2" width="25.7265625" style="8" customWidth="1"/>
    <col min="3" max="4" width="4.7265625" style="8" customWidth="1"/>
    <col min="5" max="5" width="9.1796875" style="8" customWidth="1"/>
    <col min="6" max="11" width="4.7265625" style="8" customWidth="1"/>
    <col min="12" max="12" width="11.1796875" style="8" customWidth="1"/>
    <col min="13" max="33" width="4.7265625" style="8" customWidth="1"/>
    <col min="34" max="34" width="13.54296875" style="8" customWidth="1"/>
    <col min="35" max="35" width="2.7265625" customWidth="1"/>
  </cols>
  <sheetData>
    <row r="1" spans="2:34" ht="50.15" customHeight="1" x14ac:dyDescent="0.35">
      <c r="B1" s="11" t="str">
        <f>Titre_Absence_Employé</f>
        <v>Calendrier des absences des employés</v>
      </c>
    </row>
    <row r="2" spans="2:34" ht="15" customHeight="1" x14ac:dyDescent="0.35">
      <c r="B2" s="16" t="s">
        <v>1</v>
      </c>
      <c r="C2" s="3" t="s">
        <v>4</v>
      </c>
      <c r="D2" s="33" t="s">
        <v>57</v>
      </c>
      <c r="E2" s="34"/>
      <c r="F2" s="4" t="s">
        <v>55</v>
      </c>
      <c r="G2" s="33" t="s">
        <v>55</v>
      </c>
      <c r="H2" s="34"/>
      <c r="I2" s="34"/>
      <c r="J2" s="5" t="s">
        <v>56</v>
      </c>
      <c r="K2" s="33" t="s">
        <v>58</v>
      </c>
      <c r="L2" s="34"/>
      <c r="M2" s="6" t="s">
        <v>10</v>
      </c>
      <c r="N2" s="33" t="s">
        <v>16</v>
      </c>
      <c r="O2" s="34"/>
      <c r="P2" s="34"/>
      <c r="Q2" s="34"/>
      <c r="AD2"/>
      <c r="AE2"/>
      <c r="AF2"/>
      <c r="AG2"/>
      <c r="AH2"/>
    </row>
    <row r="3" spans="2:34" ht="15" customHeight="1" x14ac:dyDescent="0.35">
      <c r="B3" s="11"/>
    </row>
    <row r="4" spans="2:34" ht="30" customHeight="1" x14ac:dyDescent="0.35">
      <c r="B4" s="9" t="s">
        <v>52</v>
      </c>
      <c r="C4" s="32" t="s">
        <v>5</v>
      </c>
      <c r="D4" s="32"/>
      <c r="E4" s="32"/>
      <c r="F4" s="32"/>
      <c r="G4" s="32"/>
      <c r="H4" s="32"/>
      <c r="I4" s="32"/>
      <c r="J4" s="32"/>
      <c r="K4" s="32"/>
      <c r="L4" s="32"/>
      <c r="M4" s="32"/>
      <c r="N4" s="32"/>
      <c r="O4" s="32"/>
      <c r="P4" s="32"/>
      <c r="Q4" s="32"/>
      <c r="R4" s="32"/>
      <c r="S4" s="32"/>
      <c r="T4" s="32"/>
      <c r="U4" s="32"/>
      <c r="V4" s="32"/>
      <c r="W4" s="32"/>
      <c r="X4" s="32"/>
      <c r="Y4" s="32"/>
      <c r="Z4" s="32"/>
      <c r="AA4" s="32"/>
      <c r="AB4" s="32"/>
      <c r="AC4" s="32"/>
      <c r="AD4" s="32"/>
      <c r="AE4" s="32"/>
      <c r="AF4" s="32"/>
      <c r="AG4" s="32"/>
      <c r="AH4" s="9">
        <f>AnnéeCalendrier</f>
        <v>2018</v>
      </c>
    </row>
    <row r="5" spans="2:34" ht="15" customHeight="1" x14ac:dyDescent="0.35">
      <c r="B5" s="9"/>
      <c r="C5" s="1" t="str">
        <f>TEXT(WEEKDAY(DATE(AnnéeCalendrier,11,1),1),"jjj")</f>
        <v>jeu</v>
      </c>
      <c r="D5" s="1" t="str">
        <f>TEXT(WEEKDAY(DATE(AnnéeCalendrier,11,2),1),"jjj")</f>
        <v>ven</v>
      </c>
      <c r="E5" s="1" t="str">
        <f>TEXT(WEEKDAY(DATE(AnnéeCalendrier,11,3),1),"jjj")</f>
        <v>sam</v>
      </c>
      <c r="F5" s="1" t="str">
        <f>TEXT(WEEKDAY(DATE(AnnéeCalendrier,11,4),1),"jjj")</f>
        <v>dim</v>
      </c>
      <c r="G5" s="1" t="str">
        <f>TEXT(WEEKDAY(DATE(AnnéeCalendrier,11,5),1),"jjj")</f>
        <v>lun</v>
      </c>
      <c r="H5" s="1" t="str">
        <f>TEXT(WEEKDAY(DATE(AnnéeCalendrier,11,6),1),"jjj")</f>
        <v>mar</v>
      </c>
      <c r="I5" s="1" t="str">
        <f>TEXT(WEEKDAY(DATE(AnnéeCalendrier,11,7),1),"jjj")</f>
        <v>mer</v>
      </c>
      <c r="J5" s="1" t="str">
        <f>TEXT(WEEKDAY(DATE(AnnéeCalendrier,11,8),1),"jjj")</f>
        <v>jeu</v>
      </c>
      <c r="K5" s="1" t="str">
        <f>TEXT(WEEKDAY(DATE(AnnéeCalendrier,11,9),1),"jjj")</f>
        <v>ven</v>
      </c>
      <c r="L5" s="1" t="str">
        <f>TEXT(WEEKDAY(DATE(AnnéeCalendrier,11,10),1),"jjj")</f>
        <v>sam</v>
      </c>
      <c r="M5" s="1" t="str">
        <f>TEXT(WEEKDAY(DATE(AnnéeCalendrier,11,11),1),"jjj")</f>
        <v>dim</v>
      </c>
      <c r="N5" s="1" t="str">
        <f>TEXT(WEEKDAY(DATE(AnnéeCalendrier,11,12),1),"jjj")</f>
        <v>lun</v>
      </c>
      <c r="O5" s="1" t="str">
        <f>TEXT(WEEKDAY(DATE(AnnéeCalendrier,11,13),1),"jjj")</f>
        <v>mar</v>
      </c>
      <c r="P5" s="1" t="str">
        <f>TEXT(WEEKDAY(DATE(AnnéeCalendrier,11,14),1),"jjj")</f>
        <v>mer</v>
      </c>
      <c r="Q5" s="1" t="str">
        <f>TEXT(WEEKDAY(DATE(AnnéeCalendrier,11,15),1),"jjj")</f>
        <v>jeu</v>
      </c>
      <c r="R5" s="1" t="str">
        <f>TEXT(WEEKDAY(DATE(AnnéeCalendrier,11,16),1),"jjj")</f>
        <v>ven</v>
      </c>
      <c r="S5" s="1" t="str">
        <f>TEXT(WEEKDAY(DATE(AnnéeCalendrier,11,17),1),"jjj")</f>
        <v>sam</v>
      </c>
      <c r="T5" s="1" t="str">
        <f>TEXT(WEEKDAY(DATE(AnnéeCalendrier,11,18),1),"jjj")</f>
        <v>dim</v>
      </c>
      <c r="U5" s="1" t="str">
        <f>TEXT(WEEKDAY(DATE(AnnéeCalendrier,11,19),1),"jjj")</f>
        <v>lun</v>
      </c>
      <c r="V5" s="1" t="str">
        <f>TEXT(WEEKDAY(DATE(AnnéeCalendrier,11,20),1),"jjj")</f>
        <v>mar</v>
      </c>
      <c r="W5" s="1" t="str">
        <f>TEXT(WEEKDAY(DATE(AnnéeCalendrier,11,21),1),"jjj")</f>
        <v>mer</v>
      </c>
      <c r="X5" s="1" t="str">
        <f>TEXT(WEEKDAY(DATE(AnnéeCalendrier,11,22),1),"jjj")</f>
        <v>jeu</v>
      </c>
      <c r="Y5" s="1" t="str">
        <f>TEXT(WEEKDAY(DATE(AnnéeCalendrier,11,23),1),"jjj")</f>
        <v>ven</v>
      </c>
      <c r="Z5" s="1" t="str">
        <f>TEXT(WEEKDAY(DATE(AnnéeCalendrier,11,24),1),"jjj")</f>
        <v>sam</v>
      </c>
      <c r="AA5" s="1" t="str">
        <f>TEXT(WEEKDAY(DATE(AnnéeCalendrier,11,25),1),"jjj")</f>
        <v>dim</v>
      </c>
      <c r="AB5" s="1" t="str">
        <f>TEXT(WEEKDAY(DATE(AnnéeCalendrier,11,26),1),"jjj")</f>
        <v>lun</v>
      </c>
      <c r="AC5" s="1" t="str">
        <f>TEXT(WEEKDAY(DATE(AnnéeCalendrier,11,27),1),"jjj")</f>
        <v>mar</v>
      </c>
      <c r="AD5" s="1" t="str">
        <f>TEXT(WEEKDAY(DATE(AnnéeCalendrier,11,28),1),"jjj")</f>
        <v>mer</v>
      </c>
      <c r="AE5" s="1" t="str">
        <f>TEXT(WEEKDAY(DATE(AnnéeCalendrier,11,29),1),"jjj")</f>
        <v>jeu</v>
      </c>
      <c r="AF5" s="1" t="str">
        <f>TEXT(WEEKDAY(DATE(AnnéeCalendrier,11,30),1),"jjj")</f>
        <v>ven</v>
      </c>
      <c r="AG5" s="1"/>
      <c r="AH5" s="9"/>
    </row>
    <row r="6" spans="2:34" ht="15" customHeight="1" x14ac:dyDescent="0.35">
      <c r="B6" s="12" t="s">
        <v>3</v>
      </c>
      <c r="C6" s="2" t="s">
        <v>6</v>
      </c>
      <c r="D6" s="2" t="s">
        <v>7</v>
      </c>
      <c r="E6" s="2" t="s">
        <v>8</v>
      </c>
      <c r="F6" s="2" t="s">
        <v>9</v>
      </c>
      <c r="G6" s="2" t="s">
        <v>11</v>
      </c>
      <c r="H6" s="2" t="s">
        <v>12</v>
      </c>
      <c r="I6" s="2" t="s">
        <v>13</v>
      </c>
      <c r="J6" s="2" t="s">
        <v>14</v>
      </c>
      <c r="K6" s="2" t="s">
        <v>15</v>
      </c>
      <c r="L6" s="2" t="s">
        <v>17</v>
      </c>
      <c r="M6" s="2" t="s">
        <v>18</v>
      </c>
      <c r="N6" s="2" t="s">
        <v>19</v>
      </c>
      <c r="O6" s="2" t="s">
        <v>20</v>
      </c>
      <c r="P6" s="2" t="s">
        <v>21</v>
      </c>
      <c r="Q6" s="2" t="s">
        <v>22</v>
      </c>
      <c r="R6" s="2" t="s">
        <v>23</v>
      </c>
      <c r="S6" s="2" t="s">
        <v>24</v>
      </c>
      <c r="T6" s="2" t="s">
        <v>25</v>
      </c>
      <c r="U6" s="2" t="s">
        <v>26</v>
      </c>
      <c r="V6" s="2" t="s">
        <v>27</v>
      </c>
      <c r="W6" s="2" t="s">
        <v>28</v>
      </c>
      <c r="X6" s="2" t="s">
        <v>29</v>
      </c>
      <c r="Y6" s="2" t="s">
        <v>30</v>
      </c>
      <c r="Z6" s="2" t="s">
        <v>31</v>
      </c>
      <c r="AA6" s="2" t="s">
        <v>32</v>
      </c>
      <c r="AB6" s="2" t="s">
        <v>33</v>
      </c>
      <c r="AC6" s="2" t="s">
        <v>34</v>
      </c>
      <c r="AD6" s="2" t="s">
        <v>35</v>
      </c>
      <c r="AE6" s="2" t="s">
        <v>36</v>
      </c>
      <c r="AF6" s="2" t="s">
        <v>37</v>
      </c>
      <c r="AG6" s="2" t="s">
        <v>38</v>
      </c>
      <c r="AH6" s="13" t="s">
        <v>40</v>
      </c>
    </row>
    <row r="7" spans="2:34" ht="30" customHeight="1" x14ac:dyDescent="0.35">
      <c r="B7" s="14" t="s">
        <v>61</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7">
        <f>COUNTA(Novembre[[#This Row],[1]:[31]])</f>
        <v>0</v>
      </c>
    </row>
    <row r="8" spans="2:34" ht="30" customHeight="1" x14ac:dyDescent="0.35">
      <c r="B8" s="14" t="s">
        <v>62</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7">
        <f>COUNTA(Novembre[[#This Row],[1]:[31]])</f>
        <v>0</v>
      </c>
    </row>
    <row r="9" spans="2:34" ht="30" customHeight="1" x14ac:dyDescent="0.35">
      <c r="B9" s="14" t="s">
        <v>63</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7">
        <f>COUNTA(Novembre[[#This Row],[1]:[31]])</f>
        <v>0</v>
      </c>
    </row>
    <row r="10" spans="2:34" ht="30" customHeight="1" x14ac:dyDescent="0.35">
      <c r="B10" s="14" t="s">
        <v>64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7">
        <f>COUNTA(Novembre[[#This Row],[1]:[31]])</f>
        <v>0</v>
      </c>
    </row>
    <row r="11" spans="2:34" ht="30" customHeight="1" x14ac:dyDescent="0.35">
      <c r="B11" s="14" t="s">
        <v>65</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7"/>
      <c r="AH11" s="7">
        <f>COUNTA(Novembre[[#This Row],[1]:[31]])</f>
        <v>0</v>
      </c>
    </row>
    <row r="12" spans="2:34" ht="30" customHeight="1" x14ac:dyDescent="0.35">
      <c r="B12" s="14" t="s">
        <v>66</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7"/>
      <c r="AH12" s="7">
        <f>COUNTA(Novembre[[#This Row],[1]:[31]])</f>
        <v>0</v>
      </c>
    </row>
    <row r="13" spans="2:34" ht="30" customHeight="1" x14ac:dyDescent="0.35">
      <c r="B13" s="14" t="s">
        <v>67</v>
      </c>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7">
        <f>COUNTA(Novembre[[#This Row],[1]:[31]])</f>
        <v>0</v>
      </c>
    </row>
    <row r="14" spans="2:34" ht="30" customHeight="1" x14ac:dyDescent="0.35">
      <c r="B14" s="18" t="str">
        <f>NomMois&amp;" Total"</f>
        <v>Novembre Total</v>
      </c>
      <c r="C14" s="10">
        <f>SUBTOTAL(103,Novembre[1])</f>
        <v>0</v>
      </c>
      <c r="D14" s="10">
        <f>SUBTOTAL(103,Novembre[2])</f>
        <v>0</v>
      </c>
      <c r="E14" s="10">
        <f>SUBTOTAL(103,Novembre[3])</f>
        <v>0</v>
      </c>
      <c r="F14" s="10">
        <f>SUBTOTAL(103,Novembre[4])</f>
        <v>0</v>
      </c>
      <c r="G14" s="10">
        <f>SUBTOTAL(103,Novembre[5])</f>
        <v>0</v>
      </c>
      <c r="H14" s="10">
        <f>SUBTOTAL(103,Novembre[6])</f>
        <v>0</v>
      </c>
      <c r="I14" s="10">
        <f>SUBTOTAL(103,Novembre[7])</f>
        <v>0</v>
      </c>
      <c r="J14" s="10">
        <f>SUBTOTAL(103,Novembre[8])</f>
        <v>0</v>
      </c>
      <c r="K14" s="10">
        <f>SUBTOTAL(103,Novembre[9])</f>
        <v>0</v>
      </c>
      <c r="L14" s="10">
        <f>SUBTOTAL(103,Novembre[10])</f>
        <v>0</v>
      </c>
      <c r="M14" s="10">
        <f>SUBTOTAL(103,Novembre[11])</f>
        <v>0</v>
      </c>
      <c r="N14" s="10">
        <f>SUBTOTAL(103,Novembre[12])</f>
        <v>0</v>
      </c>
      <c r="O14" s="10">
        <f>SUBTOTAL(103,Novembre[13])</f>
        <v>0</v>
      </c>
      <c r="P14" s="10">
        <f>SUBTOTAL(103,Novembre[14])</f>
        <v>0</v>
      </c>
      <c r="Q14" s="10">
        <f>SUBTOTAL(103,Novembre[15])</f>
        <v>0</v>
      </c>
      <c r="R14" s="10">
        <f>SUBTOTAL(103,Novembre[16])</f>
        <v>0</v>
      </c>
      <c r="S14" s="10">
        <f>SUBTOTAL(103,Novembre[17])</f>
        <v>0</v>
      </c>
      <c r="T14" s="10">
        <f>SUBTOTAL(103,Novembre[18])</f>
        <v>0</v>
      </c>
      <c r="U14" s="10">
        <f>SUBTOTAL(103,Novembre[19])</f>
        <v>0</v>
      </c>
      <c r="V14" s="10">
        <f>SUBTOTAL(103,Novembre[20])</f>
        <v>0</v>
      </c>
      <c r="W14" s="10">
        <f>SUBTOTAL(103,Novembre[21])</f>
        <v>0</v>
      </c>
      <c r="X14" s="10">
        <f>SUBTOTAL(103,Novembre[22])</f>
        <v>0</v>
      </c>
      <c r="Y14" s="10">
        <f>SUBTOTAL(103,Novembre[23])</f>
        <v>0</v>
      </c>
      <c r="Z14" s="10">
        <f>SUBTOTAL(103,Novembre[24])</f>
        <v>0</v>
      </c>
      <c r="AA14" s="10">
        <f>SUBTOTAL(103,Novembre[25])</f>
        <v>0</v>
      </c>
      <c r="AB14" s="10">
        <f>SUBTOTAL(103,Novembre[26])</f>
        <v>0</v>
      </c>
      <c r="AC14" s="10">
        <f>SUBTOTAL(103,Novembre[27])</f>
        <v>0</v>
      </c>
      <c r="AD14" s="10">
        <f>SUBTOTAL(103,Novembre[28])</f>
        <v>0</v>
      </c>
      <c r="AE14" s="10">
        <f>SUBTOTAL(103,Novembre[29])</f>
        <v>0</v>
      </c>
      <c r="AF14" s="10">
        <f>SUBTOTAL(109,Novembre[30])</f>
        <v>0</v>
      </c>
      <c r="AG14" s="10">
        <f>SUBTOTAL(109,Novembre[31])</f>
        <v>0</v>
      </c>
      <c r="AH14" s="10">
        <f>SUBTOTAL(109,Novembre[Total des jours])</f>
        <v>0</v>
      </c>
    </row>
  </sheetData>
  <mergeCells count="5">
    <mergeCell ref="C4:AG4"/>
    <mergeCell ref="D2:E2"/>
    <mergeCell ref="G2:I2"/>
    <mergeCell ref="K2:L2"/>
    <mergeCell ref="N2:Q2"/>
  </mergeCells>
  <conditionalFormatting sqref="C7:AG13">
    <cfRule type="expression" priority="1" stopIfTrue="1">
      <formula>C7=""</formula>
    </cfRule>
  </conditionalFormatting>
  <conditionalFormatting sqref="C7:AG13">
    <cfRule type="expression" dxfId="9" priority="2" stopIfTrue="1">
      <formula>C7=CléPersonnalisée2</formula>
    </cfRule>
    <cfRule type="expression" dxfId="8" priority="3" stopIfTrue="1">
      <formula>C7=CléPersonnalisée1</formula>
    </cfRule>
    <cfRule type="expression" dxfId="7" priority="4" stopIfTrue="1">
      <formula>C7=CléMaladie</formula>
    </cfRule>
    <cfRule type="expression" dxfId="6" priority="5" stopIfTrue="1">
      <formula>C7=CléPersonnel</formula>
    </cfRule>
    <cfRule type="expression" dxfId="5" priority="6" stopIfTrue="1">
      <formula>C7=CléCongé</formula>
    </cfRule>
  </conditionalFormatting>
  <conditionalFormatting sqref="AH7:AH13">
    <cfRule type="dataBar" priority="7">
      <dataBar>
        <cfvo type="min"/>
        <cfvo type="formula" val="DATEDIF(DATE(CalendarYear,2,1),DATE(CalendarYear,3,1),&quot;d&quot;)"/>
        <color theme="2" tint="-0.249977111117893"/>
      </dataBar>
      <extLst>
        <ext xmlns:x14="http://schemas.microsoft.com/office/spreadsheetml/2009/9/main" uri="{B025F937-C7B1-47D3-B67F-A62EFF666E3E}">
          <x14:id>{27D92E49-5CF1-46DF-AD7A-3A5E92F274F3}</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 sqref="B2"/>
    <dataValidation allowBlank="1" showInputMessage="1" showErrorMessage="1" prompt="Entrez une étiquette pour décrire la clé personnalisée à gauche" sqref="N2"/>
    <dataValidation allowBlank="1" showInputMessage="1" showErrorMessage="1" prompt="Entrez une lettre et personnalisez l’étiquette à droite pour ajouter un élément de clé" sqref="M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novembre dans cette feuille de calcul" sqref="A1"/>
    <dataValidation allowBlank="1" showInputMessage="1" showErrorMessage="1" prompt="Calcule automatiquement le nombre total de jours d’absence d’un employé durant ce mois dans cette colonne" sqref="AH6"/>
    <dataValidation allowBlank="1" showInputMessage="1" showErrorMessage="1" prompt="Année mise à jour automatiquement en fonction de l’année entrée dans la feuille de calcul Janvier" sqref="AH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27D92E49-5CF1-46DF-AD7A-3A5E92F274F3}">
            <x14:dataBar minLength="0" maxLength="100">
              <x14:cfvo type="autoMin"/>
              <x14:cfvo type="formula">
                <xm:f>DATEDIF(DATE(CalendarYear,2,1),DATE(CalendarYear,3,1),"d")</xm:f>
              </x14:cfvo>
              <x14:negativeFillColor rgb="FFFF0000"/>
              <x14:axisColor rgb="FF000000"/>
            </x14:dataBar>
          </x14:cfRule>
          <xm:sqref>AH7:AH13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employés'!$B$4:$B$10</xm:f>
          </x14:formula1>
          <xm:sqref>B7:B13</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7" tint="0.79998168889431442"/>
    <pageSetUpPr fitToPage="1"/>
  </sheetPr>
  <dimension ref="A1:AH14"/>
  <sheetViews>
    <sheetView showGridLines="0" topLeftCell="A2" zoomScaleNormal="100" workbookViewId="0">
      <selection activeCell="B15" sqref="B15"/>
    </sheetView>
  </sheetViews>
  <sheetFormatPr baseColWidth="10" defaultColWidth="9.1796875" defaultRowHeight="30" customHeight="1" x14ac:dyDescent="0.35"/>
  <cols>
    <col min="1" max="1" width="2.7265625" style="8" customWidth="1"/>
    <col min="2" max="2" width="25.7265625" style="8" customWidth="1"/>
    <col min="3" max="4" width="4.7265625" style="8" customWidth="1"/>
    <col min="5" max="5" width="8.81640625" style="8" customWidth="1"/>
    <col min="6" max="11" width="4.7265625" style="8" customWidth="1"/>
    <col min="12" max="12" width="12" style="8" customWidth="1"/>
    <col min="13" max="33" width="4.7265625" style="8" customWidth="1"/>
    <col min="34" max="34" width="13.54296875" style="8" customWidth="1"/>
    <col min="35" max="35" width="2.7265625" customWidth="1"/>
  </cols>
  <sheetData>
    <row r="1" spans="2:34" ht="50.15" customHeight="1" x14ac:dyDescent="0.35">
      <c r="B1" s="11" t="str">
        <f>Titre_Absence_Employé</f>
        <v>Calendrier des absences des employés</v>
      </c>
    </row>
    <row r="2" spans="2:34" ht="15" customHeight="1" x14ac:dyDescent="0.35">
      <c r="B2" s="16" t="s">
        <v>1</v>
      </c>
      <c r="C2" s="3" t="s">
        <v>4</v>
      </c>
      <c r="D2" s="33" t="s">
        <v>57</v>
      </c>
      <c r="E2" s="34"/>
      <c r="F2" s="4" t="s">
        <v>55</v>
      </c>
      <c r="G2" s="33" t="s">
        <v>55</v>
      </c>
      <c r="H2" s="34"/>
      <c r="I2" s="34"/>
      <c r="J2" s="5" t="s">
        <v>56</v>
      </c>
      <c r="K2" s="33" t="s">
        <v>58</v>
      </c>
      <c r="L2" s="34"/>
      <c r="M2" s="6" t="s">
        <v>10</v>
      </c>
      <c r="N2" s="33" t="s">
        <v>16</v>
      </c>
      <c r="O2" s="34"/>
      <c r="P2" s="34"/>
      <c r="Q2" s="34"/>
      <c r="AD2"/>
      <c r="AE2"/>
      <c r="AF2"/>
      <c r="AG2"/>
      <c r="AH2"/>
    </row>
    <row r="3" spans="2:34" ht="15" customHeight="1" x14ac:dyDescent="0.35">
      <c r="B3" s="11"/>
    </row>
    <row r="4" spans="2:34" ht="30" customHeight="1" x14ac:dyDescent="0.35">
      <c r="B4" s="9" t="s">
        <v>53</v>
      </c>
      <c r="C4" s="32" t="s">
        <v>5</v>
      </c>
      <c r="D4" s="32"/>
      <c r="E4" s="32"/>
      <c r="F4" s="32"/>
      <c r="G4" s="32"/>
      <c r="H4" s="32"/>
      <c r="I4" s="32"/>
      <c r="J4" s="32"/>
      <c r="K4" s="32"/>
      <c r="L4" s="32"/>
      <c r="M4" s="32"/>
      <c r="N4" s="32"/>
      <c r="O4" s="32"/>
      <c r="P4" s="32"/>
      <c r="Q4" s="32"/>
      <c r="R4" s="32"/>
      <c r="S4" s="32"/>
      <c r="T4" s="32"/>
      <c r="U4" s="32"/>
      <c r="V4" s="32"/>
      <c r="W4" s="32"/>
      <c r="X4" s="32"/>
      <c r="Y4" s="32"/>
      <c r="Z4" s="32"/>
      <c r="AA4" s="32"/>
      <c r="AB4" s="32"/>
      <c r="AC4" s="32"/>
      <c r="AD4" s="32"/>
      <c r="AE4" s="32"/>
      <c r="AF4" s="32"/>
      <c r="AG4" s="32"/>
      <c r="AH4" s="9">
        <f>AnnéeCalendrier</f>
        <v>2018</v>
      </c>
    </row>
    <row r="5" spans="2:34" ht="15" customHeight="1" x14ac:dyDescent="0.35">
      <c r="B5" s="9"/>
      <c r="C5" s="1" t="str">
        <f>TEXT(WEEKDAY(DATE(AnnéeCalendrier,12,1),1),"jjj")</f>
        <v>sam</v>
      </c>
      <c r="D5" s="1" t="str">
        <f>TEXT(WEEKDAY(DATE(AnnéeCalendrier,12,2),1),"jjj")</f>
        <v>dim</v>
      </c>
      <c r="E5" s="1" t="str">
        <f>TEXT(WEEKDAY(DATE(AnnéeCalendrier,12,3),1),"jjj")</f>
        <v>lun</v>
      </c>
      <c r="F5" s="1" t="str">
        <f>TEXT(WEEKDAY(DATE(AnnéeCalendrier,12,4),1),"jjj")</f>
        <v>mar</v>
      </c>
      <c r="G5" s="1" t="str">
        <f>TEXT(WEEKDAY(DATE(AnnéeCalendrier,12,5),1),"jjj")</f>
        <v>mer</v>
      </c>
      <c r="H5" s="1" t="str">
        <f>TEXT(WEEKDAY(DATE(AnnéeCalendrier,12,6),1),"jjj")</f>
        <v>jeu</v>
      </c>
      <c r="I5" s="1" t="str">
        <f>TEXT(WEEKDAY(DATE(AnnéeCalendrier,12,7),1),"jjj")</f>
        <v>ven</v>
      </c>
      <c r="J5" s="1" t="str">
        <f>TEXT(WEEKDAY(DATE(AnnéeCalendrier,12,8),1),"jjj")</f>
        <v>sam</v>
      </c>
      <c r="K5" s="1" t="str">
        <f>TEXT(WEEKDAY(DATE(AnnéeCalendrier,12,9),1),"jjj")</f>
        <v>dim</v>
      </c>
      <c r="L5" s="1" t="str">
        <f>TEXT(WEEKDAY(DATE(AnnéeCalendrier,12,10),1),"jjj")</f>
        <v>lun</v>
      </c>
      <c r="M5" s="1" t="str">
        <f>TEXT(WEEKDAY(DATE(AnnéeCalendrier,12,11),1),"jjj")</f>
        <v>mar</v>
      </c>
      <c r="N5" s="1" t="str">
        <f>TEXT(WEEKDAY(DATE(AnnéeCalendrier,12,12),1),"jjj")</f>
        <v>mer</v>
      </c>
      <c r="O5" s="1" t="str">
        <f>TEXT(WEEKDAY(DATE(AnnéeCalendrier,12,13),1),"jjj")</f>
        <v>jeu</v>
      </c>
      <c r="P5" s="1" t="str">
        <f>TEXT(WEEKDAY(DATE(AnnéeCalendrier,12,14),1),"jjj")</f>
        <v>ven</v>
      </c>
      <c r="Q5" s="1" t="str">
        <f>TEXT(WEEKDAY(DATE(AnnéeCalendrier,12,15),1),"jjj")</f>
        <v>sam</v>
      </c>
      <c r="R5" s="1" t="str">
        <f>TEXT(WEEKDAY(DATE(AnnéeCalendrier,12,16),1),"jjj")</f>
        <v>dim</v>
      </c>
      <c r="S5" s="1" t="str">
        <f>TEXT(WEEKDAY(DATE(AnnéeCalendrier,12,17),1),"jjj")</f>
        <v>lun</v>
      </c>
      <c r="T5" s="1" t="str">
        <f>TEXT(WEEKDAY(DATE(AnnéeCalendrier,12,18),1),"jjj")</f>
        <v>mar</v>
      </c>
      <c r="U5" s="1" t="str">
        <f>TEXT(WEEKDAY(DATE(AnnéeCalendrier,12,19),1),"jjj")</f>
        <v>mer</v>
      </c>
      <c r="V5" s="1" t="str">
        <f>TEXT(WEEKDAY(DATE(AnnéeCalendrier,12,20),1),"jjj")</f>
        <v>jeu</v>
      </c>
      <c r="W5" s="1" t="str">
        <f>TEXT(WEEKDAY(DATE(AnnéeCalendrier,12,21),1),"jjj")</f>
        <v>ven</v>
      </c>
      <c r="X5" s="1" t="str">
        <f>TEXT(WEEKDAY(DATE(AnnéeCalendrier,12,22),1),"jjj")</f>
        <v>sam</v>
      </c>
      <c r="Y5" s="1" t="str">
        <f>TEXT(WEEKDAY(DATE(AnnéeCalendrier,12,23),1),"jjj")</f>
        <v>dim</v>
      </c>
      <c r="Z5" s="1" t="str">
        <f>TEXT(WEEKDAY(DATE(AnnéeCalendrier,12,24),1),"jjj")</f>
        <v>lun</v>
      </c>
      <c r="AA5" s="1" t="str">
        <f>TEXT(WEEKDAY(DATE(AnnéeCalendrier,12,25),1),"jjj")</f>
        <v>mar</v>
      </c>
      <c r="AB5" s="1" t="str">
        <f>TEXT(WEEKDAY(DATE(AnnéeCalendrier,12,26),1),"jjj")</f>
        <v>mer</v>
      </c>
      <c r="AC5" s="1" t="str">
        <f>TEXT(WEEKDAY(DATE(AnnéeCalendrier,12,27),1),"jjj")</f>
        <v>jeu</v>
      </c>
      <c r="AD5" s="1" t="str">
        <f>TEXT(WEEKDAY(DATE(AnnéeCalendrier,12,28),1),"jjj")</f>
        <v>ven</v>
      </c>
      <c r="AE5" s="1" t="str">
        <f>TEXT(WEEKDAY(DATE(AnnéeCalendrier,12,29),1),"jjj")</f>
        <v>sam</v>
      </c>
      <c r="AF5" s="1" t="str">
        <f>TEXT(WEEKDAY(DATE(AnnéeCalendrier,12,30),1),"jjj")</f>
        <v>dim</v>
      </c>
      <c r="AG5" s="1" t="str">
        <f>TEXT(WEEKDAY(DATE(AnnéeCalendrier,12,31),1),"jjj")</f>
        <v>lun</v>
      </c>
      <c r="AH5" s="9"/>
    </row>
    <row r="6" spans="2:34" ht="15" customHeight="1" x14ac:dyDescent="0.35">
      <c r="B6" s="12" t="s">
        <v>3</v>
      </c>
      <c r="C6" s="2" t="s">
        <v>6</v>
      </c>
      <c r="D6" s="2" t="s">
        <v>7</v>
      </c>
      <c r="E6" s="2" t="s">
        <v>8</v>
      </c>
      <c r="F6" s="2" t="s">
        <v>9</v>
      </c>
      <c r="G6" s="2" t="s">
        <v>11</v>
      </c>
      <c r="H6" s="2" t="s">
        <v>12</v>
      </c>
      <c r="I6" s="2" t="s">
        <v>13</v>
      </c>
      <c r="J6" s="2" t="s">
        <v>14</v>
      </c>
      <c r="K6" s="2" t="s">
        <v>15</v>
      </c>
      <c r="L6" s="2" t="s">
        <v>17</v>
      </c>
      <c r="M6" s="2" t="s">
        <v>18</v>
      </c>
      <c r="N6" s="2" t="s">
        <v>19</v>
      </c>
      <c r="O6" s="2" t="s">
        <v>20</v>
      </c>
      <c r="P6" s="2" t="s">
        <v>21</v>
      </c>
      <c r="Q6" s="2" t="s">
        <v>22</v>
      </c>
      <c r="R6" s="2" t="s">
        <v>23</v>
      </c>
      <c r="S6" s="2" t="s">
        <v>24</v>
      </c>
      <c r="T6" s="2" t="s">
        <v>25</v>
      </c>
      <c r="U6" s="2" t="s">
        <v>26</v>
      </c>
      <c r="V6" s="2" t="s">
        <v>27</v>
      </c>
      <c r="W6" s="2" t="s">
        <v>28</v>
      </c>
      <c r="X6" s="2" t="s">
        <v>29</v>
      </c>
      <c r="Y6" s="2" t="s">
        <v>30</v>
      </c>
      <c r="Z6" s="2" t="s">
        <v>31</v>
      </c>
      <c r="AA6" s="2" t="s">
        <v>32</v>
      </c>
      <c r="AB6" s="2" t="s">
        <v>33</v>
      </c>
      <c r="AC6" s="2" t="s">
        <v>34</v>
      </c>
      <c r="AD6" s="2" t="s">
        <v>35</v>
      </c>
      <c r="AE6" s="2" t="s">
        <v>36</v>
      </c>
      <c r="AF6" s="2" t="s">
        <v>37</v>
      </c>
      <c r="AG6" s="2" t="s">
        <v>38</v>
      </c>
      <c r="AH6" s="13" t="s">
        <v>40</v>
      </c>
    </row>
    <row r="7" spans="2:34" ht="30" customHeight="1" x14ac:dyDescent="0.35">
      <c r="B7" s="14" t="s">
        <v>61</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7">
        <f>COUNTA(Décembre[[#This Row],[1]:[31]])</f>
        <v>0</v>
      </c>
    </row>
    <row r="8" spans="2:34" ht="30" customHeight="1" x14ac:dyDescent="0.35">
      <c r="B8" s="14" t="s">
        <v>62</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7">
        <f>COUNTA(Décembre[[#This Row],[1]:[31]])</f>
        <v>0</v>
      </c>
    </row>
    <row r="9" spans="2:34" ht="30" customHeight="1" x14ac:dyDescent="0.35">
      <c r="B9" s="14" t="s">
        <v>63</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7">
        <f>COUNTA(Décembre[[#This Row],[1]:[31]])</f>
        <v>0</v>
      </c>
    </row>
    <row r="10" spans="2:34" ht="30" customHeight="1" x14ac:dyDescent="0.35">
      <c r="B10" s="14" t="s">
        <v>64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7">
        <f>COUNTA(Décembre[[#This Row],[1]:[31]])</f>
        <v>0</v>
      </c>
    </row>
    <row r="11" spans="2:34" ht="30" customHeight="1" x14ac:dyDescent="0.35">
      <c r="B11" s="14" t="s">
        <v>65</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7"/>
      <c r="AH11" s="7">
        <f>COUNTA(Décembre[[#This Row],[1]:[31]])</f>
        <v>0</v>
      </c>
    </row>
    <row r="12" spans="2:34" ht="30" customHeight="1" x14ac:dyDescent="0.35">
      <c r="B12" s="14" t="s">
        <v>66</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7"/>
      <c r="AH12" s="7">
        <f>COUNTA(Décembre[[#This Row],[1]:[31]])</f>
        <v>0</v>
      </c>
    </row>
    <row r="13" spans="2:34" ht="30" customHeight="1" x14ac:dyDescent="0.35">
      <c r="B13" s="14" t="s">
        <v>67</v>
      </c>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7">
        <f>COUNTA(Décembre[[#This Row],[1]:[31]])</f>
        <v>0</v>
      </c>
    </row>
    <row r="14" spans="2:34" ht="30" customHeight="1" x14ac:dyDescent="0.35">
      <c r="B14" s="18" t="str">
        <f>NomMois&amp;" Total"</f>
        <v>Décembre Total</v>
      </c>
      <c r="C14" s="10">
        <f>SUBTOTAL(103,Décembre[1])</f>
        <v>0</v>
      </c>
      <c r="D14" s="10">
        <f>SUBTOTAL(103,Décembre[2])</f>
        <v>0</v>
      </c>
      <c r="E14" s="10">
        <f>SUBTOTAL(103,Décembre[3])</f>
        <v>0</v>
      </c>
      <c r="F14" s="10">
        <f>SUBTOTAL(103,Décembre[4])</f>
        <v>0</v>
      </c>
      <c r="G14" s="10">
        <f>SUBTOTAL(103,Décembre[5])</f>
        <v>0</v>
      </c>
      <c r="H14" s="10">
        <f>SUBTOTAL(103,Décembre[6])</f>
        <v>0</v>
      </c>
      <c r="I14" s="10">
        <f>SUBTOTAL(103,Décembre[7])</f>
        <v>0</v>
      </c>
      <c r="J14" s="10">
        <f>SUBTOTAL(103,Décembre[8])</f>
        <v>0</v>
      </c>
      <c r="K14" s="10">
        <f>SUBTOTAL(103,Décembre[9])</f>
        <v>0</v>
      </c>
      <c r="L14" s="10">
        <f>SUBTOTAL(103,Décembre[10])</f>
        <v>0</v>
      </c>
      <c r="M14" s="10">
        <f>SUBTOTAL(103,Décembre[11])</f>
        <v>0</v>
      </c>
      <c r="N14" s="10">
        <f>SUBTOTAL(103,Décembre[12])</f>
        <v>0</v>
      </c>
      <c r="O14" s="10">
        <f>SUBTOTAL(103,Décembre[13])</f>
        <v>0</v>
      </c>
      <c r="P14" s="10">
        <f>SUBTOTAL(103,Décembre[14])</f>
        <v>0</v>
      </c>
      <c r="Q14" s="10">
        <f>SUBTOTAL(103,Décembre[15])</f>
        <v>0</v>
      </c>
      <c r="R14" s="10">
        <f>SUBTOTAL(103,Décembre[16])</f>
        <v>0</v>
      </c>
      <c r="S14" s="10">
        <f>SUBTOTAL(103,Décembre[17])</f>
        <v>0</v>
      </c>
      <c r="T14" s="10">
        <f>SUBTOTAL(103,Décembre[18])</f>
        <v>0</v>
      </c>
      <c r="U14" s="10">
        <f>SUBTOTAL(103,Décembre[19])</f>
        <v>0</v>
      </c>
      <c r="V14" s="10">
        <f>SUBTOTAL(103,Décembre[20])</f>
        <v>0</v>
      </c>
      <c r="W14" s="10">
        <f>SUBTOTAL(103,Décembre[21])</f>
        <v>0</v>
      </c>
      <c r="X14" s="10">
        <f>SUBTOTAL(103,Décembre[22])</f>
        <v>0</v>
      </c>
      <c r="Y14" s="10">
        <f>SUBTOTAL(103,Décembre[23])</f>
        <v>0</v>
      </c>
      <c r="Z14" s="10">
        <f>SUBTOTAL(103,Décembre[24])</f>
        <v>0</v>
      </c>
      <c r="AA14" s="10">
        <f>SUBTOTAL(103,Décembre[25])</f>
        <v>0</v>
      </c>
      <c r="AB14" s="10">
        <f>SUBTOTAL(103,Décembre[26])</f>
        <v>0</v>
      </c>
      <c r="AC14" s="10">
        <f>SUBTOTAL(103,Décembre[27])</f>
        <v>0</v>
      </c>
      <c r="AD14" s="10">
        <f>SUBTOTAL(103,Décembre[28])</f>
        <v>0</v>
      </c>
      <c r="AE14" s="10">
        <f>SUBTOTAL(103,Décembre[29])</f>
        <v>0</v>
      </c>
      <c r="AF14" s="10">
        <f>SUBTOTAL(109,Décembre[30])</f>
        <v>0</v>
      </c>
      <c r="AG14" s="10">
        <f>SUBTOTAL(109,Décembre[31])</f>
        <v>0</v>
      </c>
      <c r="AH14" s="10">
        <f>SUBTOTAL(109,Décembre[Total des jours])</f>
        <v>0</v>
      </c>
    </row>
  </sheetData>
  <mergeCells count="5">
    <mergeCell ref="C4:AG4"/>
    <mergeCell ref="D2:E2"/>
    <mergeCell ref="G2:I2"/>
    <mergeCell ref="K2:L2"/>
    <mergeCell ref="N2:Q2"/>
  </mergeCells>
  <conditionalFormatting sqref="C7:AG13">
    <cfRule type="expression" priority="1" stopIfTrue="1">
      <formula>C7=""</formula>
    </cfRule>
  </conditionalFormatting>
  <conditionalFormatting sqref="C7:AG13">
    <cfRule type="expression" dxfId="4" priority="2" stopIfTrue="1">
      <formula>C7=CléPersonnalisée2</formula>
    </cfRule>
    <cfRule type="expression" dxfId="3" priority="3" stopIfTrue="1">
      <formula>C7=CléPersonnalisée1</formula>
    </cfRule>
    <cfRule type="expression" dxfId="2" priority="4" stopIfTrue="1">
      <formula>C7=CléMaladie</formula>
    </cfRule>
    <cfRule type="expression" dxfId="1" priority="5" stopIfTrue="1">
      <formula>C7=CléPersonnel</formula>
    </cfRule>
    <cfRule type="expression" dxfId="0" priority="6" stopIfTrue="1">
      <formula>C7=CléCongé</formula>
    </cfRule>
  </conditionalFormatting>
  <conditionalFormatting sqref="AH7:AH13">
    <cfRule type="dataBar" priority="30">
      <dataBar>
        <cfvo type="min"/>
        <cfvo type="formula" val="DATEDIF(DATE(CalendarYear,2,1),DATE(CalendarYear,3,1),&quot;d&quot;)"/>
        <color theme="2" tint="-0.249977111117893"/>
      </dataBar>
      <extLst>
        <ext xmlns:x14="http://schemas.microsoft.com/office/spreadsheetml/2009/9/main" uri="{B025F937-C7B1-47D3-B67F-A62EFF666E3E}">
          <x14:id>{17586780-365B-4F4C-BBB4-F5991705D361}</x14:id>
        </ext>
      </extLst>
    </cfRule>
  </conditionalFormatting>
  <dataValidations count="14">
    <dataValidation allowBlank="1" showInputMessage="1" showErrorMessage="1" prompt="Année mise à jour automatiquement en fonction de l’année entrée dans la feuille de calcul Janvier" sqref="AH4"/>
    <dataValidation allowBlank="1" showInputMessage="1" showErrorMessage="1" prompt="Calcule automatiquement le nombre total de jours d’absence d’un employé durant ce mois dans cette colonne" sqref="AH6"/>
    <dataValidation allowBlank="1" showInputMessage="1" showErrorMessage="1" prompt="Suivez les absences du mois de décembre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dataValidation allowBlank="1" showInputMessage="1" showErrorMessage="1" prompt="Entrez une étiquette pour décrire la clé personnalisée à gauche" sqref="N2"/>
    <dataValidation allowBlank="1" showInputMessage="1" showErrorMessage="1" prompt="Cette ligne définit les clés utilisées dans le tableau : Congé en C2, Personnel en F2 et Congé maladie en J2. Les cellules M2 et R2 sont personnalisables "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7586780-365B-4F4C-BBB4-F5991705D361}">
            <x14:dataBar minLength="0" maxLength="100">
              <x14:cfvo type="autoMin"/>
              <x14:cfvo type="formula">
                <xm:f>DATEDIF(DATE(CalendarYear,2,1),DATE(CalendarYear,3,1),"d")</xm:f>
              </x14:cfvo>
              <x14:negativeFillColor rgb="FFFF0000"/>
              <x14:axisColor rgb="FF000000"/>
            </x14:dataBar>
          </x14:cfRule>
          <xm:sqref>AH7:AH13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employés'!$B$4:$B$10</xm:f>
          </x14:formula1>
          <xm:sqref>B7:B13</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1"/>
    <pageSetUpPr fitToPage="1"/>
  </sheetPr>
  <dimension ref="B1:B10"/>
  <sheetViews>
    <sheetView showGridLines="0" workbookViewId="0">
      <selection activeCell="D10" sqref="D10"/>
    </sheetView>
  </sheetViews>
  <sheetFormatPr baseColWidth="10" defaultColWidth="9.1796875" defaultRowHeight="30" customHeight="1" x14ac:dyDescent="0.35"/>
  <cols>
    <col min="1" max="1" width="2.7265625" customWidth="1"/>
    <col min="2" max="2" width="30.7265625" customWidth="1"/>
    <col min="3" max="3" width="2.7265625" customWidth="1"/>
  </cols>
  <sheetData>
    <row r="1" spans="2:2" ht="50.15" customHeight="1" x14ac:dyDescent="0.35">
      <c r="B1" s="19" t="s">
        <v>54</v>
      </c>
    </row>
    <row r="2" spans="2:2" ht="15" customHeight="1" x14ac:dyDescent="0.35"/>
    <row r="3" spans="2:2" ht="30" customHeight="1" x14ac:dyDescent="0.35">
      <c r="B3" t="s">
        <v>54</v>
      </c>
    </row>
    <row r="4" spans="2:2" ht="30" customHeight="1" x14ac:dyDescent="0.35">
      <c r="B4" s="20" t="s">
        <v>61</v>
      </c>
    </row>
    <row r="5" spans="2:2" ht="30" customHeight="1" x14ac:dyDescent="0.35">
      <c r="B5" s="20" t="s">
        <v>62</v>
      </c>
    </row>
    <row r="6" spans="2:2" ht="30" customHeight="1" x14ac:dyDescent="0.35">
      <c r="B6" s="20" t="s">
        <v>63</v>
      </c>
    </row>
    <row r="7" spans="2:2" ht="30" customHeight="1" x14ac:dyDescent="0.35">
      <c r="B7" s="20" t="s">
        <v>64</v>
      </c>
    </row>
    <row r="8" spans="2:2" ht="30" customHeight="1" x14ac:dyDescent="0.35">
      <c r="B8" s="20" t="s">
        <v>65</v>
      </c>
    </row>
    <row r="9" spans="2:2" ht="30" customHeight="1" x14ac:dyDescent="0.35">
      <c r="B9" s="20" t="s">
        <v>66</v>
      </c>
    </row>
    <row r="10" spans="2:2" ht="30" customHeight="1" x14ac:dyDescent="0.35">
      <c r="B10" s="20" t="s">
        <v>67</v>
      </c>
    </row>
  </sheetData>
  <dataValidations count="3">
    <dataValidation allowBlank="1" showInputMessage="1" showErrorMessage="1" prompt="Titre Noms des employés" sqref="B1"/>
    <dataValidation allowBlank="1" showInputMessage="1" showErrorMessage="1" prompt="Entrez les noms des employés dans le tableau Noms des employés dans cette feuille de calcul. Ces noms sont utilisés en tant qu’options dans la colonne B du tableau des absences de chaque mois." sqref="A1"/>
    <dataValidation allowBlank="1" showInputMessage="1" showErrorMessage="1" prompt="Entrez les noms des employés dans cette colonne" sqref="B3"/>
  </dataValidations>
  <printOptions horizontalCentered="1"/>
  <pageMargins left="0.25" right="0.25" top="0.75" bottom="0.75" header="0.3" footer="0.3"/>
  <pageSetup paperSize="9" fitToHeight="0" orientation="landscape" r:id="rId1"/>
  <headerFooter differentFirst="1">
    <oddFooter>Page &amp;P of &amp;N</oddFooter>
  </headerFooter>
  <tableParts count="1">
    <tablePart r:id="rId2"/>
  </tableParts>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13</vt:i4>
      </vt:variant>
      <vt:variant>
        <vt:lpstr>Plages nommées</vt:lpstr>
      </vt:variant>
      <vt:variant>
        <vt:i4>46</vt:i4>
      </vt:variant>
    </vt:vector>
  </HeadingPairs>
  <TitlesOfParts>
    <vt:vector size="59" baseType="lpstr">
      <vt:lpstr>Janvier</vt:lpstr>
      <vt:lpstr>Février</vt:lpstr>
      <vt:lpstr>Mars</vt:lpstr>
      <vt:lpstr>Avril</vt:lpstr>
      <vt:lpstr>Mai</vt:lpstr>
      <vt:lpstr>Juin</vt:lpstr>
      <vt:lpstr>Juillet</vt:lpstr>
      <vt:lpstr>Août</vt:lpstr>
      <vt:lpstr>Septembre</vt:lpstr>
      <vt:lpstr>Octobre</vt:lpstr>
      <vt:lpstr>Novembre</vt:lpstr>
      <vt:lpstr>Décembre</vt:lpstr>
      <vt:lpstr>Noms des employés</vt:lpstr>
      <vt:lpstr>AnnéeCalendrier</vt:lpstr>
      <vt:lpstr>CléCongé</vt:lpstr>
      <vt:lpstr>CléMaladie</vt:lpstr>
      <vt:lpstr>CléPersonnel</vt:lpstr>
      <vt:lpstr>ÉtiquetteCléCongé</vt:lpstr>
      <vt:lpstr>ÉtiquetteCléMaladie</vt:lpstr>
      <vt:lpstr>ÉtiquetteCléPersonnel</vt:lpstr>
      <vt:lpstr>Août!Impression_des_titres</vt:lpstr>
      <vt:lpstr>Avril!Impression_des_titres</vt:lpstr>
      <vt:lpstr>Décembre!Impression_des_titres</vt:lpstr>
      <vt:lpstr>Février!Impression_des_titres</vt:lpstr>
      <vt:lpstr>Janvier!Impression_des_titres</vt:lpstr>
      <vt:lpstr>Juillet!Impression_des_titres</vt:lpstr>
      <vt:lpstr>Juin!Impression_des_titres</vt:lpstr>
      <vt:lpstr>Mai!Impression_des_titres</vt:lpstr>
      <vt:lpstr>Mars!Impression_des_titres</vt:lpstr>
      <vt:lpstr>Novembre!Impression_des_titres</vt:lpstr>
      <vt:lpstr>Octobre!Impression_des_titres</vt:lpstr>
      <vt:lpstr>Septembre!Impression_des_titres</vt:lpstr>
      <vt:lpstr>Nom_clé</vt:lpstr>
      <vt:lpstr>Août!NomMois</vt:lpstr>
      <vt:lpstr>Avril!NomMois</vt:lpstr>
      <vt:lpstr>Décembre!NomMois</vt:lpstr>
      <vt:lpstr>Février!NomMois</vt:lpstr>
      <vt:lpstr>Janvier!NomMois</vt:lpstr>
      <vt:lpstr>Juillet!NomMois</vt:lpstr>
      <vt:lpstr>Juin!NomMois</vt:lpstr>
      <vt:lpstr>Mai!NomMois</vt:lpstr>
      <vt:lpstr>Mars!NomMois</vt:lpstr>
      <vt:lpstr>Novembre!NomMois</vt:lpstr>
      <vt:lpstr>Octobre!NomMois</vt:lpstr>
      <vt:lpstr>Septembre!NomMois</vt:lpstr>
      <vt:lpstr>Titre_Absence_Employé</vt:lpstr>
      <vt:lpstr>Titre1</vt:lpstr>
      <vt:lpstr>Titre10</vt:lpstr>
      <vt:lpstr>Titre11</vt:lpstr>
      <vt:lpstr>Titre12</vt:lpstr>
      <vt:lpstr>Titre2</vt:lpstr>
      <vt:lpstr>Titre3</vt:lpstr>
      <vt:lpstr>Titre4</vt:lpstr>
      <vt:lpstr>Titre5</vt:lpstr>
      <vt:lpstr>Titre6</vt:lpstr>
      <vt:lpstr>Titre7</vt:lpstr>
      <vt:lpstr>Titre8</vt:lpstr>
      <vt:lpstr>Titre9</vt:lpstr>
      <vt:lpstr>TitreColonne13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MORO CATHERINE</dc:creator>
  <cp:lastModifiedBy>Camille</cp:lastModifiedBy>
  <dcterms:created xsi:type="dcterms:W3CDTF">2016-12-06T04:52:27Z</dcterms:created>
  <dcterms:modified xsi:type="dcterms:W3CDTF">2018-01-20T22:53:21Z</dcterms:modified>
</cp:coreProperties>
</file>