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90" yWindow="150" windowWidth="18375" windowHeight="7290" activeTab="1"/>
  </bookViews>
  <sheets>
    <sheet name="Cout de revient mensuel" sheetId="3" r:id="rId1"/>
    <sheet name="Cout de revient Journalier" sheetId="4" r:id="rId2"/>
  </sheets>
  <calcPr calcId="145621"/>
</workbook>
</file>

<file path=xl/calcChain.xml><?xml version="1.0" encoding="utf-8"?>
<calcChain xmlns="http://schemas.openxmlformats.org/spreadsheetml/2006/main">
  <c r="F38" i="4" l="1"/>
  <c r="F39" i="4"/>
  <c r="G36" i="3"/>
  <c r="G37" i="3"/>
  <c r="F37" i="3"/>
  <c r="F36" i="3"/>
  <c r="I32" i="4" l="1"/>
  <c r="I31" i="4"/>
  <c r="I30" i="4"/>
  <c r="I29" i="4"/>
  <c r="G22" i="4"/>
  <c r="F25" i="4"/>
  <c r="F12" i="4"/>
  <c r="F10" i="4" l="1"/>
  <c r="I23" i="4"/>
  <c r="I26" i="4"/>
  <c r="I27" i="4"/>
  <c r="I21" i="4"/>
  <c r="I20" i="4"/>
  <c r="I19" i="4"/>
  <c r="I17" i="4"/>
  <c r="I33" i="4" s="1"/>
  <c r="H28" i="4"/>
  <c r="H18" i="4"/>
  <c r="H16" i="4"/>
  <c r="H15" i="4"/>
  <c r="H9" i="4"/>
  <c r="H33" i="4" s="1"/>
  <c r="F13" i="4" l="1"/>
  <c r="G24" i="3"/>
  <c r="G22" i="3"/>
  <c r="G32" i="3" s="1"/>
  <c r="F10" i="3"/>
  <c r="F12" i="3"/>
  <c r="I32" i="3"/>
  <c r="H32" i="3"/>
  <c r="H33" i="3" s="1"/>
  <c r="G24" i="4"/>
  <c r="F25" i="3"/>
  <c r="F13" i="3"/>
  <c r="F32" i="3" l="1"/>
  <c r="F33" i="4"/>
  <c r="F34" i="4" s="1"/>
  <c r="G33" i="4"/>
  <c r="G33" i="3"/>
  <c r="F33" i="3"/>
  <c r="F35" i="3"/>
  <c r="F34" i="3"/>
  <c r="G34" i="3"/>
  <c r="G34" i="4" l="1"/>
  <c r="F35" i="4"/>
  <c r="H34" i="4" l="1"/>
  <c r="F36" i="4" l="1"/>
  <c r="G35" i="4"/>
  <c r="G37" i="4" l="1"/>
</calcChain>
</file>

<file path=xl/sharedStrings.xml><?xml version="1.0" encoding="utf-8"?>
<sst xmlns="http://schemas.openxmlformats.org/spreadsheetml/2006/main" count="88" uniqueCount="51">
  <si>
    <t>Vehicule</t>
  </si>
  <si>
    <t>Poste</t>
  </si>
  <si>
    <t>Charges</t>
  </si>
  <si>
    <t>Charges variables</t>
  </si>
  <si>
    <t>Charges fixes</t>
  </si>
  <si>
    <t>Conducteur</t>
  </si>
  <si>
    <t>Structure</t>
  </si>
  <si>
    <t>Entretien</t>
  </si>
  <si>
    <t>Visite technique</t>
  </si>
  <si>
    <t>Assurance vehicule</t>
  </si>
  <si>
    <t>Assurance marchandise</t>
  </si>
  <si>
    <t>Fourniture de Bureau</t>
  </si>
  <si>
    <t>Telephone</t>
  </si>
  <si>
    <t>Salaire gerant</t>
  </si>
  <si>
    <t>EDF-GDF</t>
  </si>
  <si>
    <t>Loyer local commercial</t>
  </si>
  <si>
    <t>Nettoyage vehicule</t>
  </si>
  <si>
    <t>Taxe d'apprentissage</t>
  </si>
  <si>
    <t>RCP/ Prevoyance</t>
  </si>
  <si>
    <t>Frais de gestion compte bancaire</t>
  </si>
  <si>
    <t>Fourniture materiel manutention</t>
  </si>
  <si>
    <t xml:space="preserve">Interet de l'emprunt </t>
  </si>
  <si>
    <t>Pneumatique (90,83x4/85000x nbr km)</t>
  </si>
  <si>
    <t>1 pneu=85000 km</t>
  </si>
  <si>
    <t>Prix du carburant 1,22€/L</t>
  </si>
  <si>
    <t>Consommation carburant (8L/100km) 1,22X8/100Xnb km</t>
  </si>
  <si>
    <t>Peage autoroute ( 20 €ht/ an)+prix péage</t>
  </si>
  <si>
    <t>Frais de deplacement (repas) 12€/j</t>
  </si>
  <si>
    <t>Charges /Taxes 5,85%/CA</t>
  </si>
  <si>
    <t>TOTAUX</t>
  </si>
  <si>
    <t>Nombre de jours Travaillés par an</t>
  </si>
  <si>
    <t>Frais de gestion entreprise (INPI/MyAE….)</t>
  </si>
  <si>
    <t>TOTAL TRINOME</t>
  </si>
  <si>
    <t>TOTAL BINOME</t>
  </si>
  <si>
    <t>TOTAL MONOME</t>
  </si>
  <si>
    <t>Pour deux personnes</t>
  </si>
  <si>
    <t>Peu de distance beaucoup d'attente</t>
  </si>
  <si>
    <t>Pour les grandes distances</t>
  </si>
  <si>
    <t>Prix péage</t>
  </si>
  <si>
    <t>MARGE SUR COUT DE REVIENT</t>
  </si>
  <si>
    <t>MARGE SUR CA</t>
  </si>
  <si>
    <t>Coût de revient MENSUEL 2018</t>
  </si>
  <si>
    <t>Coût de revient JOURNALIER 2018</t>
  </si>
  <si>
    <t xml:space="preserve">Nombre de kilometres parcourus </t>
  </si>
  <si>
    <t>Nombre de kilometres parcourus par mois</t>
  </si>
  <si>
    <t>COUT DE REVIENT KM TOTAL</t>
  </si>
  <si>
    <t>Prix du carburant 1,40€/L</t>
  </si>
  <si>
    <t>Taxe d'apprentissage R</t>
  </si>
  <si>
    <t>Taxe d'apprentissage C</t>
  </si>
  <si>
    <t>MARGE 30% SUR COUT DE REVIENT(CR+M=CA)</t>
  </si>
  <si>
    <t>MARGE 30% SUR CA (CR+M=CA)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</si>
</sst>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#,##0.00\ &quot;€&quot;"/>
    <numFmt numFmtId="166" formatCode="#,##0.000\ &quot;€&quot;"/>
  </numFmts>
  <fonts count="8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0" fillId="0" borderId="0" xfId="0" applyAlignment="1">
      <alignment horizontal="center"/>
    </xf>
    <xf numFmtId="0" fontId="0" fillId="0" borderId="5" xfId="0" applyBorder="1"/>
    <xf numFmtId="0" fontId="2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 wrapText="1"/>
    </xf>
    <xf numFmtId="0" fontId="0" fillId="0" borderId="3" xfId="0" applyBorder="1"/>
    <xf numFmtId="0" fontId="0" fillId="0" borderId="4" xfId="0" applyBorder="1"/>
    <xf numFmtId="0" fontId="2" fillId="0" borderId="4" xfId="0" applyFont="1" applyBorder="1" applyAlignment="1">
      <alignment horizontal="center"/>
    </xf>
    <xf numFmtId="0" fontId="0" fillId="0" borderId="3" xfId="0" applyBorder="1" applyAlignment="1">
      <alignment vertical="center" shrinkToFit="1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wrapText="1"/>
    </xf>
    <xf numFmtId="0" fontId="0" fillId="6" borderId="5" xfId="0" applyFill="1" applyBorder="1"/>
    <xf numFmtId="0" fontId="0" fillId="6" borderId="4" xfId="0" applyFill="1" applyBorder="1"/>
    <xf numFmtId="0" fontId="0" fillId="6" borderId="3" xfId="0" applyFill="1" applyBorder="1"/>
    <xf numFmtId="0" fontId="0" fillId="6" borderId="5" xfId="0" applyFill="1" applyBorder="1" applyAlignment="1">
      <alignment horizontal="center"/>
    </xf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5" xfId="0" applyFill="1" applyBorder="1"/>
    <xf numFmtId="0" fontId="0" fillId="0" borderId="11" xfId="0" applyFill="1" applyBorder="1"/>
    <xf numFmtId="0" fontId="0" fillId="7" borderId="0" xfId="0" applyFill="1"/>
    <xf numFmtId="0" fontId="0" fillId="7" borderId="5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/>
    <xf numFmtId="0" fontId="0" fillId="8" borderId="5" xfId="0" applyFill="1" applyBorder="1" applyAlignment="1">
      <alignment horizontal="center"/>
    </xf>
    <xf numFmtId="0" fontId="0" fillId="8" borderId="0" xfId="0" applyFill="1"/>
    <xf numFmtId="0" fontId="1" fillId="0" borderId="0" xfId="0" applyFont="1"/>
    <xf numFmtId="0" fontId="0" fillId="9" borderId="0" xfId="0" applyFill="1"/>
    <xf numFmtId="0" fontId="0" fillId="9" borderId="5" xfId="0" applyFill="1" applyBorder="1" applyAlignment="1">
      <alignment horizontal="center"/>
    </xf>
    <xf numFmtId="165" fontId="0" fillId="8" borderId="5" xfId="0" applyNumberFormat="1" applyFill="1" applyBorder="1"/>
    <xf numFmtId="166" fontId="0" fillId="7" borderId="5" xfId="0" applyNumberFormat="1" applyFill="1" applyBorder="1" applyAlignment="1">
      <alignment horizontal="center"/>
    </xf>
    <xf numFmtId="0" fontId="7" fillId="0" borderId="5" xfId="0" applyFont="1" applyBorder="1" applyAlignment="1">
      <alignment horizontal="center"/>
    </xf>
    <xf numFmtId="166" fontId="0" fillId="7" borderId="13" xfId="0" applyNumberFormat="1" applyFill="1" applyBorder="1" applyAlignment="1">
      <alignment horizontal="center"/>
    </xf>
    <xf numFmtId="166" fontId="0" fillId="7" borderId="14" xfId="0" applyNumberFormat="1" applyFill="1" applyBorder="1" applyAlignment="1">
      <alignment horizontal="center"/>
    </xf>
    <xf numFmtId="0" fontId="0" fillId="0" borderId="22" xfId="0" applyFill="1" applyBorder="1"/>
    <xf numFmtId="0" fontId="0" fillId="0" borderId="0" xfId="0" applyBorder="1"/>
    <xf numFmtId="0" fontId="0" fillId="0" borderId="11" xfId="0" applyBorder="1"/>
    <xf numFmtId="0" fontId="0" fillId="0" borderId="16" xfId="0" applyFill="1" applyBorder="1"/>
    <xf numFmtId="0" fontId="0" fillId="0" borderId="23" xfId="0" applyBorder="1"/>
    <xf numFmtId="0" fontId="0" fillId="0" borderId="24" xfId="0" applyBorder="1"/>
    <xf numFmtId="165" fontId="0" fillId="0" borderId="9" xfId="0" applyNumberFormat="1" applyBorder="1"/>
    <xf numFmtId="165" fontId="0" fillId="7" borderId="13" xfId="0" applyNumberFormat="1" applyFill="1" applyBorder="1" applyAlignment="1">
      <alignment horizontal="center"/>
    </xf>
    <xf numFmtId="165" fontId="0" fillId="3" borderId="5" xfId="0" applyNumberFormat="1" applyFill="1" applyBorder="1" applyAlignment="1">
      <alignment horizontal="center"/>
    </xf>
    <xf numFmtId="165" fontId="0" fillId="3" borderId="5" xfId="0" applyNumberFormat="1" applyFill="1" applyBorder="1"/>
    <xf numFmtId="165" fontId="0" fillId="9" borderId="5" xfId="0" applyNumberFormat="1" applyFill="1" applyBorder="1" applyAlignment="1">
      <alignment horizontal="center"/>
    </xf>
    <xf numFmtId="165" fontId="0" fillId="0" borderId="4" xfId="0" applyNumberFormat="1" applyBorder="1"/>
    <xf numFmtId="165" fontId="0" fillId="10" borderId="4" xfId="0" applyNumberFormat="1" applyFill="1" applyBorder="1"/>
    <xf numFmtId="165" fontId="0" fillId="12" borderId="10" xfId="0" applyNumberFormat="1" applyFill="1" applyBorder="1"/>
    <xf numFmtId="165" fontId="0" fillId="10" borderId="10" xfId="0" applyNumberFormat="1" applyFill="1" applyBorder="1"/>
    <xf numFmtId="165" fontId="0" fillId="11" borderId="10" xfId="0" applyNumberFormat="1" applyFill="1" applyBorder="1"/>
    <xf numFmtId="165" fontId="7" fillId="10" borderId="5" xfId="0" applyNumberFormat="1" applyFont="1" applyFill="1" applyBorder="1" applyAlignment="1">
      <alignment horizontal="center"/>
    </xf>
    <xf numFmtId="165" fontId="0" fillId="10" borderId="5" xfId="0" applyNumberFormat="1" applyFill="1" applyBorder="1"/>
    <xf numFmtId="165" fontId="0" fillId="0" borderId="5" xfId="0" applyNumberFormat="1" applyBorder="1"/>
    <xf numFmtId="165" fontId="2" fillId="0" borderId="5" xfId="0" applyNumberFormat="1" applyFont="1" applyBorder="1" applyAlignment="1">
      <alignment horizontal="center"/>
    </xf>
    <xf numFmtId="165" fontId="0" fillId="6" borderId="5" xfId="0" applyNumberFormat="1" applyFill="1" applyBorder="1"/>
    <xf numFmtId="165" fontId="0" fillId="8" borderId="5" xfId="0" applyNumberFormat="1" applyFill="1" applyBorder="1" applyAlignment="1">
      <alignment horizontal="center"/>
    </xf>
    <xf numFmtId="165" fontId="3" fillId="0" borderId="5" xfId="0" applyNumberFormat="1" applyFont="1" applyBorder="1" applyAlignment="1">
      <alignment horizontal="center" wrapText="1"/>
    </xf>
    <xf numFmtId="165" fontId="0" fillId="7" borderId="5" xfId="0" applyNumberFormat="1" applyFill="1" applyBorder="1" applyAlignment="1">
      <alignment horizontal="center"/>
    </xf>
    <xf numFmtId="165" fontId="0" fillId="6" borderId="5" xfId="0" applyNumberFormat="1" applyFill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165" fontId="0" fillId="0" borderId="9" xfId="0" applyNumberFormat="1" applyBorder="1" applyAlignment="1">
      <alignment horizontal="center"/>
    </xf>
    <xf numFmtId="0" fontId="4" fillId="3" borderId="1" xfId="0" applyFont="1" applyFill="1" applyBorder="1" applyAlignment="1">
      <alignment horizontal="center" vertical="center" shrinkToFit="1"/>
    </xf>
    <xf numFmtId="0" fontId="0" fillId="3" borderId="3" xfId="0" applyFill="1" applyBorder="1" applyAlignment="1">
      <alignment vertical="center" shrinkToFit="1"/>
    </xf>
    <xf numFmtId="0" fontId="5" fillId="2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165" fontId="0" fillId="8" borderId="5" xfId="0" applyNumberFormat="1" applyFill="1" applyBorder="1" applyAlignment="1"/>
    <xf numFmtId="166" fontId="0" fillId="7" borderId="5" xfId="0" applyNumberFormat="1" applyFill="1" applyBorder="1" applyAlignment="1">
      <alignment horizontal="center"/>
    </xf>
    <xf numFmtId="166" fontId="0" fillId="7" borderId="5" xfId="0" applyNumberFormat="1" applyFill="1" applyBorder="1" applyAlignment="1"/>
    <xf numFmtId="0" fontId="4" fillId="4" borderId="6" xfId="0" applyFont="1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3" fillId="5" borderId="5" xfId="0" applyFont="1" applyFill="1" applyBorder="1" applyAlignment="1">
      <alignment horizontal="center" wrapText="1"/>
    </xf>
    <xf numFmtId="0" fontId="4" fillId="5" borderId="5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165" fontId="0" fillId="8" borderId="12" xfId="0" applyNumberFormat="1" applyFill="1" applyBorder="1" applyAlignment="1"/>
    <xf numFmtId="165" fontId="0" fillId="8" borderId="13" xfId="0" applyNumberFormat="1" applyFill="1" applyBorder="1" applyAlignment="1"/>
    <xf numFmtId="165" fontId="0" fillId="8" borderId="14" xfId="0" applyNumberFormat="1" applyFill="1" applyBorder="1" applyAlignment="1"/>
    <xf numFmtId="166" fontId="0" fillId="7" borderId="12" xfId="0" applyNumberFormat="1" applyFill="1" applyBorder="1" applyAlignment="1">
      <alignment horizontal="center"/>
    </xf>
    <xf numFmtId="166" fontId="0" fillId="7" borderId="13" xfId="0" applyNumberFormat="1" applyFill="1" applyBorder="1" applyAlignment="1">
      <alignment horizontal="center"/>
    </xf>
    <xf numFmtId="166" fontId="0" fillId="7" borderId="14" xfId="0" applyNumberFormat="1" applyFill="1" applyBorder="1" applyAlignment="1">
      <alignment horizontal="center"/>
    </xf>
    <xf numFmtId="0" fontId="4" fillId="3" borderId="20" xfId="0" applyFont="1" applyFill="1" applyBorder="1" applyAlignment="1">
      <alignment horizontal="center" vertical="center" shrinkToFit="1"/>
    </xf>
    <xf numFmtId="0" fontId="4" fillId="3" borderId="7" xfId="0" applyFont="1" applyFill="1" applyBorder="1" applyAlignment="1">
      <alignment horizontal="center" vertical="center" shrinkToFit="1"/>
    </xf>
    <xf numFmtId="0" fontId="4" fillId="3" borderId="21" xfId="0" applyFont="1" applyFill="1" applyBorder="1" applyAlignment="1">
      <alignment horizontal="center" vertical="center" shrinkToFit="1"/>
    </xf>
    <xf numFmtId="0" fontId="4" fillId="4" borderId="17" xfId="0" applyFont="1" applyFill="1" applyBorder="1" applyAlignment="1">
      <alignment horizontal="center"/>
    </xf>
    <xf numFmtId="0" fontId="4" fillId="4" borderId="18" xfId="0" applyFont="1" applyFill="1" applyBorder="1" applyAlignment="1">
      <alignment horizontal="center"/>
    </xf>
    <xf numFmtId="0" fontId="4" fillId="4" borderId="19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 wrapText="1"/>
    </xf>
    <xf numFmtId="0" fontId="3" fillId="5" borderId="16" xfId="0" applyFont="1" applyFill="1" applyBorder="1" applyAlignment="1">
      <alignment horizontal="center" wrapText="1"/>
    </xf>
    <xf numFmtId="0" fontId="4" fillId="5" borderId="12" xfId="0" applyFont="1" applyFill="1" applyBorder="1" applyAlignment="1">
      <alignment horizontal="center"/>
    </xf>
    <xf numFmtId="0" fontId="4" fillId="5" borderId="13" xfId="0" applyFont="1" applyFill="1" applyBorder="1" applyAlignment="1">
      <alignment horizontal="center"/>
    </xf>
    <xf numFmtId="0" fontId="4" fillId="5" borderId="15" xfId="0" applyFont="1" applyFill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/>
    <xf numFmtId="0" fontId="0" fillId="0" borderId="16" xfId="0" applyNumberFormat="1" applyBorder="1" applyAlignment="1">
      <alignment horizontal="center"/>
    </xf>
    <xf numFmtId="0" fontId="0" fillId="0" borderId="9" xfId="0" applyNumberFormat="1" applyBorder="1" applyAlignment="1">
      <alignment horizontal="center"/>
    </xf>
    <xf numFmtId="0" fontId="0" fillId="0" borderId="9" xfId="0" applyNumberFormat="1" applyBorder="1"/>
    <xf numFmtId="0" fontId="0" fillId="0" borderId="16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7"/>
  <sheetViews>
    <sheetView topLeftCell="A16" workbookViewId="0">
      <selection activeCell="K34" sqref="K34"/>
    </sheetView>
  </sheetViews>
  <sheetFormatPr baseColWidth="10" defaultRowHeight="15" x14ac:dyDescent="0.25"/>
  <cols>
    <col min="1" max="1" width="3.85546875" customWidth="1"/>
    <col min="2" max="3" width="11.5703125" hidden="1" customWidth="1"/>
    <col min="4" max="4" width="38.7109375" customWidth="1"/>
    <col min="5" max="5" width="37.140625" customWidth="1"/>
    <col min="6" max="6" width="11.5703125" style="1" customWidth="1"/>
  </cols>
  <sheetData>
    <row r="1" spans="5:9" x14ac:dyDescent="0.25">
      <c r="F1"/>
    </row>
    <row r="2" spans="5:9" x14ac:dyDescent="0.25">
      <c r="E2" t="s">
        <v>30</v>
      </c>
      <c r="F2" s="26"/>
      <c r="H2" t="s">
        <v>38</v>
      </c>
      <c r="I2" s="28"/>
    </row>
    <row r="3" spans="5:9" x14ac:dyDescent="0.25">
      <c r="E3" t="s">
        <v>44</v>
      </c>
      <c r="F3" s="21"/>
    </row>
    <row r="4" spans="5:9" ht="28.5" x14ac:dyDescent="0.25">
      <c r="E4" s="64" t="s">
        <v>41</v>
      </c>
      <c r="F4" s="65"/>
      <c r="G4" s="65"/>
      <c r="H4" s="65"/>
      <c r="I4" s="65"/>
    </row>
    <row r="5" spans="5:9" ht="15.75" thickBot="1" x14ac:dyDescent="0.3">
      <c r="F5"/>
    </row>
    <row r="6" spans="5:9" ht="21" x14ac:dyDescent="0.35">
      <c r="E6" s="62" t="s">
        <v>1</v>
      </c>
      <c r="F6" s="69" t="s">
        <v>2</v>
      </c>
      <c r="G6" s="70"/>
      <c r="H6" s="70"/>
      <c r="I6" s="71"/>
    </row>
    <row r="7" spans="5:9" ht="21" x14ac:dyDescent="0.35">
      <c r="E7" s="63"/>
      <c r="F7" s="72" t="s">
        <v>3</v>
      </c>
      <c r="G7" s="73" t="s">
        <v>4</v>
      </c>
      <c r="H7" s="73"/>
      <c r="I7" s="74"/>
    </row>
    <row r="8" spans="5:9" ht="15.75" x14ac:dyDescent="0.25">
      <c r="E8" s="63"/>
      <c r="F8" s="72"/>
      <c r="G8" s="3" t="s">
        <v>5</v>
      </c>
      <c r="H8" s="3" t="s">
        <v>0</v>
      </c>
      <c r="I8" s="7" t="s">
        <v>6</v>
      </c>
    </row>
    <row r="9" spans="5:9" ht="18.75" x14ac:dyDescent="0.3">
      <c r="E9" s="8" t="s">
        <v>21</v>
      </c>
      <c r="F9" s="4"/>
      <c r="G9" s="3"/>
      <c r="H9" s="32">
        <v>1942.08</v>
      </c>
      <c r="I9" s="7"/>
    </row>
    <row r="10" spans="5:9" ht="30" x14ac:dyDescent="0.25">
      <c r="E10" s="10" t="s">
        <v>25</v>
      </c>
      <c r="F10" s="22">
        <f>1.22*8/100*F3/12</f>
        <v>0</v>
      </c>
      <c r="G10" s="2"/>
      <c r="H10" s="2"/>
      <c r="I10" s="6"/>
    </row>
    <row r="11" spans="5:9" x14ac:dyDescent="0.25">
      <c r="E11" s="13" t="s">
        <v>24</v>
      </c>
      <c r="F11" s="14"/>
      <c r="G11" s="11"/>
      <c r="H11" s="11"/>
      <c r="I11" s="12"/>
    </row>
    <row r="12" spans="5:9" x14ac:dyDescent="0.25">
      <c r="E12" s="5" t="s">
        <v>7</v>
      </c>
      <c r="F12" s="9">
        <f>1070.58/12</f>
        <v>89.214999999999989</v>
      </c>
      <c r="G12" s="2"/>
      <c r="H12" s="2"/>
      <c r="I12" s="6"/>
    </row>
    <row r="13" spans="5:9" x14ac:dyDescent="0.25">
      <c r="E13" s="5" t="s">
        <v>22</v>
      </c>
      <c r="F13" s="22">
        <f>(90.83*4/85000)*F3</f>
        <v>0</v>
      </c>
      <c r="G13" s="2"/>
      <c r="H13" s="2"/>
      <c r="I13" s="6"/>
    </row>
    <row r="14" spans="5:9" x14ac:dyDescent="0.25">
      <c r="E14" s="13" t="s">
        <v>23</v>
      </c>
      <c r="F14" s="14"/>
      <c r="G14" s="11"/>
      <c r="H14" s="11"/>
      <c r="I14" s="12"/>
    </row>
    <row r="15" spans="5:9" x14ac:dyDescent="0.25">
      <c r="E15" s="5" t="s">
        <v>8</v>
      </c>
      <c r="F15" s="9"/>
      <c r="G15" s="2"/>
      <c r="H15" s="2">
        <v>150</v>
      </c>
      <c r="I15" s="6"/>
    </row>
    <row r="16" spans="5:9" x14ac:dyDescent="0.25">
      <c r="E16" s="5" t="s">
        <v>9</v>
      </c>
      <c r="F16" s="9"/>
      <c r="G16" s="2"/>
      <c r="H16" s="2">
        <v>444</v>
      </c>
      <c r="I16" s="6"/>
    </row>
    <row r="17" spans="5:9" x14ac:dyDescent="0.25">
      <c r="E17" s="5" t="s">
        <v>18</v>
      </c>
      <c r="F17" s="9"/>
      <c r="G17" s="2"/>
      <c r="H17" s="2"/>
      <c r="I17" s="6">
        <v>512.20000000000005</v>
      </c>
    </row>
    <row r="18" spans="5:9" x14ac:dyDescent="0.25">
      <c r="E18" s="5" t="s">
        <v>10</v>
      </c>
      <c r="F18" s="9"/>
      <c r="G18" s="2"/>
      <c r="H18" s="2">
        <v>137.62</v>
      </c>
      <c r="I18" s="6"/>
    </row>
    <row r="19" spans="5:9" x14ac:dyDescent="0.25">
      <c r="E19" s="5" t="s">
        <v>11</v>
      </c>
      <c r="F19" s="9"/>
      <c r="G19" s="2"/>
      <c r="H19" s="2"/>
      <c r="I19" s="6">
        <v>337.5</v>
      </c>
    </row>
    <row r="20" spans="5:9" x14ac:dyDescent="0.25">
      <c r="E20" s="5" t="s">
        <v>20</v>
      </c>
      <c r="F20" s="9"/>
      <c r="G20" s="2"/>
      <c r="H20" s="2"/>
      <c r="I20" s="6">
        <v>152</v>
      </c>
    </row>
    <row r="21" spans="5:9" x14ac:dyDescent="0.25">
      <c r="E21" s="5" t="s">
        <v>12</v>
      </c>
      <c r="F21" s="9"/>
      <c r="G21" s="2"/>
      <c r="H21" s="2"/>
      <c r="I21" s="6">
        <v>249.9</v>
      </c>
    </row>
    <row r="22" spans="5:9" x14ac:dyDescent="0.25">
      <c r="E22" s="5" t="s">
        <v>13</v>
      </c>
      <c r="F22" s="9"/>
      <c r="G22" s="2">
        <f>21600</f>
        <v>21600</v>
      </c>
      <c r="H22" s="2"/>
      <c r="I22" s="6"/>
    </row>
    <row r="23" spans="5:9" x14ac:dyDescent="0.25">
      <c r="E23" s="5" t="s">
        <v>28</v>
      </c>
      <c r="F23" s="9"/>
      <c r="G23" s="2"/>
      <c r="H23" s="2"/>
      <c r="I23" s="6">
        <v>1755</v>
      </c>
    </row>
    <row r="24" spans="5:9" x14ac:dyDescent="0.25">
      <c r="E24" s="5" t="s">
        <v>27</v>
      </c>
      <c r="F24" s="9"/>
      <c r="G24" s="25">
        <f>12*F2</f>
        <v>0</v>
      </c>
      <c r="H24" s="2"/>
      <c r="I24" s="6"/>
    </row>
    <row r="25" spans="5:9" x14ac:dyDescent="0.25">
      <c r="E25" s="5" t="s">
        <v>26</v>
      </c>
      <c r="F25" s="29">
        <f>20+I2</f>
        <v>20</v>
      </c>
      <c r="G25" s="2"/>
      <c r="H25" s="2"/>
      <c r="I25" s="6"/>
    </row>
    <row r="26" spans="5:9" x14ac:dyDescent="0.25">
      <c r="E26" s="5" t="s">
        <v>14</v>
      </c>
      <c r="F26" s="9"/>
      <c r="G26" s="2"/>
      <c r="H26" s="2"/>
      <c r="I26" s="6">
        <v>530</v>
      </c>
    </row>
    <row r="27" spans="5:9" x14ac:dyDescent="0.25">
      <c r="E27" s="5" t="s">
        <v>15</v>
      </c>
      <c r="F27" s="9"/>
      <c r="G27" s="2"/>
      <c r="H27" s="2"/>
      <c r="I27" s="6">
        <v>3720</v>
      </c>
    </row>
    <row r="28" spans="5:9" x14ac:dyDescent="0.25">
      <c r="E28" s="5" t="s">
        <v>16</v>
      </c>
      <c r="F28" s="9"/>
      <c r="G28" s="2"/>
      <c r="H28" s="2">
        <v>400</v>
      </c>
      <c r="I28" s="6"/>
    </row>
    <row r="29" spans="5:9" x14ac:dyDescent="0.25">
      <c r="E29" s="5" t="s">
        <v>17</v>
      </c>
      <c r="F29" s="9"/>
      <c r="G29" s="2"/>
      <c r="H29" s="2"/>
      <c r="I29" s="6">
        <v>1400</v>
      </c>
    </row>
    <row r="30" spans="5:9" x14ac:dyDescent="0.25">
      <c r="E30" s="15" t="s">
        <v>31</v>
      </c>
      <c r="F30" s="16"/>
      <c r="G30" s="17"/>
      <c r="H30" s="17"/>
      <c r="I30" s="18">
        <v>651.5</v>
      </c>
    </row>
    <row r="31" spans="5:9" x14ac:dyDescent="0.25">
      <c r="E31" s="15" t="s">
        <v>19</v>
      </c>
      <c r="F31" s="16"/>
      <c r="G31" s="17"/>
      <c r="H31" s="17"/>
      <c r="I31" s="18">
        <v>267</v>
      </c>
    </row>
    <row r="32" spans="5:9" x14ac:dyDescent="0.25">
      <c r="E32" s="24" t="s">
        <v>29</v>
      </c>
      <c r="F32" s="23">
        <f>SUM(F9:F31)</f>
        <v>109.21499999999999</v>
      </c>
      <c r="G32" s="24">
        <f>SUM(G9:G31)/12</f>
        <v>1800</v>
      </c>
      <c r="H32" s="24">
        <f>SUM(H9:H31)/12</f>
        <v>256.14166666666665</v>
      </c>
      <c r="I32" s="24">
        <f>SUM(I9:I31)/12</f>
        <v>797.92500000000007</v>
      </c>
    </row>
    <row r="33" spans="4:9" x14ac:dyDescent="0.25">
      <c r="D33" s="27" t="s">
        <v>35</v>
      </c>
      <c r="E33" s="19" t="s">
        <v>32</v>
      </c>
      <c r="F33" s="31" t="e">
        <f>F32/F3</f>
        <v>#DIV/0!</v>
      </c>
      <c r="G33" s="30" t="e">
        <f>G32/F2</f>
        <v>#DIV/0!</v>
      </c>
      <c r="H33" s="66" t="e">
        <f>SUM(H32:I32)/F2</f>
        <v>#DIV/0!</v>
      </c>
      <c r="I33" s="66"/>
    </row>
    <row r="34" spans="4:9" x14ac:dyDescent="0.25">
      <c r="D34" s="27" t="s">
        <v>36</v>
      </c>
      <c r="E34" s="19" t="s">
        <v>33</v>
      </c>
      <c r="F34" s="31" t="e">
        <f>F32/F3</f>
        <v>#DIV/0!</v>
      </c>
      <c r="G34" s="66" t="e">
        <f>SUM(G32:H32:I32)/F2</f>
        <v>#DIV/0!</v>
      </c>
      <c r="H34" s="66"/>
      <c r="I34" s="66"/>
    </row>
    <row r="35" spans="4:9" x14ac:dyDescent="0.25">
      <c r="D35" s="27" t="s">
        <v>37</v>
      </c>
      <c r="E35" s="19" t="s">
        <v>34</v>
      </c>
      <c r="F35" s="67" t="e">
        <f>SUM(F32:G32:H32:I32)/F3</f>
        <v>#DIV/0!</v>
      </c>
      <c r="G35" s="68"/>
      <c r="H35" s="68"/>
      <c r="I35" s="68"/>
    </row>
    <row r="36" spans="4:9" x14ac:dyDescent="0.25">
      <c r="E36" s="20" t="s">
        <v>49</v>
      </c>
      <c r="F36" s="92" t="e">
        <f>F35/100*130</f>
        <v>#DIV/0!</v>
      </c>
      <c r="G36" s="93" t="e">
        <f xml:space="preserve"> F35/100*130*F3</f>
        <v>#DIV/0!</v>
      </c>
    </row>
    <row r="37" spans="4:9" x14ac:dyDescent="0.25">
      <c r="E37" s="20" t="s">
        <v>50</v>
      </c>
      <c r="F37" s="92" t="e">
        <f>F35/70*100</f>
        <v>#DIV/0!</v>
      </c>
      <c r="G37" s="93" t="e">
        <f>F35/70*100*F3</f>
        <v>#DIV/0!</v>
      </c>
    </row>
  </sheetData>
  <mergeCells count="8">
    <mergeCell ref="G34:I34"/>
    <mergeCell ref="F35:I35"/>
    <mergeCell ref="E4:I4"/>
    <mergeCell ref="E6:E8"/>
    <mergeCell ref="F6:I6"/>
    <mergeCell ref="F7:F8"/>
    <mergeCell ref="G7:I7"/>
    <mergeCell ref="H33:I3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9"/>
  <sheetViews>
    <sheetView tabSelected="1" topLeftCell="A18" workbookViewId="0">
      <selection activeCell="K29" sqref="K29"/>
    </sheetView>
  </sheetViews>
  <sheetFormatPr baseColWidth="10" defaultRowHeight="15" x14ac:dyDescent="0.25"/>
  <cols>
    <col min="1" max="1" width="3.85546875" customWidth="1"/>
    <col min="2" max="3" width="11.5703125" hidden="1" customWidth="1"/>
    <col min="4" max="4" width="38.7109375" customWidth="1"/>
    <col min="5" max="5" width="37.140625" customWidth="1"/>
    <col min="6" max="6" width="11.5703125" style="1" customWidth="1"/>
  </cols>
  <sheetData>
    <row r="1" spans="5:9" x14ac:dyDescent="0.25">
      <c r="F1"/>
    </row>
    <row r="2" spans="5:9" x14ac:dyDescent="0.25">
      <c r="E2" t="s">
        <v>30</v>
      </c>
      <c r="F2" s="26"/>
      <c r="H2" t="s">
        <v>38</v>
      </c>
      <c r="I2" s="28"/>
    </row>
    <row r="3" spans="5:9" x14ac:dyDescent="0.25">
      <c r="E3" t="s">
        <v>43</v>
      </c>
      <c r="F3" s="21"/>
    </row>
    <row r="4" spans="5:9" ht="28.5" x14ac:dyDescent="0.25">
      <c r="E4" s="64" t="s">
        <v>42</v>
      </c>
      <c r="F4" s="64"/>
      <c r="G4" s="64"/>
      <c r="H4" s="64"/>
      <c r="I4" s="64"/>
    </row>
    <row r="5" spans="5:9" ht="15.75" thickBot="1" x14ac:dyDescent="0.3">
      <c r="F5"/>
    </row>
    <row r="6" spans="5:9" ht="21" x14ac:dyDescent="0.35">
      <c r="E6" s="81" t="s">
        <v>1</v>
      </c>
      <c r="F6" s="84" t="s">
        <v>2</v>
      </c>
      <c r="G6" s="85"/>
      <c r="H6" s="85"/>
      <c r="I6" s="86"/>
    </row>
    <row r="7" spans="5:9" ht="21" customHeight="1" x14ac:dyDescent="0.35">
      <c r="E7" s="82"/>
      <c r="F7" s="87" t="s">
        <v>3</v>
      </c>
      <c r="G7" s="89" t="s">
        <v>4</v>
      </c>
      <c r="H7" s="90"/>
      <c r="I7" s="91"/>
    </row>
    <row r="8" spans="5:9" ht="15.6" customHeight="1" x14ac:dyDescent="0.25">
      <c r="E8" s="83"/>
      <c r="F8" s="88"/>
      <c r="G8" s="3" t="s">
        <v>5</v>
      </c>
      <c r="H8" s="3" t="s">
        <v>0</v>
      </c>
      <c r="I8" s="7" t="s">
        <v>6</v>
      </c>
    </row>
    <row r="9" spans="5:9" ht="18.75" x14ac:dyDescent="0.3">
      <c r="E9" s="8" t="s">
        <v>21</v>
      </c>
      <c r="F9" s="57"/>
      <c r="G9" s="54"/>
      <c r="H9" s="51">
        <f>1942.08/52/7</f>
        <v>5.3353846153846147</v>
      </c>
      <c r="I9" s="7"/>
    </row>
    <row r="10" spans="5:9" ht="30" x14ac:dyDescent="0.25">
      <c r="E10" s="10" t="s">
        <v>25</v>
      </c>
      <c r="F10" s="58">
        <f>1.4*8/100*F3</f>
        <v>0</v>
      </c>
      <c r="G10" s="53"/>
      <c r="H10" s="2"/>
      <c r="I10" s="6"/>
    </row>
    <row r="11" spans="5:9" x14ac:dyDescent="0.25">
      <c r="E11" s="13" t="s">
        <v>46</v>
      </c>
      <c r="F11" s="59"/>
      <c r="G11" s="55"/>
      <c r="H11" s="11"/>
      <c r="I11" s="12"/>
    </row>
    <row r="12" spans="5:9" x14ac:dyDescent="0.25">
      <c r="E12" s="5" t="s">
        <v>7</v>
      </c>
      <c r="F12" s="60">
        <f>1070.58/52/7</f>
        <v>2.941153846153846</v>
      </c>
      <c r="G12" s="53"/>
      <c r="H12" s="2"/>
      <c r="I12" s="6"/>
    </row>
    <row r="13" spans="5:9" x14ac:dyDescent="0.25">
      <c r="E13" s="5" t="s">
        <v>22</v>
      </c>
      <c r="F13" s="58">
        <f>(90.83*4/85000)*F3*F2</f>
        <v>0</v>
      </c>
      <c r="G13" s="53"/>
      <c r="H13" s="2"/>
      <c r="I13" s="6"/>
    </row>
    <row r="14" spans="5:9" x14ac:dyDescent="0.25">
      <c r="E14" s="13" t="s">
        <v>23</v>
      </c>
      <c r="F14" s="59"/>
      <c r="G14" s="55"/>
      <c r="H14" s="11"/>
      <c r="I14" s="12"/>
    </row>
    <row r="15" spans="5:9" x14ac:dyDescent="0.25">
      <c r="E15" s="5" t="s">
        <v>8</v>
      </c>
      <c r="F15" s="60"/>
      <c r="G15" s="53"/>
      <c r="H15" s="52">
        <f>150/52/7</f>
        <v>0.41208791208791207</v>
      </c>
      <c r="I15" s="46"/>
    </row>
    <row r="16" spans="5:9" x14ac:dyDescent="0.25">
      <c r="E16" s="5" t="s">
        <v>9</v>
      </c>
      <c r="F16" s="60"/>
      <c r="G16" s="53"/>
      <c r="H16" s="52">
        <f>444/52/7</f>
        <v>1.2197802197802197</v>
      </c>
      <c r="I16" s="46"/>
    </row>
    <row r="17" spans="5:9" x14ac:dyDescent="0.25">
      <c r="E17" s="5" t="s">
        <v>18</v>
      </c>
      <c r="F17" s="60"/>
      <c r="G17" s="53"/>
      <c r="H17" s="53"/>
      <c r="I17" s="47">
        <f>512.2/52/7</f>
        <v>1.4071428571428573</v>
      </c>
    </row>
    <row r="18" spans="5:9" x14ac:dyDescent="0.25">
      <c r="E18" s="5" t="s">
        <v>10</v>
      </c>
      <c r="F18" s="60"/>
      <c r="G18" s="53"/>
      <c r="H18" s="52">
        <f>137.62/52/7</f>
        <v>0.37807692307692309</v>
      </c>
      <c r="I18" s="46"/>
    </row>
    <row r="19" spans="5:9" x14ac:dyDescent="0.25">
      <c r="E19" s="5" t="s">
        <v>11</v>
      </c>
      <c r="F19" s="60"/>
      <c r="G19" s="53"/>
      <c r="H19" s="53"/>
      <c r="I19" s="47">
        <f>337.5/52/7</f>
        <v>0.92719780219780212</v>
      </c>
    </row>
    <row r="20" spans="5:9" x14ac:dyDescent="0.25">
      <c r="E20" s="5" t="s">
        <v>20</v>
      </c>
      <c r="F20" s="60"/>
      <c r="G20" s="53"/>
      <c r="H20" s="53"/>
      <c r="I20" s="47">
        <f>152/52/7</f>
        <v>0.41758241758241754</v>
      </c>
    </row>
    <row r="21" spans="5:9" x14ac:dyDescent="0.25">
      <c r="E21" s="5" t="s">
        <v>12</v>
      </c>
      <c r="F21" s="60"/>
      <c r="G21" s="53"/>
      <c r="H21" s="53"/>
      <c r="I21" s="47">
        <f>249.9/52/7</f>
        <v>0.68653846153846154</v>
      </c>
    </row>
    <row r="22" spans="5:9" x14ac:dyDescent="0.25">
      <c r="E22" s="5" t="s">
        <v>13</v>
      </c>
      <c r="F22" s="60"/>
      <c r="G22" s="53">
        <f>21600/52/7</f>
        <v>59.340659340659336</v>
      </c>
      <c r="H22" s="53"/>
      <c r="I22" s="46"/>
    </row>
    <row r="23" spans="5:9" x14ac:dyDescent="0.25">
      <c r="E23" s="5" t="s">
        <v>28</v>
      </c>
      <c r="F23" s="60"/>
      <c r="G23" s="53"/>
      <c r="H23" s="53"/>
      <c r="I23" s="46">
        <f>1755/52/7</f>
        <v>4.8214285714285712</v>
      </c>
    </row>
    <row r="24" spans="5:9" x14ac:dyDescent="0.25">
      <c r="E24" s="5" t="s">
        <v>27</v>
      </c>
      <c r="F24" s="60"/>
      <c r="G24" s="56">
        <f>12*F2</f>
        <v>0</v>
      </c>
      <c r="H24" s="53"/>
      <c r="I24" s="46"/>
    </row>
    <row r="25" spans="5:9" x14ac:dyDescent="0.25">
      <c r="E25" s="5" t="s">
        <v>26</v>
      </c>
      <c r="F25" s="45">
        <f>20/12+I2</f>
        <v>1.6666666666666667</v>
      </c>
      <c r="G25" s="53"/>
      <c r="H25" s="53"/>
      <c r="I25" s="46"/>
    </row>
    <row r="26" spans="5:9" x14ac:dyDescent="0.25">
      <c r="E26" s="5" t="s">
        <v>14</v>
      </c>
      <c r="F26" s="60"/>
      <c r="G26" s="53"/>
      <c r="H26" s="53"/>
      <c r="I26" s="46">
        <f>530/52/7</f>
        <v>1.456043956043956</v>
      </c>
    </row>
    <row r="27" spans="5:9" x14ac:dyDescent="0.25">
      <c r="E27" s="5" t="s">
        <v>15</v>
      </c>
      <c r="F27" s="60"/>
      <c r="G27" s="53"/>
      <c r="H27" s="53"/>
      <c r="I27" s="46">
        <f>3720/52/7</f>
        <v>10.219780219780219</v>
      </c>
    </row>
    <row r="28" spans="5:9" x14ac:dyDescent="0.25">
      <c r="E28" s="5" t="s">
        <v>16</v>
      </c>
      <c r="F28" s="60"/>
      <c r="G28" s="53"/>
      <c r="H28" s="52">
        <f>400/52/7</f>
        <v>1.098901098901099</v>
      </c>
      <c r="I28" s="46"/>
    </row>
    <row r="29" spans="5:9" x14ac:dyDescent="0.25">
      <c r="E29" s="5" t="s">
        <v>47</v>
      </c>
      <c r="F29" s="60"/>
      <c r="G29" s="53"/>
      <c r="H29" s="53"/>
      <c r="I29" s="46">
        <f>1090/52/7</f>
        <v>2.9945054945054941</v>
      </c>
    </row>
    <row r="30" spans="5:9" x14ac:dyDescent="0.25">
      <c r="E30" s="15" t="s">
        <v>48</v>
      </c>
      <c r="F30" s="61"/>
      <c r="G30" s="41"/>
      <c r="H30" s="41"/>
      <c r="I30" s="48">
        <f>590/52/7</f>
        <v>1.6208791208791209</v>
      </c>
    </row>
    <row r="31" spans="5:9" x14ac:dyDescent="0.25">
      <c r="E31" s="15" t="s">
        <v>31</v>
      </c>
      <c r="F31" s="61"/>
      <c r="G31" s="41"/>
      <c r="H31" s="41"/>
      <c r="I31" s="49">
        <f>782.1/52/7</f>
        <v>2.1486263736263735</v>
      </c>
    </row>
    <row r="32" spans="5:9" x14ac:dyDescent="0.25">
      <c r="E32" s="15" t="s">
        <v>19</v>
      </c>
      <c r="F32" s="61"/>
      <c r="G32" s="41"/>
      <c r="H32" s="41"/>
      <c r="I32" s="50">
        <f>267/52/7</f>
        <v>0.73351648351648358</v>
      </c>
    </row>
    <row r="33" spans="4:9" x14ac:dyDescent="0.25">
      <c r="E33" s="24" t="s">
        <v>29</v>
      </c>
      <c r="F33" s="43">
        <f>SUM(F9:F32)</f>
        <v>4.6078205128205125</v>
      </c>
      <c r="G33" s="24">
        <f>SUM(G9:G32)</f>
        <v>59.340659340659336</v>
      </c>
      <c r="H33" s="44">
        <f>SUM(H9:H32)</f>
        <v>8.444230769230769</v>
      </c>
      <c r="I33" s="24">
        <f>SUM(I9:I32)</f>
        <v>27.433241758241756</v>
      </c>
    </row>
    <row r="34" spans="4:9" x14ac:dyDescent="0.25">
      <c r="D34" s="27" t="s">
        <v>35</v>
      </c>
      <c r="E34" s="19" t="s">
        <v>32</v>
      </c>
      <c r="F34" s="31" t="e">
        <f>F33/F3</f>
        <v>#DIV/0!</v>
      </c>
      <c r="G34" s="30" t="e">
        <f>G33/F2</f>
        <v>#DIV/0!</v>
      </c>
      <c r="H34" s="75" t="e">
        <f>SUM(H33:I33)/F2</f>
        <v>#DIV/0!</v>
      </c>
      <c r="I34" s="77"/>
    </row>
    <row r="35" spans="4:9" x14ac:dyDescent="0.25">
      <c r="D35" s="27" t="s">
        <v>36</v>
      </c>
      <c r="E35" s="19" t="s">
        <v>33</v>
      </c>
      <c r="F35" s="31" t="e">
        <f>F33/F3</f>
        <v>#DIV/0!</v>
      </c>
      <c r="G35" s="75" t="e">
        <f>SUM(G33:H33:I33)/F2</f>
        <v>#DIV/0!</v>
      </c>
      <c r="H35" s="76"/>
      <c r="I35" s="77"/>
    </row>
    <row r="36" spans="4:9" x14ac:dyDescent="0.25">
      <c r="D36" s="27" t="s">
        <v>37</v>
      </c>
      <c r="E36" s="19" t="s">
        <v>34</v>
      </c>
      <c r="F36" s="78" t="e">
        <f>SUM(F33:G33:H33:I33)/F3</f>
        <v>#DIV/0!</v>
      </c>
      <c r="G36" s="79"/>
      <c r="H36" s="79"/>
      <c r="I36" s="80"/>
    </row>
    <row r="37" spans="4:9" x14ac:dyDescent="0.25">
      <c r="D37" s="27"/>
      <c r="E37" s="19" t="s">
        <v>45</v>
      </c>
      <c r="F37" s="33"/>
      <c r="G37" s="42" t="e">
        <f>F36*F3</f>
        <v>#DIV/0!</v>
      </c>
      <c r="H37" s="33"/>
      <c r="I37" s="34"/>
    </row>
    <row r="38" spans="4:9" x14ac:dyDescent="0.25">
      <c r="E38" s="35" t="s">
        <v>39</v>
      </c>
      <c r="F38" s="95" t="e">
        <f>F36/100*130*F3</f>
        <v>#DIV/0!</v>
      </c>
      <c r="G38" s="96"/>
      <c r="H38" s="36"/>
      <c r="I38" s="37"/>
    </row>
    <row r="39" spans="4:9" x14ac:dyDescent="0.25">
      <c r="E39" s="38" t="s">
        <v>40</v>
      </c>
      <c r="F39" s="94" t="e">
        <f>F36/70*100*F3</f>
        <v>#DIV/0!</v>
      </c>
      <c r="G39" s="97"/>
      <c r="H39" s="39"/>
      <c r="I39" s="40"/>
    </row>
  </sheetData>
  <mergeCells count="8">
    <mergeCell ref="G35:I35"/>
    <mergeCell ref="F36:I36"/>
    <mergeCell ref="E4:I4"/>
    <mergeCell ref="E6:E8"/>
    <mergeCell ref="F6:I6"/>
    <mergeCell ref="F7:F8"/>
    <mergeCell ref="G7:I7"/>
    <mergeCell ref="H34:I3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Cout de revient mensuel</vt:lpstr>
      <vt:lpstr>Cout de revient Journalier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Ryma</dc:creator>
  <cp:lastModifiedBy>Coraline</cp:lastModifiedBy>
  <cp:lastPrinted>2018-01-18T10:42:44Z</cp:lastPrinted>
  <dcterms:created xsi:type="dcterms:W3CDTF">2017-09-01T16:40:50Z</dcterms:created>
  <dcterms:modified xsi:type="dcterms:W3CDTF">2018-01-19T21:17:15Z</dcterms:modified>
</cp:coreProperties>
</file>