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345" windowWidth="14805" windowHeight="7770"/>
  </bookViews>
  <sheets>
    <sheet name="Data" sheetId="2" r:id="rId1"/>
    <sheet name="Macro BallyRagget" sheetId="5" r:id="rId2"/>
  </sheets>
  <calcPr calcId="145621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C2" i="2"/>
  <c r="C3" i="2"/>
  <c r="C4" i="2"/>
  <c r="C5" i="2"/>
  <c r="C6" i="2"/>
  <c r="C7" i="2"/>
  <c r="C8" i="2"/>
  <c r="C9" i="2"/>
  <c r="C10" i="2"/>
  <c r="C11" i="2"/>
  <c r="D2" i="2"/>
  <c r="D3" i="2"/>
  <c r="D4" i="2"/>
  <c r="D5" i="2"/>
  <c r="D6" i="2"/>
  <c r="D7" i="2"/>
  <c r="D8" i="2"/>
  <c r="D9" i="2"/>
  <c r="D10" i="2"/>
  <c r="D11" i="2"/>
  <c r="U2" i="2"/>
  <c r="V2" i="2" s="1"/>
  <c r="U3" i="2"/>
  <c r="V3" i="2" s="1"/>
  <c r="U4" i="2"/>
  <c r="V4" i="2" s="1"/>
  <c r="U5" i="2"/>
  <c r="V5" i="2" s="1"/>
  <c r="U6" i="2"/>
  <c r="V6" i="2" s="1"/>
  <c r="U7" i="2"/>
  <c r="V7" i="2" s="1"/>
  <c r="U8" i="2"/>
  <c r="V8" i="2" s="1"/>
  <c r="U9" i="2"/>
  <c r="V9" i="2" s="1"/>
  <c r="U10" i="2"/>
  <c r="V10" i="2" s="1"/>
  <c r="U11" i="2"/>
  <c r="V11" i="2" s="1"/>
  <c r="W2" i="2"/>
  <c r="X2" i="2" s="1"/>
  <c r="W3" i="2"/>
  <c r="X3" i="2" s="1"/>
  <c r="W4" i="2"/>
  <c r="X4" i="2" s="1"/>
  <c r="W5" i="2"/>
  <c r="X5" i="2" s="1"/>
  <c r="W6" i="2"/>
  <c r="X6" i="2" s="1"/>
  <c r="W7" i="2"/>
  <c r="X7" i="2" s="1"/>
  <c r="W8" i="2"/>
  <c r="X8" i="2" s="1"/>
  <c r="W9" i="2"/>
  <c r="X9" i="2" s="1"/>
  <c r="W10" i="2"/>
  <c r="X10" i="2" s="1"/>
  <c r="W11" i="2"/>
  <c r="X11" i="2" s="1"/>
  <c r="Y2" i="2"/>
  <c r="Z2" i="2" s="1"/>
  <c r="Y3" i="2"/>
  <c r="Z3" i="2" s="1"/>
  <c r="Y4" i="2"/>
  <c r="Z4" i="2" s="1"/>
  <c r="Y5" i="2"/>
  <c r="Z5" i="2" s="1"/>
  <c r="Y6" i="2"/>
  <c r="Z6" i="2" s="1"/>
  <c r="Y7" i="2"/>
  <c r="Z7" i="2" s="1"/>
  <c r="Y8" i="2"/>
  <c r="Z8" i="2" s="1"/>
  <c r="Y9" i="2"/>
  <c r="Z9" i="2" s="1"/>
  <c r="Y10" i="2"/>
  <c r="Z10" i="2" s="1"/>
  <c r="Y11" i="2"/>
  <c r="Z11" i="2" s="1"/>
  <c r="AA2" i="2"/>
  <c r="AB2" i="2" s="1"/>
  <c r="AA3" i="2"/>
  <c r="AB3" i="2" s="1"/>
  <c r="AA4" i="2"/>
  <c r="AB4" i="2" s="1"/>
  <c r="AA5" i="2"/>
  <c r="AB5" i="2" s="1"/>
  <c r="AA6" i="2"/>
  <c r="AB6" i="2" s="1"/>
  <c r="AA7" i="2"/>
  <c r="AB7" i="2" s="1"/>
  <c r="AA8" i="2"/>
  <c r="AB8" i="2" s="1"/>
  <c r="AA9" i="2"/>
  <c r="AB9" i="2" s="1"/>
  <c r="AA10" i="2"/>
  <c r="AB10" i="2" s="1"/>
  <c r="AA11" i="2"/>
  <c r="AB11" i="2" s="1"/>
  <c r="AC2" i="2"/>
  <c r="AC3" i="2"/>
  <c r="AC4" i="2"/>
  <c r="AC5" i="2"/>
  <c r="AC6" i="2"/>
  <c r="AC7" i="2"/>
  <c r="AC8" i="2"/>
  <c r="AC9" i="2"/>
  <c r="AC10" i="2"/>
  <c r="AC11" i="2"/>
  <c r="AD2" i="2"/>
  <c r="AD3" i="2"/>
  <c r="AD4" i="2"/>
  <c r="AD5" i="2"/>
  <c r="AD6" i="2"/>
  <c r="AD7" i="2"/>
  <c r="AD8" i="2"/>
  <c r="AD9" i="2"/>
  <c r="AD10" i="2"/>
  <c r="AD11" i="2"/>
  <c r="AE2" i="2"/>
  <c r="AE3" i="2"/>
  <c r="AE4" i="2"/>
  <c r="AE5" i="2"/>
  <c r="AE6" i="2"/>
  <c r="AE7" i="2"/>
  <c r="AE8" i="2"/>
  <c r="AE9" i="2"/>
  <c r="AE10" i="2"/>
  <c r="AE11" i="2"/>
  <c r="AF2" i="2"/>
  <c r="AF3" i="2"/>
  <c r="AF4" i="2"/>
  <c r="AF5" i="2"/>
  <c r="AF6" i="2"/>
  <c r="AF7" i="2"/>
  <c r="AF8" i="2"/>
  <c r="AF9" i="2"/>
  <c r="AF10" i="2"/>
  <c r="AF11" i="2"/>
  <c r="AG2" i="2"/>
  <c r="AJ2" i="2" s="1"/>
  <c r="AO2" i="2"/>
  <c r="AO3" i="2"/>
  <c r="AO4" i="2"/>
  <c r="AO5" i="2"/>
  <c r="AO6" i="2"/>
  <c r="AO7" i="2"/>
  <c r="AO8" i="2"/>
  <c r="AO9" i="2"/>
  <c r="AO10" i="2"/>
  <c r="AO11" i="2"/>
  <c r="AP2" i="2"/>
  <c r="AP3" i="2"/>
  <c r="AP4" i="2"/>
  <c r="AP5" i="2"/>
  <c r="AP6" i="2"/>
  <c r="AP7" i="2"/>
  <c r="AP8" i="2"/>
  <c r="AP9" i="2"/>
  <c r="AP10" i="2"/>
  <c r="AP11" i="2"/>
  <c r="AQ2" i="2"/>
  <c r="AQ3" i="2"/>
  <c r="AQ4" i="2"/>
  <c r="AQ5" i="2"/>
  <c r="AQ6" i="2"/>
  <c r="AQ7" i="2"/>
  <c r="AQ8" i="2"/>
  <c r="AQ9" i="2"/>
  <c r="AQ10" i="2"/>
  <c r="AQ11" i="2"/>
  <c r="AG11" i="2" l="1"/>
  <c r="AH11" i="2" s="1"/>
  <c r="AG7" i="2"/>
  <c r="AK7" i="2" s="1"/>
  <c r="AG3" i="2"/>
  <c r="AI3" i="2" s="1"/>
  <c r="AG9" i="2"/>
  <c r="AJ9" i="2" s="1"/>
  <c r="AG5" i="2"/>
  <c r="AI5" i="2" s="1"/>
  <c r="AG10" i="2"/>
  <c r="AH10" i="2" s="1"/>
  <c r="AG6" i="2"/>
  <c r="AK6" i="2" s="1"/>
  <c r="AG8" i="2"/>
  <c r="AJ8" i="2" s="1"/>
  <c r="AG4" i="2"/>
  <c r="AI4" i="2" s="1"/>
  <c r="AI2" i="2"/>
  <c r="AH2" i="2"/>
  <c r="AL9" i="2"/>
  <c r="AL5" i="2"/>
  <c r="AL11" i="2"/>
  <c r="AL7" i="2"/>
  <c r="AL3" i="2"/>
  <c r="AK11" i="2"/>
  <c r="AL10" i="2"/>
  <c r="AL8" i="2"/>
  <c r="AL6" i="2"/>
  <c r="AL4" i="2"/>
  <c r="AL2" i="2"/>
  <c r="AK2" i="2"/>
  <c r="AI11" i="2"/>
  <c r="AJ5" i="2" l="1"/>
  <c r="AJ11" i="2"/>
  <c r="AH9" i="2"/>
  <c r="AK9" i="2"/>
  <c r="AI9" i="2"/>
  <c r="AI7" i="2"/>
  <c r="AH3" i="2"/>
  <c r="AI6" i="2"/>
  <c r="AJ3" i="2"/>
  <c r="AJ6" i="2"/>
  <c r="AK3" i="2"/>
  <c r="AK8" i="2"/>
  <c r="AH7" i="2"/>
  <c r="AH5" i="2"/>
  <c r="AJ7" i="2"/>
  <c r="AK5" i="2"/>
  <c r="AH6" i="2"/>
  <c r="AI10" i="2"/>
  <c r="AK10" i="2"/>
  <c r="AJ10" i="2"/>
  <c r="AI8" i="2"/>
  <c r="AJ4" i="2"/>
  <c r="AK4" i="2"/>
  <c r="AH4" i="2"/>
  <c r="AH8" i="2"/>
  <c r="AM10" i="2" l="1"/>
  <c r="AM5" i="2"/>
  <c r="AM9" i="2"/>
  <c r="AM2" i="2"/>
  <c r="AN2" i="2" l="1"/>
  <c r="AN6" i="2"/>
  <c r="AN10" i="2"/>
  <c r="AN5" i="2"/>
  <c r="AN9" i="2"/>
  <c r="AN4" i="2"/>
  <c r="AN8" i="2"/>
  <c r="AN3" i="2"/>
  <c r="AN7" i="2"/>
  <c r="AN11" i="2"/>
  <c r="AM11" i="2"/>
  <c r="AM7" i="2"/>
  <c r="AM3" i="2"/>
  <c r="AM8" i="2"/>
  <c r="AM4" i="2"/>
  <c r="AM6" i="2"/>
</calcChain>
</file>

<file path=xl/sharedStrings.xml><?xml version="1.0" encoding="utf-8"?>
<sst xmlns="http://schemas.openxmlformats.org/spreadsheetml/2006/main" count="166" uniqueCount="92">
  <si>
    <t>FFA</t>
  </si>
  <si>
    <t>IP</t>
  </si>
  <si>
    <t>Whey Cream</t>
  </si>
  <si>
    <t>DATE</t>
  </si>
  <si>
    <t>Date Année</t>
  </si>
  <si>
    <t>Date mois</t>
  </si>
  <si>
    <t>Date semaine</t>
  </si>
  <si>
    <t>Order Number</t>
  </si>
  <si>
    <t>AMF TYPE</t>
  </si>
  <si>
    <t>Remarks</t>
  </si>
  <si>
    <t>Tank on time Yes/No</t>
  </si>
  <si>
    <t>Tank clean Yes/No</t>
  </si>
  <si>
    <t>Cote Gout</t>
  </si>
  <si>
    <t>RMN</t>
  </si>
  <si>
    <t>Poids net</t>
  </si>
  <si>
    <t>NC KF</t>
  </si>
  <si>
    <t>NC FFA</t>
  </si>
  <si>
    <t>NC IP</t>
  </si>
  <si>
    <t>NC GOUT</t>
  </si>
  <si>
    <t>CHOIX KF</t>
  </si>
  <si>
    <t>CHOIX FFA</t>
  </si>
  <si>
    <t>CHOIX IP</t>
  </si>
  <si>
    <t>CHOIX GOUT</t>
  </si>
  <si>
    <t xml:space="preserve">CHOIX </t>
  </si>
  <si>
    <t>CHOIX 2</t>
  </si>
  <si>
    <t>CHOIX 1</t>
  </si>
  <si>
    <t>CHOIX 3</t>
  </si>
  <si>
    <t>CHOIX 0</t>
  </si>
  <si>
    <t>Année Semaine</t>
  </si>
  <si>
    <t>Sw Cream</t>
  </si>
  <si>
    <t>Y</t>
  </si>
  <si>
    <t>N</t>
  </si>
  <si>
    <t>1/0 NC KF</t>
  </si>
  <si>
    <t>1/0 NC FFA</t>
  </si>
  <si>
    <t>1/0 NC IP</t>
  </si>
  <si>
    <t>1/0 NC GOUT</t>
  </si>
  <si>
    <t>6 Mois</t>
  </si>
  <si>
    <t>4 Semaines</t>
  </si>
  <si>
    <t>AMF 10</t>
  </si>
  <si>
    <t>0129516</t>
  </si>
  <si>
    <t>0129549</t>
  </si>
  <si>
    <t>0129570</t>
  </si>
  <si>
    <t>0129518</t>
  </si>
  <si>
    <t>0129528</t>
  </si>
  <si>
    <t>0129540</t>
  </si>
  <si>
    <t>0129560</t>
  </si>
  <si>
    <t>0129562</t>
  </si>
  <si>
    <t>0129559</t>
  </si>
  <si>
    <t>0129541</t>
  </si>
  <si>
    <t>Sunday</t>
  </si>
  <si>
    <t>Saturday</t>
  </si>
  <si>
    <t>WEEK 16</t>
  </si>
  <si>
    <t>17.04.16</t>
  </si>
  <si>
    <t>to</t>
  </si>
  <si>
    <t>23.04.16</t>
  </si>
  <si>
    <t xml:space="preserve"> </t>
  </si>
  <si>
    <t>ORDER NUMBER</t>
  </si>
  <si>
    <t>Whey cream AMF WEIGHT</t>
  </si>
  <si>
    <t>DESPATCH No</t>
  </si>
  <si>
    <t>Tank Clean Yes/No</t>
  </si>
  <si>
    <t>Cote Goût</t>
  </si>
  <si>
    <t>T° réception</t>
  </si>
  <si>
    <t>18.04.16</t>
  </si>
  <si>
    <t>20.04.16</t>
  </si>
  <si>
    <t>21.04.16</t>
  </si>
  <si>
    <t>22.04.16</t>
  </si>
  <si>
    <t>Norms :</t>
  </si>
  <si>
    <t>Totals</t>
  </si>
  <si>
    <t>Premium : 0,1</t>
  </si>
  <si>
    <t>Standard : 0,1</t>
  </si>
  <si>
    <t>Premium : 0,35</t>
  </si>
  <si>
    <t>Standard : 0,45</t>
  </si>
  <si>
    <t>Premium : 0,25</t>
  </si>
  <si>
    <t>45 °C</t>
  </si>
  <si>
    <t>Sweet cream AMF WEIGHT</t>
  </si>
  <si>
    <t>19.04.16</t>
  </si>
  <si>
    <t>Cote Gout2</t>
  </si>
  <si>
    <t xml:space="preserve"> Moisture (KF)</t>
  </si>
  <si>
    <t xml:space="preserve"> Humidité    (KF)</t>
  </si>
  <si>
    <t xml:space="preserve"> FFA</t>
  </si>
  <si>
    <t xml:space="preserve">    FFA</t>
  </si>
  <si>
    <t xml:space="preserve"> PV</t>
  </si>
  <si>
    <t>(meq02/kg MG)</t>
  </si>
  <si>
    <t xml:space="preserve">Numéro séquence </t>
  </si>
  <si>
    <t>moisture (KF)</t>
  </si>
  <si>
    <t>Humidité(KF)</t>
  </si>
  <si>
    <t>FFA2</t>
  </si>
  <si>
    <t>PV</t>
  </si>
  <si>
    <t>Val Abs. des écarts  KF</t>
  </si>
  <si>
    <t>Val Abs. des écarts  FFA</t>
  </si>
  <si>
    <t>Val Abs. des écarts  IP</t>
  </si>
  <si>
    <t>La donné est trouvé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</si>
</sst>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\ #,##0.00;[Red]&quot;€&quot;\ \-#,##0.00"/>
    <numFmt numFmtId="165" formatCode="[$-40C]mmm\-yy;@"/>
    <numFmt numFmtId="166" formatCode="d/mm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9"/>
      <color indexed="53"/>
      <name val="Arial"/>
      <family val="2"/>
    </font>
    <font>
      <b/>
      <sz val="9"/>
      <color indexed="12"/>
      <name val="Arial"/>
      <family val="2"/>
    </font>
    <font>
      <b/>
      <sz val="11"/>
      <color indexed="12"/>
      <name val="Arial"/>
      <family val="2"/>
    </font>
    <font>
      <sz val="20"/>
      <color rgb="FF000000"/>
      <name val="Calibri"/>
      <family val="2"/>
    </font>
    <font>
      <sz val="9"/>
      <color rgb="FFFF0000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NumberFormat="1" applyAlignment="1">
      <alignment horizontal="center"/>
    </xf>
    <xf numFmtId="166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0" fontId="1" fillId="0" borderId="0" xfId="0" applyFont="1" applyAlignment="1" applyProtection="1">
      <alignment horizontal="center" vertical="center" textRotation="90" wrapText="1"/>
    </xf>
    <xf numFmtId="165" fontId="1" fillId="0" borderId="0" xfId="0" applyNumberFormat="1" applyFont="1" applyAlignment="1" applyProtection="1">
      <alignment horizontal="center" vertical="center" textRotation="90" wrapText="1"/>
    </xf>
    <xf numFmtId="49" fontId="1" fillId="0" borderId="0" xfId="0" applyNumberFormat="1" applyFont="1" applyAlignment="1" applyProtection="1">
      <alignment horizontal="center" vertical="center" textRotation="90" wrapText="1"/>
    </xf>
    <xf numFmtId="0" fontId="2" fillId="0" borderId="0" xfId="0" applyFont="1" applyAlignment="1" applyProtection="1">
      <alignment horizontal="center" vertical="center" textRotation="90" wrapText="1"/>
    </xf>
    <xf numFmtId="0" fontId="3" fillId="0" borderId="0" xfId="0" applyFont="1" applyAlignment="1" applyProtection="1">
      <alignment horizontal="center" vertical="center" textRotation="90" wrapText="1"/>
    </xf>
    <xf numFmtId="0" fontId="1" fillId="0" borderId="0" xfId="0" applyFont="1" applyAlignment="1" applyProtection="1">
      <alignment textRotation="90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4" fillId="0" borderId="1" xfId="0" applyFont="1" applyFill="1" applyBorder="1"/>
    <xf numFmtId="0" fontId="4" fillId="0" borderId="0" xfId="0" applyFont="1" applyFill="1"/>
    <xf numFmtId="0" fontId="5" fillId="0" borderId="1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5" xfId="0" applyFont="1" applyFill="1" applyBorder="1"/>
    <xf numFmtId="0" fontId="5" fillId="2" borderId="5" xfId="0" applyFont="1" applyFill="1" applyBorder="1"/>
    <xf numFmtId="0" fontId="5" fillId="0" borderId="6" xfId="0" applyFont="1" applyFill="1" applyBorder="1" applyAlignment="1">
      <alignment wrapText="1"/>
    </xf>
    <xf numFmtId="0" fontId="5" fillId="0" borderId="7" xfId="0" applyFont="1" applyFill="1" applyBorder="1" applyAlignment="1">
      <alignment wrapText="1"/>
    </xf>
    <xf numFmtId="0" fontId="5" fillId="3" borderId="7" xfId="0" applyFont="1" applyFill="1" applyBorder="1" applyAlignment="1">
      <alignment wrapText="1"/>
    </xf>
    <xf numFmtId="0" fontId="5" fillId="0" borderId="8" xfId="0" applyFont="1" applyFill="1" applyBorder="1" applyAlignment="1">
      <alignment wrapText="1"/>
    </xf>
    <xf numFmtId="0" fontId="5" fillId="4" borderId="6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wrapText="1"/>
    </xf>
    <xf numFmtId="0" fontId="5" fillId="0" borderId="10" xfId="0" applyFont="1" applyFill="1" applyBorder="1" applyAlignment="1">
      <alignment wrapText="1"/>
    </xf>
    <xf numFmtId="0" fontId="5" fillId="0" borderId="11" xfId="0" applyFont="1" applyFill="1" applyBorder="1" applyAlignment="1">
      <alignment wrapText="1"/>
    </xf>
    <xf numFmtId="0" fontId="4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6" fillId="0" borderId="12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14" xfId="0" applyFont="1" applyFill="1" applyBorder="1"/>
    <xf numFmtId="0" fontId="4" fillId="0" borderId="15" xfId="0" applyFont="1" applyFill="1" applyBorder="1"/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/>
    <xf numFmtId="0" fontId="4" fillId="0" borderId="12" xfId="0" applyFont="1" applyFill="1" applyBorder="1" applyAlignment="1">
      <alignment horizontal="center"/>
    </xf>
    <xf numFmtId="0" fontId="5" fillId="0" borderId="18" xfId="0" applyFont="1" applyFill="1" applyBorder="1"/>
    <xf numFmtId="0" fontId="5" fillId="0" borderId="19" xfId="0" applyFont="1" applyFill="1" applyBorder="1"/>
    <xf numFmtId="0" fontId="5" fillId="0" borderId="20" xfId="0" applyFont="1" applyFill="1" applyBorder="1"/>
    <xf numFmtId="0" fontId="5" fillId="0" borderId="11" xfId="0" applyFont="1" applyFill="1" applyBorder="1"/>
    <xf numFmtId="0" fontId="4" fillId="0" borderId="21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6" fillId="0" borderId="23" xfId="0" applyFont="1" applyFill="1" applyBorder="1"/>
    <xf numFmtId="0" fontId="4" fillId="0" borderId="24" xfId="0" applyFont="1" applyFill="1" applyBorder="1"/>
    <xf numFmtId="0" fontId="4" fillId="0" borderId="25" xfId="0" applyFont="1" applyFill="1" applyBorder="1"/>
    <xf numFmtId="0" fontId="4" fillId="0" borderId="26" xfId="0" applyFont="1" applyFill="1" applyBorder="1"/>
    <xf numFmtId="0" fontId="5" fillId="0" borderId="27" xfId="0" applyFont="1" applyFill="1" applyBorder="1"/>
    <xf numFmtId="0" fontId="5" fillId="0" borderId="28" xfId="0" applyFont="1" applyFill="1" applyBorder="1"/>
    <xf numFmtId="0" fontId="7" fillId="0" borderId="28" xfId="0" applyFont="1" applyFill="1" applyBorder="1"/>
    <xf numFmtId="0" fontId="7" fillId="0" borderId="27" xfId="0" applyFont="1" applyFill="1" applyBorder="1"/>
    <xf numFmtId="0" fontId="7" fillId="0" borderId="29" xfId="0" applyFont="1" applyFill="1" applyBorder="1"/>
    <xf numFmtId="0" fontId="4" fillId="0" borderId="30" xfId="0" applyFont="1" applyFill="1" applyBorder="1"/>
    <xf numFmtId="0" fontId="5" fillId="0" borderId="31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2" borderId="1" xfId="0" applyFont="1" applyFill="1" applyBorder="1"/>
    <xf numFmtId="0" fontId="5" fillId="0" borderId="32" xfId="0" applyFont="1" applyFill="1" applyBorder="1" applyAlignment="1">
      <alignment wrapText="1"/>
    </xf>
    <xf numFmtId="0" fontId="6" fillId="0" borderId="2" xfId="0" applyFont="1" applyFill="1" applyBorder="1"/>
    <xf numFmtId="0" fontId="4" fillId="0" borderId="2" xfId="0" applyFont="1" applyFill="1" applyBorder="1"/>
    <xf numFmtId="0" fontId="4" fillId="0" borderId="33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5" xfId="0" applyFont="1" applyFill="1" applyBorder="1"/>
    <xf numFmtId="0" fontId="5" fillId="0" borderId="34" xfId="0" applyFont="1" applyFill="1" applyBorder="1"/>
    <xf numFmtId="0" fontId="4" fillId="0" borderId="3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2" borderId="22" xfId="0" applyFont="1" applyFill="1" applyBorder="1"/>
    <xf numFmtId="0" fontId="5" fillId="2" borderId="23" xfId="0" applyFont="1" applyFill="1" applyBorder="1"/>
    <xf numFmtId="0" fontId="4" fillId="0" borderId="35" xfId="0" applyFont="1" applyFill="1" applyBorder="1"/>
    <xf numFmtId="0" fontId="4" fillId="0" borderId="32" xfId="0" applyFont="1" applyFill="1" applyBorder="1"/>
    <xf numFmtId="0" fontId="5" fillId="0" borderId="36" xfId="0" applyFont="1" applyFill="1" applyBorder="1"/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4" fillId="0" borderId="7" xfId="0" applyFont="1" applyFill="1" applyBorder="1"/>
    <xf numFmtId="0" fontId="4" fillId="0" borderId="9" xfId="0" applyFont="1" applyFill="1" applyBorder="1"/>
    <xf numFmtId="0" fontId="5" fillId="0" borderId="37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/>
    </xf>
    <xf numFmtId="0" fontId="5" fillId="3" borderId="32" xfId="0" applyFont="1" applyFill="1" applyBorder="1" applyAlignment="1">
      <alignment wrapText="1"/>
    </xf>
    <xf numFmtId="0" fontId="5" fillId="0" borderId="3" xfId="0" applyFont="1" applyFill="1" applyBorder="1" applyAlignment="1">
      <alignment wrapText="1"/>
    </xf>
    <xf numFmtId="0" fontId="5" fillId="4" borderId="35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4" fillId="0" borderId="38" xfId="0" applyFont="1" applyFill="1" applyBorder="1"/>
    <xf numFmtId="1" fontId="4" fillId="0" borderId="1" xfId="0" applyNumberFormat="1" applyFont="1" applyFill="1" applyBorder="1"/>
    <xf numFmtId="0" fontId="4" fillId="0" borderId="13" xfId="0" applyFont="1" applyFill="1" applyBorder="1"/>
    <xf numFmtId="14" fontId="6" fillId="0" borderId="12" xfId="0" applyNumberFormat="1" applyFont="1" applyFill="1" applyBorder="1" applyAlignment="1">
      <alignment horizontal="center"/>
    </xf>
    <xf numFmtId="0" fontId="4" fillId="0" borderId="39" xfId="0" applyFont="1" applyFill="1" applyBorder="1"/>
    <xf numFmtId="0" fontId="4" fillId="0" borderId="40" xfId="0" applyFont="1" applyFill="1" applyBorder="1"/>
    <xf numFmtId="0" fontId="5" fillId="0" borderId="3" xfId="0" applyFont="1" applyFill="1" applyBorder="1" applyAlignment="1">
      <alignment horizontal="center"/>
    </xf>
    <xf numFmtId="0" fontId="5" fillId="0" borderId="7" xfId="0" applyFont="1" applyFill="1" applyBorder="1"/>
    <xf numFmtId="0" fontId="6" fillId="0" borderId="33" xfId="0" applyFont="1" applyFill="1" applyBorder="1" applyAlignment="1">
      <alignment horizontal="center"/>
    </xf>
    <xf numFmtId="0" fontId="6" fillId="0" borderId="41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4" fillId="0" borderId="16" xfId="0" applyFont="1" applyFill="1" applyBorder="1"/>
    <xf numFmtId="0" fontId="8" fillId="0" borderId="1" xfId="0" applyFont="1" applyFill="1" applyBorder="1" applyAlignment="1">
      <alignment horizontal="center"/>
    </xf>
    <xf numFmtId="0" fontId="4" fillId="0" borderId="42" xfId="0" applyFont="1" applyFill="1" applyBorder="1"/>
    <xf numFmtId="0" fontId="4" fillId="0" borderId="43" xfId="0" applyFont="1" applyFill="1" applyBorder="1"/>
    <xf numFmtId="0" fontId="4" fillId="0" borderId="25" xfId="0" applyFont="1" applyFill="1" applyBorder="1" applyAlignment="1">
      <alignment horizontal="center"/>
    </xf>
    <xf numFmtId="0" fontId="6" fillId="0" borderId="32" xfId="0" applyFont="1" applyFill="1" applyBorder="1"/>
    <xf numFmtId="0" fontId="4" fillId="0" borderId="0" xfId="0" applyFont="1" applyFill="1" applyAlignment="1">
      <alignment horizontal="center"/>
    </xf>
    <xf numFmtId="0" fontId="8" fillId="0" borderId="1" xfId="0" applyFont="1" applyFill="1" applyBorder="1"/>
    <xf numFmtId="0" fontId="4" fillId="0" borderId="23" xfId="0" applyFont="1" applyFill="1" applyBorder="1"/>
    <xf numFmtId="3" fontId="9" fillId="0" borderId="1" xfId="0" applyNumberFormat="1" applyFont="1" applyFill="1" applyBorder="1"/>
    <xf numFmtId="0" fontId="6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/>
    <xf numFmtId="0" fontId="6" fillId="0" borderId="1" xfId="0" applyNumberFormat="1" applyFont="1" applyFill="1" applyBorder="1"/>
    <xf numFmtId="0" fontId="1" fillId="0" borderId="0" xfId="0" applyNumberFormat="1" applyFont="1" applyAlignment="1" applyProtection="1">
      <alignment horizontal="right" textRotation="90" wrapText="1"/>
    </xf>
    <xf numFmtId="0" fontId="11" fillId="0" borderId="1" xfId="0" applyFont="1" applyFill="1" applyBorder="1"/>
    <xf numFmtId="0" fontId="12" fillId="2" borderId="5" xfId="0" applyFont="1" applyFill="1" applyBorder="1"/>
  </cellXfs>
  <cellStyles count="1">
    <cellStyle name="Normal" xfId="0" builtinId="0"/>
  </cellStyles>
  <dxfs count="5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indent="0" justifyLastLine="0" shrinkToFit="0" readingOrder="0"/>
      <protection locked="0" hidden="0"/>
    </dxf>
    <dxf>
      <numFmt numFmtId="165" formatCode="[$-40C]mmm\-yy;@"/>
      <alignment horizontal="center" vertical="center" indent="0" justifyLastLine="0" shrinkToFit="0" readingOrder="0"/>
      <protection locked="0" hidden="0"/>
    </dxf>
    <dxf>
      <numFmt numFmtId="0" formatCode="General"/>
      <alignment horizontal="center" vertical="center" indent="0" justifyLastLine="0" shrinkToFit="0" readingOrder="0"/>
      <protection locked="0" hidden="0"/>
    </dxf>
    <dxf>
      <numFmt numFmtId="166" formatCode="d/mm/yy;@"/>
      <protection locked="0" hidden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90" wrapText="1" indent="0" justifyLastLine="0" shrinkToFit="0" readingOrder="0"/>
      <protection locked="1" hidden="0"/>
    </dxf>
  </dxfs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10</xdr:row>
          <xdr:rowOff>38100</xdr:rowOff>
        </xdr:from>
        <xdr:to>
          <xdr:col>8</xdr:col>
          <xdr:colOff>533400</xdr:colOff>
          <xdr:row>14</xdr:row>
          <xdr:rowOff>390525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RésultatsMGLAIRL" displayName="TabRésultatsMGLAIRL" ref="A1:AQ11" totalsRowShown="0" headerRowDxfId="55" dataDxfId="54">
  <autoFilter ref="A1:AQ11"/>
  <tableColumns count="43">
    <tableColumn id="1" name="DATE" dataDxfId="53"/>
    <tableColumn id="2" name="Date Année" dataDxfId="52">
      <calculatedColumnFormula>IF(ISBLANK(A2),"",YEAR(A2))</calculatedColumnFormula>
    </tableColumn>
    <tableColumn id="3" name="Date mois" dataDxfId="51">
      <calculatedColumnFormula>IF(ISBLANK(A2),"",EOMONTH(A2,0))</calculatedColumnFormula>
    </tableColumn>
    <tableColumn id="4" name="Date semaine" dataDxfId="50">
      <calculatedColumnFormula>IF(ISBLANK(A2),"",WEEKNUM(A2,21))</calculatedColumnFormula>
    </tableColumn>
    <tableColumn id="5" name="Order Number" dataDxfId="49"/>
    <tableColumn id="6" name="Numéro séquence " dataDxfId="48"/>
    <tableColumn id="7" name="AMF TYPE" dataDxfId="47"/>
    <tableColumn id="8" name="Remarks" dataDxfId="46"/>
    <tableColumn id="9" name="Tank on time Yes/No" dataDxfId="45"/>
    <tableColumn id="10" name="Tank clean Yes/No" dataDxfId="44"/>
    <tableColumn id="11" name="moisture (KF)" dataDxfId="43"/>
    <tableColumn id="12" name="Humidité(KF)" dataDxfId="42"/>
    <tableColumn id="13" name="FFA" dataDxfId="41"/>
    <tableColumn id="14" name="FFA2" dataDxfId="40"/>
    <tableColumn id="15" name="PV" dataDxfId="39"/>
    <tableColumn id="16" name="IP" dataDxfId="38"/>
    <tableColumn id="17" name="Cote Gout" dataDxfId="37"/>
    <tableColumn id="18" name="Cote Gout2" dataDxfId="36"/>
    <tableColumn id="19" name="RMN" dataDxfId="35"/>
    <tableColumn id="20" name="Poids net" dataDxfId="34"/>
    <tableColumn id="21" name="NC KF" dataDxfId="33">
      <calculatedColumnFormula>IF(ISBLANK(TabRésultatsMGLAIRL[[#This Row],[Humidité(KF)]]),"",IF(TabRésultatsMGLAIRL[[#This Row],[Humidité(KF)]]&gt;#REF!,"VRAI","FAUX"))</calculatedColumnFormula>
    </tableColumn>
    <tableColumn id="41" name="1/0 NC KF" dataDxfId="32">
      <calculatedColumnFormula>IF(TabRésultatsMGLAIRL[[#This Row],[NC KF]]="VRAI",1,0)</calculatedColumnFormula>
    </tableColumn>
    <tableColumn id="22" name="NC FFA" dataDxfId="31">
      <calculatedColumnFormula>IF(ISBLANK(TabRésultatsMGLAIRL[[#This Row],[FFA2]]),"",IF(TabRésultatsMGLAIRL[[#This Row],[FFA2]]&gt;#REF!,"VRAI","FAUX"))</calculatedColumnFormula>
    </tableColumn>
    <tableColumn id="42" name="1/0 NC FFA" dataDxfId="30">
      <calculatedColumnFormula>IF(TabRésultatsMGLAIRL[[#This Row],[NC FFA]]="VRAI",1,0)</calculatedColumnFormula>
    </tableColumn>
    <tableColumn id="23" name="NC IP" dataDxfId="29">
      <calculatedColumnFormula>IF(ISBLANK(TabRésultatsMGLAIRL[[#This Row],[IP]]),"",IF(TabRésultatsMGLAIRL[[#This Row],[IP]]&gt;=#REF!,"VRAI","FAUX"))</calculatedColumnFormula>
    </tableColumn>
    <tableColumn id="43" name="1/0 NC IP" dataDxfId="28">
      <calculatedColumnFormula>IF(TabRésultatsMGLAIRL[[#This Row],[NC IP]]="VRAI",1,0)</calculatedColumnFormula>
    </tableColumn>
    <tableColumn id="24" name="NC GOUT" dataDxfId="27">
      <calculatedColumnFormula>IF(ISBLANK(TabRésultatsMGLAIRL[[#This Row],[Cote Gout]]),"",IF(TabRésultatsMGLAIRL[[#This Row],[Cote Gout]]&gt;#REF!,"FAUX"," VRAI"))</calculatedColumnFormula>
    </tableColumn>
    <tableColumn id="45" name="1/0 NC GOUT" dataDxfId="26">
      <calculatedColumnFormula>IF(TabRésultatsMGLAIRL[[#This Row],[NC GOUT]]="FAUX",0,1)</calculatedColumnFormula>
    </tableColumn>
    <tableColumn id="25" name="CHOIX KF" dataDxfId="25">
      <calculatedColumnFormula>IF(ISBLANK(TabRésultatsMGLAIRL[[#This Row],[Humidité(KF)]]),"",IF(TabRésultatsMGLAIRL[[#This Row],[Humidité(KF)]]&lt;=#REF!,1,3))</calculatedColumnFormula>
    </tableColumn>
    <tableColumn id="26" name="CHOIX FFA" dataDxfId="24">
      <calculatedColumnFormula>IF(ISBLANK(TabRésultatsMGLAIRL[[#This Row],[FFA2]]),"",IF(TabRésultatsMGLAIRL[[#This Row],[FFA2]]&lt;=#REF!,1,IF(TabRésultatsMGLAIRL[[#This Row],[FFA2]]&lt;=#REF!,2,3)))</calculatedColumnFormula>
    </tableColumn>
    <tableColumn id="27" name="CHOIX IP" dataDxfId="23">
      <calculatedColumnFormula>IF(ISBLANK(TabRésultatsMGLAIRL[[#This Row],[IP]]),"",IF(TabRésultatsMGLAIRL[[#This Row],[IP]]&lt;=#REF!,1,IF(TabRésultatsMGLAIRL[[#This Row],[IP]]&lt;=#REF!,2,3)))</calculatedColumnFormula>
    </tableColumn>
    <tableColumn id="28" name="CHOIX GOUT" dataDxfId="22">
      <calculatedColumnFormula>IF(ISBLANK(TabRésultatsMGLAIRL[[#This Row],[Cote Gout]]),"",IF(TabRésultatsMGLAIRL[[#This Row],[Cote Gout]]&lt;=#REF!,3,IF(TabRésultatsMGLAIRL[[#This Row],[Cote Gout]]&lt;=#REF!,2,1)))</calculatedColumnFormula>
    </tableColumn>
    <tableColumn id="29" name="CHOIX " dataDxfId="21">
      <calculatedColumnFormula>MAX(TabRésultatsMGLAIRL[[#This Row],[CHOIX KF]:[CHOIX GOUT]])</calculatedColumnFormula>
    </tableColumn>
    <tableColumn id="30" name="CHOIX 1" dataDxfId="20">
      <calculatedColumnFormula>IF(TabRésultatsMGLAIRL[[#This Row],[CHOIX ]]=1,1,0)</calculatedColumnFormula>
    </tableColumn>
    <tableColumn id="31" name="CHOIX 2" dataDxfId="19">
      <calculatedColumnFormula>IF(TabRésultatsMGLAIRL[[#This Row],[CHOIX ]]=2,1,0)</calculatedColumnFormula>
    </tableColumn>
    <tableColumn id="32" name="CHOIX 3" dataDxfId="18">
      <calculatedColumnFormula>IF(TabRésultatsMGLAIRL[[#This Row],[CHOIX ]]=3,1,0)</calculatedColumnFormula>
    </tableColumn>
    <tableColumn id="33" name="CHOIX 0" dataDxfId="17">
      <calculatedColumnFormula>IF(TabRésultatsMGLAIRL[[#This Row],[CHOIX ]]="",1,0)</calculatedColumnFormula>
    </tableColumn>
    <tableColumn id="36" name="Année Semaine" dataDxfId="16">
      <calculatedColumnFormula>TEXT(RIGHT(TabRésultatsMGLAIRL[[#This Row],[Date Année]],2),"00")&amp;TEXT(TabRésultatsMGLAIRL[[#This Row],[Date semaine]],"00")</calculatedColumnFormula>
    </tableColumn>
    <tableColumn id="37" name="4 Semaines" dataDxfId="15">
      <calculatedColumnFormula>--AND(VALUE(TabRésultatsMGLAIRL[[#This Row],[Année Semaine]])&gt;=#REF!,VALUE(TabRésultatsMGLAIRL[[#This Row],[Année Semaine]])&lt;=#REF!)</calculatedColumnFormula>
    </tableColumn>
    <tableColumn id="34" name="6 Mois" dataDxfId="14">
      <calculatedColumnFormula>--AND(VALUE(TabRésultatsMGLAIRL[[#This Row],[Année Semaine]])&gt;=#REF!,VALUE(TabRésultatsMGLAIRL[[#This Row],[Année Semaine]])&lt;=#REF!)</calculatedColumnFormula>
    </tableColumn>
    <tableColumn id="38" name="Val Abs. des écarts  KF" dataDxfId="13">
      <calculatedColumnFormula>ABS(TabRésultatsMGLAIRL[[#This Row],[Humidité(KF)]]-TabRésultatsMGLAIRL[[#This Row],[moisture (KF)]])</calculatedColumnFormula>
    </tableColumn>
    <tableColumn id="39" name="Val Abs. des écarts  FFA" dataDxfId="12">
      <calculatedColumnFormula>ABS(TabRésultatsMGLAIRL[[#This Row],[FFA]]-TabRésultatsMGLAIRL[[#This Row],[FFA2]])</calculatedColumnFormula>
    </tableColumn>
    <tableColumn id="40" name="Val Abs. des écarts  IP" dataDxfId="11">
      <calculatedColumnFormula>ABS(TabRésultatsMGLAIRL[[#This Row],[PV]]-TabRésultatsMGLAIRL[[#This Row],[IP]])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11"/>
  <sheetViews>
    <sheetView tabSelected="1" zoomScale="96" zoomScaleNormal="96" workbookViewId="0">
      <pane ySplit="1" topLeftCell="A2" activePane="bottomLeft" state="frozen"/>
      <selection activeCell="D1" sqref="D1"/>
      <selection pane="bottomLeft"/>
    </sheetView>
  </sheetViews>
  <sheetFormatPr baseColWidth="10" defaultColWidth="9.140625" defaultRowHeight="15" x14ac:dyDescent="0.25"/>
  <cols>
    <col min="1" max="1" width="11.7109375" style="6" bestFit="1" customWidth="1"/>
    <col min="2" max="2" width="12.42578125" style="3" customWidth="1"/>
    <col min="3" max="3" width="12" style="4" customWidth="1"/>
    <col min="4" max="4" width="5" style="3" customWidth="1"/>
    <col min="5" max="5" width="11.140625" style="6" customWidth="1"/>
    <col min="6" max="6" width="13" style="9" customWidth="1"/>
    <col min="7" max="7" width="10.42578125" style="3" customWidth="1"/>
    <col min="8" max="8" width="10.7109375" style="6" customWidth="1"/>
    <col min="9" max="9" width="8.42578125" style="6" customWidth="1"/>
    <col min="10" max="10" width="7.140625" style="6" customWidth="1"/>
    <col min="11" max="16" width="12.7109375" style="6" customWidth="1"/>
    <col min="17" max="17" width="7.5703125" style="6" customWidth="1"/>
    <col min="18" max="18" width="12.7109375" style="6" customWidth="1"/>
    <col min="19" max="19" width="9.140625" style="6"/>
    <col min="20" max="20" width="11.42578125" style="6" customWidth="1"/>
    <col min="22" max="22" width="9.140625" hidden="1" customWidth="1"/>
    <col min="23" max="23" width="9.7109375" customWidth="1"/>
    <col min="24" max="24" width="9.7109375" hidden="1" customWidth="1"/>
    <col min="26" max="26" width="9.140625" hidden="1" customWidth="1"/>
    <col min="27" max="27" width="9.140625" customWidth="1"/>
    <col min="28" max="28" width="9.140625" hidden="1" customWidth="1"/>
    <col min="29" max="29" width="9.140625" customWidth="1"/>
    <col min="35" max="35" width="9.5703125" bestFit="1" customWidth="1"/>
    <col min="37" max="37" width="9.140625" customWidth="1"/>
    <col min="38" max="38" width="9.140625" hidden="1" customWidth="1"/>
    <col min="39" max="40" width="12.5703125" hidden="1" customWidth="1"/>
  </cols>
  <sheetData>
    <row r="1" spans="1:43" s="15" customFormat="1" ht="81.75" customHeight="1" x14ac:dyDescent="0.25">
      <c r="A1" s="10" t="s">
        <v>3</v>
      </c>
      <c r="B1" s="10" t="s">
        <v>4</v>
      </c>
      <c r="C1" s="11" t="s">
        <v>5</v>
      </c>
      <c r="D1" s="10" t="s">
        <v>6</v>
      </c>
      <c r="E1" s="112" t="s">
        <v>7</v>
      </c>
      <c r="F1" s="12" t="s">
        <v>83</v>
      </c>
      <c r="G1" s="10" t="s">
        <v>8</v>
      </c>
      <c r="H1" s="10" t="s">
        <v>9</v>
      </c>
      <c r="I1" s="10" t="s">
        <v>10</v>
      </c>
      <c r="J1" s="10" t="s">
        <v>11</v>
      </c>
      <c r="K1" s="10" t="s">
        <v>84</v>
      </c>
      <c r="L1" s="10" t="s">
        <v>85</v>
      </c>
      <c r="M1" s="10" t="s">
        <v>0</v>
      </c>
      <c r="N1" s="10" t="s">
        <v>86</v>
      </c>
      <c r="O1" s="10" t="s">
        <v>87</v>
      </c>
      <c r="P1" s="10" t="s">
        <v>1</v>
      </c>
      <c r="Q1" s="10" t="s">
        <v>12</v>
      </c>
      <c r="R1" s="10" t="s">
        <v>76</v>
      </c>
      <c r="S1" s="10" t="s">
        <v>13</v>
      </c>
      <c r="T1" s="10" t="s">
        <v>14</v>
      </c>
      <c r="U1" s="13" t="s">
        <v>15</v>
      </c>
      <c r="V1" s="14" t="s">
        <v>32</v>
      </c>
      <c r="W1" s="13" t="s">
        <v>16</v>
      </c>
      <c r="X1" s="14" t="s">
        <v>33</v>
      </c>
      <c r="Y1" s="13" t="s">
        <v>17</v>
      </c>
      <c r="Z1" s="14" t="s">
        <v>34</v>
      </c>
      <c r="AA1" s="13" t="s">
        <v>18</v>
      </c>
      <c r="AB1" s="14" t="s">
        <v>35</v>
      </c>
      <c r="AC1" s="13" t="s">
        <v>19</v>
      </c>
      <c r="AD1" s="13" t="s">
        <v>20</v>
      </c>
      <c r="AE1" s="13" t="s">
        <v>21</v>
      </c>
      <c r="AF1" s="13" t="s">
        <v>22</v>
      </c>
      <c r="AG1" s="13" t="s">
        <v>23</v>
      </c>
      <c r="AH1" s="13" t="s">
        <v>25</v>
      </c>
      <c r="AI1" s="13" t="s">
        <v>24</v>
      </c>
      <c r="AJ1" s="13" t="s">
        <v>26</v>
      </c>
      <c r="AK1" s="13" t="s">
        <v>27</v>
      </c>
      <c r="AL1" s="14" t="s">
        <v>28</v>
      </c>
      <c r="AM1" s="14" t="s">
        <v>37</v>
      </c>
      <c r="AN1" s="14" t="s">
        <v>36</v>
      </c>
      <c r="AO1" s="10" t="s">
        <v>88</v>
      </c>
      <c r="AP1" s="10" t="s">
        <v>89</v>
      </c>
      <c r="AQ1" s="10" t="s">
        <v>90</v>
      </c>
    </row>
    <row r="2" spans="1:43" x14ac:dyDescent="0.25">
      <c r="A2" s="2">
        <v>42472</v>
      </c>
      <c r="B2" s="3">
        <f t="shared" ref="B2:B11" si="0">IF(ISBLANK(A2),"",YEAR(A2))</f>
        <v>2016</v>
      </c>
      <c r="C2" s="4">
        <f t="shared" ref="C2:C11" si="1">IF(ISBLANK(A2),"",EOMONTH(A2,0))</f>
        <v>42490</v>
      </c>
      <c r="D2" s="8">
        <f t="shared" ref="D2:D11" si="2">IF(ISBLANK(A2),"",WEEKNUM(A2,21))</f>
        <v>15</v>
      </c>
      <c r="E2" s="3">
        <v>198667</v>
      </c>
      <c r="F2" s="5" t="s">
        <v>39</v>
      </c>
      <c r="G2" s="3" t="s">
        <v>2</v>
      </c>
      <c r="I2" s="6" t="s">
        <v>30</v>
      </c>
      <c r="J2" s="6" t="s">
        <v>30</v>
      </c>
      <c r="K2" s="7">
        <v>0.03</v>
      </c>
      <c r="L2" s="7">
        <v>7.0000000000000007E-2</v>
      </c>
      <c r="M2" s="7">
        <v>0.24</v>
      </c>
      <c r="N2" s="7">
        <v>0.31</v>
      </c>
      <c r="O2" s="7">
        <v>0.12</v>
      </c>
      <c r="P2" s="7">
        <v>0.05</v>
      </c>
      <c r="Q2" s="7">
        <v>5</v>
      </c>
      <c r="R2" s="7">
        <v>43</v>
      </c>
      <c r="S2" s="7">
        <v>19.100000000000001</v>
      </c>
      <c r="T2" s="7">
        <v>27060</v>
      </c>
      <c r="U2" s="1" t="e">
        <f>IF(ISBLANK(TabRésultatsMGLAIRL[[#This Row],[Humidité(KF)]]),"",IF(TabRésultatsMGLAIRL[[#This Row],[Humidité(KF)]]&gt;#REF!,"VRAI","FAUX"))</f>
        <v>#REF!</v>
      </c>
      <c r="V2" s="1" t="e">
        <f>IF(TabRésultatsMGLAIRL[[#This Row],[NC KF]]="VRAI",1,0)</f>
        <v>#REF!</v>
      </c>
      <c r="W2" s="1" t="e">
        <f>IF(ISBLANK(TabRésultatsMGLAIRL[[#This Row],[FFA2]]),"",IF(TabRésultatsMGLAIRL[[#This Row],[FFA2]]&gt;#REF!,"VRAI","FAUX"))</f>
        <v>#REF!</v>
      </c>
      <c r="X2" s="1" t="e">
        <f>IF(TabRésultatsMGLAIRL[[#This Row],[NC FFA]]="VRAI",1,0)</f>
        <v>#REF!</v>
      </c>
      <c r="Y2" s="1" t="e">
        <f>IF(ISBLANK(TabRésultatsMGLAIRL[[#This Row],[IP]]),"",IF(TabRésultatsMGLAIRL[[#This Row],[IP]]&gt;=#REF!,"VRAI","FAUX"))</f>
        <v>#REF!</v>
      </c>
      <c r="Z2" s="1" t="e">
        <f>IF(TabRésultatsMGLAIRL[[#This Row],[NC IP]]="VRAI",1,0)</f>
        <v>#REF!</v>
      </c>
      <c r="AA2" s="1" t="e">
        <f>IF(ISBLANK(TabRésultatsMGLAIRL[[#This Row],[Cote Gout]]),"",IF(TabRésultatsMGLAIRL[[#This Row],[Cote Gout]]&gt;#REF!,"FAUX"," VRAI"))</f>
        <v>#REF!</v>
      </c>
      <c r="AB2" s="1" t="e">
        <f>IF(TabRésultatsMGLAIRL[[#This Row],[NC GOUT]]="FAUX",0,1)</f>
        <v>#REF!</v>
      </c>
      <c r="AC2" s="1" t="e">
        <f>IF(ISBLANK(TabRésultatsMGLAIRL[[#This Row],[Humidité(KF)]]),"",IF(TabRésultatsMGLAIRL[[#This Row],[Humidité(KF)]]&lt;=#REF!,1,3))</f>
        <v>#REF!</v>
      </c>
      <c r="AD2" s="1" t="e">
        <f>IF(ISBLANK(TabRésultatsMGLAIRL[[#This Row],[FFA2]]),"",IF(TabRésultatsMGLAIRL[[#This Row],[FFA2]]&lt;=#REF!,1,IF(TabRésultatsMGLAIRL[[#This Row],[FFA2]]&lt;=#REF!,2,3)))</f>
        <v>#REF!</v>
      </c>
      <c r="AE2" s="1" t="e">
        <f>IF(ISBLANK(TabRésultatsMGLAIRL[[#This Row],[IP]]),"",IF(TabRésultatsMGLAIRL[[#This Row],[IP]]&lt;=#REF!,1,IF(TabRésultatsMGLAIRL[[#This Row],[IP]]&lt;=#REF!,2,3)))</f>
        <v>#REF!</v>
      </c>
      <c r="AF2" s="1" t="e">
        <f>IF(ISBLANK(TabRésultatsMGLAIRL[[#This Row],[Cote Gout]]),"",IF(TabRésultatsMGLAIRL[[#This Row],[Cote Gout]]&lt;=#REF!,3,IF(TabRésultatsMGLAIRL[[#This Row],[Cote Gout]]&lt;=#REF!,2,1)))</f>
        <v>#REF!</v>
      </c>
      <c r="AG2" s="1" t="e">
        <f>MAX(TabRésultatsMGLAIRL[[#This Row],[CHOIX KF]:[CHOIX GOUT]])</f>
        <v>#REF!</v>
      </c>
      <c r="AH2" s="1" t="e">
        <f>IF(TabRésultatsMGLAIRL[[#This Row],[CHOIX ]]=1,1,0)</f>
        <v>#REF!</v>
      </c>
      <c r="AI2" s="1" t="e">
        <f>IF(TabRésultatsMGLAIRL[[#This Row],[CHOIX ]]=2,1,0)</f>
        <v>#REF!</v>
      </c>
      <c r="AJ2" s="1" t="e">
        <f>IF(TabRésultatsMGLAIRL[[#This Row],[CHOIX ]]=3,1,0)</f>
        <v>#REF!</v>
      </c>
      <c r="AK2" s="1" t="e">
        <f>IF(TabRésultatsMGLAIRL[[#This Row],[CHOIX ]]="",1,0)</f>
        <v>#REF!</v>
      </c>
      <c r="AL2" s="1" t="str">
        <f>TEXT(RIGHT(TabRésultatsMGLAIRL[[#This Row],[Date Année]],2),"00")&amp;TEXT(TabRésultatsMGLAIRL[[#This Row],[Date semaine]],"00")</f>
        <v>1615</v>
      </c>
      <c r="AM2" s="1" t="e">
        <f>--AND(VALUE(TabRésultatsMGLAIRL[[#This Row],[Année Semaine]])&gt;=#REF!,VALUE(TabRésultatsMGLAIRL[[#This Row],[Année Semaine]])&lt;=#REF!)</f>
        <v>#REF!</v>
      </c>
      <c r="AN2" s="1" t="e">
        <f>--AND(VALUE(TabRésultatsMGLAIRL[[#This Row],[Année Semaine]])&gt;=#REF!,VALUE(TabRésultatsMGLAIRL[[#This Row],[Année Semaine]])&lt;=#REF!)</f>
        <v>#REF!</v>
      </c>
      <c r="AO2" s="1">
        <f>ABS(TabRésultatsMGLAIRL[[#This Row],[Humidité(KF)]]-TabRésultatsMGLAIRL[[#This Row],[moisture (KF)]])</f>
        <v>4.0000000000000008E-2</v>
      </c>
      <c r="AP2" s="1">
        <f>ABS(TabRésultatsMGLAIRL[[#This Row],[FFA]]-TabRésultatsMGLAIRL[[#This Row],[FFA2]])</f>
        <v>7.0000000000000007E-2</v>
      </c>
      <c r="AQ2" s="1">
        <f>ABS(TabRésultatsMGLAIRL[[#This Row],[PV]]-TabRésultatsMGLAIRL[[#This Row],[IP]])</f>
        <v>6.9999999999999993E-2</v>
      </c>
    </row>
    <row r="3" spans="1:43" x14ac:dyDescent="0.25">
      <c r="A3" s="2">
        <v>42474</v>
      </c>
      <c r="B3" s="3">
        <f t="shared" si="0"/>
        <v>2016</v>
      </c>
      <c r="C3" s="4">
        <f t="shared" si="1"/>
        <v>42490</v>
      </c>
      <c r="D3" s="8">
        <f t="shared" si="2"/>
        <v>15</v>
      </c>
      <c r="E3" s="3">
        <v>198670</v>
      </c>
      <c r="F3" s="5" t="s">
        <v>40</v>
      </c>
      <c r="G3" s="3" t="s">
        <v>2</v>
      </c>
      <c r="I3" s="6" t="s">
        <v>30</v>
      </c>
      <c r="J3" s="6" t="s">
        <v>30</v>
      </c>
      <c r="K3" s="7">
        <v>0.09</v>
      </c>
      <c r="L3" s="7">
        <v>0.08</v>
      </c>
      <c r="M3" s="7">
        <v>0.23</v>
      </c>
      <c r="N3" s="7">
        <v>0.26</v>
      </c>
      <c r="O3" s="7">
        <v>0.14000000000000001</v>
      </c>
      <c r="P3" s="7">
        <v>0.13</v>
      </c>
      <c r="Q3" s="7">
        <v>5</v>
      </c>
      <c r="R3" s="7">
        <v>42</v>
      </c>
      <c r="S3" s="7">
        <v>18.7</v>
      </c>
      <c r="T3" s="7">
        <v>27080</v>
      </c>
      <c r="U3" s="1" t="e">
        <f>IF(ISBLANK(TabRésultatsMGLAIRL[[#This Row],[Humidité(KF)]]),"",IF(TabRésultatsMGLAIRL[[#This Row],[Humidité(KF)]]&gt;#REF!,"VRAI","FAUX"))</f>
        <v>#REF!</v>
      </c>
      <c r="V3" s="1" t="e">
        <f>IF(TabRésultatsMGLAIRL[[#This Row],[NC KF]]="VRAI",1,0)</f>
        <v>#REF!</v>
      </c>
      <c r="W3" s="1" t="e">
        <f>IF(ISBLANK(TabRésultatsMGLAIRL[[#This Row],[FFA2]]),"",IF(TabRésultatsMGLAIRL[[#This Row],[FFA2]]&gt;#REF!,"VRAI","FAUX"))</f>
        <v>#REF!</v>
      </c>
      <c r="X3" s="1" t="e">
        <f>IF(TabRésultatsMGLAIRL[[#This Row],[NC FFA]]="VRAI",1,0)</f>
        <v>#REF!</v>
      </c>
      <c r="Y3" s="1" t="e">
        <f>IF(ISBLANK(TabRésultatsMGLAIRL[[#This Row],[IP]]),"",IF(TabRésultatsMGLAIRL[[#This Row],[IP]]&gt;=#REF!,"VRAI","FAUX"))</f>
        <v>#REF!</v>
      </c>
      <c r="Z3" s="1" t="e">
        <f>IF(TabRésultatsMGLAIRL[[#This Row],[NC IP]]="VRAI",1,0)</f>
        <v>#REF!</v>
      </c>
      <c r="AA3" s="1" t="e">
        <f>IF(ISBLANK(TabRésultatsMGLAIRL[[#This Row],[Cote Gout]]),"",IF(TabRésultatsMGLAIRL[[#This Row],[Cote Gout]]&gt;#REF!,"FAUX"," VRAI"))</f>
        <v>#REF!</v>
      </c>
      <c r="AB3" s="1" t="e">
        <f>IF(TabRésultatsMGLAIRL[[#This Row],[NC GOUT]]="FAUX",0,1)</f>
        <v>#REF!</v>
      </c>
      <c r="AC3" s="1" t="e">
        <f>IF(ISBLANK(TabRésultatsMGLAIRL[[#This Row],[Humidité(KF)]]),"",IF(TabRésultatsMGLAIRL[[#This Row],[Humidité(KF)]]&lt;=#REF!,1,3))</f>
        <v>#REF!</v>
      </c>
      <c r="AD3" s="1" t="e">
        <f>IF(ISBLANK(TabRésultatsMGLAIRL[[#This Row],[FFA2]]),"",IF(TabRésultatsMGLAIRL[[#This Row],[FFA2]]&lt;=#REF!,1,IF(TabRésultatsMGLAIRL[[#This Row],[FFA2]]&lt;=#REF!,2,3)))</f>
        <v>#REF!</v>
      </c>
      <c r="AE3" s="1" t="e">
        <f>IF(ISBLANK(TabRésultatsMGLAIRL[[#This Row],[IP]]),"",IF(TabRésultatsMGLAIRL[[#This Row],[IP]]&lt;=#REF!,1,IF(TabRésultatsMGLAIRL[[#This Row],[IP]]&lt;=#REF!,2,3)))</f>
        <v>#REF!</v>
      </c>
      <c r="AF3" s="1" t="e">
        <f>IF(ISBLANK(TabRésultatsMGLAIRL[[#This Row],[Cote Gout]]),"",IF(TabRésultatsMGLAIRL[[#This Row],[Cote Gout]]&lt;=#REF!,3,IF(TabRésultatsMGLAIRL[[#This Row],[Cote Gout]]&lt;=#REF!,2,1)))</f>
        <v>#REF!</v>
      </c>
      <c r="AG3" s="1" t="e">
        <f>MAX(TabRésultatsMGLAIRL[[#This Row],[CHOIX KF]:[CHOIX GOUT]])</f>
        <v>#REF!</v>
      </c>
      <c r="AH3" s="1" t="e">
        <f>IF(TabRésultatsMGLAIRL[[#This Row],[CHOIX ]]=1,1,0)</f>
        <v>#REF!</v>
      </c>
      <c r="AI3" s="1" t="e">
        <f>IF(TabRésultatsMGLAIRL[[#This Row],[CHOIX ]]=2,1,0)</f>
        <v>#REF!</v>
      </c>
      <c r="AJ3" s="1" t="e">
        <f>IF(TabRésultatsMGLAIRL[[#This Row],[CHOIX ]]=3,1,0)</f>
        <v>#REF!</v>
      </c>
      <c r="AK3" s="1" t="e">
        <f>IF(TabRésultatsMGLAIRL[[#This Row],[CHOIX ]]="",1,0)</f>
        <v>#REF!</v>
      </c>
      <c r="AL3" s="1" t="str">
        <f>TEXT(RIGHT(TabRésultatsMGLAIRL[[#This Row],[Date Année]],2),"00")&amp;TEXT(TabRésultatsMGLAIRL[[#This Row],[Date semaine]],"00")</f>
        <v>1615</v>
      </c>
      <c r="AM3" s="1" t="e">
        <f>--AND(VALUE(TabRésultatsMGLAIRL[[#This Row],[Année Semaine]])&gt;=#REF!,VALUE(TabRésultatsMGLAIRL[[#This Row],[Année Semaine]])&lt;=#REF!)</f>
        <v>#REF!</v>
      </c>
      <c r="AN3" s="1" t="e">
        <f>--AND(VALUE(TabRésultatsMGLAIRL[[#This Row],[Année Semaine]])&gt;=#REF!,VALUE(TabRésultatsMGLAIRL[[#This Row],[Année Semaine]])&lt;=#REF!)</f>
        <v>#REF!</v>
      </c>
      <c r="AO3" s="1">
        <f>ABS(TabRésultatsMGLAIRL[[#This Row],[Humidité(KF)]]-TabRésultatsMGLAIRL[[#This Row],[moisture (KF)]])</f>
        <v>9.999999999999995E-3</v>
      </c>
      <c r="AP3" s="1">
        <f>ABS(TabRésultatsMGLAIRL[[#This Row],[FFA]]-TabRésultatsMGLAIRL[[#This Row],[FFA2]])</f>
        <v>0.03</v>
      </c>
      <c r="AQ3" s="1">
        <f>ABS(TabRésultatsMGLAIRL[[#This Row],[PV]]-TabRésultatsMGLAIRL[[#This Row],[IP]])</f>
        <v>1.0000000000000009E-2</v>
      </c>
    </row>
    <row r="4" spans="1:43" x14ac:dyDescent="0.25">
      <c r="A4" s="2">
        <v>42475</v>
      </c>
      <c r="B4" s="3">
        <f t="shared" si="0"/>
        <v>2016</v>
      </c>
      <c r="C4" s="4">
        <f t="shared" si="1"/>
        <v>42490</v>
      </c>
      <c r="D4" s="8">
        <f t="shared" si="2"/>
        <v>15</v>
      </c>
      <c r="E4" s="3">
        <v>198671</v>
      </c>
      <c r="F4" s="5" t="s">
        <v>41</v>
      </c>
      <c r="G4" s="3" t="s">
        <v>2</v>
      </c>
      <c r="I4" s="6" t="s">
        <v>30</v>
      </c>
      <c r="J4" s="6" t="s">
        <v>30</v>
      </c>
      <c r="K4" s="7">
        <v>7.0000000000000007E-2</v>
      </c>
      <c r="L4" s="7">
        <v>7.0000000000000007E-2</v>
      </c>
      <c r="M4" s="7">
        <v>0.23</v>
      </c>
      <c r="N4" s="7">
        <v>0.26</v>
      </c>
      <c r="O4" s="7">
        <v>0.04</v>
      </c>
      <c r="P4" s="7">
        <v>0.12</v>
      </c>
      <c r="Q4" s="7">
        <v>5</v>
      </c>
      <c r="R4" s="7">
        <v>38</v>
      </c>
      <c r="S4" s="7">
        <v>19.3</v>
      </c>
      <c r="T4" s="7">
        <v>27080</v>
      </c>
      <c r="U4" s="1" t="e">
        <f>IF(ISBLANK(TabRésultatsMGLAIRL[[#This Row],[Humidité(KF)]]),"",IF(TabRésultatsMGLAIRL[[#This Row],[Humidité(KF)]]&gt;#REF!,"VRAI","FAUX"))</f>
        <v>#REF!</v>
      </c>
      <c r="V4" s="1" t="e">
        <f>IF(TabRésultatsMGLAIRL[[#This Row],[NC KF]]="VRAI",1,0)</f>
        <v>#REF!</v>
      </c>
      <c r="W4" s="1" t="e">
        <f>IF(ISBLANK(TabRésultatsMGLAIRL[[#This Row],[FFA2]]),"",IF(TabRésultatsMGLAIRL[[#This Row],[FFA2]]&gt;#REF!,"VRAI","FAUX"))</f>
        <v>#REF!</v>
      </c>
      <c r="X4" s="1" t="e">
        <f>IF(TabRésultatsMGLAIRL[[#This Row],[NC FFA]]="VRAI",1,0)</f>
        <v>#REF!</v>
      </c>
      <c r="Y4" s="1" t="e">
        <f>IF(ISBLANK(TabRésultatsMGLAIRL[[#This Row],[IP]]),"",IF(TabRésultatsMGLAIRL[[#This Row],[IP]]&gt;=#REF!,"VRAI","FAUX"))</f>
        <v>#REF!</v>
      </c>
      <c r="Z4" s="1" t="e">
        <f>IF(TabRésultatsMGLAIRL[[#This Row],[NC IP]]="VRAI",1,0)</f>
        <v>#REF!</v>
      </c>
      <c r="AA4" s="1" t="e">
        <f>IF(ISBLANK(TabRésultatsMGLAIRL[[#This Row],[Cote Gout]]),"",IF(TabRésultatsMGLAIRL[[#This Row],[Cote Gout]]&gt;#REF!,"FAUX"," VRAI"))</f>
        <v>#REF!</v>
      </c>
      <c r="AB4" s="1" t="e">
        <f>IF(TabRésultatsMGLAIRL[[#This Row],[NC GOUT]]="FAUX",0,1)</f>
        <v>#REF!</v>
      </c>
      <c r="AC4" s="1" t="e">
        <f>IF(ISBLANK(TabRésultatsMGLAIRL[[#This Row],[Humidité(KF)]]),"",IF(TabRésultatsMGLAIRL[[#This Row],[Humidité(KF)]]&lt;=#REF!,1,3))</f>
        <v>#REF!</v>
      </c>
      <c r="AD4" s="1" t="e">
        <f>IF(ISBLANK(TabRésultatsMGLAIRL[[#This Row],[FFA2]]),"",IF(TabRésultatsMGLAIRL[[#This Row],[FFA2]]&lt;=#REF!,1,IF(TabRésultatsMGLAIRL[[#This Row],[FFA2]]&lt;=#REF!,2,3)))</f>
        <v>#REF!</v>
      </c>
      <c r="AE4" s="1" t="e">
        <f>IF(ISBLANK(TabRésultatsMGLAIRL[[#This Row],[IP]]),"",IF(TabRésultatsMGLAIRL[[#This Row],[IP]]&lt;=#REF!,1,IF(TabRésultatsMGLAIRL[[#This Row],[IP]]&lt;=#REF!,2,3)))</f>
        <v>#REF!</v>
      </c>
      <c r="AF4" s="1" t="e">
        <f>IF(ISBLANK(TabRésultatsMGLAIRL[[#This Row],[Cote Gout]]),"",IF(TabRésultatsMGLAIRL[[#This Row],[Cote Gout]]&lt;=#REF!,3,IF(TabRésultatsMGLAIRL[[#This Row],[Cote Gout]]&lt;=#REF!,2,1)))</f>
        <v>#REF!</v>
      </c>
      <c r="AG4" s="1" t="e">
        <f>MAX(TabRésultatsMGLAIRL[[#This Row],[CHOIX KF]:[CHOIX GOUT]])</f>
        <v>#REF!</v>
      </c>
      <c r="AH4" s="1" t="e">
        <f>IF(TabRésultatsMGLAIRL[[#This Row],[CHOIX ]]=1,1,0)</f>
        <v>#REF!</v>
      </c>
      <c r="AI4" s="1" t="e">
        <f>IF(TabRésultatsMGLAIRL[[#This Row],[CHOIX ]]=2,1,0)</f>
        <v>#REF!</v>
      </c>
      <c r="AJ4" s="1" t="e">
        <f>IF(TabRésultatsMGLAIRL[[#This Row],[CHOIX ]]=3,1,0)</f>
        <v>#REF!</v>
      </c>
      <c r="AK4" s="1" t="e">
        <f>IF(TabRésultatsMGLAIRL[[#This Row],[CHOIX ]]="",1,0)</f>
        <v>#REF!</v>
      </c>
      <c r="AL4" s="1" t="str">
        <f>TEXT(RIGHT(TabRésultatsMGLAIRL[[#This Row],[Date Année]],2),"00")&amp;TEXT(TabRésultatsMGLAIRL[[#This Row],[Date semaine]],"00")</f>
        <v>1615</v>
      </c>
      <c r="AM4" s="1" t="e">
        <f>--AND(VALUE(TabRésultatsMGLAIRL[[#This Row],[Année Semaine]])&gt;=#REF!,VALUE(TabRésultatsMGLAIRL[[#This Row],[Année Semaine]])&lt;=#REF!)</f>
        <v>#REF!</v>
      </c>
      <c r="AN4" s="1" t="e">
        <f>--AND(VALUE(TabRésultatsMGLAIRL[[#This Row],[Année Semaine]])&gt;=#REF!,VALUE(TabRésultatsMGLAIRL[[#This Row],[Année Semaine]])&lt;=#REF!)</f>
        <v>#REF!</v>
      </c>
      <c r="AO4" s="1">
        <f>ABS(TabRésultatsMGLAIRL[[#This Row],[Humidité(KF)]]-TabRésultatsMGLAIRL[[#This Row],[moisture (KF)]])</f>
        <v>0</v>
      </c>
      <c r="AP4" s="1">
        <f>ABS(TabRésultatsMGLAIRL[[#This Row],[FFA]]-TabRésultatsMGLAIRL[[#This Row],[FFA2]])</f>
        <v>0.03</v>
      </c>
      <c r="AQ4" s="1">
        <f>ABS(TabRésultatsMGLAIRL[[#This Row],[PV]]-TabRésultatsMGLAIRL[[#This Row],[IP]])</f>
        <v>7.9999999999999988E-2</v>
      </c>
    </row>
    <row r="5" spans="1:43" x14ac:dyDescent="0.25">
      <c r="A5" s="2">
        <v>42471</v>
      </c>
      <c r="B5" s="3">
        <f t="shared" si="0"/>
        <v>2016</v>
      </c>
      <c r="C5" s="4">
        <f t="shared" si="1"/>
        <v>42490</v>
      </c>
      <c r="D5" s="8">
        <f t="shared" si="2"/>
        <v>15</v>
      </c>
      <c r="E5" s="3">
        <v>198666</v>
      </c>
      <c r="F5" s="5" t="s">
        <v>42</v>
      </c>
      <c r="G5" s="3" t="s">
        <v>2</v>
      </c>
      <c r="I5" s="6" t="s">
        <v>30</v>
      </c>
      <c r="J5" s="6" t="s">
        <v>30</v>
      </c>
      <c r="K5" s="7">
        <v>0.03</v>
      </c>
      <c r="L5" s="7">
        <v>0.08</v>
      </c>
      <c r="M5" s="7">
        <v>0.19</v>
      </c>
      <c r="N5" s="7">
        <v>0.23</v>
      </c>
      <c r="O5" s="7">
        <v>0.03</v>
      </c>
      <c r="P5" s="7">
        <v>0.06</v>
      </c>
      <c r="Q5" s="7">
        <v>7</v>
      </c>
      <c r="R5" s="7">
        <v>36</v>
      </c>
      <c r="S5" s="7">
        <v>19.2</v>
      </c>
      <c r="T5" s="7">
        <v>27020</v>
      </c>
      <c r="U5" s="1" t="e">
        <f>IF(ISBLANK(TabRésultatsMGLAIRL[[#This Row],[Humidité(KF)]]),"",IF(TabRésultatsMGLAIRL[[#This Row],[Humidité(KF)]]&gt;#REF!,"VRAI","FAUX"))</f>
        <v>#REF!</v>
      </c>
      <c r="V5" s="1" t="e">
        <f>IF(TabRésultatsMGLAIRL[[#This Row],[NC KF]]="VRAI",1,0)</f>
        <v>#REF!</v>
      </c>
      <c r="W5" s="1" t="e">
        <f>IF(ISBLANK(TabRésultatsMGLAIRL[[#This Row],[FFA2]]),"",IF(TabRésultatsMGLAIRL[[#This Row],[FFA2]]&gt;#REF!,"VRAI","FAUX"))</f>
        <v>#REF!</v>
      </c>
      <c r="X5" s="1" t="e">
        <f>IF(TabRésultatsMGLAIRL[[#This Row],[NC FFA]]="VRAI",1,0)</f>
        <v>#REF!</v>
      </c>
      <c r="Y5" s="1" t="e">
        <f>IF(ISBLANK(TabRésultatsMGLAIRL[[#This Row],[IP]]),"",IF(TabRésultatsMGLAIRL[[#This Row],[IP]]&gt;=#REF!,"VRAI","FAUX"))</f>
        <v>#REF!</v>
      </c>
      <c r="Z5" s="1" t="e">
        <f>IF(TabRésultatsMGLAIRL[[#This Row],[NC IP]]="VRAI",1,0)</f>
        <v>#REF!</v>
      </c>
      <c r="AA5" s="1" t="e">
        <f>IF(ISBLANK(TabRésultatsMGLAIRL[[#This Row],[Cote Gout]]),"",IF(TabRésultatsMGLAIRL[[#This Row],[Cote Gout]]&gt;#REF!,"FAUX"," VRAI"))</f>
        <v>#REF!</v>
      </c>
      <c r="AB5" s="1" t="e">
        <f>IF(TabRésultatsMGLAIRL[[#This Row],[NC GOUT]]="FAUX",0,1)</f>
        <v>#REF!</v>
      </c>
      <c r="AC5" s="1" t="e">
        <f>IF(ISBLANK(TabRésultatsMGLAIRL[[#This Row],[Humidité(KF)]]),"",IF(TabRésultatsMGLAIRL[[#This Row],[Humidité(KF)]]&lt;=#REF!,1,3))</f>
        <v>#REF!</v>
      </c>
      <c r="AD5" s="1" t="e">
        <f>IF(ISBLANK(TabRésultatsMGLAIRL[[#This Row],[FFA2]]),"",IF(TabRésultatsMGLAIRL[[#This Row],[FFA2]]&lt;=#REF!,1,IF(TabRésultatsMGLAIRL[[#This Row],[FFA2]]&lt;=#REF!,2,3)))</f>
        <v>#REF!</v>
      </c>
      <c r="AE5" s="1" t="e">
        <f>IF(ISBLANK(TabRésultatsMGLAIRL[[#This Row],[IP]]),"",IF(TabRésultatsMGLAIRL[[#This Row],[IP]]&lt;=#REF!,1,IF(TabRésultatsMGLAIRL[[#This Row],[IP]]&lt;=#REF!,2,3)))</f>
        <v>#REF!</v>
      </c>
      <c r="AF5" s="1" t="e">
        <f>IF(ISBLANK(TabRésultatsMGLAIRL[[#This Row],[Cote Gout]]),"",IF(TabRésultatsMGLAIRL[[#This Row],[Cote Gout]]&lt;=#REF!,3,IF(TabRésultatsMGLAIRL[[#This Row],[Cote Gout]]&lt;=#REF!,2,1)))</f>
        <v>#REF!</v>
      </c>
      <c r="AG5" s="1" t="e">
        <f>MAX(TabRésultatsMGLAIRL[[#This Row],[CHOIX KF]:[CHOIX GOUT]])</f>
        <v>#REF!</v>
      </c>
      <c r="AH5" s="1" t="e">
        <f>IF(TabRésultatsMGLAIRL[[#This Row],[CHOIX ]]=1,1,0)</f>
        <v>#REF!</v>
      </c>
      <c r="AI5" s="1" t="e">
        <f>IF(TabRésultatsMGLAIRL[[#This Row],[CHOIX ]]=2,1,0)</f>
        <v>#REF!</v>
      </c>
      <c r="AJ5" s="1" t="e">
        <f>IF(TabRésultatsMGLAIRL[[#This Row],[CHOIX ]]=3,1,0)</f>
        <v>#REF!</v>
      </c>
      <c r="AK5" s="1" t="e">
        <f>IF(TabRésultatsMGLAIRL[[#This Row],[CHOIX ]]="",1,0)</f>
        <v>#REF!</v>
      </c>
      <c r="AL5" s="1" t="str">
        <f>TEXT(RIGHT(TabRésultatsMGLAIRL[[#This Row],[Date Année]],2),"00")&amp;TEXT(TabRésultatsMGLAIRL[[#This Row],[Date semaine]],"00")</f>
        <v>1615</v>
      </c>
      <c r="AM5" s="1" t="e">
        <f>--AND(VALUE(TabRésultatsMGLAIRL[[#This Row],[Année Semaine]])&gt;=#REF!,VALUE(TabRésultatsMGLAIRL[[#This Row],[Année Semaine]])&lt;=#REF!)</f>
        <v>#REF!</v>
      </c>
      <c r="AN5" s="1" t="e">
        <f>--AND(VALUE(TabRésultatsMGLAIRL[[#This Row],[Année Semaine]])&gt;=#REF!,VALUE(TabRésultatsMGLAIRL[[#This Row],[Année Semaine]])&lt;=#REF!)</f>
        <v>#REF!</v>
      </c>
      <c r="AO5" s="1">
        <f>ABS(TabRésultatsMGLAIRL[[#This Row],[Humidité(KF)]]-TabRésultatsMGLAIRL[[#This Row],[moisture (KF)]])</f>
        <v>0.05</v>
      </c>
      <c r="AP5" s="1">
        <f>ABS(TabRésultatsMGLAIRL[[#This Row],[FFA]]-TabRésultatsMGLAIRL[[#This Row],[FFA2]])</f>
        <v>4.0000000000000008E-2</v>
      </c>
      <c r="AQ5" s="1">
        <f>ABS(TabRésultatsMGLAIRL[[#This Row],[PV]]-TabRésultatsMGLAIRL[[#This Row],[IP]])</f>
        <v>0.03</v>
      </c>
    </row>
    <row r="6" spans="1:43" x14ac:dyDescent="0.25">
      <c r="A6" s="2">
        <v>42472</v>
      </c>
      <c r="B6" s="3">
        <f t="shared" si="0"/>
        <v>2016</v>
      </c>
      <c r="C6" s="4">
        <f t="shared" si="1"/>
        <v>42490</v>
      </c>
      <c r="D6" s="8">
        <f t="shared" si="2"/>
        <v>15</v>
      </c>
      <c r="E6" s="3">
        <v>198673</v>
      </c>
      <c r="F6" s="5" t="s">
        <v>43</v>
      </c>
      <c r="G6" s="3" t="s">
        <v>29</v>
      </c>
      <c r="I6" s="6" t="s">
        <v>31</v>
      </c>
      <c r="J6" s="6" t="s">
        <v>30</v>
      </c>
      <c r="K6" s="7">
        <v>0.04</v>
      </c>
      <c r="L6" s="7">
        <v>0.08</v>
      </c>
      <c r="M6" s="7">
        <v>0.19</v>
      </c>
      <c r="N6" s="7">
        <v>0.24</v>
      </c>
      <c r="O6" s="7">
        <v>0.04</v>
      </c>
      <c r="P6" s="7">
        <v>0.04</v>
      </c>
      <c r="Q6" s="7">
        <v>7</v>
      </c>
      <c r="R6" s="7">
        <v>39</v>
      </c>
      <c r="S6" s="7">
        <v>19</v>
      </c>
      <c r="T6" s="7">
        <v>27080</v>
      </c>
      <c r="U6" s="1" t="e">
        <f>IF(ISBLANK(TabRésultatsMGLAIRL[[#This Row],[Humidité(KF)]]),"",IF(TabRésultatsMGLAIRL[[#This Row],[Humidité(KF)]]&gt;#REF!,"VRAI","FAUX"))</f>
        <v>#REF!</v>
      </c>
      <c r="V6" s="1" t="e">
        <f>IF(TabRésultatsMGLAIRL[[#This Row],[NC KF]]="VRAI",1,0)</f>
        <v>#REF!</v>
      </c>
      <c r="W6" s="1" t="e">
        <f>IF(ISBLANK(TabRésultatsMGLAIRL[[#This Row],[FFA2]]),"",IF(TabRésultatsMGLAIRL[[#This Row],[FFA2]]&gt;#REF!,"VRAI","FAUX"))</f>
        <v>#REF!</v>
      </c>
      <c r="X6" s="1" t="e">
        <f>IF(TabRésultatsMGLAIRL[[#This Row],[NC FFA]]="VRAI",1,0)</f>
        <v>#REF!</v>
      </c>
      <c r="Y6" s="1" t="e">
        <f>IF(ISBLANK(TabRésultatsMGLAIRL[[#This Row],[IP]]),"",IF(TabRésultatsMGLAIRL[[#This Row],[IP]]&gt;=#REF!,"VRAI","FAUX"))</f>
        <v>#REF!</v>
      </c>
      <c r="Z6" s="1" t="e">
        <f>IF(TabRésultatsMGLAIRL[[#This Row],[NC IP]]="VRAI",1,0)</f>
        <v>#REF!</v>
      </c>
      <c r="AA6" s="1" t="e">
        <f>IF(ISBLANK(TabRésultatsMGLAIRL[[#This Row],[Cote Gout]]),"",IF(TabRésultatsMGLAIRL[[#This Row],[Cote Gout]]&gt;#REF!,"FAUX"," VRAI"))</f>
        <v>#REF!</v>
      </c>
      <c r="AB6" s="1" t="e">
        <f>IF(TabRésultatsMGLAIRL[[#This Row],[NC GOUT]]="FAUX",0,1)</f>
        <v>#REF!</v>
      </c>
      <c r="AC6" s="1" t="e">
        <f>IF(ISBLANK(TabRésultatsMGLAIRL[[#This Row],[Humidité(KF)]]),"",IF(TabRésultatsMGLAIRL[[#This Row],[Humidité(KF)]]&lt;=#REF!,1,3))</f>
        <v>#REF!</v>
      </c>
      <c r="AD6" s="1" t="e">
        <f>IF(ISBLANK(TabRésultatsMGLAIRL[[#This Row],[FFA2]]),"",IF(TabRésultatsMGLAIRL[[#This Row],[FFA2]]&lt;=#REF!,1,IF(TabRésultatsMGLAIRL[[#This Row],[FFA2]]&lt;=#REF!,2,3)))</f>
        <v>#REF!</v>
      </c>
      <c r="AE6" s="1" t="e">
        <f>IF(ISBLANK(TabRésultatsMGLAIRL[[#This Row],[IP]]),"",IF(TabRésultatsMGLAIRL[[#This Row],[IP]]&lt;=#REF!,1,IF(TabRésultatsMGLAIRL[[#This Row],[IP]]&lt;=#REF!,2,3)))</f>
        <v>#REF!</v>
      </c>
      <c r="AF6" s="1" t="e">
        <f>IF(ISBLANK(TabRésultatsMGLAIRL[[#This Row],[Cote Gout]]),"",IF(TabRésultatsMGLAIRL[[#This Row],[Cote Gout]]&lt;=#REF!,3,IF(TabRésultatsMGLAIRL[[#This Row],[Cote Gout]]&lt;=#REF!,2,1)))</f>
        <v>#REF!</v>
      </c>
      <c r="AG6" s="1" t="e">
        <f>MAX(TabRésultatsMGLAIRL[[#This Row],[CHOIX KF]:[CHOIX GOUT]])</f>
        <v>#REF!</v>
      </c>
      <c r="AH6" s="1" t="e">
        <f>IF(TabRésultatsMGLAIRL[[#This Row],[CHOIX ]]=1,1,0)</f>
        <v>#REF!</v>
      </c>
      <c r="AI6" s="1" t="e">
        <f>IF(TabRésultatsMGLAIRL[[#This Row],[CHOIX ]]=2,1,0)</f>
        <v>#REF!</v>
      </c>
      <c r="AJ6" s="1" t="e">
        <f>IF(TabRésultatsMGLAIRL[[#This Row],[CHOIX ]]=3,1,0)</f>
        <v>#REF!</v>
      </c>
      <c r="AK6" s="1" t="e">
        <f>IF(TabRésultatsMGLAIRL[[#This Row],[CHOIX ]]="",1,0)</f>
        <v>#REF!</v>
      </c>
      <c r="AL6" s="1" t="str">
        <f>TEXT(RIGHT(TabRésultatsMGLAIRL[[#This Row],[Date Année]],2),"00")&amp;TEXT(TabRésultatsMGLAIRL[[#This Row],[Date semaine]],"00")</f>
        <v>1615</v>
      </c>
      <c r="AM6" s="1" t="e">
        <f>--AND(VALUE(TabRésultatsMGLAIRL[[#This Row],[Année Semaine]])&gt;=#REF!,VALUE(TabRésultatsMGLAIRL[[#This Row],[Année Semaine]])&lt;=#REF!)</f>
        <v>#REF!</v>
      </c>
      <c r="AN6" s="1" t="e">
        <f>--AND(VALUE(TabRésultatsMGLAIRL[[#This Row],[Année Semaine]])&gt;=#REF!,VALUE(TabRésultatsMGLAIRL[[#This Row],[Année Semaine]])&lt;=#REF!)</f>
        <v>#REF!</v>
      </c>
      <c r="AO6" s="1">
        <f>ABS(TabRésultatsMGLAIRL[[#This Row],[Humidité(KF)]]-TabRésultatsMGLAIRL[[#This Row],[moisture (KF)]])</f>
        <v>0.04</v>
      </c>
      <c r="AP6" s="1">
        <f>ABS(TabRésultatsMGLAIRL[[#This Row],[FFA]]-TabRésultatsMGLAIRL[[#This Row],[FFA2]])</f>
        <v>4.9999999999999989E-2</v>
      </c>
      <c r="AQ6" s="1">
        <f>ABS(TabRésultatsMGLAIRL[[#This Row],[PV]]-TabRésultatsMGLAIRL[[#This Row],[IP]])</f>
        <v>0</v>
      </c>
    </row>
    <row r="7" spans="1:43" x14ac:dyDescent="0.25">
      <c r="A7" s="2">
        <v>42472</v>
      </c>
      <c r="B7" s="3">
        <f t="shared" si="0"/>
        <v>2016</v>
      </c>
      <c r="C7" s="4">
        <f t="shared" si="1"/>
        <v>42490</v>
      </c>
      <c r="D7" s="8">
        <f t="shared" si="2"/>
        <v>15</v>
      </c>
      <c r="E7" s="3">
        <v>198668</v>
      </c>
      <c r="F7" s="5" t="s">
        <v>44</v>
      </c>
      <c r="G7" s="3" t="s">
        <v>29</v>
      </c>
      <c r="I7" s="6" t="s">
        <v>30</v>
      </c>
      <c r="J7" s="6" t="s">
        <v>30</v>
      </c>
      <c r="K7" s="7">
        <v>0.04</v>
      </c>
      <c r="L7" s="7">
        <v>0.06</v>
      </c>
      <c r="M7" s="7">
        <v>0.18</v>
      </c>
      <c r="N7" s="7">
        <v>0.2</v>
      </c>
      <c r="O7" s="7">
        <v>0.04</v>
      </c>
      <c r="P7" s="7">
        <v>0.03</v>
      </c>
      <c r="Q7" s="7">
        <v>7</v>
      </c>
      <c r="R7" s="7">
        <v>33</v>
      </c>
      <c r="S7" s="7">
        <v>18.399999999999999</v>
      </c>
      <c r="T7" s="7">
        <v>27080</v>
      </c>
      <c r="U7" s="1" t="e">
        <f>IF(ISBLANK(TabRésultatsMGLAIRL[[#This Row],[Humidité(KF)]]),"",IF(TabRésultatsMGLAIRL[[#This Row],[Humidité(KF)]]&gt;#REF!,"VRAI","FAUX"))</f>
        <v>#REF!</v>
      </c>
      <c r="V7" s="1" t="e">
        <f>IF(TabRésultatsMGLAIRL[[#This Row],[NC KF]]="VRAI",1,0)</f>
        <v>#REF!</v>
      </c>
      <c r="W7" s="1" t="e">
        <f>IF(ISBLANK(TabRésultatsMGLAIRL[[#This Row],[FFA2]]),"",IF(TabRésultatsMGLAIRL[[#This Row],[FFA2]]&gt;#REF!,"VRAI","FAUX"))</f>
        <v>#REF!</v>
      </c>
      <c r="X7" s="1" t="e">
        <f>IF(TabRésultatsMGLAIRL[[#This Row],[NC FFA]]="VRAI",1,0)</f>
        <v>#REF!</v>
      </c>
      <c r="Y7" s="1" t="e">
        <f>IF(ISBLANK(TabRésultatsMGLAIRL[[#This Row],[IP]]),"",IF(TabRésultatsMGLAIRL[[#This Row],[IP]]&gt;=#REF!,"VRAI","FAUX"))</f>
        <v>#REF!</v>
      </c>
      <c r="Z7" s="1" t="e">
        <f>IF(TabRésultatsMGLAIRL[[#This Row],[NC IP]]="VRAI",1,0)</f>
        <v>#REF!</v>
      </c>
      <c r="AA7" s="1" t="e">
        <f>IF(ISBLANK(TabRésultatsMGLAIRL[[#This Row],[Cote Gout]]),"",IF(TabRésultatsMGLAIRL[[#This Row],[Cote Gout]]&gt;#REF!,"FAUX"," VRAI"))</f>
        <v>#REF!</v>
      </c>
      <c r="AB7" s="1" t="e">
        <f>IF(TabRésultatsMGLAIRL[[#This Row],[NC GOUT]]="FAUX",0,1)</f>
        <v>#REF!</v>
      </c>
      <c r="AC7" s="1" t="e">
        <f>IF(ISBLANK(TabRésultatsMGLAIRL[[#This Row],[Humidité(KF)]]),"",IF(TabRésultatsMGLAIRL[[#This Row],[Humidité(KF)]]&lt;=#REF!,1,3))</f>
        <v>#REF!</v>
      </c>
      <c r="AD7" s="1" t="e">
        <f>IF(ISBLANK(TabRésultatsMGLAIRL[[#This Row],[FFA2]]),"",IF(TabRésultatsMGLAIRL[[#This Row],[FFA2]]&lt;=#REF!,1,IF(TabRésultatsMGLAIRL[[#This Row],[FFA2]]&lt;=#REF!,2,3)))</f>
        <v>#REF!</v>
      </c>
      <c r="AE7" s="1" t="e">
        <f>IF(ISBLANK(TabRésultatsMGLAIRL[[#This Row],[IP]]),"",IF(TabRésultatsMGLAIRL[[#This Row],[IP]]&lt;=#REF!,1,IF(TabRésultatsMGLAIRL[[#This Row],[IP]]&lt;=#REF!,2,3)))</f>
        <v>#REF!</v>
      </c>
      <c r="AF7" s="1" t="e">
        <f>IF(ISBLANK(TabRésultatsMGLAIRL[[#This Row],[Cote Gout]]),"",IF(TabRésultatsMGLAIRL[[#This Row],[Cote Gout]]&lt;=#REF!,3,IF(TabRésultatsMGLAIRL[[#This Row],[Cote Gout]]&lt;=#REF!,2,1)))</f>
        <v>#REF!</v>
      </c>
      <c r="AG7" s="1" t="e">
        <f>MAX(TabRésultatsMGLAIRL[[#This Row],[CHOIX KF]:[CHOIX GOUT]])</f>
        <v>#REF!</v>
      </c>
      <c r="AH7" s="1" t="e">
        <f>IF(TabRésultatsMGLAIRL[[#This Row],[CHOIX ]]=1,1,0)</f>
        <v>#REF!</v>
      </c>
      <c r="AI7" s="1" t="e">
        <f>IF(TabRésultatsMGLAIRL[[#This Row],[CHOIX ]]=2,1,0)</f>
        <v>#REF!</v>
      </c>
      <c r="AJ7" s="1" t="e">
        <f>IF(TabRésultatsMGLAIRL[[#This Row],[CHOIX ]]=3,1,0)</f>
        <v>#REF!</v>
      </c>
      <c r="AK7" s="1" t="e">
        <f>IF(TabRésultatsMGLAIRL[[#This Row],[CHOIX ]]="",1,0)</f>
        <v>#REF!</v>
      </c>
      <c r="AL7" s="1" t="str">
        <f>TEXT(RIGHT(TabRésultatsMGLAIRL[[#This Row],[Date Année]],2),"00")&amp;TEXT(TabRésultatsMGLAIRL[[#This Row],[Date semaine]],"00")</f>
        <v>1615</v>
      </c>
      <c r="AM7" s="1" t="e">
        <f>--AND(VALUE(TabRésultatsMGLAIRL[[#This Row],[Année Semaine]])&gt;=#REF!,VALUE(TabRésultatsMGLAIRL[[#This Row],[Année Semaine]])&lt;=#REF!)</f>
        <v>#REF!</v>
      </c>
      <c r="AN7" s="1" t="e">
        <f>--AND(VALUE(TabRésultatsMGLAIRL[[#This Row],[Année Semaine]])&gt;=#REF!,VALUE(TabRésultatsMGLAIRL[[#This Row],[Année Semaine]])&lt;=#REF!)</f>
        <v>#REF!</v>
      </c>
      <c r="AO7" s="1">
        <f>ABS(TabRésultatsMGLAIRL[[#This Row],[Humidité(KF)]]-TabRésultatsMGLAIRL[[#This Row],[moisture (KF)]])</f>
        <v>1.9999999999999997E-2</v>
      </c>
      <c r="AP7" s="1">
        <f>ABS(TabRésultatsMGLAIRL[[#This Row],[FFA]]-TabRésultatsMGLAIRL[[#This Row],[FFA2]])</f>
        <v>2.0000000000000018E-2</v>
      </c>
      <c r="AQ7" s="1">
        <f>ABS(TabRésultatsMGLAIRL[[#This Row],[PV]]-TabRésultatsMGLAIRL[[#This Row],[IP]])</f>
        <v>1.0000000000000002E-2</v>
      </c>
    </row>
    <row r="8" spans="1:43" x14ac:dyDescent="0.25">
      <c r="A8" s="2">
        <v>42473</v>
      </c>
      <c r="B8" s="3">
        <f t="shared" si="0"/>
        <v>2016</v>
      </c>
      <c r="C8" s="4">
        <f t="shared" si="1"/>
        <v>42490</v>
      </c>
      <c r="D8" s="8">
        <f t="shared" si="2"/>
        <v>15</v>
      </c>
      <c r="E8" s="3">
        <v>198674</v>
      </c>
      <c r="F8" s="5" t="s">
        <v>45</v>
      </c>
      <c r="G8" s="3" t="s">
        <v>29</v>
      </c>
      <c r="I8" s="6" t="s">
        <v>30</v>
      </c>
      <c r="J8" s="6" t="s">
        <v>30</v>
      </c>
      <c r="K8" s="7">
        <v>0.08</v>
      </c>
      <c r="L8" s="7">
        <v>0.06</v>
      </c>
      <c r="M8" s="7">
        <v>0.19</v>
      </c>
      <c r="N8" s="7">
        <v>0.24</v>
      </c>
      <c r="O8" s="7">
        <v>0.05</v>
      </c>
      <c r="P8" s="7">
        <v>0.05</v>
      </c>
      <c r="Q8" s="7">
        <v>7</v>
      </c>
      <c r="R8" s="7">
        <v>34</v>
      </c>
      <c r="S8" s="7">
        <v>19.100000000000001</v>
      </c>
      <c r="T8" s="7">
        <v>27100</v>
      </c>
      <c r="U8" s="1" t="e">
        <f>IF(ISBLANK(TabRésultatsMGLAIRL[[#This Row],[Humidité(KF)]]),"",IF(TabRésultatsMGLAIRL[[#This Row],[Humidité(KF)]]&gt;#REF!,"VRAI","FAUX"))</f>
        <v>#REF!</v>
      </c>
      <c r="V8" s="1" t="e">
        <f>IF(TabRésultatsMGLAIRL[[#This Row],[NC KF]]="VRAI",1,0)</f>
        <v>#REF!</v>
      </c>
      <c r="W8" s="1" t="e">
        <f>IF(ISBLANK(TabRésultatsMGLAIRL[[#This Row],[FFA2]]),"",IF(TabRésultatsMGLAIRL[[#This Row],[FFA2]]&gt;#REF!,"VRAI","FAUX"))</f>
        <v>#REF!</v>
      </c>
      <c r="X8" s="1" t="e">
        <f>IF(TabRésultatsMGLAIRL[[#This Row],[NC FFA]]="VRAI",1,0)</f>
        <v>#REF!</v>
      </c>
      <c r="Y8" s="1" t="e">
        <f>IF(ISBLANK(TabRésultatsMGLAIRL[[#This Row],[IP]]),"",IF(TabRésultatsMGLAIRL[[#This Row],[IP]]&gt;=#REF!,"VRAI","FAUX"))</f>
        <v>#REF!</v>
      </c>
      <c r="Z8" s="1" t="e">
        <f>IF(TabRésultatsMGLAIRL[[#This Row],[NC IP]]="VRAI",1,0)</f>
        <v>#REF!</v>
      </c>
      <c r="AA8" s="1" t="e">
        <f>IF(ISBLANK(TabRésultatsMGLAIRL[[#This Row],[Cote Gout]]),"",IF(TabRésultatsMGLAIRL[[#This Row],[Cote Gout]]&gt;#REF!,"FAUX"," VRAI"))</f>
        <v>#REF!</v>
      </c>
      <c r="AB8" s="1" t="e">
        <f>IF(TabRésultatsMGLAIRL[[#This Row],[NC GOUT]]="FAUX",0,1)</f>
        <v>#REF!</v>
      </c>
      <c r="AC8" s="1" t="e">
        <f>IF(ISBLANK(TabRésultatsMGLAIRL[[#This Row],[Humidité(KF)]]),"",IF(TabRésultatsMGLAIRL[[#This Row],[Humidité(KF)]]&lt;=#REF!,1,3))</f>
        <v>#REF!</v>
      </c>
      <c r="AD8" s="1" t="e">
        <f>IF(ISBLANK(TabRésultatsMGLAIRL[[#This Row],[FFA2]]),"",IF(TabRésultatsMGLAIRL[[#This Row],[FFA2]]&lt;=#REF!,1,IF(TabRésultatsMGLAIRL[[#This Row],[FFA2]]&lt;=#REF!,2,3)))</f>
        <v>#REF!</v>
      </c>
      <c r="AE8" s="1" t="e">
        <f>IF(ISBLANK(TabRésultatsMGLAIRL[[#This Row],[IP]]),"",IF(TabRésultatsMGLAIRL[[#This Row],[IP]]&lt;=#REF!,1,IF(TabRésultatsMGLAIRL[[#This Row],[IP]]&lt;=#REF!,2,3)))</f>
        <v>#REF!</v>
      </c>
      <c r="AF8" s="1" t="e">
        <f>IF(ISBLANK(TabRésultatsMGLAIRL[[#This Row],[Cote Gout]]),"",IF(TabRésultatsMGLAIRL[[#This Row],[Cote Gout]]&lt;=#REF!,3,IF(TabRésultatsMGLAIRL[[#This Row],[Cote Gout]]&lt;=#REF!,2,1)))</f>
        <v>#REF!</v>
      </c>
      <c r="AG8" s="1" t="e">
        <f>MAX(TabRésultatsMGLAIRL[[#This Row],[CHOIX KF]:[CHOIX GOUT]])</f>
        <v>#REF!</v>
      </c>
      <c r="AH8" s="1" t="e">
        <f>IF(TabRésultatsMGLAIRL[[#This Row],[CHOIX ]]=1,1,0)</f>
        <v>#REF!</v>
      </c>
      <c r="AI8" s="1" t="e">
        <f>IF(TabRésultatsMGLAIRL[[#This Row],[CHOIX ]]=2,1,0)</f>
        <v>#REF!</v>
      </c>
      <c r="AJ8" s="1" t="e">
        <f>IF(TabRésultatsMGLAIRL[[#This Row],[CHOIX ]]=3,1,0)</f>
        <v>#REF!</v>
      </c>
      <c r="AK8" s="1" t="e">
        <f>IF(TabRésultatsMGLAIRL[[#This Row],[CHOIX ]]="",1,0)</f>
        <v>#REF!</v>
      </c>
      <c r="AL8" s="1" t="str">
        <f>TEXT(RIGHT(TabRésultatsMGLAIRL[[#This Row],[Date Année]],2),"00")&amp;TEXT(TabRésultatsMGLAIRL[[#This Row],[Date semaine]],"00")</f>
        <v>1615</v>
      </c>
      <c r="AM8" s="1" t="e">
        <f>--AND(VALUE(TabRésultatsMGLAIRL[[#This Row],[Année Semaine]])&gt;=#REF!,VALUE(TabRésultatsMGLAIRL[[#This Row],[Année Semaine]])&lt;=#REF!)</f>
        <v>#REF!</v>
      </c>
      <c r="AN8" s="1" t="e">
        <f>--AND(VALUE(TabRésultatsMGLAIRL[[#This Row],[Année Semaine]])&gt;=#REF!,VALUE(TabRésultatsMGLAIRL[[#This Row],[Année Semaine]])&lt;=#REF!)</f>
        <v>#REF!</v>
      </c>
      <c r="AO8" s="1">
        <f>ABS(TabRésultatsMGLAIRL[[#This Row],[Humidité(KF)]]-TabRésultatsMGLAIRL[[#This Row],[moisture (KF)]])</f>
        <v>2.0000000000000004E-2</v>
      </c>
      <c r="AP8" s="1">
        <f>ABS(TabRésultatsMGLAIRL[[#This Row],[FFA]]-TabRésultatsMGLAIRL[[#This Row],[FFA2]])</f>
        <v>4.9999999999999989E-2</v>
      </c>
      <c r="AQ8" s="1">
        <f>ABS(TabRésultatsMGLAIRL[[#This Row],[PV]]-TabRésultatsMGLAIRL[[#This Row],[IP]])</f>
        <v>0</v>
      </c>
    </row>
    <row r="9" spans="1:43" x14ac:dyDescent="0.25">
      <c r="A9" s="2">
        <v>42473</v>
      </c>
      <c r="B9" s="3">
        <f t="shared" si="0"/>
        <v>2016</v>
      </c>
      <c r="C9" s="4">
        <f t="shared" si="1"/>
        <v>42490</v>
      </c>
      <c r="D9" s="8">
        <f t="shared" si="2"/>
        <v>15</v>
      </c>
      <c r="E9" s="3">
        <v>198669</v>
      </c>
      <c r="F9" s="5" t="s">
        <v>46</v>
      </c>
      <c r="G9" s="3" t="s">
        <v>29</v>
      </c>
      <c r="I9" s="6" t="s">
        <v>30</v>
      </c>
      <c r="J9" s="6" t="s">
        <v>30</v>
      </c>
      <c r="K9" s="7">
        <v>0.08</v>
      </c>
      <c r="L9" s="7">
        <v>0.06</v>
      </c>
      <c r="M9" s="7">
        <v>0.19</v>
      </c>
      <c r="N9" s="7">
        <v>0.22</v>
      </c>
      <c r="O9" s="7">
        <v>0.05</v>
      </c>
      <c r="P9" s="7">
        <v>0.06</v>
      </c>
      <c r="Q9" s="7">
        <v>7</v>
      </c>
      <c r="R9" s="7">
        <v>40</v>
      </c>
      <c r="S9" s="7">
        <v>19.2</v>
      </c>
      <c r="T9" s="7">
        <v>27080</v>
      </c>
      <c r="U9" s="1" t="e">
        <f>IF(ISBLANK(TabRésultatsMGLAIRL[[#This Row],[Humidité(KF)]]),"",IF(TabRésultatsMGLAIRL[[#This Row],[Humidité(KF)]]&gt;#REF!,"VRAI","FAUX"))</f>
        <v>#REF!</v>
      </c>
      <c r="V9" s="1" t="e">
        <f>IF(TabRésultatsMGLAIRL[[#This Row],[NC KF]]="VRAI",1,0)</f>
        <v>#REF!</v>
      </c>
      <c r="W9" s="1" t="e">
        <f>IF(ISBLANK(TabRésultatsMGLAIRL[[#This Row],[FFA2]]),"",IF(TabRésultatsMGLAIRL[[#This Row],[FFA2]]&gt;#REF!,"VRAI","FAUX"))</f>
        <v>#REF!</v>
      </c>
      <c r="X9" s="1" t="e">
        <f>IF(TabRésultatsMGLAIRL[[#This Row],[NC FFA]]="VRAI",1,0)</f>
        <v>#REF!</v>
      </c>
      <c r="Y9" s="1" t="e">
        <f>IF(ISBLANK(TabRésultatsMGLAIRL[[#This Row],[IP]]),"",IF(TabRésultatsMGLAIRL[[#This Row],[IP]]&gt;=#REF!,"VRAI","FAUX"))</f>
        <v>#REF!</v>
      </c>
      <c r="Z9" s="1" t="e">
        <f>IF(TabRésultatsMGLAIRL[[#This Row],[NC IP]]="VRAI",1,0)</f>
        <v>#REF!</v>
      </c>
      <c r="AA9" s="1" t="e">
        <f>IF(ISBLANK(TabRésultatsMGLAIRL[[#This Row],[Cote Gout]]),"",IF(TabRésultatsMGLAIRL[[#This Row],[Cote Gout]]&gt;#REF!,"FAUX"," VRAI"))</f>
        <v>#REF!</v>
      </c>
      <c r="AB9" s="1" t="e">
        <f>IF(TabRésultatsMGLAIRL[[#This Row],[NC GOUT]]="FAUX",0,1)</f>
        <v>#REF!</v>
      </c>
      <c r="AC9" s="1" t="e">
        <f>IF(ISBLANK(TabRésultatsMGLAIRL[[#This Row],[Humidité(KF)]]),"",IF(TabRésultatsMGLAIRL[[#This Row],[Humidité(KF)]]&lt;=#REF!,1,3))</f>
        <v>#REF!</v>
      </c>
      <c r="AD9" s="1" t="e">
        <f>IF(ISBLANK(TabRésultatsMGLAIRL[[#This Row],[FFA2]]),"",IF(TabRésultatsMGLAIRL[[#This Row],[FFA2]]&lt;=#REF!,1,IF(TabRésultatsMGLAIRL[[#This Row],[FFA2]]&lt;=#REF!,2,3)))</f>
        <v>#REF!</v>
      </c>
      <c r="AE9" s="1" t="e">
        <f>IF(ISBLANK(TabRésultatsMGLAIRL[[#This Row],[IP]]),"",IF(TabRésultatsMGLAIRL[[#This Row],[IP]]&lt;=#REF!,1,IF(TabRésultatsMGLAIRL[[#This Row],[IP]]&lt;=#REF!,2,3)))</f>
        <v>#REF!</v>
      </c>
      <c r="AF9" s="1" t="e">
        <f>IF(ISBLANK(TabRésultatsMGLAIRL[[#This Row],[Cote Gout]]),"",IF(TabRésultatsMGLAIRL[[#This Row],[Cote Gout]]&lt;=#REF!,3,IF(TabRésultatsMGLAIRL[[#This Row],[Cote Gout]]&lt;=#REF!,2,1)))</f>
        <v>#REF!</v>
      </c>
      <c r="AG9" s="1" t="e">
        <f>MAX(TabRésultatsMGLAIRL[[#This Row],[CHOIX KF]:[CHOIX GOUT]])</f>
        <v>#REF!</v>
      </c>
      <c r="AH9" s="1" t="e">
        <f>IF(TabRésultatsMGLAIRL[[#This Row],[CHOIX ]]=1,1,0)</f>
        <v>#REF!</v>
      </c>
      <c r="AI9" s="1" t="e">
        <f>IF(TabRésultatsMGLAIRL[[#This Row],[CHOIX ]]=2,1,0)</f>
        <v>#REF!</v>
      </c>
      <c r="AJ9" s="1" t="e">
        <f>IF(TabRésultatsMGLAIRL[[#This Row],[CHOIX ]]=3,1,0)</f>
        <v>#REF!</v>
      </c>
      <c r="AK9" s="1" t="e">
        <f>IF(TabRésultatsMGLAIRL[[#This Row],[CHOIX ]]="",1,0)</f>
        <v>#REF!</v>
      </c>
      <c r="AL9" s="1" t="str">
        <f>TEXT(RIGHT(TabRésultatsMGLAIRL[[#This Row],[Date Année]],2),"00")&amp;TEXT(TabRésultatsMGLAIRL[[#This Row],[Date semaine]],"00")</f>
        <v>1615</v>
      </c>
      <c r="AM9" s="1" t="e">
        <f>--AND(VALUE(TabRésultatsMGLAIRL[[#This Row],[Année Semaine]])&gt;=#REF!,VALUE(TabRésultatsMGLAIRL[[#This Row],[Année Semaine]])&lt;=#REF!)</f>
        <v>#REF!</v>
      </c>
      <c r="AN9" s="1" t="e">
        <f>--AND(VALUE(TabRésultatsMGLAIRL[[#This Row],[Année Semaine]])&gt;=#REF!,VALUE(TabRésultatsMGLAIRL[[#This Row],[Année Semaine]])&lt;=#REF!)</f>
        <v>#REF!</v>
      </c>
      <c r="AO9" s="1">
        <f>ABS(TabRésultatsMGLAIRL[[#This Row],[Humidité(KF)]]-TabRésultatsMGLAIRL[[#This Row],[moisture (KF)]])</f>
        <v>2.0000000000000004E-2</v>
      </c>
      <c r="AP9" s="1">
        <f>ABS(TabRésultatsMGLAIRL[[#This Row],[FFA]]-TabRésultatsMGLAIRL[[#This Row],[FFA2]])</f>
        <v>0.03</v>
      </c>
      <c r="AQ9" s="1">
        <f>ABS(TabRésultatsMGLAIRL[[#This Row],[PV]]-TabRésultatsMGLAIRL[[#This Row],[IP]])</f>
        <v>9.999999999999995E-3</v>
      </c>
    </row>
    <row r="10" spans="1:43" x14ac:dyDescent="0.25">
      <c r="A10" s="2">
        <v>42474</v>
      </c>
      <c r="B10" s="3">
        <f t="shared" si="0"/>
        <v>2016</v>
      </c>
      <c r="C10" s="4">
        <f t="shared" si="1"/>
        <v>42490</v>
      </c>
      <c r="D10" s="8">
        <f t="shared" si="2"/>
        <v>15</v>
      </c>
      <c r="E10" s="3">
        <v>198675</v>
      </c>
      <c r="F10" s="5" t="s">
        <v>47</v>
      </c>
      <c r="G10" s="3" t="s">
        <v>29</v>
      </c>
      <c r="I10" s="6" t="s">
        <v>30</v>
      </c>
      <c r="J10" s="6" t="s">
        <v>30</v>
      </c>
      <c r="K10" s="7">
        <v>0.08</v>
      </c>
      <c r="L10" s="7">
        <v>0.06</v>
      </c>
      <c r="M10" s="7">
        <v>0.19</v>
      </c>
      <c r="N10" s="7">
        <v>0.21</v>
      </c>
      <c r="O10" s="7">
        <v>0.04</v>
      </c>
      <c r="P10" s="7">
        <v>0.04</v>
      </c>
      <c r="Q10" s="7">
        <v>7</v>
      </c>
      <c r="R10" s="7">
        <v>38</v>
      </c>
      <c r="S10" s="7">
        <v>19.600000000000001</v>
      </c>
      <c r="T10" s="7">
        <v>27100</v>
      </c>
      <c r="U10" s="1" t="e">
        <f>IF(ISBLANK(TabRésultatsMGLAIRL[[#This Row],[Humidité(KF)]]),"",IF(TabRésultatsMGLAIRL[[#This Row],[Humidité(KF)]]&gt;#REF!,"VRAI","FAUX"))</f>
        <v>#REF!</v>
      </c>
      <c r="V10" s="1" t="e">
        <f>IF(TabRésultatsMGLAIRL[[#This Row],[NC KF]]="VRAI",1,0)</f>
        <v>#REF!</v>
      </c>
      <c r="W10" s="1" t="e">
        <f>IF(ISBLANK(TabRésultatsMGLAIRL[[#This Row],[FFA2]]),"",IF(TabRésultatsMGLAIRL[[#This Row],[FFA2]]&gt;#REF!,"VRAI","FAUX"))</f>
        <v>#REF!</v>
      </c>
      <c r="X10" s="1" t="e">
        <f>IF(TabRésultatsMGLAIRL[[#This Row],[NC FFA]]="VRAI",1,0)</f>
        <v>#REF!</v>
      </c>
      <c r="Y10" s="1" t="e">
        <f>IF(ISBLANK(TabRésultatsMGLAIRL[[#This Row],[IP]]),"",IF(TabRésultatsMGLAIRL[[#This Row],[IP]]&gt;=#REF!,"VRAI","FAUX"))</f>
        <v>#REF!</v>
      </c>
      <c r="Z10" s="1" t="e">
        <f>IF(TabRésultatsMGLAIRL[[#This Row],[NC IP]]="VRAI",1,0)</f>
        <v>#REF!</v>
      </c>
      <c r="AA10" s="1" t="e">
        <f>IF(ISBLANK(TabRésultatsMGLAIRL[[#This Row],[Cote Gout]]),"",IF(TabRésultatsMGLAIRL[[#This Row],[Cote Gout]]&gt;#REF!,"FAUX"," VRAI"))</f>
        <v>#REF!</v>
      </c>
      <c r="AB10" s="1" t="e">
        <f>IF(TabRésultatsMGLAIRL[[#This Row],[NC GOUT]]="FAUX",0,1)</f>
        <v>#REF!</v>
      </c>
      <c r="AC10" s="1" t="e">
        <f>IF(ISBLANK(TabRésultatsMGLAIRL[[#This Row],[Humidité(KF)]]),"",IF(TabRésultatsMGLAIRL[[#This Row],[Humidité(KF)]]&lt;=#REF!,1,3))</f>
        <v>#REF!</v>
      </c>
      <c r="AD10" s="1" t="e">
        <f>IF(ISBLANK(TabRésultatsMGLAIRL[[#This Row],[FFA2]]),"",IF(TabRésultatsMGLAIRL[[#This Row],[FFA2]]&lt;=#REF!,1,IF(TabRésultatsMGLAIRL[[#This Row],[FFA2]]&lt;=#REF!,2,3)))</f>
        <v>#REF!</v>
      </c>
      <c r="AE10" s="1" t="e">
        <f>IF(ISBLANK(TabRésultatsMGLAIRL[[#This Row],[IP]]),"",IF(TabRésultatsMGLAIRL[[#This Row],[IP]]&lt;=#REF!,1,IF(TabRésultatsMGLAIRL[[#This Row],[IP]]&lt;=#REF!,2,3)))</f>
        <v>#REF!</v>
      </c>
      <c r="AF10" s="1" t="e">
        <f>IF(ISBLANK(TabRésultatsMGLAIRL[[#This Row],[Cote Gout]]),"",IF(TabRésultatsMGLAIRL[[#This Row],[Cote Gout]]&lt;=#REF!,3,IF(TabRésultatsMGLAIRL[[#This Row],[Cote Gout]]&lt;=#REF!,2,1)))</f>
        <v>#REF!</v>
      </c>
      <c r="AG10" s="1" t="e">
        <f>MAX(TabRésultatsMGLAIRL[[#This Row],[CHOIX KF]:[CHOIX GOUT]])</f>
        <v>#REF!</v>
      </c>
      <c r="AH10" s="1" t="e">
        <f>IF(TabRésultatsMGLAIRL[[#This Row],[CHOIX ]]=1,1,0)</f>
        <v>#REF!</v>
      </c>
      <c r="AI10" s="1" t="e">
        <f>IF(TabRésultatsMGLAIRL[[#This Row],[CHOIX ]]=2,1,0)</f>
        <v>#REF!</v>
      </c>
      <c r="AJ10" s="1" t="e">
        <f>IF(TabRésultatsMGLAIRL[[#This Row],[CHOIX ]]=3,1,0)</f>
        <v>#REF!</v>
      </c>
      <c r="AK10" s="1" t="e">
        <f>IF(TabRésultatsMGLAIRL[[#This Row],[CHOIX ]]="",1,0)</f>
        <v>#REF!</v>
      </c>
      <c r="AL10" s="1" t="str">
        <f>TEXT(RIGHT(TabRésultatsMGLAIRL[[#This Row],[Date Année]],2),"00")&amp;TEXT(TabRésultatsMGLAIRL[[#This Row],[Date semaine]],"00")</f>
        <v>1615</v>
      </c>
      <c r="AM10" s="1" t="e">
        <f>--AND(VALUE(TabRésultatsMGLAIRL[[#This Row],[Année Semaine]])&gt;=#REF!,VALUE(TabRésultatsMGLAIRL[[#This Row],[Année Semaine]])&lt;=#REF!)</f>
        <v>#REF!</v>
      </c>
      <c r="AN10" s="1" t="e">
        <f>--AND(VALUE(TabRésultatsMGLAIRL[[#This Row],[Année Semaine]])&gt;=#REF!,VALUE(TabRésultatsMGLAIRL[[#This Row],[Année Semaine]])&lt;=#REF!)</f>
        <v>#REF!</v>
      </c>
      <c r="AO10" s="1">
        <f>ABS(TabRésultatsMGLAIRL[[#This Row],[Humidité(KF)]]-TabRésultatsMGLAIRL[[#This Row],[moisture (KF)]])</f>
        <v>2.0000000000000004E-2</v>
      </c>
      <c r="AP10" s="1">
        <f>ABS(TabRésultatsMGLAIRL[[#This Row],[FFA]]-TabRésultatsMGLAIRL[[#This Row],[FFA2]])</f>
        <v>1.999999999999999E-2</v>
      </c>
      <c r="AQ10" s="1">
        <f>ABS(TabRésultatsMGLAIRL[[#This Row],[PV]]-TabRésultatsMGLAIRL[[#This Row],[IP]])</f>
        <v>0</v>
      </c>
    </row>
    <row r="11" spans="1:43" x14ac:dyDescent="0.25">
      <c r="A11" s="2">
        <v>42475</v>
      </c>
      <c r="B11" s="3">
        <f t="shared" si="0"/>
        <v>2016</v>
      </c>
      <c r="C11" s="4">
        <f t="shared" si="1"/>
        <v>42490</v>
      </c>
      <c r="D11" s="8">
        <f t="shared" si="2"/>
        <v>15</v>
      </c>
      <c r="E11" s="3">
        <v>198677</v>
      </c>
      <c r="F11" s="5" t="s">
        <v>48</v>
      </c>
      <c r="G11" s="3" t="s">
        <v>29</v>
      </c>
      <c r="H11" s="6" t="s">
        <v>38</v>
      </c>
      <c r="I11" s="6" t="s">
        <v>30</v>
      </c>
      <c r="J11" s="6" t="s">
        <v>30</v>
      </c>
      <c r="K11" s="7">
        <v>0.03</v>
      </c>
      <c r="L11" s="7">
        <v>0.08</v>
      </c>
      <c r="M11" s="7">
        <v>0.25</v>
      </c>
      <c r="N11" s="7">
        <v>0.27</v>
      </c>
      <c r="O11" s="7">
        <v>7.0000000000000007E-2</v>
      </c>
      <c r="P11" s="7">
        <v>7.0000000000000007E-2</v>
      </c>
      <c r="Q11" s="7">
        <v>8</v>
      </c>
      <c r="R11" s="7">
        <v>25</v>
      </c>
      <c r="S11" s="7">
        <v>19</v>
      </c>
      <c r="T11" s="7">
        <v>24860</v>
      </c>
      <c r="U11" s="1" t="e">
        <f>IF(ISBLANK(TabRésultatsMGLAIRL[[#This Row],[Humidité(KF)]]),"",IF(TabRésultatsMGLAIRL[[#This Row],[Humidité(KF)]]&gt;#REF!,"VRAI","FAUX"))</f>
        <v>#REF!</v>
      </c>
      <c r="V11" s="1" t="e">
        <f>IF(TabRésultatsMGLAIRL[[#This Row],[NC KF]]="VRAI",1,0)</f>
        <v>#REF!</v>
      </c>
      <c r="W11" s="1" t="e">
        <f>IF(ISBLANK(TabRésultatsMGLAIRL[[#This Row],[FFA2]]),"",IF(TabRésultatsMGLAIRL[[#This Row],[FFA2]]&gt;#REF!,"VRAI","FAUX"))</f>
        <v>#REF!</v>
      </c>
      <c r="X11" s="1" t="e">
        <f>IF(TabRésultatsMGLAIRL[[#This Row],[NC FFA]]="VRAI",1,0)</f>
        <v>#REF!</v>
      </c>
      <c r="Y11" s="1" t="e">
        <f>IF(ISBLANK(TabRésultatsMGLAIRL[[#This Row],[IP]]),"",IF(TabRésultatsMGLAIRL[[#This Row],[IP]]&gt;=#REF!,"VRAI","FAUX"))</f>
        <v>#REF!</v>
      </c>
      <c r="Z11" s="1" t="e">
        <f>IF(TabRésultatsMGLAIRL[[#This Row],[NC IP]]="VRAI",1,0)</f>
        <v>#REF!</v>
      </c>
      <c r="AA11" s="1" t="e">
        <f>IF(ISBLANK(TabRésultatsMGLAIRL[[#This Row],[Cote Gout]]),"",IF(TabRésultatsMGLAIRL[[#This Row],[Cote Gout]]&gt;#REF!,"FAUX"," VRAI"))</f>
        <v>#REF!</v>
      </c>
      <c r="AB11" s="1" t="e">
        <f>IF(TabRésultatsMGLAIRL[[#This Row],[NC GOUT]]="FAUX",0,1)</f>
        <v>#REF!</v>
      </c>
      <c r="AC11" s="1" t="e">
        <f>IF(ISBLANK(TabRésultatsMGLAIRL[[#This Row],[Humidité(KF)]]),"",IF(TabRésultatsMGLAIRL[[#This Row],[Humidité(KF)]]&lt;=#REF!,1,3))</f>
        <v>#REF!</v>
      </c>
      <c r="AD11" s="1" t="e">
        <f>IF(ISBLANK(TabRésultatsMGLAIRL[[#This Row],[FFA2]]),"",IF(TabRésultatsMGLAIRL[[#This Row],[FFA2]]&lt;=#REF!,1,IF(TabRésultatsMGLAIRL[[#This Row],[FFA2]]&lt;=#REF!,2,3)))</f>
        <v>#REF!</v>
      </c>
      <c r="AE11" s="1" t="e">
        <f>IF(ISBLANK(TabRésultatsMGLAIRL[[#This Row],[IP]]),"",IF(TabRésultatsMGLAIRL[[#This Row],[IP]]&lt;=#REF!,1,IF(TabRésultatsMGLAIRL[[#This Row],[IP]]&lt;=#REF!,2,3)))</f>
        <v>#REF!</v>
      </c>
      <c r="AF11" s="1" t="e">
        <f>IF(ISBLANK(TabRésultatsMGLAIRL[[#This Row],[Cote Gout]]),"",IF(TabRésultatsMGLAIRL[[#This Row],[Cote Gout]]&lt;=#REF!,3,IF(TabRésultatsMGLAIRL[[#This Row],[Cote Gout]]&lt;=#REF!,2,1)))</f>
        <v>#REF!</v>
      </c>
      <c r="AG11" s="1" t="e">
        <f>MAX(TabRésultatsMGLAIRL[[#This Row],[CHOIX KF]:[CHOIX GOUT]])</f>
        <v>#REF!</v>
      </c>
      <c r="AH11" s="1" t="e">
        <f>IF(TabRésultatsMGLAIRL[[#This Row],[CHOIX ]]=1,1,0)</f>
        <v>#REF!</v>
      </c>
      <c r="AI11" s="1" t="e">
        <f>IF(TabRésultatsMGLAIRL[[#This Row],[CHOIX ]]=2,1,0)</f>
        <v>#REF!</v>
      </c>
      <c r="AJ11" s="1" t="e">
        <f>IF(TabRésultatsMGLAIRL[[#This Row],[CHOIX ]]=3,1,0)</f>
        <v>#REF!</v>
      </c>
      <c r="AK11" s="1" t="e">
        <f>IF(TabRésultatsMGLAIRL[[#This Row],[CHOIX ]]="",1,0)</f>
        <v>#REF!</v>
      </c>
      <c r="AL11" s="1" t="str">
        <f>TEXT(RIGHT(TabRésultatsMGLAIRL[[#This Row],[Date Année]],2),"00")&amp;TEXT(TabRésultatsMGLAIRL[[#This Row],[Date semaine]],"00")</f>
        <v>1615</v>
      </c>
      <c r="AM11" s="1" t="e">
        <f>--AND(VALUE(TabRésultatsMGLAIRL[[#This Row],[Année Semaine]])&gt;=#REF!,VALUE(TabRésultatsMGLAIRL[[#This Row],[Année Semaine]])&lt;=#REF!)</f>
        <v>#REF!</v>
      </c>
      <c r="AN11" s="1" t="e">
        <f>--AND(VALUE(TabRésultatsMGLAIRL[[#This Row],[Année Semaine]])&gt;=#REF!,VALUE(TabRésultatsMGLAIRL[[#This Row],[Année Semaine]])&lt;=#REF!)</f>
        <v>#REF!</v>
      </c>
      <c r="AO11" s="1">
        <f>ABS(TabRésultatsMGLAIRL[[#This Row],[Humidité(KF)]]-TabRésultatsMGLAIRL[[#This Row],[moisture (KF)]])</f>
        <v>0.05</v>
      </c>
      <c r="AP11" s="1">
        <f>ABS(TabRésultatsMGLAIRL[[#This Row],[FFA]]-TabRésultatsMGLAIRL[[#This Row],[FFA2]])</f>
        <v>2.0000000000000018E-2</v>
      </c>
      <c r="AQ11" s="1">
        <f>ABS(TabRésultatsMGLAIRL[[#This Row],[PV]]-TabRésultatsMGLAIRL[[#This Row],[IP]])</f>
        <v>0</v>
      </c>
    </row>
  </sheetData>
  <conditionalFormatting sqref="U2:AA11">
    <cfRule type="containsText" dxfId="10" priority="4" operator="containsText" text="VRAI">
      <formula>NOT(ISERROR(SEARCH("VRAI",U2)))</formula>
    </cfRule>
  </conditionalFormatting>
  <conditionalFormatting sqref="O2:O1048576">
    <cfRule type="cellIs" dxfId="9" priority="3" operator="greaterThan">
      <formula>0.14</formula>
    </cfRule>
  </conditionalFormatting>
  <conditionalFormatting sqref="Q1:Q1048576">
    <cfRule type="cellIs" dxfId="8" priority="2" operator="between">
      <formula>5.1</formula>
      <formula>6.1</formula>
    </cfRule>
  </conditionalFormatting>
  <conditionalFormatting sqref="Q2:Q11">
    <cfRule type="cellIs" dxfId="7" priority="1" operator="between">
      <formula>1</formula>
      <formula>5.1</formula>
    </cfRule>
  </conditionalFormatting>
  <conditionalFormatting sqref="K2:L11">
    <cfRule type="cellIs" dxfId="6" priority="29" operator="equal">
      <formula>#REF!</formula>
    </cfRule>
    <cfRule type="cellIs" dxfId="5" priority="30" operator="greaterThan">
      <formula>#REF!</formula>
    </cfRule>
  </conditionalFormatting>
  <conditionalFormatting sqref="O2:P11">
    <cfRule type="cellIs" dxfId="4" priority="18" operator="between">
      <formula>#REF!</formula>
      <formula>#REF!</formula>
    </cfRule>
  </conditionalFormatting>
  <conditionalFormatting sqref="O2:P11">
    <cfRule type="cellIs" dxfId="3" priority="12" operator="between">
      <formula>#REF!</formula>
      <formula>#REF!</formula>
    </cfRule>
    <cfRule type="cellIs" dxfId="2" priority="16" operator="between">
      <formula>#REF!</formula>
      <formula>#REF!</formula>
    </cfRule>
    <cfRule type="cellIs" dxfId="1" priority="17" operator="greaterThan">
      <formula>#REF!</formula>
    </cfRule>
  </conditionalFormatting>
  <conditionalFormatting sqref="P2:P11">
    <cfRule type="cellIs" dxfId="0" priority="14" operator="greaterThan">
      <formula>#REF!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54"/>
  <sheetViews>
    <sheetView workbookViewId="0">
      <selection activeCell="A11" sqref="A11:XFD11"/>
    </sheetView>
  </sheetViews>
  <sheetFormatPr baseColWidth="10" defaultColWidth="9.140625" defaultRowHeight="12" x14ac:dyDescent="0.2"/>
  <cols>
    <col min="1" max="1" width="16.42578125" style="105" customWidth="1"/>
    <col min="2" max="2" width="13.7109375" style="19" customWidth="1"/>
    <col min="3" max="3" width="10.7109375" style="19" customWidth="1"/>
    <col min="4" max="4" width="13.5703125" style="19" customWidth="1"/>
    <col min="5" max="5" width="12.7109375" style="19" customWidth="1"/>
    <col min="6" max="6" width="8.28515625" style="19" customWidth="1"/>
    <col min="7" max="7" width="14.42578125" style="19" customWidth="1"/>
    <col min="8" max="8" width="14.85546875" style="19" customWidth="1"/>
    <col min="9" max="10" width="15.42578125" style="19" customWidth="1"/>
    <col min="11" max="11" width="15.140625" style="19" customWidth="1"/>
    <col min="12" max="12" width="16" style="19" customWidth="1"/>
    <col min="13" max="13" width="10.42578125" style="19" bestFit="1" customWidth="1"/>
    <col min="14" max="14" width="10.42578125" style="19" customWidth="1"/>
    <col min="15" max="16384" width="9.140625" style="19"/>
  </cols>
  <sheetData>
    <row r="1" spans="1:14" ht="24" customHeight="1" x14ac:dyDescent="0.2">
      <c r="A1" s="16"/>
      <c r="B1" s="17"/>
      <c r="C1" s="17"/>
      <c r="D1" s="17"/>
      <c r="E1" s="17"/>
      <c r="F1" s="17"/>
      <c r="G1" s="17"/>
      <c r="H1" s="17"/>
      <c r="I1" s="17"/>
      <c r="J1" s="17" t="s">
        <v>49</v>
      </c>
      <c r="K1" s="17"/>
      <c r="L1" s="17" t="s">
        <v>50</v>
      </c>
      <c r="M1" s="18"/>
      <c r="N1" s="18"/>
    </row>
    <row r="2" spans="1:14" ht="14.1" customHeight="1" x14ac:dyDescent="0.2">
      <c r="A2" s="16"/>
      <c r="B2" s="17"/>
      <c r="C2" s="17"/>
      <c r="D2" s="17"/>
      <c r="E2" s="20" t="s">
        <v>51</v>
      </c>
      <c r="F2" s="17"/>
      <c r="G2" s="20"/>
      <c r="H2" s="20"/>
      <c r="I2" s="17"/>
      <c r="J2" s="17" t="s">
        <v>52</v>
      </c>
      <c r="K2" s="20" t="s">
        <v>53</v>
      </c>
      <c r="L2" s="17" t="s">
        <v>54</v>
      </c>
      <c r="M2" s="18"/>
      <c r="N2" s="18"/>
    </row>
    <row r="3" spans="1:14" ht="14.1" customHeight="1" thickBot="1" x14ac:dyDescent="0.3">
      <c r="A3" s="21"/>
      <c r="B3" s="22"/>
      <c r="C3" s="114" t="s">
        <v>91</v>
      </c>
      <c r="D3" s="23"/>
      <c r="E3" s="22"/>
      <c r="F3" s="22"/>
      <c r="G3" s="22"/>
      <c r="H3" s="22"/>
      <c r="I3" s="22"/>
      <c r="J3" s="22"/>
      <c r="K3" s="22"/>
      <c r="L3" s="22" t="s">
        <v>55</v>
      </c>
      <c r="M3" s="22"/>
      <c r="N3" s="22"/>
    </row>
    <row r="4" spans="1:14" s="33" customFormat="1" ht="50.25" customHeight="1" x14ac:dyDescent="0.2">
      <c r="A4" s="24" t="s">
        <v>3</v>
      </c>
      <c r="B4" s="25" t="s">
        <v>56</v>
      </c>
      <c r="C4" s="26" t="s">
        <v>57</v>
      </c>
      <c r="D4" s="25" t="s">
        <v>58</v>
      </c>
      <c r="E4" s="25" t="s">
        <v>10</v>
      </c>
      <c r="F4" s="27" t="s">
        <v>59</v>
      </c>
      <c r="G4" s="28" t="s">
        <v>77</v>
      </c>
      <c r="H4" s="29" t="s">
        <v>78</v>
      </c>
      <c r="I4" s="28" t="s">
        <v>79</v>
      </c>
      <c r="J4" s="29" t="s">
        <v>80</v>
      </c>
      <c r="K4" s="28" t="s">
        <v>81</v>
      </c>
      <c r="L4" s="30" t="s">
        <v>82</v>
      </c>
      <c r="M4" s="31" t="s">
        <v>60</v>
      </c>
      <c r="N4" s="32" t="s">
        <v>61</v>
      </c>
    </row>
    <row r="5" spans="1:14" ht="15.95" customHeight="1" x14ac:dyDescent="0.2">
      <c r="A5" s="109" t="s">
        <v>62</v>
      </c>
      <c r="B5" s="34">
        <v>198981</v>
      </c>
      <c r="C5" s="35"/>
      <c r="D5" s="18"/>
      <c r="E5" s="35" t="s">
        <v>31</v>
      </c>
      <c r="F5" s="35" t="s">
        <v>30</v>
      </c>
      <c r="G5" s="36">
        <v>7.0000000000000007E-2</v>
      </c>
      <c r="H5" s="37"/>
      <c r="I5" s="36">
        <v>0.25</v>
      </c>
      <c r="J5" s="37"/>
      <c r="K5" s="36">
        <v>0.1</v>
      </c>
      <c r="L5" s="37"/>
      <c r="M5" s="38"/>
      <c r="N5" s="39"/>
    </row>
    <row r="6" spans="1:14" ht="15.95" customHeight="1" x14ac:dyDescent="0.2">
      <c r="A6" s="34" t="s">
        <v>63</v>
      </c>
      <c r="B6" s="34">
        <v>198986</v>
      </c>
      <c r="C6" s="111"/>
      <c r="D6" s="18"/>
      <c r="E6" s="35" t="s">
        <v>30</v>
      </c>
      <c r="F6" s="35" t="s">
        <v>30</v>
      </c>
      <c r="G6" s="36">
        <v>0.04</v>
      </c>
      <c r="H6" s="37"/>
      <c r="I6" s="36">
        <v>0.25</v>
      </c>
      <c r="J6" s="37"/>
      <c r="K6" s="36">
        <v>7.0000000000000007E-2</v>
      </c>
      <c r="L6" s="37"/>
      <c r="M6" s="38"/>
      <c r="N6" s="39"/>
    </row>
    <row r="7" spans="1:14" ht="15.95" customHeight="1" x14ac:dyDescent="0.2">
      <c r="A7" s="34" t="s">
        <v>64</v>
      </c>
      <c r="B7" s="34">
        <v>198989</v>
      </c>
      <c r="C7" s="110"/>
      <c r="D7" s="18"/>
      <c r="E7" s="35" t="s">
        <v>30</v>
      </c>
      <c r="F7" s="35" t="s">
        <v>30</v>
      </c>
      <c r="G7" s="36">
        <v>0.05</v>
      </c>
      <c r="H7" s="37"/>
      <c r="I7" s="36">
        <v>0.24</v>
      </c>
      <c r="J7" s="37"/>
      <c r="K7" s="36">
        <v>0.09</v>
      </c>
      <c r="L7" s="37"/>
      <c r="M7" s="38"/>
      <c r="N7" s="39"/>
    </row>
    <row r="8" spans="1:14" ht="15.95" customHeight="1" x14ac:dyDescent="0.2">
      <c r="A8" s="34" t="s">
        <v>65</v>
      </c>
      <c r="B8" s="34">
        <v>198990</v>
      </c>
      <c r="C8" s="35"/>
      <c r="D8" s="18"/>
      <c r="E8" s="35" t="s">
        <v>30</v>
      </c>
      <c r="F8" s="35" t="s">
        <v>30</v>
      </c>
      <c r="G8" s="36">
        <v>7.0000000000000007E-2</v>
      </c>
      <c r="H8" s="37"/>
      <c r="I8" s="36">
        <v>0.22</v>
      </c>
      <c r="J8" s="37"/>
      <c r="K8" s="36">
        <v>0.04</v>
      </c>
      <c r="L8" s="37"/>
      <c r="M8" s="38"/>
      <c r="N8" s="39"/>
    </row>
    <row r="9" spans="1:14" ht="15.95" customHeight="1" x14ac:dyDescent="0.2">
      <c r="A9" s="34"/>
      <c r="B9" s="34"/>
      <c r="C9" s="35"/>
      <c r="D9" s="18"/>
      <c r="E9" s="35"/>
      <c r="F9" s="35"/>
      <c r="G9" s="36"/>
      <c r="H9" s="37"/>
      <c r="I9" s="36"/>
      <c r="J9" s="37"/>
      <c r="K9" s="36"/>
      <c r="L9" s="37"/>
      <c r="M9" s="38"/>
      <c r="N9" s="40"/>
    </row>
    <row r="10" spans="1:14" ht="15.95" customHeight="1" thickBot="1" x14ac:dyDescent="0.25">
      <c r="A10" s="34"/>
      <c r="B10" s="34"/>
      <c r="C10" s="35"/>
      <c r="D10" s="18"/>
      <c r="E10" s="35"/>
      <c r="F10" s="35"/>
      <c r="G10" s="36"/>
      <c r="H10" s="41"/>
      <c r="I10" s="36"/>
      <c r="J10" s="41"/>
      <c r="K10" s="36"/>
      <c r="L10" s="41"/>
      <c r="M10" s="38"/>
      <c r="N10" s="42"/>
    </row>
    <row r="11" spans="1:14" ht="15.95" customHeight="1" thickBot="1" x14ac:dyDescent="0.25">
      <c r="A11" s="43"/>
      <c r="B11" s="34"/>
      <c r="C11" s="35"/>
      <c r="D11" s="18"/>
      <c r="E11" s="35"/>
      <c r="F11" s="35"/>
      <c r="G11" s="44" t="s">
        <v>66</v>
      </c>
      <c r="H11" s="45"/>
      <c r="I11" s="44" t="s">
        <v>66</v>
      </c>
      <c r="J11" s="45"/>
      <c r="K11" s="44" t="s">
        <v>66</v>
      </c>
      <c r="L11" s="46"/>
      <c r="M11" s="38"/>
      <c r="N11" s="47" t="s">
        <v>66</v>
      </c>
    </row>
    <row r="12" spans="1:14" ht="15.95" customHeight="1" thickBot="1" x14ac:dyDescent="0.25">
      <c r="A12" s="48"/>
      <c r="B12" s="49" t="s">
        <v>67</v>
      </c>
      <c r="C12" s="50">
        <v>0</v>
      </c>
      <c r="D12" s="51"/>
      <c r="E12" s="52"/>
      <c r="F12" s="53"/>
      <c r="G12" s="54" t="s">
        <v>68</v>
      </c>
      <c r="H12" s="55" t="s">
        <v>69</v>
      </c>
      <c r="I12" s="54" t="s">
        <v>70</v>
      </c>
      <c r="J12" s="56" t="s">
        <v>71</v>
      </c>
      <c r="K12" s="57" t="s">
        <v>72</v>
      </c>
      <c r="L12" s="58"/>
      <c r="M12" s="59"/>
      <c r="N12" s="60" t="s">
        <v>73</v>
      </c>
    </row>
    <row r="13" spans="1:14" s="62" customFormat="1" ht="15.95" customHeight="1" x14ac:dyDescent="0.2">
      <c r="A13" s="61"/>
      <c r="B13" s="61"/>
      <c r="C13" s="22"/>
    </row>
    <row r="14" spans="1:14" s="62" customFormat="1" ht="15.95" customHeight="1" thickBot="1" x14ac:dyDescent="0.3">
      <c r="A14" s="61"/>
      <c r="B14" s="61"/>
      <c r="C14" s="114" t="s">
        <v>91</v>
      </c>
      <c r="D14" s="63"/>
    </row>
    <row r="15" spans="1:14" s="33" customFormat="1" ht="56.25" customHeight="1" x14ac:dyDescent="0.2">
      <c r="A15" s="24" t="s">
        <v>3</v>
      </c>
      <c r="B15" s="25" t="s">
        <v>56</v>
      </c>
      <c r="C15" s="26" t="s">
        <v>74</v>
      </c>
      <c r="D15" s="64" t="s">
        <v>58</v>
      </c>
      <c r="E15" s="25" t="s">
        <v>10</v>
      </c>
      <c r="F15" s="27" t="s">
        <v>59</v>
      </c>
      <c r="G15" s="28" t="s">
        <v>77</v>
      </c>
      <c r="H15" s="29" t="s">
        <v>78</v>
      </c>
      <c r="I15" s="28" t="s">
        <v>79</v>
      </c>
      <c r="J15" s="29" t="s">
        <v>80</v>
      </c>
      <c r="K15" s="28" t="s">
        <v>81</v>
      </c>
      <c r="L15" s="30" t="s">
        <v>82</v>
      </c>
      <c r="M15" s="31" t="s">
        <v>60</v>
      </c>
      <c r="N15" s="32" t="s">
        <v>61</v>
      </c>
    </row>
    <row r="16" spans="1:14" ht="15.95" customHeight="1" x14ac:dyDescent="0.2">
      <c r="A16" s="34" t="s">
        <v>75</v>
      </c>
      <c r="B16" s="34">
        <v>198982</v>
      </c>
      <c r="C16" s="35"/>
      <c r="D16" s="18"/>
      <c r="E16" s="35" t="s">
        <v>30</v>
      </c>
      <c r="F16" s="65" t="s">
        <v>30</v>
      </c>
      <c r="G16" s="36">
        <v>0.08</v>
      </c>
      <c r="H16" s="37"/>
      <c r="I16" s="36">
        <v>0.18</v>
      </c>
      <c r="J16" s="37"/>
      <c r="K16" s="36">
        <v>0.05</v>
      </c>
      <c r="L16" s="37"/>
      <c r="M16" s="38"/>
      <c r="N16" s="39"/>
    </row>
    <row r="17" spans="1:14" ht="15.95" customHeight="1" x14ac:dyDescent="0.2">
      <c r="A17" s="34" t="s">
        <v>75</v>
      </c>
      <c r="B17" s="34">
        <v>198983</v>
      </c>
      <c r="C17" s="35"/>
      <c r="D17" s="18"/>
      <c r="E17" s="35" t="s">
        <v>30</v>
      </c>
      <c r="F17" s="65" t="s">
        <v>30</v>
      </c>
      <c r="G17" s="36">
        <v>0.09</v>
      </c>
      <c r="H17" s="37"/>
      <c r="I17" s="36">
        <v>0.19</v>
      </c>
      <c r="J17" s="37"/>
      <c r="K17" s="36">
        <v>0.05</v>
      </c>
      <c r="L17" s="37"/>
      <c r="M17" s="38"/>
      <c r="N17" s="39"/>
    </row>
    <row r="18" spans="1:14" ht="15.95" customHeight="1" x14ac:dyDescent="0.2">
      <c r="A18" s="34" t="s">
        <v>63</v>
      </c>
      <c r="B18" s="34">
        <v>198984</v>
      </c>
      <c r="C18" s="35" t="s">
        <v>38</v>
      </c>
      <c r="D18" s="18"/>
      <c r="E18" s="35" t="s">
        <v>30</v>
      </c>
      <c r="F18" s="65" t="s">
        <v>30</v>
      </c>
      <c r="G18" s="36">
        <v>0.06</v>
      </c>
      <c r="H18" s="37"/>
      <c r="I18" s="36">
        <v>0.19</v>
      </c>
      <c r="J18" s="37"/>
      <c r="K18" s="36">
        <v>0.04</v>
      </c>
      <c r="L18" s="37"/>
      <c r="M18" s="38"/>
      <c r="N18" s="39"/>
    </row>
    <row r="19" spans="1:14" ht="15.95" customHeight="1" x14ac:dyDescent="0.2">
      <c r="A19" s="34" t="s">
        <v>63</v>
      </c>
      <c r="B19" s="34">
        <v>198985</v>
      </c>
      <c r="C19" s="35"/>
      <c r="D19" s="18"/>
      <c r="E19" s="35" t="s">
        <v>30</v>
      </c>
      <c r="F19" s="65" t="s">
        <v>30</v>
      </c>
      <c r="G19" s="36">
        <v>0.05</v>
      </c>
      <c r="H19" s="37"/>
      <c r="I19" s="36">
        <v>0.18</v>
      </c>
      <c r="J19" s="37"/>
      <c r="K19" s="36">
        <v>0.03</v>
      </c>
      <c r="L19" s="37"/>
      <c r="M19" s="38"/>
      <c r="N19" s="39"/>
    </row>
    <row r="20" spans="1:14" ht="15.95" customHeight="1" x14ac:dyDescent="0.2">
      <c r="A20" s="34" t="s">
        <v>64</v>
      </c>
      <c r="B20" s="34">
        <v>198987</v>
      </c>
      <c r="C20" s="35"/>
      <c r="D20" s="18"/>
      <c r="E20" s="35" t="s">
        <v>30</v>
      </c>
      <c r="F20" s="65" t="s">
        <v>30</v>
      </c>
      <c r="G20" s="36">
        <v>0.04</v>
      </c>
      <c r="H20" s="37"/>
      <c r="I20" s="36">
        <v>0.18</v>
      </c>
      <c r="J20" s="37"/>
      <c r="K20" s="36">
        <v>0.05</v>
      </c>
      <c r="L20" s="37"/>
      <c r="M20" s="38"/>
      <c r="N20" s="39"/>
    </row>
    <row r="21" spans="1:14" ht="15.95" customHeight="1" x14ac:dyDescent="0.2">
      <c r="A21" s="34"/>
      <c r="B21" s="34"/>
      <c r="C21" s="35"/>
      <c r="D21" s="18"/>
      <c r="E21" s="35"/>
      <c r="F21" s="65"/>
      <c r="G21" s="36"/>
      <c r="H21" s="37"/>
      <c r="I21" s="36"/>
      <c r="J21" s="37"/>
      <c r="K21" s="36"/>
      <c r="L21" s="37"/>
      <c r="M21" s="38"/>
      <c r="N21" s="39"/>
    </row>
    <row r="22" spans="1:14" ht="15.95" customHeight="1" x14ac:dyDescent="0.2">
      <c r="A22" s="34"/>
      <c r="B22" s="34"/>
      <c r="C22" s="35"/>
      <c r="D22" s="18"/>
      <c r="E22" s="35"/>
      <c r="F22" s="65"/>
      <c r="G22" s="36"/>
      <c r="H22" s="37"/>
      <c r="I22" s="36"/>
      <c r="J22" s="37"/>
      <c r="K22" s="36"/>
      <c r="L22" s="37"/>
      <c r="M22" s="38"/>
      <c r="N22" s="39"/>
    </row>
    <row r="23" spans="1:14" ht="15.95" customHeight="1" x14ac:dyDescent="0.2">
      <c r="A23" s="34"/>
      <c r="B23" s="34"/>
      <c r="C23" s="18"/>
      <c r="D23" s="18"/>
      <c r="E23" s="35"/>
      <c r="F23" s="65"/>
      <c r="G23" s="36"/>
      <c r="H23" s="37"/>
      <c r="I23" s="36"/>
      <c r="J23" s="37"/>
      <c r="K23" s="36"/>
      <c r="L23" s="37"/>
      <c r="M23" s="38"/>
      <c r="N23" s="39"/>
    </row>
    <row r="24" spans="1:14" ht="15.95" customHeight="1" x14ac:dyDescent="0.2">
      <c r="A24" s="34"/>
      <c r="B24" s="16"/>
      <c r="C24" s="18"/>
      <c r="D24" s="18"/>
      <c r="E24" s="18"/>
      <c r="F24" s="66"/>
      <c r="G24" s="43"/>
      <c r="H24" s="37"/>
      <c r="I24" s="43"/>
      <c r="J24" s="37"/>
      <c r="K24" s="43"/>
      <c r="L24" s="37"/>
      <c r="M24" s="38"/>
      <c r="N24" s="40"/>
    </row>
    <row r="25" spans="1:14" ht="15.95" customHeight="1" thickBot="1" x14ac:dyDescent="0.25">
      <c r="A25" s="34"/>
      <c r="B25" s="16"/>
      <c r="C25" s="18"/>
      <c r="D25" s="18"/>
      <c r="E25" s="18"/>
      <c r="F25" s="66"/>
      <c r="G25" s="67"/>
      <c r="H25" s="41"/>
      <c r="I25" s="67"/>
      <c r="J25" s="41"/>
      <c r="K25" s="67"/>
      <c r="L25" s="41"/>
      <c r="M25" s="38"/>
      <c r="N25" s="42"/>
    </row>
    <row r="26" spans="1:14" ht="15.95" customHeight="1" thickBot="1" x14ac:dyDescent="0.25">
      <c r="A26" s="43"/>
      <c r="B26" s="68"/>
      <c r="C26" s="69"/>
      <c r="D26" s="18"/>
      <c r="E26" s="18"/>
      <c r="F26" s="66"/>
      <c r="G26" s="44" t="s">
        <v>66</v>
      </c>
      <c r="H26" s="45"/>
      <c r="I26" s="44" t="s">
        <v>66</v>
      </c>
      <c r="J26" s="45"/>
      <c r="K26" s="44" t="s">
        <v>66</v>
      </c>
      <c r="L26" s="46"/>
      <c r="M26" s="38"/>
      <c r="N26" s="70" t="s">
        <v>66</v>
      </c>
    </row>
    <row r="27" spans="1:14" ht="15.95" customHeight="1" thickBot="1" x14ac:dyDescent="0.25">
      <c r="A27" s="48"/>
      <c r="B27" s="49" t="s">
        <v>67</v>
      </c>
      <c r="C27" s="50">
        <v>0</v>
      </c>
      <c r="D27" s="51"/>
      <c r="E27" s="52"/>
      <c r="F27" s="53"/>
      <c r="G27" s="54"/>
      <c r="H27" s="55"/>
      <c r="I27" s="54"/>
      <c r="J27" s="56"/>
      <c r="K27" s="54"/>
      <c r="L27" s="58"/>
      <c r="M27" s="59"/>
      <c r="N27" s="60" t="s">
        <v>73</v>
      </c>
    </row>
    <row r="28" spans="1:14" ht="15.95" customHeight="1" thickBot="1" x14ac:dyDescent="0.25">
      <c r="A28" s="71"/>
      <c r="B28" s="72"/>
      <c r="C28" s="73"/>
      <c r="D28" s="74"/>
      <c r="E28" s="75"/>
      <c r="F28" s="76"/>
      <c r="G28" s="76"/>
      <c r="H28" s="76"/>
      <c r="I28" s="76"/>
      <c r="J28" s="76"/>
      <c r="K28" s="76"/>
      <c r="L28" s="76"/>
      <c r="M28" s="76"/>
      <c r="N28" s="76"/>
    </row>
    <row r="29" spans="1:14" ht="15.95" customHeight="1" thickBot="1" x14ac:dyDescent="0.25">
      <c r="A29" s="21"/>
      <c r="B29" s="21"/>
      <c r="C29" s="77"/>
      <c r="D29" s="77"/>
      <c r="E29" s="22"/>
      <c r="F29" s="69"/>
      <c r="G29" s="69"/>
      <c r="H29" s="69"/>
      <c r="I29" s="69"/>
      <c r="J29" s="69"/>
      <c r="K29" s="69"/>
      <c r="L29" s="69"/>
      <c r="M29" s="69"/>
      <c r="N29" s="69"/>
    </row>
    <row r="30" spans="1:14" x14ac:dyDescent="0.2">
      <c r="A30" s="78"/>
      <c r="B30" s="79"/>
      <c r="C30" s="26"/>
      <c r="D30" s="26"/>
      <c r="E30" s="25"/>
      <c r="F30" s="27"/>
      <c r="G30" s="28"/>
      <c r="H30" s="29"/>
      <c r="I30" s="28"/>
      <c r="J30" s="29"/>
      <c r="K30" s="28"/>
      <c r="L30" s="80"/>
      <c r="M30" s="81"/>
      <c r="N30" s="81"/>
    </row>
    <row r="31" spans="1:14" ht="15.95" customHeight="1" x14ac:dyDescent="0.2">
      <c r="A31" s="82"/>
      <c r="B31" s="83"/>
      <c r="C31" s="84"/>
      <c r="D31" s="84"/>
      <c r="E31" s="64"/>
      <c r="F31" s="85"/>
      <c r="G31" s="86"/>
      <c r="H31" s="87"/>
      <c r="I31" s="86"/>
      <c r="J31" s="87"/>
      <c r="K31" s="86"/>
      <c r="L31" s="76"/>
      <c r="M31" s="88"/>
      <c r="N31" s="88"/>
    </row>
    <row r="32" spans="1:14" ht="15.95" customHeight="1" x14ac:dyDescent="0.2">
      <c r="A32" s="36"/>
      <c r="B32" s="34"/>
      <c r="C32" s="35"/>
      <c r="D32" s="35"/>
      <c r="E32" s="89"/>
      <c r="F32" s="35"/>
      <c r="G32" s="34"/>
      <c r="H32" s="16"/>
      <c r="I32" s="34"/>
      <c r="J32" s="16"/>
      <c r="K32" s="34"/>
      <c r="L32" s="18"/>
      <c r="M32" s="90"/>
      <c r="N32" s="90"/>
    </row>
    <row r="33" spans="1:14" ht="15.95" customHeight="1" x14ac:dyDescent="0.2">
      <c r="A33" s="36"/>
      <c r="B33" s="34"/>
      <c r="C33" s="35"/>
      <c r="D33" s="35"/>
      <c r="E33" s="89"/>
      <c r="F33" s="35"/>
      <c r="G33" s="34"/>
      <c r="H33" s="16"/>
      <c r="I33" s="34"/>
      <c r="J33" s="16"/>
      <c r="K33" s="34"/>
      <c r="L33" s="18"/>
      <c r="M33" s="90"/>
      <c r="N33" s="90"/>
    </row>
    <row r="34" spans="1:14" ht="15.95" customHeight="1" x14ac:dyDescent="0.2">
      <c r="A34" s="91"/>
      <c r="B34" s="34"/>
      <c r="C34" s="35"/>
      <c r="D34" s="35"/>
      <c r="E34" s="89"/>
      <c r="F34" s="35"/>
      <c r="G34" s="34"/>
      <c r="H34" s="16"/>
      <c r="I34" s="34"/>
      <c r="J34" s="16"/>
      <c r="K34" s="34"/>
      <c r="L34" s="18"/>
      <c r="M34" s="90"/>
      <c r="N34" s="90"/>
    </row>
    <row r="35" spans="1:14" ht="15.95" customHeight="1" x14ac:dyDescent="0.2">
      <c r="A35" s="91"/>
      <c r="B35" s="34"/>
      <c r="C35" s="35"/>
      <c r="D35" s="35"/>
      <c r="E35" s="89"/>
      <c r="F35" s="35"/>
      <c r="G35" s="34"/>
      <c r="H35" s="16"/>
      <c r="I35" s="34"/>
      <c r="J35" s="16"/>
      <c r="K35" s="34"/>
      <c r="L35" s="18"/>
      <c r="M35" s="90"/>
      <c r="N35" s="90"/>
    </row>
    <row r="36" spans="1:14" ht="15.95" customHeight="1" x14ac:dyDescent="0.2">
      <c r="A36" s="91"/>
      <c r="B36" s="34"/>
      <c r="C36" s="35"/>
      <c r="D36" s="35"/>
      <c r="E36" s="89"/>
      <c r="F36" s="35"/>
      <c r="G36" s="34"/>
      <c r="H36" s="16"/>
      <c r="I36" s="34"/>
      <c r="J36" s="16"/>
      <c r="K36" s="34"/>
      <c r="L36" s="18"/>
      <c r="M36" s="90"/>
      <c r="N36" s="90"/>
    </row>
    <row r="37" spans="1:14" ht="15.95" customHeight="1" x14ac:dyDescent="0.2">
      <c r="A37" s="91"/>
      <c r="B37" s="34"/>
      <c r="C37" s="35"/>
      <c r="D37" s="35"/>
      <c r="E37" s="89"/>
      <c r="F37" s="35"/>
      <c r="G37" s="34"/>
      <c r="H37" s="16"/>
      <c r="I37" s="34"/>
      <c r="J37" s="16"/>
      <c r="K37" s="34"/>
      <c r="L37" s="18"/>
      <c r="M37" s="90"/>
      <c r="N37" s="90"/>
    </row>
    <row r="38" spans="1:14" ht="15.95" customHeight="1" x14ac:dyDescent="0.2">
      <c r="A38" s="91"/>
      <c r="B38" s="34"/>
      <c r="C38" s="35"/>
      <c r="D38" s="35"/>
      <c r="E38" s="18"/>
      <c r="F38" s="35"/>
      <c r="G38" s="34"/>
      <c r="H38" s="16"/>
      <c r="I38" s="34"/>
      <c r="J38" s="16"/>
      <c r="K38" s="34"/>
      <c r="L38" s="18"/>
      <c r="M38" s="90"/>
      <c r="N38" s="90"/>
    </row>
    <row r="39" spans="1:14" ht="15.95" customHeight="1" x14ac:dyDescent="0.2">
      <c r="A39" s="91"/>
      <c r="B39" s="34"/>
      <c r="C39" s="35"/>
      <c r="D39" s="35"/>
      <c r="E39" s="18"/>
      <c r="F39" s="35"/>
      <c r="G39" s="34"/>
      <c r="H39" s="68"/>
      <c r="I39" s="34"/>
      <c r="J39" s="68"/>
      <c r="K39" s="34"/>
      <c r="L39" s="69"/>
      <c r="M39" s="90"/>
      <c r="N39" s="90"/>
    </row>
    <row r="40" spans="1:14" ht="15.95" customHeight="1" thickBot="1" x14ac:dyDescent="0.25">
      <c r="A40" s="91"/>
      <c r="B40" s="34"/>
      <c r="C40" s="35"/>
      <c r="D40" s="35"/>
      <c r="E40" s="18"/>
      <c r="F40" s="35"/>
      <c r="G40" s="34"/>
      <c r="H40" s="61"/>
      <c r="I40" s="34"/>
      <c r="J40" s="61"/>
      <c r="K40" s="34"/>
      <c r="L40" s="62"/>
      <c r="M40" s="92"/>
      <c r="N40" s="92"/>
    </row>
    <row r="41" spans="1:14" ht="15.95" customHeight="1" thickBot="1" x14ac:dyDescent="0.25">
      <c r="A41" s="91"/>
      <c r="B41" s="34"/>
      <c r="C41" s="35"/>
      <c r="D41" s="35"/>
      <c r="E41" s="18"/>
      <c r="F41" s="66"/>
      <c r="G41" s="44"/>
      <c r="H41" s="45"/>
      <c r="I41" s="44"/>
      <c r="J41" s="45"/>
      <c r="K41" s="44"/>
      <c r="L41" s="46"/>
      <c r="M41" s="92"/>
      <c r="N41" s="92"/>
    </row>
    <row r="42" spans="1:14" ht="15.95" customHeight="1" thickBot="1" x14ac:dyDescent="0.25">
      <c r="A42" s="78"/>
      <c r="B42" s="49"/>
      <c r="C42" s="52"/>
      <c r="D42" s="50"/>
      <c r="E42" s="52"/>
      <c r="F42" s="53"/>
      <c r="G42" s="54"/>
      <c r="H42" s="55"/>
      <c r="I42" s="54"/>
      <c r="J42" s="56"/>
      <c r="K42" s="57"/>
      <c r="L42" s="58"/>
      <c r="M42" s="93"/>
      <c r="N42" s="93"/>
    </row>
    <row r="43" spans="1:14" ht="15.95" customHeight="1" thickBot="1" x14ac:dyDescent="0.25">
      <c r="A43" s="43"/>
      <c r="B43" s="94"/>
      <c r="C43" s="73"/>
      <c r="D43" s="74"/>
      <c r="E43" s="75"/>
      <c r="F43" s="76"/>
      <c r="G43" s="76"/>
      <c r="H43" s="76"/>
      <c r="I43" s="76"/>
      <c r="J43" s="76"/>
      <c r="K43" s="76"/>
      <c r="L43" s="76"/>
      <c r="M43" s="76"/>
      <c r="N43" s="76"/>
    </row>
    <row r="44" spans="1:14" ht="15.95" customHeight="1" thickBot="1" x14ac:dyDescent="0.25">
      <c r="A44" s="67"/>
      <c r="B44" s="21"/>
      <c r="C44" s="77"/>
      <c r="D44" s="77"/>
      <c r="E44" s="69"/>
      <c r="F44" s="69"/>
      <c r="G44" s="69"/>
      <c r="H44" s="69"/>
      <c r="I44" s="69"/>
      <c r="J44" s="69"/>
      <c r="K44" s="69"/>
      <c r="L44" s="69"/>
      <c r="M44" s="69"/>
      <c r="N44" s="69"/>
    </row>
    <row r="45" spans="1:14" x14ac:dyDescent="0.2">
      <c r="A45" s="67"/>
      <c r="B45" s="25"/>
      <c r="C45" s="95"/>
      <c r="D45" s="26"/>
      <c r="E45" s="25"/>
      <c r="F45" s="27"/>
      <c r="G45" s="28"/>
      <c r="H45" s="29"/>
      <c r="I45" s="28"/>
      <c r="J45" s="29"/>
      <c r="K45" s="28"/>
      <c r="L45" s="80"/>
      <c r="M45" s="81"/>
      <c r="N45" s="81"/>
    </row>
    <row r="46" spans="1:14" ht="14.25" x14ac:dyDescent="0.2">
      <c r="A46" s="96"/>
      <c r="B46" s="34"/>
      <c r="C46" s="18"/>
      <c r="D46" s="18"/>
      <c r="E46" s="18"/>
      <c r="F46" s="18"/>
      <c r="G46" s="34"/>
      <c r="H46" s="16"/>
      <c r="I46" s="34"/>
      <c r="J46" s="16"/>
      <c r="K46" s="34"/>
      <c r="L46" s="18"/>
      <c r="M46" s="90"/>
      <c r="N46" s="90"/>
    </row>
    <row r="47" spans="1:14" ht="15" thickBot="1" x14ac:dyDescent="0.25">
      <c r="A47" s="97"/>
      <c r="B47" s="98"/>
      <c r="C47" s="69"/>
      <c r="D47" s="69"/>
      <c r="E47" s="69"/>
      <c r="F47" s="69"/>
      <c r="G47" s="98"/>
      <c r="H47" s="68"/>
      <c r="I47" s="98"/>
      <c r="J47" s="68"/>
      <c r="K47" s="98"/>
      <c r="L47" s="69"/>
      <c r="M47" s="99"/>
      <c r="N47" s="99"/>
    </row>
    <row r="48" spans="1:14" ht="12.75" thickBot="1" x14ac:dyDescent="0.25">
      <c r="A48" s="71"/>
      <c r="B48" s="68"/>
      <c r="C48" s="69"/>
      <c r="D48" s="69"/>
      <c r="E48" s="69"/>
      <c r="F48" s="69"/>
      <c r="G48" s="68"/>
      <c r="H48" s="68"/>
      <c r="I48" s="68"/>
      <c r="J48" s="68"/>
      <c r="K48" s="68"/>
      <c r="L48" s="69"/>
      <c r="M48" s="99"/>
      <c r="N48" s="99"/>
    </row>
    <row r="49" spans="1:14" ht="12.75" thickBot="1" x14ac:dyDescent="0.25">
      <c r="A49" s="100"/>
      <c r="B49" s="68"/>
      <c r="C49" s="69"/>
      <c r="D49" s="69"/>
      <c r="E49" s="69"/>
      <c r="F49" s="101"/>
      <c r="G49" s="44"/>
      <c r="H49" s="45"/>
      <c r="I49" s="44"/>
      <c r="J49" s="45"/>
      <c r="K49" s="44"/>
      <c r="L49" s="46"/>
      <c r="M49" s="102"/>
      <c r="N49" s="102"/>
    </row>
    <row r="50" spans="1:14" ht="15.95" customHeight="1" thickBot="1" x14ac:dyDescent="0.25">
      <c r="A50" s="100"/>
      <c r="B50" s="103"/>
      <c r="C50" s="50"/>
      <c r="D50" s="52"/>
      <c r="E50" s="52"/>
      <c r="F50" s="53"/>
      <c r="G50" s="54"/>
      <c r="H50" s="55"/>
      <c r="I50" s="54"/>
      <c r="J50" s="56"/>
      <c r="K50" s="54"/>
      <c r="L50" s="58"/>
      <c r="M50" s="93"/>
      <c r="N50" s="93"/>
    </row>
    <row r="51" spans="1:14" ht="15.95" customHeight="1" thickBot="1" x14ac:dyDescent="0.25">
      <c r="A51" s="100"/>
      <c r="B51" s="71"/>
      <c r="C51" s="104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</row>
    <row r="52" spans="1:14" ht="15.95" customHeight="1" thickBot="1" x14ac:dyDescent="0.25">
      <c r="B52" s="106"/>
      <c r="C52" s="107"/>
      <c r="D52" s="106"/>
      <c r="E52" s="18"/>
      <c r="F52" s="18"/>
      <c r="G52" s="18"/>
      <c r="H52" s="18"/>
      <c r="I52" s="113"/>
      <c r="J52" s="18"/>
      <c r="K52" s="18"/>
      <c r="L52" s="18"/>
      <c r="M52" s="18"/>
      <c r="N52" s="18"/>
    </row>
    <row r="53" spans="1:14" ht="15.95" customHeight="1" thickBot="1" x14ac:dyDescent="0.25">
      <c r="B53" s="106"/>
      <c r="C53" s="107"/>
      <c r="D53" s="106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ht="15.95" customHeight="1" x14ac:dyDescent="0.25">
      <c r="B54" s="106"/>
      <c r="C54" s="108"/>
      <c r="D54" s="106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acroBallyRagget.MacroBallyRagget">
                <anchor moveWithCells="1" sizeWithCells="1">
                  <from>
                    <xdr:col>4</xdr:col>
                    <xdr:colOff>238125</xdr:colOff>
                    <xdr:row>10</xdr:row>
                    <xdr:rowOff>38100</xdr:rowOff>
                  </from>
                  <to>
                    <xdr:col>8</xdr:col>
                    <xdr:colOff>533400</xdr:colOff>
                    <xdr:row>14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Macro BallyRagget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2016-05-27T12:43:11Z</dcterms:modified>
</cp:coreProperties>
</file>