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"/>
    </mc:Choice>
  </mc:AlternateContent>
  <xr:revisionPtr revIDLastSave="0" documentId="10_ncr:8100000_{64DBB0CD-22CA-4E22-85EA-582D59E6A9BC}" xr6:coauthVersionLast="33" xr6:coauthVersionMax="33" xr10:uidLastSave="{00000000-0000-0000-0000-000000000000}"/>
  <bookViews>
    <workbookView xWindow="0" yWindow="0" windowWidth="24000" windowHeight="9675" tabRatio="593" firstSheet="1" activeTab="1" xr2:uid="{00000000-000D-0000-FFFF-FFFF00000000}"/>
  </bookViews>
  <sheets>
    <sheet name="Inventaire" sheetId="56" state="hidden" r:id="rId1"/>
    <sheet name="Suivi de production" sheetId="57" r:id="rId2"/>
    <sheet name="Suivi de commande" sheetId="16" r:id="rId3"/>
    <sheet name="Total" sheetId="64" r:id="rId4"/>
    <sheet name="Juin 2018" sheetId="65" r:id="rId5"/>
    <sheet name="Feuil1" sheetId="58" state="hidden" r:id="rId6"/>
  </sheets>
  <functionGroups builtInGroupCount="19"/>
  <externalReferences>
    <externalReference r:id="rId7"/>
  </externalReferences>
  <definedNames>
    <definedName name="_xlnm._FilterDatabase" localSheetId="0" hidden="1">Inventaire!$C$1:$C$116</definedName>
    <definedName name="_xlnm._FilterDatabase" localSheetId="1" hidden="1">'Suivi de production'!$D$1:$D$2</definedName>
    <definedName name="all" localSheetId="3">#REF!</definedName>
    <definedName name="all">#REF!</definedName>
    <definedName name="ARRÊTS" localSheetId="3">#REF!</definedName>
    <definedName name="ARRÊTS">#REF!</definedName>
    <definedName name="Bâtis" localSheetId="3">#REF!</definedName>
    <definedName name="Bâtis">#REF!</definedName>
    <definedName name="CATÉ">'Suivi de commande'!$H$29:$H$1153</definedName>
    <definedName name="Choix1" localSheetId="3">OFFSET(#REF!,,,,COUNTA(#REF!))</definedName>
    <definedName name="Choix1">OFFSET(#REF!,,,,COUNTA(#REF!))</definedName>
    <definedName name="Choix2" localSheetId="3">#REF!</definedName>
    <definedName name="Choix2">#REF!</definedName>
    <definedName name="Composant1" localSheetId="3">#REF!</definedName>
    <definedName name="Composant1">#REF!</definedName>
    <definedName name="Composant2" localSheetId="3">#REF!</definedName>
    <definedName name="Composant2">#REF!</definedName>
    <definedName name="Composant3" localSheetId="3">#REF!</definedName>
    <definedName name="Composant3">#REF!</definedName>
    <definedName name="Composant4" localSheetId="3">#REF!</definedName>
    <definedName name="Composant4">#REF!</definedName>
    <definedName name="Composant5" localSheetId="3">#REF!</definedName>
    <definedName name="Composant5">#REF!</definedName>
    <definedName name="COPIE">OFFSET('Suivi de commande'!$A$7,,,COUNTA('Suivi de commande'!$I$7:$I$26),COUNTA('Suivi de commande'!$A$6:$M$6))</definedName>
    <definedName name="_xlnm.Criteria" localSheetId="0">Inventaire!$C$1</definedName>
    <definedName name="date">'Suivi de production'!$A$3:$A$379</definedName>
    <definedName name="_xlnm.Extract" localSheetId="0">Inventaire!#REF!</definedName>
    <definedName name="facture" localSheetId="3">#REF!</definedName>
    <definedName name="facture">#REF!</definedName>
    <definedName name="FAIT">'Suivi de production'!$F$3:$F$379</definedName>
    <definedName name="FORMAT">'Suivi de commande'!$7:$27</definedName>
    <definedName name="FORMAT2" localSheetId="3">#REF!</definedName>
    <definedName name="FORMAT2">#REF!</definedName>
    <definedName name="format5">'Suivi de commande'!$7:$27</definedName>
    <definedName name="ListeNoms" localSheetId="0">OFFSET(Inventaire!#REF!,,,COUNTA(Inventaire!$C:$C)-1)</definedName>
    <definedName name="ListeNoms" localSheetId="3">OFFSET(#REF!,,,COUNTA(#REF!)-1)</definedName>
    <definedName name="ListeNoms">OFFSET(#REF!,,,COUNTA(#REF!)-1)</definedName>
    <definedName name="lot" localSheetId="3">'Suivi de commande'!$E$29:$E$1153</definedName>
    <definedName name="NOSEMAINE" localSheetId="3">'Suivi de commande'!$A$29:$A$1153</definedName>
    <definedName name="PRODUIT" localSheetId="3">#REF!</definedName>
    <definedName name="PRODUIT">#REF!</definedName>
    <definedName name="QPROD" localSheetId="3">#REF!</definedName>
    <definedName name="QPROD">#REF!</definedName>
    <definedName name="Qté1" localSheetId="3">#REF!</definedName>
    <definedName name="Qté1">#REF!</definedName>
    <definedName name="Qté2" localSheetId="3">#REF!</definedName>
    <definedName name="Qté2">#REF!</definedName>
    <definedName name="Qté3" localSheetId="3">#REF!</definedName>
    <definedName name="Qté3">#REF!</definedName>
    <definedName name="Qté4" localSheetId="3">#REF!</definedName>
    <definedName name="Qté4">#REF!</definedName>
    <definedName name="Qté5" localSheetId="3">#REF!</definedName>
    <definedName name="Qté5">#REF!</definedName>
    <definedName name="qtélot">'Suivi de production'!$E$3:$E$379</definedName>
    <definedName name="SEMAINE" localSheetId="3">'Suivi de commande'!$A$30:$A$555</definedName>
    <definedName name="SEMAINE">'Suivi de commande'!$A$30:$A$555</definedName>
    <definedName name="std" localSheetId="3">#REF!</definedName>
    <definedName name="std">#REF!</definedName>
    <definedName name="stoppeur" localSheetId="3">#REF!</definedName>
    <definedName name="stoppeur">#REF!</definedName>
    <definedName name="TEMPS_ARRÊTS" localSheetId="3">#REF!</definedName>
    <definedName name="TEMPS_ARRÊTS">#REF!</definedName>
    <definedName name="xx">'Suivi de commande'!$26:$166</definedName>
    <definedName name="_xlnm.Print_Area" localSheetId="2">'Suivi de commande'!#REF!</definedName>
    <definedName name="_xlnm.Print_Area" localSheetId="1">'Suivi de production'!$C:$J</definedName>
  </definedNames>
  <calcPr calcId="162913"/>
  <pivotCaches>
    <pivotCache cacheId="0" r:id="rId8"/>
  </pivotCaches>
</workbook>
</file>

<file path=xl/calcChain.xml><?xml version="1.0" encoding="utf-8"?>
<calcChain xmlns="http://schemas.openxmlformats.org/spreadsheetml/2006/main">
  <c r="I36" i="65" l="1"/>
  <c r="I35" i="65"/>
  <c r="I28" i="65"/>
  <c r="I27" i="65"/>
  <c r="I20" i="65"/>
  <c r="I19" i="65"/>
  <c r="N2" i="57"/>
  <c r="K14" i="65"/>
  <c r="K18" i="65"/>
  <c r="K32" i="65"/>
  <c r="K31" i="65"/>
  <c r="K17" i="65"/>
  <c r="K30" i="65"/>
  <c r="K26" i="65"/>
  <c r="K24" i="65"/>
  <c r="K33" i="65"/>
  <c r="K16" i="65"/>
  <c r="K22" i="65"/>
  <c r="K25" i="65"/>
  <c r="K23" i="65"/>
  <c r="K34" i="65"/>
  <c r="K15" i="65"/>
  <c r="G6" i="65" l="1"/>
  <c r="G34" i="65"/>
  <c r="J34" i="65" s="1"/>
  <c r="L34" i="65" s="1"/>
  <c r="G33" i="65"/>
  <c r="J33" i="65" s="1"/>
  <c r="L33" i="65" s="1"/>
  <c r="G32" i="65"/>
  <c r="J32" i="65" s="1"/>
  <c r="L32" i="65" s="1"/>
  <c r="G31" i="65"/>
  <c r="H31" i="65" s="1"/>
  <c r="G30" i="65"/>
  <c r="J30" i="65" s="1"/>
  <c r="G26" i="65"/>
  <c r="H26" i="65" s="1"/>
  <c r="G25" i="65"/>
  <c r="J25" i="65" s="1"/>
  <c r="L25" i="65" s="1"/>
  <c r="G24" i="65"/>
  <c r="H24" i="65" s="1"/>
  <c r="G23" i="65"/>
  <c r="J23" i="65" s="1"/>
  <c r="L23" i="65" s="1"/>
  <c r="G22" i="65"/>
  <c r="J22" i="65" s="1"/>
  <c r="G18" i="65"/>
  <c r="H18" i="65" s="1"/>
  <c r="G17" i="65"/>
  <c r="J17" i="65" s="1"/>
  <c r="L17" i="65" s="1"/>
  <c r="G16" i="65"/>
  <c r="H16" i="65" s="1"/>
  <c r="G15" i="65"/>
  <c r="J15" i="65" s="1"/>
  <c r="L15" i="65" s="1"/>
  <c r="G14" i="65"/>
  <c r="J14" i="65" s="1"/>
  <c r="G8" i="65"/>
  <c r="G9" i="65"/>
  <c r="G10" i="65"/>
  <c r="H10" i="65" s="1"/>
  <c r="G7" i="65"/>
  <c r="O40" i="65"/>
  <c r="P36" i="65"/>
  <c r="O36" i="65"/>
  <c r="N36" i="65"/>
  <c r="M36" i="65"/>
  <c r="F36" i="65"/>
  <c r="D36" i="65"/>
  <c r="C36" i="65"/>
  <c r="P35" i="65"/>
  <c r="O35" i="65"/>
  <c r="N35" i="65"/>
  <c r="M35" i="65"/>
  <c r="D35" i="65"/>
  <c r="C35" i="65"/>
  <c r="E34" i="65"/>
  <c r="E33" i="65"/>
  <c r="E32" i="65"/>
  <c r="E31" i="65"/>
  <c r="E30" i="65"/>
  <c r="P28" i="65"/>
  <c r="O28" i="65"/>
  <c r="N28" i="65"/>
  <c r="M28" i="65"/>
  <c r="F28" i="65"/>
  <c r="D28" i="65"/>
  <c r="C28" i="65"/>
  <c r="P27" i="65"/>
  <c r="O27" i="65"/>
  <c r="N27" i="65"/>
  <c r="M27" i="65"/>
  <c r="F27" i="65"/>
  <c r="D27" i="65"/>
  <c r="C27" i="65"/>
  <c r="E26" i="65"/>
  <c r="E25" i="65"/>
  <c r="E24" i="65"/>
  <c r="E23" i="65"/>
  <c r="E22" i="65"/>
  <c r="P20" i="65"/>
  <c r="O20" i="65"/>
  <c r="N20" i="65"/>
  <c r="M20" i="65"/>
  <c r="F20" i="65"/>
  <c r="D20" i="65"/>
  <c r="C20" i="65"/>
  <c r="P19" i="65"/>
  <c r="O19" i="65"/>
  <c r="N19" i="65"/>
  <c r="M19" i="65"/>
  <c r="F19" i="65"/>
  <c r="D19" i="65"/>
  <c r="C19" i="65"/>
  <c r="E18" i="65"/>
  <c r="E17" i="65"/>
  <c r="E16" i="65"/>
  <c r="E15" i="65"/>
  <c r="E14" i="65"/>
  <c r="P12" i="65"/>
  <c r="O12" i="65"/>
  <c r="N12" i="65"/>
  <c r="M12" i="65"/>
  <c r="I12" i="65"/>
  <c r="F12" i="65"/>
  <c r="D12" i="65"/>
  <c r="C12" i="65"/>
  <c r="P11" i="65"/>
  <c r="O11" i="65"/>
  <c r="N11" i="65"/>
  <c r="M11" i="65"/>
  <c r="I11" i="65"/>
  <c r="F11" i="65"/>
  <c r="D11" i="65"/>
  <c r="C11" i="65"/>
  <c r="E10" i="65"/>
  <c r="E9" i="65"/>
  <c r="E8" i="65"/>
  <c r="E7" i="65"/>
  <c r="E6" i="65"/>
  <c r="K9" i="65"/>
  <c r="K10" i="65"/>
  <c r="K7" i="65"/>
  <c r="K8" i="65"/>
  <c r="K6" i="65"/>
  <c r="J26" i="65" l="1"/>
  <c r="L26" i="65" s="1"/>
  <c r="J24" i="65"/>
  <c r="L24" i="65" s="1"/>
  <c r="J16" i="65"/>
  <c r="L16" i="65" s="1"/>
  <c r="N37" i="65"/>
  <c r="J31" i="65"/>
  <c r="L31" i="65" s="1"/>
  <c r="J18" i="65"/>
  <c r="L18" i="65" s="1"/>
  <c r="L30" i="65"/>
  <c r="L22" i="65"/>
  <c r="L14" i="65"/>
  <c r="J9" i="65"/>
  <c r="L9" i="65" s="1"/>
  <c r="J10" i="65"/>
  <c r="L10" i="65" s="1"/>
  <c r="J8" i="65"/>
  <c r="L8" i="65" s="1"/>
  <c r="J7" i="65"/>
  <c r="L7" i="65" s="1"/>
  <c r="J6" i="65"/>
  <c r="H15" i="65"/>
  <c r="H25" i="65"/>
  <c r="H28" i="65" s="1"/>
  <c r="H14" i="65"/>
  <c r="H8" i="65"/>
  <c r="H30" i="65"/>
  <c r="M37" i="65"/>
  <c r="E27" i="65"/>
  <c r="C37" i="65"/>
  <c r="E28" i="65"/>
  <c r="E36" i="65"/>
  <c r="E11" i="65"/>
  <c r="N39" i="65"/>
  <c r="N40" i="65" s="1"/>
  <c r="P39" i="65"/>
  <c r="P40" i="65" s="1"/>
  <c r="D37" i="65"/>
  <c r="E20" i="65"/>
  <c r="F37" i="65"/>
  <c r="E12" i="65"/>
  <c r="H34" i="65"/>
  <c r="O37" i="65"/>
  <c r="H33" i="65"/>
  <c r="H9" i="65"/>
  <c r="I37" i="65"/>
  <c r="H17" i="65"/>
  <c r="G20" i="65"/>
  <c r="G36" i="65"/>
  <c r="H32" i="65"/>
  <c r="G27" i="65"/>
  <c r="G28" i="65"/>
  <c r="G19" i="65"/>
  <c r="G12" i="65"/>
  <c r="H7" i="65"/>
  <c r="H6" i="65"/>
  <c r="G11" i="65"/>
  <c r="E19" i="65"/>
  <c r="E35" i="65"/>
  <c r="P37" i="65"/>
  <c r="C30" i="64"/>
  <c r="C31" i="64"/>
  <c r="H31" i="64"/>
  <c r="H30" i="64"/>
  <c r="H29" i="64"/>
  <c r="H28" i="64"/>
  <c r="H27" i="64"/>
  <c r="H26" i="64"/>
  <c r="H25" i="64"/>
  <c r="H24" i="64"/>
  <c r="H23" i="64"/>
  <c r="H22" i="64"/>
  <c r="H21" i="64"/>
  <c r="H20" i="64"/>
  <c r="H19" i="64"/>
  <c r="H18" i="64"/>
  <c r="H17" i="64"/>
  <c r="H16" i="64"/>
  <c r="H15" i="64"/>
  <c r="H14" i="64"/>
  <c r="H13" i="64"/>
  <c r="H12" i="64"/>
  <c r="H11" i="64"/>
  <c r="H10" i="64"/>
  <c r="H9" i="64"/>
  <c r="H8" i="64"/>
  <c r="H7" i="64"/>
  <c r="H6" i="64"/>
  <c r="H5" i="64"/>
  <c r="H4" i="64"/>
  <c r="H3" i="64"/>
  <c r="H2" i="64"/>
  <c r="G31" i="64"/>
  <c r="G30" i="64"/>
  <c r="G29" i="64"/>
  <c r="G28" i="64"/>
  <c r="G27" i="64"/>
  <c r="G26" i="64"/>
  <c r="G25" i="64"/>
  <c r="G24" i="64"/>
  <c r="G23" i="64"/>
  <c r="G22" i="64"/>
  <c r="G21" i="64"/>
  <c r="G20" i="64"/>
  <c r="G19" i="64"/>
  <c r="G18" i="64"/>
  <c r="G17" i="64"/>
  <c r="G16" i="64"/>
  <c r="G15" i="64"/>
  <c r="G14" i="64"/>
  <c r="G13" i="64"/>
  <c r="G12" i="64"/>
  <c r="G11" i="64"/>
  <c r="G10" i="64"/>
  <c r="G9" i="64"/>
  <c r="G8" i="64"/>
  <c r="G7" i="64"/>
  <c r="G6" i="64"/>
  <c r="G5" i="64"/>
  <c r="G4" i="64"/>
  <c r="G3" i="64"/>
  <c r="F31" i="64"/>
  <c r="F30" i="64"/>
  <c r="F29" i="64"/>
  <c r="F28" i="64"/>
  <c r="F27" i="64"/>
  <c r="F26" i="64"/>
  <c r="F25" i="64"/>
  <c r="F24" i="64"/>
  <c r="F23" i="64"/>
  <c r="F22" i="64"/>
  <c r="F21" i="64"/>
  <c r="F20" i="64"/>
  <c r="F19" i="64"/>
  <c r="F18" i="64"/>
  <c r="F17" i="64"/>
  <c r="F16" i="64"/>
  <c r="F15" i="64"/>
  <c r="F14" i="64"/>
  <c r="F13" i="64"/>
  <c r="F12" i="64"/>
  <c r="F11" i="64"/>
  <c r="F10" i="64"/>
  <c r="F9" i="64"/>
  <c r="F8" i="64"/>
  <c r="F7" i="64"/>
  <c r="F6" i="64"/>
  <c r="F5" i="64"/>
  <c r="F4" i="64"/>
  <c r="F3" i="64"/>
  <c r="F2" i="64"/>
  <c r="E31" i="64"/>
  <c r="E30" i="64"/>
  <c r="E29" i="64"/>
  <c r="E28" i="64"/>
  <c r="E27" i="64"/>
  <c r="E26" i="64"/>
  <c r="E25" i="64"/>
  <c r="E24" i="64"/>
  <c r="E23" i="64"/>
  <c r="E22" i="64"/>
  <c r="E21" i="64"/>
  <c r="E20" i="64"/>
  <c r="E19" i="64"/>
  <c r="E18" i="64"/>
  <c r="E17" i="64"/>
  <c r="E16" i="64"/>
  <c r="E15" i="64"/>
  <c r="E14" i="64"/>
  <c r="E13" i="64"/>
  <c r="E12" i="64"/>
  <c r="E11" i="64"/>
  <c r="E10" i="64"/>
  <c r="E9" i="64"/>
  <c r="E8" i="64"/>
  <c r="E7" i="64"/>
  <c r="E6" i="64"/>
  <c r="E5" i="64"/>
  <c r="E4" i="64"/>
  <c r="E3" i="64"/>
  <c r="G2" i="64"/>
  <c r="E2" i="64"/>
  <c r="D2" i="64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D31" i="64"/>
  <c r="D30" i="64"/>
  <c r="D29" i="64"/>
  <c r="C29" i="64"/>
  <c r="D28" i="64"/>
  <c r="C28" i="64"/>
  <c r="D27" i="64"/>
  <c r="C27" i="64"/>
  <c r="D26" i="64"/>
  <c r="C26" i="64"/>
  <c r="D25" i="64"/>
  <c r="C25" i="64"/>
  <c r="D24" i="64"/>
  <c r="C24" i="64"/>
  <c r="D23" i="64"/>
  <c r="C23" i="64"/>
  <c r="D22" i="64"/>
  <c r="C22" i="64"/>
  <c r="D21" i="64"/>
  <c r="C21" i="64"/>
  <c r="D20" i="64"/>
  <c r="C20" i="64"/>
  <c r="D19" i="64"/>
  <c r="C19" i="64"/>
  <c r="D18" i="64"/>
  <c r="C18" i="64"/>
  <c r="D17" i="64"/>
  <c r="C17" i="64"/>
  <c r="D16" i="64"/>
  <c r="C16" i="64"/>
  <c r="D15" i="64"/>
  <c r="C15" i="64"/>
  <c r="D14" i="64"/>
  <c r="C14" i="64"/>
  <c r="D13" i="64"/>
  <c r="C13" i="64"/>
  <c r="D12" i="64"/>
  <c r="C12" i="64"/>
  <c r="D11" i="64"/>
  <c r="C11" i="64"/>
  <c r="D10" i="64"/>
  <c r="C10" i="64"/>
  <c r="D9" i="64"/>
  <c r="C9" i="64"/>
  <c r="D8" i="64"/>
  <c r="C8" i="64"/>
  <c r="D7" i="64"/>
  <c r="C7" i="64"/>
  <c r="D6" i="64"/>
  <c r="C6" i="64"/>
  <c r="D5" i="64"/>
  <c r="C5" i="64"/>
  <c r="D4" i="64"/>
  <c r="C4" i="64"/>
  <c r="D3" i="64"/>
  <c r="C3" i="64"/>
  <c r="C2" i="64"/>
  <c r="J28" i="65" l="1"/>
  <c r="J20" i="65"/>
  <c r="J36" i="65"/>
  <c r="L36" i="65"/>
  <c r="L35" i="65"/>
  <c r="L28" i="65"/>
  <c r="L27" i="65"/>
  <c r="L20" i="65"/>
  <c r="L19" i="65"/>
  <c r="E37" i="65"/>
  <c r="H19" i="65"/>
  <c r="H27" i="65"/>
  <c r="H36" i="65"/>
  <c r="H35" i="65"/>
  <c r="H20" i="65"/>
  <c r="G37" i="65"/>
  <c r="H11" i="65"/>
  <c r="H12" i="65"/>
  <c r="F32" i="64"/>
  <c r="H32" i="64"/>
  <c r="E32" i="64"/>
  <c r="G32" i="64"/>
  <c r="D32" i="64"/>
  <c r="J37" i="65" l="1"/>
  <c r="H37" i="65"/>
  <c r="C2" i="16"/>
  <c r="A8" i="16" l="1"/>
  <c r="A26" i="16"/>
  <c r="A7" i="16"/>
  <c r="N128" i="57" l="1"/>
  <c r="M210" i="57"/>
  <c r="J12" i="65"/>
  <c r="L6" i="65"/>
  <c r="L12" i="65" s="1"/>
  <c r="L11" i="65" l="1"/>
  <c r="L37" i="65" s="1"/>
</calcChain>
</file>

<file path=xl/sharedStrings.xml><?xml version="1.0" encoding="utf-8"?>
<sst xmlns="http://schemas.openxmlformats.org/spreadsheetml/2006/main" count="1029" uniqueCount="239">
  <si>
    <t>Client</t>
  </si>
  <si>
    <t xml:space="preserve"> </t>
  </si>
  <si>
    <t># SEMAINE</t>
  </si>
  <si>
    <t># Interne</t>
  </si>
  <si>
    <t># Bill</t>
  </si>
  <si>
    <t>Qté lot</t>
  </si>
  <si>
    <t>Qté fait</t>
  </si>
  <si>
    <t>Catégorie porte</t>
  </si>
  <si>
    <t>Modèle</t>
  </si>
  <si>
    <t>Date de livraison</t>
  </si>
  <si>
    <t>Battants</t>
  </si>
  <si>
    <t>ok</t>
  </si>
  <si>
    <t>clermont</t>
  </si>
  <si>
    <t>h.core 1-3/8</t>
  </si>
  <si>
    <t>conmore</t>
  </si>
  <si>
    <t>prag</t>
  </si>
  <si>
    <t>battants achetés</t>
  </si>
  <si>
    <t>merisier blanc</t>
  </si>
  <si>
    <t>s.core 1-3/4</t>
  </si>
  <si>
    <t>masonite</t>
  </si>
  <si>
    <t>battants ok</t>
  </si>
  <si>
    <t>masonite/prag</t>
  </si>
  <si>
    <t>s.core 1-3/8 et 3/4</t>
  </si>
  <si>
    <t>s.core 1-3/8</t>
  </si>
  <si>
    <t>groove par Serge</t>
  </si>
  <si>
    <t>madrid</t>
  </si>
  <si>
    <t>carrara</t>
  </si>
  <si>
    <t>classique</t>
  </si>
  <si>
    <t xml:space="preserve">masonite </t>
  </si>
  <si>
    <t>battants</t>
  </si>
  <si>
    <t>Merisier blanc</t>
  </si>
  <si>
    <t>42x84</t>
  </si>
  <si>
    <t>battants OK</t>
  </si>
  <si>
    <t>43 13/16 x 83 1/4</t>
  </si>
  <si>
    <t>h.core 1-3/4</t>
  </si>
  <si>
    <t>ok battants</t>
  </si>
  <si>
    <t>milano</t>
  </si>
  <si>
    <t>OK battants</t>
  </si>
  <si>
    <t>Ok battants</t>
  </si>
  <si>
    <t>reprise</t>
  </si>
  <si>
    <t>groove après par André</t>
  </si>
  <si>
    <t>masonite/Prag</t>
  </si>
  <si>
    <t>mass/prag</t>
  </si>
  <si>
    <t xml:space="preserve">Masonite </t>
  </si>
  <si>
    <t>43 3/4 x 83 7/8</t>
  </si>
  <si>
    <t>41 13/16 x 79 1/8</t>
  </si>
  <si>
    <t>attente $$$</t>
  </si>
  <si>
    <t>colonist</t>
  </si>
  <si>
    <t>attente CP</t>
  </si>
  <si>
    <t>erable</t>
  </si>
  <si>
    <t>merisier</t>
  </si>
  <si>
    <t>chêne rouge</t>
  </si>
  <si>
    <t>Battant ok</t>
  </si>
  <si>
    <t>attente veneer(pair) 31/5</t>
  </si>
  <si>
    <t>masonite blanc</t>
  </si>
  <si>
    <t>corvado</t>
  </si>
  <si>
    <t>caiman</t>
  </si>
  <si>
    <t>ok placage</t>
  </si>
  <si>
    <t>attente venner(pair)</t>
  </si>
  <si>
    <t>milano/pvd</t>
  </si>
  <si>
    <t>Milano</t>
  </si>
  <si>
    <t>Battant demandé</t>
  </si>
  <si>
    <t>semi-solid 1-3/4</t>
  </si>
  <si>
    <t>8ieme étage</t>
  </si>
  <si>
    <t>attente</t>
  </si>
  <si>
    <t xml:space="preserve"> pin noueux</t>
  </si>
  <si>
    <t>121753-57-59</t>
  </si>
  <si>
    <t>4 dossiers</t>
  </si>
  <si>
    <t>prag/pvd</t>
  </si>
  <si>
    <t>121667-73-74</t>
  </si>
  <si>
    <t>prag coulissante</t>
  </si>
  <si>
    <t>battant</t>
  </si>
  <si>
    <t>RUSH</t>
  </si>
  <si>
    <t>battant   ok</t>
  </si>
  <si>
    <t>SB-mas2</t>
  </si>
  <si>
    <t>dessin ok</t>
  </si>
  <si>
    <t>érable</t>
  </si>
  <si>
    <t>Prag</t>
  </si>
  <si>
    <t>OK</t>
  </si>
  <si>
    <t>battant ok</t>
  </si>
  <si>
    <t>pivot classiuqe</t>
  </si>
  <si>
    <t>masonite (hollandaise)</t>
  </si>
  <si>
    <t>ok dessin</t>
  </si>
  <si>
    <t>MARDI/RUSH</t>
  </si>
  <si>
    <t>pin noueux</t>
  </si>
  <si>
    <t>7 ieme étage</t>
  </si>
  <si>
    <t>sablage</t>
  </si>
  <si>
    <t xml:space="preserve">s.core 1-3/4 </t>
  </si>
  <si>
    <t>merisiser blanc</t>
  </si>
  <si>
    <t>groove Andre</t>
  </si>
  <si>
    <t>attent battanr</t>
  </si>
  <si>
    <t>48x106</t>
  </si>
  <si>
    <t>48x104</t>
  </si>
  <si>
    <t>groove Serge</t>
  </si>
  <si>
    <t>groove serge</t>
  </si>
  <si>
    <t>71 mach</t>
  </si>
  <si>
    <t>h.core 1 3/8</t>
  </si>
  <si>
    <t>56 mach</t>
  </si>
  <si>
    <t>pvd coventry smo</t>
  </si>
  <si>
    <t xml:space="preserve">h.core 1-3/8 </t>
  </si>
  <si>
    <t>prag/carr</t>
  </si>
  <si>
    <t>check qté</t>
  </si>
  <si>
    <t>carmelle</t>
  </si>
  <si>
    <t>6 ieme étage</t>
  </si>
  <si>
    <t>battants  prêts 120pces</t>
  </si>
  <si>
    <t>gr portes</t>
  </si>
  <si>
    <t>érable blanc</t>
  </si>
  <si>
    <t>S.core 1 3/4</t>
  </si>
  <si>
    <t>acajou africain</t>
  </si>
  <si>
    <t>masonite/pvd</t>
  </si>
  <si>
    <t>rush</t>
  </si>
  <si>
    <t>s.corer 1-3/4</t>
  </si>
  <si>
    <t>stock</t>
  </si>
  <si>
    <t>35 mach</t>
  </si>
  <si>
    <t>13 mach</t>
  </si>
  <si>
    <t>bt refait qtés changées par client</t>
  </si>
  <si>
    <t>121061-107</t>
  </si>
  <si>
    <t>à faire</t>
  </si>
  <si>
    <t>conmore/pvd</t>
  </si>
  <si>
    <t>s.core 1 3/4</t>
  </si>
  <si>
    <t>chêne</t>
  </si>
  <si>
    <t>grosse portes</t>
  </si>
  <si>
    <t>69 mach</t>
  </si>
  <si>
    <t>mersier blanc</t>
  </si>
  <si>
    <t>coventry smooth</t>
  </si>
  <si>
    <t>RJ</t>
  </si>
  <si>
    <t>fait le 13 avril …brisé en prod</t>
  </si>
  <si>
    <t>réparation</t>
  </si>
  <si>
    <t>9 mach</t>
  </si>
  <si>
    <t>grosses portes</t>
  </si>
  <si>
    <t>battants 19 avr</t>
  </si>
  <si>
    <t>p/lam 16 avril</t>
  </si>
  <si>
    <t>52 mach</t>
  </si>
  <si>
    <t>grosse porte</t>
  </si>
  <si>
    <t>african mahogany</t>
  </si>
  <si>
    <t>121439-440</t>
  </si>
  <si>
    <t>masonite brun</t>
  </si>
  <si>
    <t>caiman/clermont</t>
  </si>
  <si>
    <t># Lot</t>
  </si>
  <si>
    <t>Date collage</t>
  </si>
  <si>
    <t>Liste de lot avec # interne de livraison</t>
  </si>
  <si>
    <t>S.CORE 1 3/4</t>
  </si>
  <si>
    <t>S.CORE 1 3/8</t>
  </si>
  <si>
    <t>H.CORE 1 3/4</t>
  </si>
  <si>
    <t>H.CORE 1 3/8</t>
  </si>
  <si>
    <t>Commentaire</t>
  </si>
  <si>
    <t>SEMAINE DU 4 AU 8 JUIN</t>
  </si>
  <si>
    <t>SEMAINE DU 11 AU 15 JUIN</t>
  </si>
  <si>
    <t>SEMAINE DU 18 AU 22 JUIN</t>
  </si>
  <si>
    <t>SEMAINE DU 25 AU 29 JUIN</t>
  </si>
  <si>
    <t>SEMAINE DU 2 AU 6 JUILLET</t>
  </si>
  <si>
    <t>SEMAINE DU 9 AU 13 JUILLET</t>
  </si>
  <si>
    <t>SEMAINE DU 16 AU 20 JUILLET</t>
  </si>
  <si>
    <t>SEMAINE DU 23 AU 27 JUILLET</t>
  </si>
  <si>
    <t>SEMAINE DU 30 JUILLET AU 3 AOÛT</t>
  </si>
  <si>
    <t>SEMAINE DU 6 AU 10 AOÛT</t>
  </si>
  <si>
    <t>SEMAINE DU 13 AU 17 AOÛT</t>
  </si>
  <si>
    <t>SEMAINE DU 20 AU 24 AOÛT</t>
  </si>
  <si>
    <t>SEMAINE DU 27 AU 31 AOÛT</t>
  </si>
  <si>
    <t>SEMAINE DU 3 AU 7 SEPTEMBRE</t>
  </si>
  <si>
    <t>SEMAINE DU 10 AU 14 SEPTEMBRE</t>
  </si>
  <si>
    <t>SEMAINE DU 17 AU 21 SEPTEMBRE</t>
  </si>
  <si>
    <t>SEMAINE DU 24 AU 28 SEPTEMBRE</t>
  </si>
  <si>
    <t>SEMAINE DU 1 AU 5 OCTOBRE</t>
  </si>
  <si>
    <t>SEMAINE DU 8 AU 12 OCTOBRE</t>
  </si>
  <si>
    <t>SEMAINE DU 15 AU 19 OCTOBRE</t>
  </si>
  <si>
    <t>SEMAINE DU 22 AU 26 OCTOBRE</t>
  </si>
  <si>
    <t>SEMAINE DU 29 OCTOBRE AU 2 NOVEMBRE</t>
  </si>
  <si>
    <t>SEMAINE DU 5 AU 9 NOVEMBRE</t>
  </si>
  <si>
    <t>SEMAINE DU 12 AU 16 NOVEMBRE</t>
  </si>
  <si>
    <t>SEMAINE DU 19 AU 23 NOVEMBRE</t>
  </si>
  <si>
    <t>SEMAINE DU 26 AU 30 NOVEMBRE</t>
  </si>
  <si>
    <t>SEMAINE DU 3 AU 7 DÉCEMBRE</t>
  </si>
  <si>
    <t>SEMAINE DU 10 AU 14 DÉCEMBRE</t>
  </si>
  <si>
    <t>SEMAINE DU 17 AU 21 DÉCEMBRE</t>
  </si>
  <si>
    <t>SEMAINE DU 24 AU 28 DÉCEMBRE</t>
  </si>
  <si>
    <t>Étiquettes de lignes</t>
  </si>
  <si>
    <t>Total général</t>
  </si>
  <si>
    <t>(vide)</t>
  </si>
  <si>
    <t>Semaine</t>
  </si>
  <si>
    <t>SEMAINE</t>
  </si>
  <si>
    <t>#23</t>
  </si>
  <si>
    <t>#24</t>
  </si>
  <si>
    <t>#25</t>
  </si>
  <si>
    <t>#26</t>
  </si>
  <si>
    <t>#27</t>
  </si>
  <si>
    <t>#28</t>
  </si>
  <si>
    <t>#29</t>
  </si>
  <si>
    <t>#30</t>
  </si>
  <si>
    <t>#31</t>
  </si>
  <si>
    <t>#32</t>
  </si>
  <si>
    <t>#33</t>
  </si>
  <si>
    <t>#34</t>
  </si>
  <si>
    <t>#35</t>
  </si>
  <si>
    <t>#36</t>
  </si>
  <si>
    <t>#37</t>
  </si>
  <si>
    <t>#38</t>
  </si>
  <si>
    <t>#39</t>
  </si>
  <si>
    <t>#40</t>
  </si>
  <si>
    <t>#41</t>
  </si>
  <si>
    <t>#42</t>
  </si>
  <si>
    <t>#43</t>
  </si>
  <si>
    <t>#44</t>
  </si>
  <si>
    <t>#45</t>
  </si>
  <si>
    <t>#46</t>
  </si>
  <si>
    <t>#47</t>
  </si>
  <si>
    <t>#48</t>
  </si>
  <si>
    <t>#49</t>
  </si>
  <si>
    <t>#50</t>
  </si>
  <si>
    <t>#51</t>
  </si>
  <si>
    <t>#52</t>
  </si>
  <si>
    <t>QTÉ À COLLER</t>
  </si>
  <si>
    <t>TOTAL GÉNÉRAL :</t>
  </si>
  <si>
    <t>COMMENTAIRE</t>
  </si>
  <si>
    <t>Reste à coller</t>
  </si>
  <si>
    <t>CARRARA</t>
  </si>
  <si>
    <t>ENTRÉE COMMANDES</t>
  </si>
  <si>
    <t>TOTAL              S1 + C2</t>
  </si>
  <si>
    <t>COLLAGE PRÉVU</t>
  </si>
  <si>
    <t>TOTAL COLLAGE        S1 + C1</t>
  </si>
  <si>
    <t>COLLAGE RÉEL</t>
  </si>
  <si>
    <t>RETARD                         C1</t>
  </si>
  <si>
    <t>MACHINAGE PRÉVU</t>
  </si>
  <si>
    <t>EXPÉDITION PRÉVU</t>
  </si>
  <si>
    <t>RÉEL EXPÉDIÉ</t>
  </si>
  <si>
    <t>$         FACTURÉ</t>
  </si>
  <si>
    <t>S1</t>
  </si>
  <si>
    <t>C1</t>
  </si>
  <si>
    <t xml:space="preserve">TOTAL </t>
  </si>
  <si>
    <t>MOY \ JOUR</t>
  </si>
  <si>
    <t>GRAND TOTAL</t>
  </si>
  <si>
    <t>OBJECTIF</t>
  </si>
  <si>
    <t>RÉEL</t>
  </si>
  <si>
    <t>DIFFÉRENCE</t>
  </si>
  <si>
    <t>CONMORE</t>
  </si>
  <si>
    <t>H.CORE 1 3/9</t>
  </si>
  <si>
    <t>COLONIST</t>
  </si>
  <si>
    <t>boccam</t>
  </si>
  <si>
    <t>Carrara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</si>
</sst>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 * #,##0.00_)\ &quot;$&quot;_ ;_ * \(#,##0.00\)\ &quot;$&quot;_ ;_ * &quot;-&quot;??_)\ &quot;$&quot;_ ;_ @_ "/>
    <numFmt numFmtId="165" formatCode="_(* #,##0.00_);_(* \(#,##0.00\);_(* &quot;-&quot;??_);_(@_)"/>
    <numFmt numFmtId="166" formatCode="[$-F800]dddd\,\ mmmm\ dd\,\ yyyy"/>
    <numFmt numFmtId="167" formatCode="0;;;"/>
    <numFmt numFmtId="168" formatCode="dd/mmmm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4"/>
      <color theme="1"/>
      <name val="Calibri"/>
      <family val="2"/>
      <scheme val="minor"/>
    </font>
    <font>
      <sz val="10"/>
      <name val="Verdana"/>
      <family val="2"/>
    </font>
    <font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rgb="FF000000"/>
      <name val="Georgia"/>
      <family val="1"/>
    </font>
    <font>
      <b/>
      <i/>
      <sz val="11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2"/>
      <color theme="1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7" tint="-0.24997711111789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1" fillId="0" borderId="0"/>
    <xf numFmtId="0" fontId="6" fillId="0" borderId="0"/>
    <xf numFmtId="165" fontId="6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76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Alignment="1"/>
    <xf numFmtId="0" fontId="5" fillId="0" borderId="0" xfId="0" applyFont="1" applyBorder="1" applyAlignment="1"/>
    <xf numFmtId="0" fontId="12" fillId="0" borderId="0" xfId="0" applyFont="1" applyFill="1" applyBorder="1" applyAlignment="1">
      <alignment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13" fillId="0" borderId="0" xfId="0" applyFont="1" applyFill="1"/>
    <xf numFmtId="0" fontId="8" fillId="0" borderId="0" xfId="0" applyFont="1" applyFill="1"/>
    <xf numFmtId="16" fontId="0" fillId="0" borderId="1" xfId="0" applyNumberFormat="1" applyFont="1" applyFill="1" applyBorder="1" applyAlignment="1">
      <alignment horizontal="center" vertical="center"/>
    </xf>
    <xf numFmtId="16" fontId="0" fillId="0" borderId="0" xfId="0" applyNumberFormat="1" applyFont="1"/>
    <xf numFmtId="0" fontId="13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16" fontId="13" fillId="0" borderId="0" xfId="0" applyNumberFormat="1" applyFont="1"/>
    <xf numFmtId="0" fontId="0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/>
    </xf>
    <xf numFmtId="0" fontId="0" fillId="5" borderId="0" xfId="0" applyFont="1" applyFill="1" applyAlignment="1">
      <alignment horizontal="center" vertical="center"/>
    </xf>
    <xf numFmtId="16" fontId="8" fillId="0" borderId="0" xfId="0" applyNumberFormat="1" applyFont="1"/>
    <xf numFmtId="0" fontId="8" fillId="6" borderId="0" xfId="0" applyFont="1" applyFill="1" applyAlignment="1">
      <alignment horizontal="center"/>
    </xf>
    <xf numFmtId="0" fontId="8" fillId="7" borderId="0" xfId="0" applyFont="1" applyFill="1" applyAlignment="1">
      <alignment horizontal="center"/>
    </xf>
    <xf numFmtId="0" fontId="8" fillId="9" borderId="0" xfId="0" applyFont="1" applyFill="1" applyAlignment="1">
      <alignment horizontal="center"/>
    </xf>
    <xf numFmtId="0" fontId="8" fillId="3" borderId="0" xfId="0" applyFont="1" applyFill="1" applyAlignment="1">
      <alignment horizontal="center"/>
    </xf>
    <xf numFmtId="0" fontId="8" fillId="10" borderId="0" xfId="0" applyFont="1" applyFill="1" applyAlignment="1">
      <alignment horizontal="center"/>
    </xf>
    <xf numFmtId="0" fontId="0" fillId="9" borderId="0" xfId="0" applyFont="1" applyFill="1" applyAlignment="1">
      <alignment horizontal="center"/>
    </xf>
    <xf numFmtId="0" fontId="8" fillId="11" borderId="0" xfId="0" applyFont="1" applyFill="1" applyAlignment="1">
      <alignment horizontal="center"/>
    </xf>
    <xf numFmtId="0" fontId="0" fillId="12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/>
    </xf>
    <xf numFmtId="0" fontId="0" fillId="3" borderId="0" xfId="0" applyNumberFormat="1" applyFont="1" applyFill="1" applyAlignment="1">
      <alignment horizontal="center"/>
    </xf>
    <xf numFmtId="0" fontId="0" fillId="13" borderId="0" xfId="0" applyFont="1" applyFill="1"/>
    <xf numFmtId="16" fontId="0" fillId="0" borderId="0" xfId="0" applyNumberFormat="1" applyFont="1" applyFill="1"/>
    <xf numFmtId="0" fontId="0" fillId="7" borderId="0" xfId="0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0" fontId="8" fillId="14" borderId="0" xfId="0" applyFont="1" applyFill="1" applyAlignment="1">
      <alignment horizontal="center"/>
    </xf>
    <xf numFmtId="0" fontId="0" fillId="15" borderId="0" xfId="0" applyFont="1" applyFill="1" applyAlignment="1">
      <alignment horizontal="center" vertical="center"/>
    </xf>
    <xf numFmtId="0" fontId="0" fillId="14" borderId="0" xfId="0" applyFont="1" applyFill="1" applyAlignment="1">
      <alignment horizontal="center"/>
    </xf>
    <xf numFmtId="0" fontId="0" fillId="11" borderId="0" xfId="0" applyFont="1" applyFill="1" applyAlignment="1">
      <alignment horizontal="center"/>
    </xf>
    <xf numFmtId="0" fontId="14" fillId="0" borderId="0" xfId="0" applyFont="1"/>
    <xf numFmtId="0" fontId="14" fillId="4" borderId="0" xfId="0" applyFont="1" applyFill="1" applyAlignment="1">
      <alignment horizontal="center"/>
    </xf>
    <xf numFmtId="0" fontId="14" fillId="9" borderId="0" xfId="0" applyFont="1" applyFill="1" applyAlignment="1">
      <alignment horizontal="center"/>
    </xf>
    <xf numFmtId="0" fontId="14" fillId="3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NumberFormat="1" applyFont="1" applyFill="1" applyAlignment="1">
      <alignment horizontal="center"/>
    </xf>
    <xf numFmtId="0" fontId="0" fillId="16" borderId="0" xfId="0" applyFont="1" applyFill="1"/>
    <xf numFmtId="0" fontId="0" fillId="11" borderId="0" xfId="0" applyFont="1" applyFill="1" applyAlignment="1">
      <alignment horizontal="center" vertical="center"/>
    </xf>
    <xf numFmtId="0" fontId="0" fillId="16" borderId="0" xfId="0" applyFont="1" applyFill="1" applyAlignment="1">
      <alignment horizontal="left"/>
    </xf>
    <xf numFmtId="0" fontId="15" fillId="0" borderId="0" xfId="0" applyFont="1"/>
    <xf numFmtId="16" fontId="15" fillId="0" borderId="0" xfId="0" applyNumberFormat="1" applyFont="1"/>
    <xf numFmtId="0" fontId="0" fillId="17" borderId="0" xfId="0" applyFont="1" applyFill="1" applyAlignment="1">
      <alignment horizontal="center"/>
    </xf>
    <xf numFmtId="0" fontId="0" fillId="17" borderId="0" xfId="0" applyFont="1" applyFill="1" applyAlignment="1">
      <alignment horizontal="center" vertical="center"/>
    </xf>
    <xf numFmtId="0" fontId="8" fillId="17" borderId="0" xfId="0" applyFont="1" applyFill="1" applyAlignment="1">
      <alignment horizontal="center"/>
    </xf>
    <xf numFmtId="0" fontId="0" fillId="14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18" borderId="0" xfId="0" applyFont="1" applyFill="1" applyAlignment="1">
      <alignment horizontal="center"/>
    </xf>
    <xf numFmtId="0" fontId="0" fillId="6" borderId="0" xfId="0" applyFont="1" applyFill="1" applyAlignment="1">
      <alignment horizontal="center"/>
    </xf>
    <xf numFmtId="0" fontId="0" fillId="19" borderId="0" xfId="0" applyFont="1" applyFill="1" applyAlignment="1">
      <alignment horizontal="center" vertical="center"/>
    </xf>
    <xf numFmtId="0" fontId="0" fillId="19" borderId="0" xfId="0" applyFont="1" applyFill="1" applyAlignment="1">
      <alignment horizontal="center"/>
    </xf>
    <xf numFmtId="14" fontId="0" fillId="0" borderId="0" xfId="0" applyNumberFormat="1" applyFont="1"/>
    <xf numFmtId="0" fontId="0" fillId="12" borderId="0" xfId="0" applyFont="1" applyFill="1" applyAlignment="1">
      <alignment horizontal="center"/>
    </xf>
    <xf numFmtId="0" fontId="0" fillId="20" borderId="0" xfId="0" applyFont="1" applyFill="1" applyAlignment="1">
      <alignment horizontal="center"/>
    </xf>
    <xf numFmtId="0" fontId="0" fillId="8" borderId="0" xfId="0" applyFont="1" applyFill="1"/>
    <xf numFmtId="0" fontId="0" fillId="0" borderId="0" xfId="0" applyFont="1" applyAlignment="1">
      <alignment vertical="center"/>
    </xf>
    <xf numFmtId="0" fontId="16" fillId="0" borderId="1" xfId="0" applyFont="1" applyFill="1" applyBorder="1" applyAlignment="1">
      <alignment horizontal="center" vertical="center"/>
    </xf>
    <xf numFmtId="0" fontId="16" fillId="0" borderId="1" xfId="0" applyNumberFormat="1" applyFont="1" applyFill="1" applyBorder="1" applyAlignment="1">
      <alignment horizontal="center" vertical="center"/>
    </xf>
    <xf numFmtId="167" fontId="0" fillId="21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66" fontId="0" fillId="0" borderId="1" xfId="0" quotePrefix="1" applyNumberFormat="1" applyFont="1" applyFill="1" applyBorder="1" applyAlignment="1">
      <alignment horizontal="left" vertical="center"/>
    </xf>
    <xf numFmtId="0" fontId="17" fillId="3" borderId="1" xfId="0" applyNumberFormat="1" applyFont="1" applyFill="1" applyBorder="1" applyAlignment="1">
      <alignment horizontal="center"/>
    </xf>
    <xf numFmtId="166" fontId="17" fillId="3" borderId="1" xfId="0" quotePrefix="1" applyNumberFormat="1" applyFon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6" fontId="0" fillId="0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/>
    <xf numFmtId="167" fontId="0" fillId="3" borderId="2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8" fillId="3" borderId="1" xfId="0" applyNumberFormat="1" applyFont="1" applyFill="1" applyBorder="1" applyAlignment="1"/>
    <xf numFmtId="167" fontId="17" fillId="3" borderId="1" xfId="0" applyNumberFormat="1" applyFont="1" applyFill="1" applyBorder="1" applyAlignment="1">
      <alignment horizontal="center"/>
    </xf>
    <xf numFmtId="167" fontId="0" fillId="21" borderId="2" xfId="0" applyNumberFormat="1" applyFont="1" applyFill="1" applyBorder="1" applyAlignment="1">
      <alignment horizontal="center"/>
    </xf>
    <xf numFmtId="167" fontId="0" fillId="3" borderId="1" xfId="0" applyNumberFormat="1" applyFont="1" applyFill="1" applyBorder="1" applyAlignment="1">
      <alignment horizontal="center"/>
    </xf>
    <xf numFmtId="0" fontId="0" fillId="7" borderId="0" xfId="0" applyFont="1" applyFill="1" applyAlignment="1">
      <alignment horizontal="center" vertical="center"/>
    </xf>
    <xf numFmtId="0" fontId="0" fillId="9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8" borderId="0" xfId="0" applyFont="1" applyFill="1" applyAlignment="1">
      <alignment horizontal="center" vertical="center"/>
    </xf>
    <xf numFmtId="168" fontId="0" fillId="0" borderId="1" xfId="0" applyNumberFormat="1" applyFont="1" applyFill="1" applyBorder="1" applyAlignment="1">
      <alignment horizontal="center" vertical="center"/>
    </xf>
    <xf numFmtId="168" fontId="0" fillId="0" borderId="0" xfId="0" applyNumberFormat="1" applyFont="1" applyAlignment="1">
      <alignment horizontal="left"/>
    </xf>
    <xf numFmtId="168" fontId="0" fillId="0" borderId="0" xfId="0" applyNumberFormat="1" applyFont="1" applyFill="1" applyAlignment="1">
      <alignment horizontal="left"/>
    </xf>
    <xf numFmtId="168" fontId="8" fillId="0" borderId="0" xfId="0" applyNumberFormat="1" applyFont="1" applyAlignment="1">
      <alignment horizontal="left"/>
    </xf>
    <xf numFmtId="168" fontId="14" fillId="0" borderId="0" xfId="0" applyNumberFormat="1" applyFont="1" applyAlignment="1">
      <alignment horizontal="left"/>
    </xf>
    <xf numFmtId="16" fontId="0" fillId="0" borderId="0" xfId="0" applyNumberFormat="1" applyFont="1" applyAlignment="1">
      <alignment horizontal="center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8" fillId="2" borderId="0" xfId="0" applyFont="1" applyFill="1"/>
    <xf numFmtId="0" fontId="3" fillId="0" borderId="0" xfId="0" applyFont="1" applyAlignment="1">
      <alignment horizontal="right"/>
    </xf>
    <xf numFmtId="0" fontId="16" fillId="0" borderId="2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/>
    <xf numFmtId="0" fontId="0" fillId="2" borderId="1" xfId="0" applyFont="1" applyFill="1" applyBorder="1" applyAlignment="1">
      <alignment horizontal="center"/>
    </xf>
    <xf numFmtId="166" fontId="0" fillId="0" borderId="2" xfId="0" quotePrefix="1" applyNumberFormat="1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0" borderId="0" xfId="0" applyFont="1" applyFill="1" applyAlignment="1">
      <alignment vertical="center"/>
    </xf>
    <xf numFmtId="0" fontId="20" fillId="0" borderId="0" xfId="0" applyFont="1"/>
    <xf numFmtId="0" fontId="20" fillId="0" borderId="0" xfId="0" applyFont="1" applyAlignment="1">
      <alignment vertical="center"/>
    </xf>
    <xf numFmtId="0" fontId="0" fillId="0" borderId="0" xfId="0" pivotButton="1"/>
    <xf numFmtId="167" fontId="0" fillId="0" borderId="0" xfId="0" applyNumberFormat="1" applyAlignment="1">
      <alignment horizontal="center"/>
    </xf>
    <xf numFmtId="167" fontId="3" fillId="0" borderId="0" xfId="0" applyNumberFormat="1" applyFont="1"/>
    <xf numFmtId="0" fontId="0" fillId="0" borderId="2" xfId="0" applyFont="1" applyBorder="1" applyAlignment="1">
      <alignment vertical="center"/>
    </xf>
    <xf numFmtId="0" fontId="21" fillId="19" borderId="1" xfId="0" applyFont="1" applyFill="1" applyBorder="1" applyAlignment="1">
      <alignment vertical="center"/>
    </xf>
    <xf numFmtId="0" fontId="21" fillId="19" borderId="1" xfId="0" applyFont="1" applyFill="1" applyBorder="1" applyAlignment="1">
      <alignment horizontal="center" vertical="center"/>
    </xf>
    <xf numFmtId="164" fontId="0" fillId="0" borderId="0" xfId="7" applyFont="1"/>
    <xf numFmtId="0" fontId="3" fillId="0" borderId="9" xfId="0" applyFont="1" applyBorder="1" applyAlignment="1">
      <alignment horizontal="left"/>
    </xf>
    <xf numFmtId="0" fontId="0" fillId="0" borderId="9" xfId="0" applyBorder="1" applyAlignment="1">
      <alignment horizontal="left"/>
    </xf>
    <xf numFmtId="16" fontId="3" fillId="0" borderId="9" xfId="0" applyNumberFormat="1" applyFont="1" applyBorder="1" applyAlignment="1">
      <alignment horizontal="left"/>
    </xf>
    <xf numFmtId="16" fontId="0" fillId="0" borderId="9" xfId="0" applyNumberFormat="1" applyBorder="1" applyAlignment="1">
      <alignment horizontal="left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9" xfId="0" applyFill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" fontId="3" fillId="0" borderId="14" xfId="0" applyNumberFormat="1" applyFont="1" applyBorder="1" applyAlignment="1">
      <alignment horizontal="left"/>
    </xf>
    <xf numFmtId="16" fontId="0" fillId="0" borderId="15" xfId="0" applyNumberFormat="1" applyFont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14" xfId="0" applyBorder="1"/>
    <xf numFmtId="164" fontId="0" fillId="23" borderId="17" xfId="7" applyFont="1" applyFill="1" applyBorder="1"/>
    <xf numFmtId="16" fontId="0" fillId="0" borderId="3" xfId="0" applyNumberFormat="1" applyFont="1" applyBorder="1" applyAlignment="1">
      <alignment horizontal="left"/>
    </xf>
    <xf numFmtId="0" fontId="0" fillId="0" borderId="1" xfId="0" applyFont="1" applyBorder="1"/>
    <xf numFmtId="0" fontId="0" fillId="0" borderId="18" xfId="0" applyFont="1" applyBorder="1"/>
    <xf numFmtId="0" fontId="0" fillId="0" borderId="19" xfId="0" applyBorder="1"/>
    <xf numFmtId="164" fontId="0" fillId="23" borderId="18" xfId="7" applyFont="1" applyFill="1" applyBorder="1"/>
    <xf numFmtId="16" fontId="3" fillId="23" borderId="19" xfId="0" applyNumberFormat="1" applyFont="1" applyFill="1" applyBorder="1" applyAlignment="1">
      <alignment horizontal="left"/>
    </xf>
    <xf numFmtId="16" fontId="0" fillId="23" borderId="3" xfId="0" applyNumberFormat="1" applyFont="1" applyFill="1" applyBorder="1" applyAlignment="1">
      <alignment horizontal="left"/>
    </xf>
    <xf numFmtId="0" fontId="0" fillId="23" borderId="1" xfId="0" applyFont="1" applyFill="1" applyBorder="1"/>
    <xf numFmtId="0" fontId="0" fillId="23" borderId="18" xfId="0" applyFont="1" applyFill="1" applyBorder="1"/>
    <xf numFmtId="0" fontId="0" fillId="23" borderId="19" xfId="0" applyFill="1" applyBorder="1"/>
    <xf numFmtId="164" fontId="0" fillId="22" borderId="18" xfId="7" applyFont="1" applyFill="1" applyBorder="1"/>
    <xf numFmtId="16" fontId="3" fillId="22" borderId="19" xfId="0" applyNumberFormat="1" applyFont="1" applyFill="1" applyBorder="1" applyAlignment="1">
      <alignment horizontal="left"/>
    </xf>
    <xf numFmtId="16" fontId="0" fillId="22" borderId="3" xfId="0" applyNumberFormat="1" applyFont="1" applyFill="1" applyBorder="1" applyAlignment="1">
      <alignment horizontal="left"/>
    </xf>
    <xf numFmtId="0" fontId="0" fillId="22" borderId="1" xfId="0" applyFont="1" applyFill="1" applyBorder="1"/>
    <xf numFmtId="0" fontId="0" fillId="22" borderId="18" xfId="0" applyFont="1" applyFill="1" applyBorder="1"/>
    <xf numFmtId="0" fontId="0" fillId="22" borderId="20" xfId="0" applyFill="1" applyBorder="1"/>
    <xf numFmtId="164" fontId="0" fillId="22" borderId="21" xfId="7" applyFont="1" applyFill="1" applyBorder="1"/>
    <xf numFmtId="16" fontId="3" fillId="0" borderId="20" xfId="0" applyNumberFormat="1" applyFont="1" applyBorder="1" applyAlignment="1">
      <alignment horizontal="left"/>
    </xf>
    <xf numFmtId="16" fontId="0" fillId="0" borderId="22" xfId="0" applyNumberFormat="1" applyFont="1" applyBorder="1" applyAlignment="1">
      <alignment horizontal="left"/>
    </xf>
    <xf numFmtId="0" fontId="0" fillId="0" borderId="23" xfId="0" applyFont="1" applyBorder="1"/>
    <xf numFmtId="0" fontId="0" fillId="0" borderId="21" xfId="0" applyFont="1" applyBorder="1"/>
    <xf numFmtId="0" fontId="0" fillId="0" borderId="24" xfId="0" applyBorder="1"/>
    <xf numFmtId="164" fontId="0" fillId="24" borderId="25" xfId="7" applyFont="1" applyFill="1" applyBorder="1"/>
    <xf numFmtId="16" fontId="3" fillId="22" borderId="20" xfId="0" applyNumberFormat="1" applyFont="1" applyFill="1" applyBorder="1" applyAlignment="1">
      <alignment horizontal="left"/>
    </xf>
    <xf numFmtId="16" fontId="0" fillId="22" borderId="22" xfId="0" applyNumberFormat="1" applyFont="1" applyFill="1" applyBorder="1" applyAlignment="1">
      <alignment horizontal="left"/>
    </xf>
    <xf numFmtId="0" fontId="0" fillId="22" borderId="23" xfId="0" applyFont="1" applyFill="1" applyBorder="1"/>
    <xf numFmtId="0" fontId="0" fillId="22" borderId="21" xfId="0" applyFont="1" applyFill="1" applyBorder="1"/>
    <xf numFmtId="16" fontId="3" fillId="0" borderId="24" xfId="0" applyNumberFormat="1" applyFont="1" applyBorder="1" applyAlignment="1">
      <alignment horizontal="left"/>
    </xf>
    <xf numFmtId="16" fontId="0" fillId="0" borderId="26" xfId="0" applyNumberFormat="1" applyBorder="1" applyAlignment="1">
      <alignment horizontal="left"/>
    </xf>
    <xf numFmtId="0" fontId="0" fillId="0" borderId="27" xfId="0" applyBorder="1"/>
    <xf numFmtId="0" fontId="0" fillId="0" borderId="25" xfId="0" applyBorder="1"/>
    <xf numFmtId="16" fontId="0" fillId="0" borderId="15" xfId="0" applyNumberFormat="1" applyBorder="1" applyAlignment="1">
      <alignment horizontal="left"/>
    </xf>
    <xf numFmtId="0" fontId="0" fillId="0" borderId="16" xfId="0" applyBorder="1"/>
    <xf numFmtId="0" fontId="0" fillId="0" borderId="17" xfId="0" applyBorder="1"/>
    <xf numFmtId="16" fontId="0" fillId="0" borderId="3" xfId="0" applyNumberFormat="1" applyBorder="1" applyAlignment="1">
      <alignment horizontal="left"/>
    </xf>
    <xf numFmtId="0" fontId="0" fillId="0" borderId="1" xfId="0" applyBorder="1"/>
    <xf numFmtId="0" fontId="0" fillId="0" borderId="18" xfId="0" applyBorder="1"/>
    <xf numFmtId="16" fontId="0" fillId="23" borderId="3" xfId="0" applyNumberFormat="1" applyFill="1" applyBorder="1" applyAlignment="1">
      <alignment horizontal="left"/>
    </xf>
    <xf numFmtId="0" fontId="0" fillId="23" borderId="1" xfId="0" applyFill="1" applyBorder="1"/>
    <xf numFmtId="0" fontId="0" fillId="23" borderId="18" xfId="0" applyFill="1" applyBorder="1"/>
    <xf numFmtId="16" fontId="0" fillId="22" borderId="22" xfId="0" applyNumberFormat="1" applyFill="1" applyBorder="1" applyAlignment="1">
      <alignment horizontal="left"/>
    </xf>
    <xf numFmtId="0" fontId="0" fillId="22" borderId="23" xfId="0" applyFill="1" applyBorder="1"/>
    <xf numFmtId="0" fontId="0" fillId="22" borderId="21" xfId="0" applyFill="1" applyBorder="1"/>
    <xf numFmtId="0" fontId="3" fillId="25" borderId="28" xfId="0" applyFont="1" applyFill="1" applyBorder="1" applyAlignment="1">
      <alignment horizontal="left"/>
    </xf>
    <xf numFmtId="0" fontId="0" fillId="25" borderId="29" xfId="0" applyFill="1" applyBorder="1" applyAlignment="1">
      <alignment horizontal="left"/>
    </xf>
    <xf numFmtId="0" fontId="0" fillId="25" borderId="29" xfId="0" applyFill="1" applyBorder="1"/>
    <xf numFmtId="0" fontId="0" fillId="25" borderId="30" xfId="0" applyFill="1" applyBorder="1"/>
    <xf numFmtId="0" fontId="0" fillId="25" borderId="28" xfId="0" applyFill="1" applyBorder="1"/>
    <xf numFmtId="0" fontId="3" fillId="0" borderId="0" xfId="0" applyFont="1" applyAlignment="1">
      <alignment horizontal="left"/>
    </xf>
    <xf numFmtId="0" fontId="0" fillId="23" borderId="14" xfId="0" applyFill="1" applyBorder="1"/>
    <xf numFmtId="0" fontId="0" fillId="23" borderId="16" xfId="0" applyFill="1" applyBorder="1"/>
    <xf numFmtId="164" fontId="0" fillId="0" borderId="18" xfId="7" applyFont="1" applyBorder="1"/>
    <xf numFmtId="0" fontId="0" fillId="0" borderId="20" xfId="0" applyBorder="1"/>
    <xf numFmtId="0" fontId="0" fillId="0" borderId="23" xfId="0" applyBorder="1"/>
    <xf numFmtId="164" fontId="0" fillId="0" borderId="21" xfId="7" applyFont="1" applyBorder="1"/>
    <xf numFmtId="16" fontId="0" fillId="26" borderId="1" xfId="0" applyNumberFormat="1" applyFont="1" applyFill="1" applyBorder="1" applyAlignment="1">
      <alignment horizontal="center" vertical="center"/>
    </xf>
    <xf numFmtId="0" fontId="0" fillId="16" borderId="0" xfId="0" applyFont="1" applyFill="1" applyAlignment="1">
      <alignment horizontal="center"/>
    </xf>
    <xf numFmtId="0" fontId="0" fillId="16" borderId="1" xfId="0" applyNumberFormat="1" applyFont="1" applyFill="1" applyBorder="1" applyAlignment="1">
      <alignment horizontal="center"/>
    </xf>
    <xf numFmtId="0" fontId="0" fillId="0" borderId="0" xfId="0" applyFill="1"/>
    <xf numFmtId="0" fontId="0" fillId="0" borderId="8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16" fontId="8" fillId="0" borderId="0" xfId="0" applyNumberFormat="1" applyFont="1" applyFill="1" applyAlignment="1">
      <alignment horizontal="center" vertical="center"/>
    </xf>
    <xf numFmtId="16" fontId="0" fillId="0" borderId="0" xfId="0" applyNumberFormat="1" applyFont="1" applyFill="1" applyAlignment="1">
      <alignment horizontal="center"/>
    </xf>
    <xf numFmtId="16" fontId="8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8" fillId="0" borderId="0" xfId="0" applyNumberFormat="1" applyFont="1" applyFill="1" applyAlignment="1">
      <alignment horizontal="center"/>
    </xf>
    <xf numFmtId="0" fontId="14" fillId="0" borderId="0" xfId="0" applyNumberFormat="1" applyFont="1" applyFill="1" applyAlignment="1">
      <alignment horizontal="center"/>
    </xf>
    <xf numFmtId="0" fontId="22" fillId="0" borderId="0" xfId="0" applyFont="1" applyFill="1"/>
    <xf numFmtId="0" fontId="8" fillId="16" borderId="0" xfId="0" applyFont="1" applyFill="1" applyAlignment="1">
      <alignment horizontal="center"/>
    </xf>
    <xf numFmtId="0" fontId="0" fillId="16" borderId="0" xfId="0" applyFont="1" applyFill="1" applyAlignment="1">
      <alignment vertical="center"/>
    </xf>
    <xf numFmtId="167" fontId="0" fillId="0" borderId="1" xfId="0" applyNumberFormat="1" applyFont="1" applyBorder="1"/>
    <xf numFmtId="0" fontId="8" fillId="16" borderId="0" xfId="0" applyFont="1" applyFill="1" applyAlignment="1">
      <alignment horizontal="left"/>
    </xf>
    <xf numFmtId="0" fontId="14" fillId="16" borderId="0" xfId="0" applyFont="1" applyFill="1" applyAlignment="1">
      <alignment horizontal="left"/>
    </xf>
    <xf numFmtId="0" fontId="8" fillId="27" borderId="0" xfId="0" applyFont="1" applyFill="1" applyAlignment="1">
      <alignment horizontal="center"/>
    </xf>
    <xf numFmtId="0" fontId="0" fillId="28" borderId="0" xfId="0" applyFont="1" applyFill="1" applyAlignment="1">
      <alignment horizontal="center"/>
    </xf>
    <xf numFmtId="0" fontId="23" fillId="14" borderId="31" xfId="0" applyFont="1" applyFill="1" applyBorder="1" applyAlignment="1">
      <alignment horizontal="center" vertical="center"/>
    </xf>
    <xf numFmtId="0" fontId="23" fillId="14" borderId="32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22" borderId="11" xfId="0" applyFill="1" applyBorder="1" applyAlignment="1">
      <alignment horizontal="center" vertical="center" wrapText="1"/>
    </xf>
    <xf numFmtId="0" fontId="0" fillId="22" borderId="12" xfId="0" applyFill="1" applyBorder="1" applyAlignment="1">
      <alignment horizontal="center" vertical="center" wrapText="1"/>
    </xf>
    <xf numFmtId="0" fontId="0" fillId="22" borderId="13" xfId="0" applyFill="1" applyBorder="1" applyAlignment="1">
      <alignment horizontal="center" vertical="center" wrapText="1"/>
    </xf>
    <xf numFmtId="17" fontId="10" fillId="0" borderId="6" xfId="0" applyNumberFormat="1" applyFont="1" applyBorder="1" applyAlignment="1">
      <alignment horizontal="center"/>
    </xf>
    <xf numFmtId="17" fontId="10" fillId="0" borderId="7" xfId="0" applyNumberFormat="1" applyFont="1" applyBorder="1" applyAlignment="1">
      <alignment horizontal="center"/>
    </xf>
    <xf numFmtId="17" fontId="10" fillId="0" borderId="8" xfId="0" applyNumberFormat="1" applyFont="1" applyBorder="1" applyAlignment="1">
      <alignment horizontal="center"/>
    </xf>
    <xf numFmtId="17" fontId="10" fillId="0" borderId="9" xfId="0" applyNumberFormat="1" applyFont="1" applyBorder="1" applyAlignment="1">
      <alignment horizontal="center"/>
    </xf>
    <xf numFmtId="17" fontId="10" fillId="0" borderId="0" xfId="0" applyNumberFormat="1" applyFont="1" applyBorder="1" applyAlignment="1">
      <alignment horizontal="center"/>
    </xf>
    <xf numFmtId="17" fontId="10" fillId="0" borderId="10" xfId="0" applyNumberFormat="1" applyFont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0" fillId="0" borderId="9" xfId="0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</cellXfs>
  <cellStyles count="8">
    <cellStyle name="Milliers 2" xfId="6" xr:uid="{00000000-0005-0000-0000-000000000000}"/>
    <cellStyle name="Monétaire" xfId="7" builtinId="4"/>
    <cellStyle name="Normal" xfId="0" builtinId="0"/>
    <cellStyle name="Normal 2" xfId="1" xr:uid="{00000000-0005-0000-0000-000003000000}"/>
    <cellStyle name="Normal 2 2" xfId="3" xr:uid="{00000000-0005-0000-0000-000004000000}"/>
    <cellStyle name="Normal 3" xfId="4" xr:uid="{00000000-0005-0000-0000-000005000000}"/>
    <cellStyle name="Normal 4" xfId="5" xr:uid="{00000000-0005-0000-0000-000006000000}"/>
    <cellStyle name="Pourcentage 2" xfId="2" xr:uid="{00000000-0005-0000-0000-000007000000}"/>
  </cellStyles>
  <dxfs count="0"/>
  <tableStyles count="0" defaultTableStyle="TableStyleMedium9" defaultPivotStyle="PivotStyleLight16"/>
  <colors>
    <mruColors>
      <color rgb="FF0000FF"/>
      <color rgb="FF00FFCC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104775</xdr:colOff>
          <xdr:row>0</xdr:row>
          <xdr:rowOff>38100</xdr:rowOff>
        </xdr:from>
        <xdr:to>
          <xdr:col>12</xdr:col>
          <xdr:colOff>561975</xdr:colOff>
          <xdr:row>0</xdr:row>
          <xdr:rowOff>361950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30479</xdr:rowOff>
    </xdr:from>
    <xdr:to>
      <xdr:col>2</xdr:col>
      <xdr:colOff>171450</xdr:colOff>
      <xdr:row>0</xdr:row>
      <xdr:rowOff>289560</xdr:rowOff>
    </xdr:to>
    <xdr:sp macro="[0]!Masquer" textlink="">
      <xdr:nvSpPr>
        <xdr:cNvPr id="2" name="Masquer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9050" y="30479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Masquer</a:t>
          </a:r>
        </a:p>
      </xdr:txBody>
    </xdr:sp>
    <xdr:clientData fPrintsWithSheet="0"/>
  </xdr:twoCellAnchor>
  <xdr:twoCellAnchor editAs="oneCell">
    <xdr:from>
      <xdr:col>11</xdr:col>
      <xdr:colOff>312420</xdr:colOff>
      <xdr:row>5</xdr:row>
      <xdr:rowOff>0</xdr:rowOff>
    </xdr:from>
    <xdr:to>
      <xdr:col>11</xdr:col>
      <xdr:colOff>617220</xdr:colOff>
      <xdr:row>6</xdr:row>
      <xdr:rowOff>121920</xdr:rowOff>
    </xdr:to>
    <xdr:sp macro="" textlink="">
      <xdr:nvSpPr>
        <xdr:cNvPr id="5122" name="imgConv" descr="http://ib.adnxs.com/getuid?//its.tradelab.fr/?type=convr&amp;x=1&amp;uuid2=$UID&amp;cdata=%7B%22a%22%3A621044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id="{00000000-0008-0000-0100-000002140000}"/>
            </a:ext>
          </a:extLst>
        </xdr:cNvPr>
        <xdr:cNvSpPr>
          <a:spLocks noChangeAspect="1" noChangeArrowheads="1"/>
        </xdr:cNvSpPr>
      </xdr:nvSpPr>
      <xdr:spPr bwMode="auto">
        <a:xfrm>
          <a:off x="91135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624840</xdr:colOff>
      <xdr:row>5</xdr:row>
      <xdr:rowOff>0</xdr:rowOff>
    </xdr:from>
    <xdr:to>
      <xdr:col>11</xdr:col>
      <xdr:colOff>929640</xdr:colOff>
      <xdr:row>6</xdr:row>
      <xdr:rowOff>121920</xdr:rowOff>
    </xdr:to>
    <xdr:sp macro="" textlink="">
      <xdr:nvSpPr>
        <xdr:cNvPr id="5123" name="AutoShape 3" descr="http://ib.adnxs.com/px?id=621044&amp;t=2">
          <a:extLst>
            <a:ext uri="{FF2B5EF4-FFF2-40B4-BE49-F238E27FC236}">
              <a16:creationId xmlns:a16="http://schemas.microsoft.com/office/drawing/2014/main" id="{00000000-0008-0000-0100-000003140000}"/>
            </a:ext>
          </a:extLst>
        </xdr:cNvPr>
        <xdr:cNvSpPr>
          <a:spLocks noChangeAspect="1" noChangeArrowheads="1"/>
        </xdr:cNvSpPr>
      </xdr:nvSpPr>
      <xdr:spPr bwMode="auto">
        <a:xfrm>
          <a:off x="94259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937260</xdr:colOff>
      <xdr:row>5</xdr:row>
      <xdr:rowOff>0</xdr:rowOff>
    </xdr:from>
    <xdr:to>
      <xdr:col>11</xdr:col>
      <xdr:colOff>1242060</xdr:colOff>
      <xdr:row>6</xdr:row>
      <xdr:rowOff>121920</xdr:rowOff>
    </xdr:to>
    <xdr:sp macro="" textlink="">
      <xdr:nvSpPr>
        <xdr:cNvPr id="5124" name="AutoShape 4" descr="http://ib.adnxs.com/seg?add=3619252&amp;t=2">
          <a:extLst>
            <a:ext uri="{FF2B5EF4-FFF2-40B4-BE49-F238E27FC236}">
              <a16:creationId xmlns:a16="http://schemas.microsoft.com/office/drawing/2014/main" id="{00000000-0008-0000-0100-000004140000}"/>
            </a:ext>
          </a:extLst>
        </xdr:cNvPr>
        <xdr:cNvSpPr>
          <a:spLocks noChangeAspect="1" noChangeArrowheads="1"/>
        </xdr:cNvSpPr>
      </xdr:nvSpPr>
      <xdr:spPr bwMode="auto">
        <a:xfrm>
          <a:off x="97383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1203960</xdr:colOff>
      <xdr:row>5</xdr:row>
      <xdr:rowOff>0</xdr:rowOff>
    </xdr:from>
    <xdr:to>
      <xdr:col>11</xdr:col>
      <xdr:colOff>1508760</xdr:colOff>
      <xdr:row>6</xdr:row>
      <xdr:rowOff>121920</xdr:rowOff>
    </xdr:to>
    <xdr:sp macro="" textlink="">
      <xdr:nvSpPr>
        <xdr:cNvPr id="5125" name="AutoShape 5" descr="http://ib.adnxs.com/getuid?//its.tradelab.fr/?type=fseg&amp;uuid2=$UID&amp;sid=3619252&amp;val=undefined&amp;fun=738&amp;step=1&amp;siev=3619249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id="{00000000-0008-0000-0100-000005140000}"/>
            </a:ext>
          </a:extLst>
        </xdr:cNvPr>
        <xdr:cNvSpPr>
          <a:spLocks noChangeAspect="1" noChangeArrowheads="1"/>
        </xdr:cNvSpPr>
      </xdr:nvSpPr>
      <xdr:spPr bwMode="auto">
        <a:xfrm>
          <a:off x="100050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1562100</xdr:colOff>
      <xdr:row>5</xdr:row>
      <xdr:rowOff>0</xdr:rowOff>
    </xdr:from>
    <xdr:to>
      <xdr:col>12</xdr:col>
      <xdr:colOff>0</xdr:colOff>
      <xdr:row>6</xdr:row>
      <xdr:rowOff>121920</xdr:rowOff>
    </xdr:to>
    <xdr:sp macro="" textlink="">
      <xdr:nvSpPr>
        <xdr:cNvPr id="5126" name="imgConv" descr="http://ib.adnxs.com/getuid?//its.tradelab.fr/?type=convr&amp;x=1&amp;uuid2=$UID&amp;cdata=%7B%22a%22%3A621045%2C%22l%22%3A%5B%5D%2C%22i%22%3A7%2C%22c%22%3A30%2C%22t%22%3A%22h%22%2C%22m%22%3A%22null%22%2C%22vi%22%3A0%2C%22vc%22%3A0%2C%22hf%22%3A0%2C%22x%22%3A%7B%7D%7D&amp;advid=656237&amp;xur=excel-competence.over-blog.com%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id="{00000000-0008-0000-0100-000006140000}"/>
            </a:ext>
          </a:extLst>
        </xdr:cNvPr>
        <xdr:cNvSpPr>
          <a:spLocks noChangeAspect="1" noChangeArrowheads="1"/>
        </xdr:cNvSpPr>
      </xdr:nvSpPr>
      <xdr:spPr bwMode="auto">
        <a:xfrm>
          <a:off x="1036320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1874520</xdr:colOff>
      <xdr:row>5</xdr:row>
      <xdr:rowOff>0</xdr:rowOff>
    </xdr:from>
    <xdr:to>
      <xdr:col>12</xdr:col>
      <xdr:colOff>274320</xdr:colOff>
      <xdr:row>6</xdr:row>
      <xdr:rowOff>121920</xdr:rowOff>
    </xdr:to>
    <xdr:sp macro="" textlink="">
      <xdr:nvSpPr>
        <xdr:cNvPr id="5127" name="AutoShape 7" descr="http://ib.adnxs.com/px?id=621045&amp;t=2">
          <a:extLst>
            <a:ext uri="{FF2B5EF4-FFF2-40B4-BE49-F238E27FC236}">
              <a16:creationId xmlns:a16="http://schemas.microsoft.com/office/drawing/2014/main" id="{00000000-0008-0000-0100-000007140000}"/>
            </a:ext>
          </a:extLst>
        </xdr:cNvPr>
        <xdr:cNvSpPr>
          <a:spLocks noChangeAspect="1" noChangeArrowheads="1"/>
        </xdr:cNvSpPr>
      </xdr:nvSpPr>
      <xdr:spPr bwMode="auto">
        <a:xfrm>
          <a:off x="1067562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281940</xdr:colOff>
      <xdr:row>5</xdr:row>
      <xdr:rowOff>0</xdr:rowOff>
    </xdr:from>
    <xdr:to>
      <xdr:col>12</xdr:col>
      <xdr:colOff>586740</xdr:colOff>
      <xdr:row>6</xdr:row>
      <xdr:rowOff>121920</xdr:rowOff>
    </xdr:to>
    <xdr:sp macro="" textlink="">
      <xdr:nvSpPr>
        <xdr:cNvPr id="5128" name="AutoShape 8" descr="http://ib.adnxs.com/seg?add=3619253&amp;t=2">
          <a:extLst>
            <a:ext uri="{FF2B5EF4-FFF2-40B4-BE49-F238E27FC236}">
              <a16:creationId xmlns:a16="http://schemas.microsoft.com/office/drawing/2014/main" id="{00000000-0008-0000-0100-000008140000}"/>
            </a:ext>
          </a:extLst>
        </xdr:cNvPr>
        <xdr:cNvSpPr>
          <a:spLocks noChangeAspect="1" noChangeArrowheads="1"/>
        </xdr:cNvSpPr>
      </xdr:nvSpPr>
      <xdr:spPr bwMode="auto">
        <a:xfrm>
          <a:off x="1098804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12</xdr:col>
      <xdr:colOff>594360</xdr:colOff>
      <xdr:row>5</xdr:row>
      <xdr:rowOff>0</xdr:rowOff>
    </xdr:from>
    <xdr:to>
      <xdr:col>12</xdr:col>
      <xdr:colOff>899160</xdr:colOff>
      <xdr:row>6</xdr:row>
      <xdr:rowOff>121920</xdr:rowOff>
    </xdr:to>
    <xdr:sp macro="" textlink="">
      <xdr:nvSpPr>
        <xdr:cNvPr id="5129" name="AutoShape 9" descr="http://ib.adnxs.com/getuid?//its.tradelab.fr/?type=fseg&amp;uuid2=$UID&amp;sid=3619253&amp;val=undefined&amp;fun=738&amp;step=2&amp;siev=3619250&amp;fp=0&amp;advid=656237&amp;isregen=0&amp;ua=Mozilla%252F5.0%2520(Windows%2520NT%25206.1%253B%2520WOW64%253B%2520Trident%252F7.0%253B%2520SLCC2%253B%2520.NET%2520CLR%25202.0.50727%253B%2520.NET%2520CLR%25203.5.30729%253B%2520.NET%2520CLR%25203.0.30729%253B%2520.NET4.0C%253B%2520.NET4.0E%253B%2520Media%2520Center%2520PC%25206.0%253B%2520CMDTDFJS%253B%2520rv%253A11.0)%2520like%2520Gecko&amp;ur=http%253A%252F%252Fexcel-competence.over-blog.com%252Farticle-additionner-de-valeurs-selon-la-couleur-de-remplissage-des-cellules-49156207.html&amp;adata=%7B%22c%22%3A%7B%22ref_url%22%3A%22www.google.ca%2Furl%3Fsa%3Dt%26rct%3Dj%26q%3D%26esrc%3Ds%26source%3Dweb%26cd%3D1%26ved%3D0ahUKEwj-yIzjzsTbAhUDvlMKHeNjD0sQFggnMAA%26url%3Dhttp%253A%252F%252Fexcel-competence.over-blog.com%252Farticle-additionner-de-valeurs-selon-la-couleur-de-remplissage-des-cellules-49156207.html%26usg%3DAOvVaw24M_q%22%2C%22ref_ts%22%3A1528479756%2C%22page_url%22%3A%22excel-competence.over-blog.com%2Farticle-additionner-de-valeurs-selon-la-couleur-de-remplissage-des-cellules-49156207.html%22%2C%22dm%22%3A%22over-blog.com%22%7D%2C%22v%22%3A%7B%22vis_cnt%22%3A1%2C%22frst_vis_ts%22%3A1528479756%2C%22prev_vis_ts%22%3A1528479756%2C%22curr_vis_ts%22%3A1528479756%2C%22total_page_cnt%22%3A1%2C%22prev_page_cnt%22%3A1%2C%22curr_page_cnt%22%3A1%7D%7D">
          <a:extLst>
            <a:ext uri="{FF2B5EF4-FFF2-40B4-BE49-F238E27FC236}">
              <a16:creationId xmlns:a16="http://schemas.microsoft.com/office/drawing/2014/main" id="{00000000-0008-0000-0100-000009140000}"/>
            </a:ext>
          </a:extLst>
        </xdr:cNvPr>
        <xdr:cNvSpPr>
          <a:spLocks noChangeAspect="1" noChangeArrowheads="1"/>
        </xdr:cNvSpPr>
      </xdr:nvSpPr>
      <xdr:spPr bwMode="auto">
        <a:xfrm>
          <a:off x="11300460" y="12039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220980</xdr:colOff>
      <xdr:row>0</xdr:row>
      <xdr:rowOff>38100</xdr:rowOff>
    </xdr:from>
    <xdr:to>
      <xdr:col>4</xdr:col>
      <xdr:colOff>342900</xdr:colOff>
      <xdr:row>0</xdr:row>
      <xdr:rowOff>297181</xdr:rowOff>
    </xdr:to>
    <xdr:sp macro="[0]!reset" textlink="">
      <xdr:nvSpPr>
        <xdr:cNvPr id="12" name="Masquer 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1333500" y="38100"/>
          <a:ext cx="1264920" cy="259081"/>
        </a:xfrm>
        <a:prstGeom prst="roundRect">
          <a:avLst/>
        </a:prstGeom>
        <a:solidFill>
          <a:srgbClr val="FFFF00"/>
        </a:solidFill>
        <a:ln cap="sq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Reset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752475</xdr:colOff>
          <xdr:row>0</xdr:row>
          <xdr:rowOff>19050</xdr:rowOff>
        </xdr:from>
        <xdr:to>
          <xdr:col>12</xdr:col>
          <xdr:colOff>438150</xdr:colOff>
          <xdr:row>0</xdr:row>
          <xdr:rowOff>304800</xdr:rowOff>
        </xdr:to>
        <xdr:sp macro="" textlink="">
          <xdr:nvSpPr>
            <xdr:cNvPr id="4" name="TextBox1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37</xdr:col>
          <xdr:colOff>323850</xdr:colOff>
          <xdr:row>0</xdr:row>
          <xdr:rowOff>0</xdr:rowOff>
        </xdr:from>
        <xdr:to>
          <xdr:col>48</xdr:col>
          <xdr:colOff>38100</xdr:colOff>
          <xdr:row>10</xdr:row>
          <xdr:rowOff>57150</xdr:rowOff>
        </xdr:to>
        <xdr:sp macro="" textlink="">
          <xdr:nvSpPr>
            <xdr:cNvPr id="3" name="ListBox1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100-0000030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495300</xdr:colOff>
      <xdr:row>0</xdr:row>
      <xdr:rowOff>22860</xdr:rowOff>
    </xdr:from>
    <xdr:to>
      <xdr:col>11</xdr:col>
      <xdr:colOff>1211580</xdr:colOff>
      <xdr:row>0</xdr:row>
      <xdr:rowOff>274320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 txBox="1"/>
      </xdr:nvSpPr>
      <xdr:spPr>
        <a:xfrm>
          <a:off x="7680960" y="22860"/>
          <a:ext cx="2202180" cy="25146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/>
            <a:t>RECHCHERCHE</a:t>
          </a:r>
          <a:r>
            <a:rPr lang="fr-CA" sz="1400" baseline="0"/>
            <a:t> </a:t>
          </a:r>
          <a:r>
            <a:rPr lang="fr-CA" sz="1400"/>
            <a:t>#</a:t>
          </a:r>
          <a:r>
            <a:rPr lang="fr-CA" sz="1400" baseline="0"/>
            <a:t> BILL</a:t>
          </a:r>
          <a:r>
            <a:rPr lang="fr-CA" sz="1400"/>
            <a:t> 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1410931</xdr:colOff>
      <xdr:row>1</xdr:row>
      <xdr:rowOff>52174</xdr:rowOff>
    </xdr:from>
    <xdr:to>
      <xdr:col>4</xdr:col>
      <xdr:colOff>1983288</xdr:colOff>
      <xdr:row>4</xdr:row>
      <xdr:rowOff>16685</xdr:rowOff>
    </xdr:to>
    <xdr:sp macro="[0]!Ajout" textlink="">
      <xdr:nvSpPr>
        <xdr:cNvPr id="2" name="Pla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911945" y="240064"/>
          <a:ext cx="2994055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xdr:twoCellAnchor editAs="oneCell">
    <xdr:from>
      <xdr:col>2</xdr:col>
      <xdr:colOff>1</xdr:colOff>
      <xdr:row>0</xdr:row>
      <xdr:rowOff>0</xdr:rowOff>
    </xdr:from>
    <xdr:to>
      <xdr:col>3</xdr:col>
      <xdr:colOff>1127344</xdr:colOff>
      <xdr:row>4</xdr:row>
      <xdr:rowOff>70919</xdr:rowOff>
    </xdr:to>
    <xdr:pic>
      <xdr:nvPicPr>
        <xdr:cNvPr id="4" name="irc_mi" descr="Résultats de recherche d'images pour « LOGO BOCCAM »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0"/>
          <a:ext cx="3173260" cy="82248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1440493</xdr:colOff>
      <xdr:row>0</xdr:row>
      <xdr:rowOff>0</xdr:rowOff>
    </xdr:from>
    <xdr:to>
      <xdr:col>8</xdr:col>
      <xdr:colOff>1680575</xdr:colOff>
      <xdr:row>5</xdr:row>
      <xdr:rowOff>104384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1482192" y="0"/>
          <a:ext cx="240082" cy="104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1">
              <a:solidFill>
                <a:schemeClr val="bg1"/>
              </a:solidFill>
            </a:rPr>
            <a:t>L</a:t>
          </a:r>
        </a:p>
        <a:p>
          <a:r>
            <a:rPr lang="fr-CA" sz="1100" b="1">
              <a:solidFill>
                <a:schemeClr val="bg1"/>
              </a:solidFill>
            </a:rPr>
            <a:t>i</a:t>
          </a:r>
        </a:p>
        <a:p>
          <a:r>
            <a:rPr lang="fr-CA" sz="1100" b="1">
              <a:solidFill>
                <a:schemeClr val="bg1"/>
              </a:solidFill>
            </a:rPr>
            <a:t>s</a:t>
          </a:r>
        </a:p>
        <a:p>
          <a:r>
            <a:rPr lang="fr-CA" sz="1100" b="1">
              <a:solidFill>
                <a:schemeClr val="bg1"/>
              </a:solidFill>
            </a:rPr>
            <a:t>t</a:t>
          </a:r>
        </a:p>
        <a:p>
          <a:r>
            <a:rPr lang="fr-CA" sz="1100" b="1">
              <a:solidFill>
                <a:schemeClr val="bg1"/>
              </a:solidFill>
            </a:rPr>
            <a:t>e</a:t>
          </a:r>
        </a:p>
      </xdr:txBody>
    </xdr:sp>
    <xdr:clientData/>
  </xdr:twoCellAnchor>
  <xdr:twoCellAnchor>
    <xdr:from>
      <xdr:col>4</xdr:col>
      <xdr:colOff>2037232</xdr:colOff>
      <xdr:row>1</xdr:row>
      <xdr:rowOff>52175</xdr:rowOff>
    </xdr:from>
    <xdr:to>
      <xdr:col>6</xdr:col>
      <xdr:colOff>511478</xdr:colOff>
      <xdr:row>4</xdr:row>
      <xdr:rowOff>16686</xdr:rowOff>
    </xdr:to>
    <xdr:sp macro="[0]!copier" textlink="">
      <xdr:nvSpPr>
        <xdr:cNvPr id="6" name="Pla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9959944" y="240065"/>
          <a:ext cx="2952301" cy="528183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TRANSFERT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genieur" refreshedDate="43265.64550810185" createdVersion="5" refreshedVersion="5" minRefreshableVersion="3" recordCount="31" xr:uid="{00000000-000A-0000-FFFF-FFFF00000000}">
  <cacheSource type="worksheet">
    <worksheetSource ref="A29:M1121" sheet="Suivi de commande"/>
  </cacheSource>
  <cacheFields count="13">
    <cacheField name="# SEMAINE" numFmtId="0">
      <sharedItems containsString="0" containsBlank="1" containsNumber="1" containsInteger="1" minValue="23" maxValue="52" count="31"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m/>
      </sharedItems>
    </cacheField>
    <cacheField name="Semaine" numFmtId="0">
      <sharedItems containsBlank="1"/>
    </cacheField>
    <cacheField name="# Interne" numFmtId="0">
      <sharedItems containsNonDate="0" containsString="0" containsBlank="1"/>
    </cacheField>
    <cacheField name="# Bill" numFmtId="0">
      <sharedItems containsString="0" containsBlank="1" containsNumber="1" containsInteger="1" minValue="1" maxValue="1"/>
    </cacheField>
    <cacheField name="Qté lot" numFmtId="0">
      <sharedItems containsNonDate="0" containsString="0" containsBlank="1"/>
    </cacheField>
    <cacheField name="Qté fait" numFmtId="0">
      <sharedItems containsNonDate="0" containsString="0" containsBlank="1"/>
    </cacheField>
    <cacheField name="Client" numFmtId="0">
      <sharedItems containsNonDate="0" containsString="0" containsBlank="1"/>
    </cacheField>
    <cacheField name="Catégorie porte" numFmtId="0">
      <sharedItems containsNonDate="0" containsString="0" containsBlank="1"/>
    </cacheField>
    <cacheField name="Modèle" numFmtId="0">
      <sharedItems containsString="0" containsBlank="1" containsNumber="1" containsInteger="1" minValue="0" maxValue="0"/>
    </cacheField>
    <cacheField name="Date de livraison" numFmtId="0">
      <sharedItems containsNonDate="0" containsDate="1" containsString="0" containsBlank="1" minDate="2018-06-01T00:00:00" maxDate="2018-12-02T00:00:00"/>
    </cacheField>
    <cacheField name="Battants" numFmtId="0">
      <sharedItems containsNonDate="0" containsString="0" containsBlank="1"/>
    </cacheField>
    <cacheField name="RUSH" numFmtId="0">
      <sharedItems containsNonDate="0" containsString="0" containsBlank="1"/>
    </cacheField>
    <cacheField name="Commentair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">
  <r>
    <x v="0"/>
    <s v="SEMAINE DU 4 AU 8 JUIN"/>
    <m/>
    <n v="1"/>
    <m/>
    <m/>
    <m/>
    <m/>
    <m/>
    <d v="2018-06-01T00:00:00"/>
    <m/>
    <m/>
    <m/>
  </r>
  <r>
    <x v="1"/>
    <s v="SEMAINE DU 11 AU 15 JUIN"/>
    <m/>
    <n v="1"/>
    <m/>
    <m/>
    <m/>
    <m/>
    <m/>
    <d v="2018-06-01T00:00:00"/>
    <m/>
    <m/>
    <m/>
  </r>
  <r>
    <x v="2"/>
    <s v="SEMAINE DU 18 AU 22 JUIN"/>
    <m/>
    <n v="1"/>
    <m/>
    <m/>
    <m/>
    <m/>
    <n v="0"/>
    <d v="2018-06-01T00:00:00"/>
    <m/>
    <m/>
    <m/>
  </r>
  <r>
    <x v="3"/>
    <s v="SEMAINE DU 25 AU 29 JUIN"/>
    <m/>
    <n v="1"/>
    <m/>
    <m/>
    <m/>
    <m/>
    <n v="0"/>
    <d v="2018-06-01T00:00:00"/>
    <m/>
    <m/>
    <m/>
  </r>
  <r>
    <x v="4"/>
    <s v="SEMAINE DU 2 AU 6 JUILLET"/>
    <m/>
    <n v="1"/>
    <m/>
    <m/>
    <m/>
    <m/>
    <n v="0"/>
    <d v="2018-07-01T00:00:00"/>
    <m/>
    <m/>
    <m/>
  </r>
  <r>
    <x v="5"/>
    <s v="SEMAINE DU 9 AU 13 JUILLET"/>
    <m/>
    <n v="1"/>
    <m/>
    <m/>
    <m/>
    <m/>
    <n v="0"/>
    <d v="2018-07-01T00:00:00"/>
    <m/>
    <m/>
    <m/>
  </r>
  <r>
    <x v="6"/>
    <s v="SEMAINE DU 16 AU 20 JUILLET"/>
    <m/>
    <n v="1"/>
    <m/>
    <m/>
    <m/>
    <m/>
    <n v="0"/>
    <d v="2018-07-01T00:00:00"/>
    <m/>
    <m/>
    <m/>
  </r>
  <r>
    <x v="7"/>
    <s v="SEMAINE DU 23 AU 27 JUILLET"/>
    <m/>
    <n v="1"/>
    <m/>
    <m/>
    <m/>
    <m/>
    <n v="0"/>
    <d v="2018-07-01T00:00:00"/>
    <m/>
    <m/>
    <m/>
  </r>
  <r>
    <x v="8"/>
    <s v="SEMAINE DU 30 JUILLET AU 3 AOÛT"/>
    <m/>
    <n v="1"/>
    <m/>
    <m/>
    <m/>
    <m/>
    <n v="0"/>
    <d v="2018-07-01T00:00:00"/>
    <m/>
    <m/>
    <m/>
  </r>
  <r>
    <x v="9"/>
    <s v="SEMAINE DU 6 AU 10 AOÛT"/>
    <m/>
    <n v="1"/>
    <m/>
    <m/>
    <m/>
    <m/>
    <n v="0"/>
    <d v="2018-08-01T00:00:00"/>
    <m/>
    <m/>
    <m/>
  </r>
  <r>
    <x v="10"/>
    <s v="SEMAINE DU 13 AU 17 AOÛT"/>
    <m/>
    <n v="1"/>
    <m/>
    <m/>
    <m/>
    <m/>
    <n v="0"/>
    <d v="2018-08-01T00:00:00"/>
    <m/>
    <m/>
    <m/>
  </r>
  <r>
    <x v="11"/>
    <s v="SEMAINE DU 20 AU 24 AOÛT"/>
    <m/>
    <n v="1"/>
    <m/>
    <m/>
    <m/>
    <m/>
    <n v="0"/>
    <d v="2018-08-01T00:00:00"/>
    <m/>
    <m/>
    <m/>
  </r>
  <r>
    <x v="12"/>
    <s v="SEMAINE DU 27 AU 31 AOÛT"/>
    <m/>
    <n v="1"/>
    <m/>
    <m/>
    <m/>
    <m/>
    <n v="0"/>
    <d v="2018-08-01T00:00:00"/>
    <m/>
    <m/>
    <m/>
  </r>
  <r>
    <x v="13"/>
    <s v="SEMAINE DU 3 AU 7 SEPTEMBRE"/>
    <m/>
    <n v="1"/>
    <m/>
    <m/>
    <m/>
    <m/>
    <n v="0"/>
    <d v="2018-09-01T00:00:00"/>
    <m/>
    <m/>
    <m/>
  </r>
  <r>
    <x v="14"/>
    <s v="SEMAINE DU 10 AU 14 SEPTEMBRE"/>
    <m/>
    <n v="1"/>
    <m/>
    <m/>
    <m/>
    <m/>
    <n v="0"/>
    <d v="2018-09-01T00:00:00"/>
    <m/>
    <m/>
    <m/>
  </r>
  <r>
    <x v="15"/>
    <s v="SEMAINE DU 17 AU 21 SEPTEMBRE"/>
    <m/>
    <n v="1"/>
    <m/>
    <m/>
    <m/>
    <m/>
    <n v="0"/>
    <d v="2018-09-01T00:00:00"/>
    <m/>
    <m/>
    <m/>
  </r>
  <r>
    <x v="16"/>
    <s v="SEMAINE DU 24 AU 28 SEPTEMBRE"/>
    <m/>
    <n v="1"/>
    <m/>
    <m/>
    <m/>
    <m/>
    <n v="0"/>
    <d v="2018-09-01T00:00:00"/>
    <m/>
    <m/>
    <m/>
  </r>
  <r>
    <x v="17"/>
    <s v="SEMAINE DU 1 AU 5 OCTOBRE"/>
    <m/>
    <n v="1"/>
    <m/>
    <m/>
    <m/>
    <m/>
    <n v="0"/>
    <d v="2018-09-01T00:00:00"/>
    <m/>
    <m/>
    <m/>
  </r>
  <r>
    <x v="18"/>
    <s v="SEMAINE DU 8 AU 12 OCTOBRE"/>
    <m/>
    <n v="1"/>
    <m/>
    <m/>
    <m/>
    <m/>
    <n v="0"/>
    <d v="2018-10-01T00:00:00"/>
    <m/>
    <m/>
    <m/>
  </r>
  <r>
    <x v="19"/>
    <s v="SEMAINE DU 15 AU 19 OCTOBRE"/>
    <m/>
    <n v="1"/>
    <m/>
    <m/>
    <m/>
    <m/>
    <n v="0"/>
    <d v="2018-10-01T00:00:00"/>
    <m/>
    <m/>
    <m/>
  </r>
  <r>
    <x v="20"/>
    <s v="SEMAINE DU 22 AU 26 OCTOBRE"/>
    <m/>
    <n v="1"/>
    <m/>
    <m/>
    <m/>
    <m/>
    <n v="0"/>
    <d v="2018-10-01T00:00:00"/>
    <m/>
    <m/>
    <m/>
  </r>
  <r>
    <x v="21"/>
    <s v="SEMAINE DU 29 OCTOBRE AU 2 NOVEMBRE"/>
    <m/>
    <n v="1"/>
    <m/>
    <m/>
    <m/>
    <m/>
    <n v="0"/>
    <d v="2018-10-01T00:00:00"/>
    <m/>
    <m/>
    <m/>
  </r>
  <r>
    <x v="22"/>
    <s v="SEMAINE DU 5 AU 9 NOVEMBRE"/>
    <m/>
    <n v="1"/>
    <m/>
    <m/>
    <m/>
    <m/>
    <n v="0"/>
    <d v="2018-11-01T00:00:00"/>
    <m/>
    <m/>
    <m/>
  </r>
  <r>
    <x v="23"/>
    <s v="SEMAINE DU 12 AU 16 NOVEMBRE"/>
    <m/>
    <n v="1"/>
    <m/>
    <m/>
    <m/>
    <m/>
    <n v="0"/>
    <d v="2018-11-01T00:00:00"/>
    <m/>
    <m/>
    <m/>
  </r>
  <r>
    <x v="24"/>
    <s v="SEMAINE DU 19 AU 23 NOVEMBRE"/>
    <m/>
    <n v="1"/>
    <m/>
    <m/>
    <m/>
    <m/>
    <n v="0"/>
    <d v="2018-11-01T00:00:00"/>
    <m/>
    <m/>
    <m/>
  </r>
  <r>
    <x v="25"/>
    <s v="SEMAINE DU 26 AU 30 NOVEMBRE"/>
    <m/>
    <n v="1"/>
    <m/>
    <m/>
    <m/>
    <m/>
    <n v="0"/>
    <d v="2018-11-01T00:00:00"/>
    <m/>
    <m/>
    <m/>
  </r>
  <r>
    <x v="26"/>
    <s v="SEMAINE DU 3 AU 7 DÉCEMBRE"/>
    <m/>
    <n v="1"/>
    <m/>
    <m/>
    <m/>
    <m/>
    <n v="0"/>
    <d v="2018-12-01T00:00:00"/>
    <m/>
    <m/>
    <m/>
  </r>
  <r>
    <x v="27"/>
    <s v="SEMAINE DU 10 AU 14 DÉCEMBRE"/>
    <m/>
    <n v="1"/>
    <m/>
    <m/>
    <m/>
    <m/>
    <n v="0"/>
    <d v="2018-12-01T00:00:00"/>
    <m/>
    <m/>
    <m/>
  </r>
  <r>
    <x v="28"/>
    <s v="SEMAINE DU 17 AU 21 DÉCEMBRE"/>
    <m/>
    <n v="1"/>
    <m/>
    <m/>
    <m/>
    <m/>
    <n v="0"/>
    <d v="2018-12-01T00:00:00"/>
    <m/>
    <m/>
    <m/>
  </r>
  <r>
    <x v="29"/>
    <s v="SEMAINE DU 24 AU 28 DÉCEMBRE"/>
    <m/>
    <n v="1"/>
    <m/>
    <m/>
    <m/>
    <m/>
    <n v="0"/>
    <d v="2018-12-01T00:00:00"/>
    <m/>
    <m/>
    <m/>
  </r>
  <r>
    <x v="30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6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A33" firstHeaderRow="1" firstDataRow="1" firstDataCol="1"/>
  <pivotFields count="13">
    <pivotField axis="axisRow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showAll="0" sortType="ascending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3"/>
  <dimension ref="A1:U1313"/>
  <sheetViews>
    <sheetView zoomScaleNormal="100" workbookViewId="0">
      <selection activeCell="A2" sqref="A2:I1500"/>
    </sheetView>
  </sheetViews>
  <sheetFormatPr baseColWidth="10" defaultRowHeight="15" x14ac:dyDescent="0.25"/>
  <cols>
    <col min="1" max="1" width="11.5703125" style="7"/>
    <col min="2" max="2" width="10" style="7" customWidth="1"/>
    <col min="3" max="3" width="15.42578125" style="7" customWidth="1"/>
    <col min="4" max="4" width="10" style="7" customWidth="1"/>
    <col min="5" max="5" width="7.28515625" style="7" customWidth="1"/>
    <col min="6" max="6" width="9.85546875" style="7" customWidth="1"/>
    <col min="7" max="7" width="8.85546875" style="7" customWidth="1"/>
    <col min="8" max="8" width="12.42578125" style="7" customWidth="1"/>
    <col min="9" max="9" width="10.85546875" style="7" customWidth="1"/>
    <col min="10" max="10" width="12.7109375" style="7" bestFit="1" customWidth="1"/>
    <col min="11" max="11" width="16.85546875" style="7" bestFit="1" customWidth="1"/>
    <col min="12" max="12" width="13.7109375" style="7" bestFit="1" customWidth="1"/>
    <col min="13" max="13" width="18.7109375" style="7" bestFit="1" customWidth="1"/>
    <col min="14" max="16" width="11.5703125" style="7"/>
    <col min="17" max="17" width="11.28515625" style="7" customWidth="1"/>
    <col min="18" max="257" width="11.5703125" style="7"/>
    <col min="258" max="258" width="10" style="7" customWidth="1"/>
    <col min="259" max="259" width="15.42578125" style="7" customWidth="1"/>
    <col min="260" max="260" width="10" style="7" customWidth="1"/>
    <col min="261" max="261" width="7.28515625" style="7" customWidth="1"/>
    <col min="262" max="262" width="9.85546875" style="7" customWidth="1"/>
    <col min="263" max="263" width="8.85546875" style="7" customWidth="1"/>
    <col min="264" max="264" width="12.42578125" style="7" customWidth="1"/>
    <col min="265" max="265" width="10.85546875" style="7" customWidth="1"/>
    <col min="266" max="266" width="12.7109375" style="7" bestFit="1" customWidth="1"/>
    <col min="267" max="267" width="16.85546875" style="7" bestFit="1" customWidth="1"/>
    <col min="268" max="268" width="13.7109375" style="7" bestFit="1" customWidth="1"/>
    <col min="269" max="269" width="18.7109375" style="7" bestFit="1" customWidth="1"/>
    <col min="270" max="272" width="11.5703125" style="7"/>
    <col min="273" max="273" width="11.28515625" style="7" customWidth="1"/>
    <col min="274" max="513" width="11.5703125" style="7"/>
    <col min="514" max="514" width="10" style="7" customWidth="1"/>
    <col min="515" max="515" width="15.42578125" style="7" customWidth="1"/>
    <col min="516" max="516" width="10" style="7" customWidth="1"/>
    <col min="517" max="517" width="7.28515625" style="7" customWidth="1"/>
    <col min="518" max="518" width="9.85546875" style="7" customWidth="1"/>
    <col min="519" max="519" width="8.85546875" style="7" customWidth="1"/>
    <col min="520" max="520" width="12.42578125" style="7" customWidth="1"/>
    <col min="521" max="521" width="10.85546875" style="7" customWidth="1"/>
    <col min="522" max="522" width="12.7109375" style="7" bestFit="1" customWidth="1"/>
    <col min="523" max="523" width="16.85546875" style="7" bestFit="1" customWidth="1"/>
    <col min="524" max="524" width="13.7109375" style="7" bestFit="1" customWidth="1"/>
    <col min="525" max="525" width="18.7109375" style="7" bestFit="1" customWidth="1"/>
    <col min="526" max="528" width="11.5703125" style="7"/>
    <col min="529" max="529" width="11.28515625" style="7" customWidth="1"/>
    <col min="530" max="769" width="11.5703125" style="7"/>
    <col min="770" max="770" width="10" style="7" customWidth="1"/>
    <col min="771" max="771" width="15.42578125" style="7" customWidth="1"/>
    <col min="772" max="772" width="10" style="7" customWidth="1"/>
    <col min="773" max="773" width="7.28515625" style="7" customWidth="1"/>
    <col min="774" max="774" width="9.85546875" style="7" customWidth="1"/>
    <col min="775" max="775" width="8.85546875" style="7" customWidth="1"/>
    <col min="776" max="776" width="12.42578125" style="7" customWidth="1"/>
    <col min="777" max="777" width="10.85546875" style="7" customWidth="1"/>
    <col min="778" max="778" width="12.7109375" style="7" bestFit="1" customWidth="1"/>
    <col min="779" max="779" width="16.85546875" style="7" bestFit="1" customWidth="1"/>
    <col min="780" max="780" width="13.7109375" style="7" bestFit="1" customWidth="1"/>
    <col min="781" max="781" width="18.7109375" style="7" bestFit="1" customWidth="1"/>
    <col min="782" max="784" width="11.5703125" style="7"/>
    <col min="785" max="785" width="11.28515625" style="7" customWidth="1"/>
    <col min="786" max="1025" width="11.5703125" style="7"/>
    <col min="1026" max="1026" width="10" style="7" customWidth="1"/>
    <col min="1027" max="1027" width="15.42578125" style="7" customWidth="1"/>
    <col min="1028" max="1028" width="10" style="7" customWidth="1"/>
    <col min="1029" max="1029" width="7.28515625" style="7" customWidth="1"/>
    <col min="1030" max="1030" width="9.85546875" style="7" customWidth="1"/>
    <col min="1031" max="1031" width="8.85546875" style="7" customWidth="1"/>
    <col min="1032" max="1032" width="12.42578125" style="7" customWidth="1"/>
    <col min="1033" max="1033" width="10.85546875" style="7" customWidth="1"/>
    <col min="1034" max="1034" width="12.7109375" style="7" bestFit="1" customWidth="1"/>
    <col min="1035" max="1035" width="16.85546875" style="7" bestFit="1" customWidth="1"/>
    <col min="1036" max="1036" width="13.7109375" style="7" bestFit="1" customWidth="1"/>
    <col min="1037" max="1037" width="18.7109375" style="7" bestFit="1" customWidth="1"/>
    <col min="1038" max="1040" width="11.5703125" style="7"/>
    <col min="1041" max="1041" width="11.28515625" style="7" customWidth="1"/>
    <col min="1042" max="1281" width="11.5703125" style="7"/>
    <col min="1282" max="1282" width="10" style="7" customWidth="1"/>
    <col min="1283" max="1283" width="15.42578125" style="7" customWidth="1"/>
    <col min="1284" max="1284" width="10" style="7" customWidth="1"/>
    <col min="1285" max="1285" width="7.28515625" style="7" customWidth="1"/>
    <col min="1286" max="1286" width="9.85546875" style="7" customWidth="1"/>
    <col min="1287" max="1287" width="8.85546875" style="7" customWidth="1"/>
    <col min="1288" max="1288" width="12.42578125" style="7" customWidth="1"/>
    <col min="1289" max="1289" width="10.85546875" style="7" customWidth="1"/>
    <col min="1290" max="1290" width="12.7109375" style="7" bestFit="1" customWidth="1"/>
    <col min="1291" max="1291" width="16.85546875" style="7" bestFit="1" customWidth="1"/>
    <col min="1292" max="1292" width="13.7109375" style="7" bestFit="1" customWidth="1"/>
    <col min="1293" max="1293" width="18.7109375" style="7" bestFit="1" customWidth="1"/>
    <col min="1294" max="1296" width="11.5703125" style="7"/>
    <col min="1297" max="1297" width="11.28515625" style="7" customWidth="1"/>
    <col min="1298" max="1537" width="11.5703125" style="7"/>
    <col min="1538" max="1538" width="10" style="7" customWidth="1"/>
    <col min="1539" max="1539" width="15.42578125" style="7" customWidth="1"/>
    <col min="1540" max="1540" width="10" style="7" customWidth="1"/>
    <col min="1541" max="1541" width="7.28515625" style="7" customWidth="1"/>
    <col min="1542" max="1542" width="9.85546875" style="7" customWidth="1"/>
    <col min="1543" max="1543" width="8.85546875" style="7" customWidth="1"/>
    <col min="1544" max="1544" width="12.42578125" style="7" customWidth="1"/>
    <col min="1545" max="1545" width="10.85546875" style="7" customWidth="1"/>
    <col min="1546" max="1546" width="12.7109375" style="7" bestFit="1" customWidth="1"/>
    <col min="1547" max="1547" width="16.85546875" style="7" bestFit="1" customWidth="1"/>
    <col min="1548" max="1548" width="13.7109375" style="7" bestFit="1" customWidth="1"/>
    <col min="1549" max="1549" width="18.7109375" style="7" bestFit="1" customWidth="1"/>
    <col min="1550" max="1552" width="11.5703125" style="7"/>
    <col min="1553" max="1553" width="11.28515625" style="7" customWidth="1"/>
    <col min="1554" max="1793" width="11.5703125" style="7"/>
    <col min="1794" max="1794" width="10" style="7" customWidth="1"/>
    <col min="1795" max="1795" width="15.42578125" style="7" customWidth="1"/>
    <col min="1796" max="1796" width="10" style="7" customWidth="1"/>
    <col min="1797" max="1797" width="7.28515625" style="7" customWidth="1"/>
    <col min="1798" max="1798" width="9.85546875" style="7" customWidth="1"/>
    <col min="1799" max="1799" width="8.85546875" style="7" customWidth="1"/>
    <col min="1800" max="1800" width="12.42578125" style="7" customWidth="1"/>
    <col min="1801" max="1801" width="10.85546875" style="7" customWidth="1"/>
    <col min="1802" max="1802" width="12.7109375" style="7" bestFit="1" customWidth="1"/>
    <col min="1803" max="1803" width="16.85546875" style="7" bestFit="1" customWidth="1"/>
    <col min="1804" max="1804" width="13.7109375" style="7" bestFit="1" customWidth="1"/>
    <col min="1805" max="1805" width="18.7109375" style="7" bestFit="1" customWidth="1"/>
    <col min="1806" max="1808" width="11.5703125" style="7"/>
    <col min="1809" max="1809" width="11.28515625" style="7" customWidth="1"/>
    <col min="1810" max="2049" width="11.5703125" style="7"/>
    <col min="2050" max="2050" width="10" style="7" customWidth="1"/>
    <col min="2051" max="2051" width="15.42578125" style="7" customWidth="1"/>
    <col min="2052" max="2052" width="10" style="7" customWidth="1"/>
    <col min="2053" max="2053" width="7.28515625" style="7" customWidth="1"/>
    <col min="2054" max="2054" width="9.85546875" style="7" customWidth="1"/>
    <col min="2055" max="2055" width="8.85546875" style="7" customWidth="1"/>
    <col min="2056" max="2056" width="12.42578125" style="7" customWidth="1"/>
    <col min="2057" max="2057" width="10.85546875" style="7" customWidth="1"/>
    <col min="2058" max="2058" width="12.7109375" style="7" bestFit="1" customWidth="1"/>
    <col min="2059" max="2059" width="16.85546875" style="7" bestFit="1" customWidth="1"/>
    <col min="2060" max="2060" width="13.7109375" style="7" bestFit="1" customWidth="1"/>
    <col min="2061" max="2061" width="18.7109375" style="7" bestFit="1" customWidth="1"/>
    <col min="2062" max="2064" width="11.5703125" style="7"/>
    <col min="2065" max="2065" width="11.28515625" style="7" customWidth="1"/>
    <col min="2066" max="2305" width="11.5703125" style="7"/>
    <col min="2306" max="2306" width="10" style="7" customWidth="1"/>
    <col min="2307" max="2307" width="15.42578125" style="7" customWidth="1"/>
    <col min="2308" max="2308" width="10" style="7" customWidth="1"/>
    <col min="2309" max="2309" width="7.28515625" style="7" customWidth="1"/>
    <col min="2310" max="2310" width="9.85546875" style="7" customWidth="1"/>
    <col min="2311" max="2311" width="8.85546875" style="7" customWidth="1"/>
    <col min="2312" max="2312" width="12.42578125" style="7" customWidth="1"/>
    <col min="2313" max="2313" width="10.85546875" style="7" customWidth="1"/>
    <col min="2314" max="2314" width="12.7109375" style="7" bestFit="1" customWidth="1"/>
    <col min="2315" max="2315" width="16.85546875" style="7" bestFit="1" customWidth="1"/>
    <col min="2316" max="2316" width="13.7109375" style="7" bestFit="1" customWidth="1"/>
    <col min="2317" max="2317" width="18.7109375" style="7" bestFit="1" customWidth="1"/>
    <col min="2318" max="2320" width="11.5703125" style="7"/>
    <col min="2321" max="2321" width="11.28515625" style="7" customWidth="1"/>
    <col min="2322" max="2561" width="11.5703125" style="7"/>
    <col min="2562" max="2562" width="10" style="7" customWidth="1"/>
    <col min="2563" max="2563" width="15.42578125" style="7" customWidth="1"/>
    <col min="2564" max="2564" width="10" style="7" customWidth="1"/>
    <col min="2565" max="2565" width="7.28515625" style="7" customWidth="1"/>
    <col min="2566" max="2566" width="9.85546875" style="7" customWidth="1"/>
    <col min="2567" max="2567" width="8.85546875" style="7" customWidth="1"/>
    <col min="2568" max="2568" width="12.42578125" style="7" customWidth="1"/>
    <col min="2569" max="2569" width="10.85546875" style="7" customWidth="1"/>
    <col min="2570" max="2570" width="12.7109375" style="7" bestFit="1" customWidth="1"/>
    <col min="2571" max="2571" width="16.85546875" style="7" bestFit="1" customWidth="1"/>
    <col min="2572" max="2572" width="13.7109375" style="7" bestFit="1" customWidth="1"/>
    <col min="2573" max="2573" width="18.7109375" style="7" bestFit="1" customWidth="1"/>
    <col min="2574" max="2576" width="11.5703125" style="7"/>
    <col min="2577" max="2577" width="11.28515625" style="7" customWidth="1"/>
    <col min="2578" max="2817" width="11.5703125" style="7"/>
    <col min="2818" max="2818" width="10" style="7" customWidth="1"/>
    <col min="2819" max="2819" width="15.42578125" style="7" customWidth="1"/>
    <col min="2820" max="2820" width="10" style="7" customWidth="1"/>
    <col min="2821" max="2821" width="7.28515625" style="7" customWidth="1"/>
    <col min="2822" max="2822" width="9.85546875" style="7" customWidth="1"/>
    <col min="2823" max="2823" width="8.85546875" style="7" customWidth="1"/>
    <col min="2824" max="2824" width="12.42578125" style="7" customWidth="1"/>
    <col min="2825" max="2825" width="10.85546875" style="7" customWidth="1"/>
    <col min="2826" max="2826" width="12.7109375" style="7" bestFit="1" customWidth="1"/>
    <col min="2827" max="2827" width="16.85546875" style="7" bestFit="1" customWidth="1"/>
    <col min="2828" max="2828" width="13.7109375" style="7" bestFit="1" customWidth="1"/>
    <col min="2829" max="2829" width="18.7109375" style="7" bestFit="1" customWidth="1"/>
    <col min="2830" max="2832" width="11.5703125" style="7"/>
    <col min="2833" max="2833" width="11.28515625" style="7" customWidth="1"/>
    <col min="2834" max="3073" width="11.5703125" style="7"/>
    <col min="3074" max="3074" width="10" style="7" customWidth="1"/>
    <col min="3075" max="3075" width="15.42578125" style="7" customWidth="1"/>
    <col min="3076" max="3076" width="10" style="7" customWidth="1"/>
    <col min="3077" max="3077" width="7.28515625" style="7" customWidth="1"/>
    <col min="3078" max="3078" width="9.85546875" style="7" customWidth="1"/>
    <col min="3079" max="3079" width="8.85546875" style="7" customWidth="1"/>
    <col min="3080" max="3080" width="12.42578125" style="7" customWidth="1"/>
    <col min="3081" max="3081" width="10.85546875" style="7" customWidth="1"/>
    <col min="3082" max="3082" width="12.7109375" style="7" bestFit="1" customWidth="1"/>
    <col min="3083" max="3083" width="16.85546875" style="7" bestFit="1" customWidth="1"/>
    <col min="3084" max="3084" width="13.7109375" style="7" bestFit="1" customWidth="1"/>
    <col min="3085" max="3085" width="18.7109375" style="7" bestFit="1" customWidth="1"/>
    <col min="3086" max="3088" width="11.5703125" style="7"/>
    <col min="3089" max="3089" width="11.28515625" style="7" customWidth="1"/>
    <col min="3090" max="3329" width="11.5703125" style="7"/>
    <col min="3330" max="3330" width="10" style="7" customWidth="1"/>
    <col min="3331" max="3331" width="15.42578125" style="7" customWidth="1"/>
    <col min="3332" max="3332" width="10" style="7" customWidth="1"/>
    <col min="3333" max="3333" width="7.28515625" style="7" customWidth="1"/>
    <col min="3334" max="3334" width="9.85546875" style="7" customWidth="1"/>
    <col min="3335" max="3335" width="8.85546875" style="7" customWidth="1"/>
    <col min="3336" max="3336" width="12.42578125" style="7" customWidth="1"/>
    <col min="3337" max="3337" width="10.85546875" style="7" customWidth="1"/>
    <col min="3338" max="3338" width="12.7109375" style="7" bestFit="1" customWidth="1"/>
    <col min="3339" max="3339" width="16.85546875" style="7" bestFit="1" customWidth="1"/>
    <col min="3340" max="3340" width="13.7109375" style="7" bestFit="1" customWidth="1"/>
    <col min="3341" max="3341" width="18.7109375" style="7" bestFit="1" customWidth="1"/>
    <col min="3342" max="3344" width="11.5703125" style="7"/>
    <col min="3345" max="3345" width="11.28515625" style="7" customWidth="1"/>
    <col min="3346" max="3585" width="11.5703125" style="7"/>
    <col min="3586" max="3586" width="10" style="7" customWidth="1"/>
    <col min="3587" max="3587" width="15.42578125" style="7" customWidth="1"/>
    <col min="3588" max="3588" width="10" style="7" customWidth="1"/>
    <col min="3589" max="3589" width="7.28515625" style="7" customWidth="1"/>
    <col min="3590" max="3590" width="9.85546875" style="7" customWidth="1"/>
    <col min="3591" max="3591" width="8.85546875" style="7" customWidth="1"/>
    <col min="3592" max="3592" width="12.42578125" style="7" customWidth="1"/>
    <col min="3593" max="3593" width="10.85546875" style="7" customWidth="1"/>
    <col min="3594" max="3594" width="12.7109375" style="7" bestFit="1" customWidth="1"/>
    <col min="3595" max="3595" width="16.85546875" style="7" bestFit="1" customWidth="1"/>
    <col min="3596" max="3596" width="13.7109375" style="7" bestFit="1" customWidth="1"/>
    <col min="3597" max="3597" width="18.7109375" style="7" bestFit="1" customWidth="1"/>
    <col min="3598" max="3600" width="11.5703125" style="7"/>
    <col min="3601" max="3601" width="11.28515625" style="7" customWidth="1"/>
    <col min="3602" max="3841" width="11.5703125" style="7"/>
    <col min="3842" max="3842" width="10" style="7" customWidth="1"/>
    <col min="3843" max="3843" width="15.42578125" style="7" customWidth="1"/>
    <col min="3844" max="3844" width="10" style="7" customWidth="1"/>
    <col min="3845" max="3845" width="7.28515625" style="7" customWidth="1"/>
    <col min="3846" max="3846" width="9.85546875" style="7" customWidth="1"/>
    <col min="3847" max="3847" width="8.85546875" style="7" customWidth="1"/>
    <col min="3848" max="3848" width="12.42578125" style="7" customWidth="1"/>
    <col min="3849" max="3849" width="10.85546875" style="7" customWidth="1"/>
    <col min="3850" max="3850" width="12.7109375" style="7" bestFit="1" customWidth="1"/>
    <col min="3851" max="3851" width="16.85546875" style="7" bestFit="1" customWidth="1"/>
    <col min="3852" max="3852" width="13.7109375" style="7" bestFit="1" customWidth="1"/>
    <col min="3853" max="3853" width="18.7109375" style="7" bestFit="1" customWidth="1"/>
    <col min="3854" max="3856" width="11.5703125" style="7"/>
    <col min="3857" max="3857" width="11.28515625" style="7" customWidth="1"/>
    <col min="3858" max="4097" width="11.5703125" style="7"/>
    <col min="4098" max="4098" width="10" style="7" customWidth="1"/>
    <col min="4099" max="4099" width="15.42578125" style="7" customWidth="1"/>
    <col min="4100" max="4100" width="10" style="7" customWidth="1"/>
    <col min="4101" max="4101" width="7.28515625" style="7" customWidth="1"/>
    <col min="4102" max="4102" width="9.85546875" style="7" customWidth="1"/>
    <col min="4103" max="4103" width="8.85546875" style="7" customWidth="1"/>
    <col min="4104" max="4104" width="12.42578125" style="7" customWidth="1"/>
    <col min="4105" max="4105" width="10.85546875" style="7" customWidth="1"/>
    <col min="4106" max="4106" width="12.7109375" style="7" bestFit="1" customWidth="1"/>
    <col min="4107" max="4107" width="16.85546875" style="7" bestFit="1" customWidth="1"/>
    <col min="4108" max="4108" width="13.7109375" style="7" bestFit="1" customWidth="1"/>
    <col min="4109" max="4109" width="18.7109375" style="7" bestFit="1" customWidth="1"/>
    <col min="4110" max="4112" width="11.5703125" style="7"/>
    <col min="4113" max="4113" width="11.28515625" style="7" customWidth="1"/>
    <col min="4114" max="4353" width="11.5703125" style="7"/>
    <col min="4354" max="4354" width="10" style="7" customWidth="1"/>
    <col min="4355" max="4355" width="15.42578125" style="7" customWidth="1"/>
    <col min="4356" max="4356" width="10" style="7" customWidth="1"/>
    <col min="4357" max="4357" width="7.28515625" style="7" customWidth="1"/>
    <col min="4358" max="4358" width="9.85546875" style="7" customWidth="1"/>
    <col min="4359" max="4359" width="8.85546875" style="7" customWidth="1"/>
    <col min="4360" max="4360" width="12.42578125" style="7" customWidth="1"/>
    <col min="4361" max="4361" width="10.85546875" style="7" customWidth="1"/>
    <col min="4362" max="4362" width="12.7109375" style="7" bestFit="1" customWidth="1"/>
    <col min="4363" max="4363" width="16.85546875" style="7" bestFit="1" customWidth="1"/>
    <col min="4364" max="4364" width="13.7109375" style="7" bestFit="1" customWidth="1"/>
    <col min="4365" max="4365" width="18.7109375" style="7" bestFit="1" customWidth="1"/>
    <col min="4366" max="4368" width="11.5703125" style="7"/>
    <col min="4369" max="4369" width="11.28515625" style="7" customWidth="1"/>
    <col min="4370" max="4609" width="11.5703125" style="7"/>
    <col min="4610" max="4610" width="10" style="7" customWidth="1"/>
    <col min="4611" max="4611" width="15.42578125" style="7" customWidth="1"/>
    <col min="4612" max="4612" width="10" style="7" customWidth="1"/>
    <col min="4613" max="4613" width="7.28515625" style="7" customWidth="1"/>
    <col min="4614" max="4614" width="9.85546875" style="7" customWidth="1"/>
    <col min="4615" max="4615" width="8.85546875" style="7" customWidth="1"/>
    <col min="4616" max="4616" width="12.42578125" style="7" customWidth="1"/>
    <col min="4617" max="4617" width="10.85546875" style="7" customWidth="1"/>
    <col min="4618" max="4618" width="12.7109375" style="7" bestFit="1" customWidth="1"/>
    <col min="4619" max="4619" width="16.85546875" style="7" bestFit="1" customWidth="1"/>
    <col min="4620" max="4620" width="13.7109375" style="7" bestFit="1" customWidth="1"/>
    <col min="4621" max="4621" width="18.7109375" style="7" bestFit="1" customWidth="1"/>
    <col min="4622" max="4624" width="11.5703125" style="7"/>
    <col min="4625" max="4625" width="11.28515625" style="7" customWidth="1"/>
    <col min="4626" max="4865" width="11.5703125" style="7"/>
    <col min="4866" max="4866" width="10" style="7" customWidth="1"/>
    <col min="4867" max="4867" width="15.42578125" style="7" customWidth="1"/>
    <col min="4868" max="4868" width="10" style="7" customWidth="1"/>
    <col min="4869" max="4869" width="7.28515625" style="7" customWidth="1"/>
    <col min="4870" max="4870" width="9.85546875" style="7" customWidth="1"/>
    <col min="4871" max="4871" width="8.85546875" style="7" customWidth="1"/>
    <col min="4872" max="4872" width="12.42578125" style="7" customWidth="1"/>
    <col min="4873" max="4873" width="10.85546875" style="7" customWidth="1"/>
    <col min="4874" max="4874" width="12.7109375" style="7" bestFit="1" customWidth="1"/>
    <col min="4875" max="4875" width="16.85546875" style="7" bestFit="1" customWidth="1"/>
    <col min="4876" max="4876" width="13.7109375" style="7" bestFit="1" customWidth="1"/>
    <col min="4877" max="4877" width="18.7109375" style="7" bestFit="1" customWidth="1"/>
    <col min="4878" max="4880" width="11.5703125" style="7"/>
    <col min="4881" max="4881" width="11.28515625" style="7" customWidth="1"/>
    <col min="4882" max="5121" width="11.5703125" style="7"/>
    <col min="5122" max="5122" width="10" style="7" customWidth="1"/>
    <col min="5123" max="5123" width="15.42578125" style="7" customWidth="1"/>
    <col min="5124" max="5124" width="10" style="7" customWidth="1"/>
    <col min="5125" max="5125" width="7.28515625" style="7" customWidth="1"/>
    <col min="5126" max="5126" width="9.85546875" style="7" customWidth="1"/>
    <col min="5127" max="5127" width="8.85546875" style="7" customWidth="1"/>
    <col min="5128" max="5128" width="12.42578125" style="7" customWidth="1"/>
    <col min="5129" max="5129" width="10.85546875" style="7" customWidth="1"/>
    <col min="5130" max="5130" width="12.7109375" style="7" bestFit="1" customWidth="1"/>
    <col min="5131" max="5131" width="16.85546875" style="7" bestFit="1" customWidth="1"/>
    <col min="5132" max="5132" width="13.7109375" style="7" bestFit="1" customWidth="1"/>
    <col min="5133" max="5133" width="18.7109375" style="7" bestFit="1" customWidth="1"/>
    <col min="5134" max="5136" width="11.5703125" style="7"/>
    <col min="5137" max="5137" width="11.28515625" style="7" customWidth="1"/>
    <col min="5138" max="5377" width="11.5703125" style="7"/>
    <col min="5378" max="5378" width="10" style="7" customWidth="1"/>
    <col min="5379" max="5379" width="15.42578125" style="7" customWidth="1"/>
    <col min="5380" max="5380" width="10" style="7" customWidth="1"/>
    <col min="5381" max="5381" width="7.28515625" style="7" customWidth="1"/>
    <col min="5382" max="5382" width="9.85546875" style="7" customWidth="1"/>
    <col min="5383" max="5383" width="8.85546875" style="7" customWidth="1"/>
    <col min="5384" max="5384" width="12.42578125" style="7" customWidth="1"/>
    <col min="5385" max="5385" width="10.85546875" style="7" customWidth="1"/>
    <col min="5386" max="5386" width="12.7109375" style="7" bestFit="1" customWidth="1"/>
    <col min="5387" max="5387" width="16.85546875" style="7" bestFit="1" customWidth="1"/>
    <col min="5388" max="5388" width="13.7109375" style="7" bestFit="1" customWidth="1"/>
    <col min="5389" max="5389" width="18.7109375" style="7" bestFit="1" customWidth="1"/>
    <col min="5390" max="5392" width="11.5703125" style="7"/>
    <col min="5393" max="5393" width="11.28515625" style="7" customWidth="1"/>
    <col min="5394" max="5633" width="11.5703125" style="7"/>
    <col min="5634" max="5634" width="10" style="7" customWidth="1"/>
    <col min="5635" max="5635" width="15.42578125" style="7" customWidth="1"/>
    <col min="5636" max="5636" width="10" style="7" customWidth="1"/>
    <col min="5637" max="5637" width="7.28515625" style="7" customWidth="1"/>
    <col min="5638" max="5638" width="9.85546875" style="7" customWidth="1"/>
    <col min="5639" max="5639" width="8.85546875" style="7" customWidth="1"/>
    <col min="5640" max="5640" width="12.42578125" style="7" customWidth="1"/>
    <col min="5641" max="5641" width="10.85546875" style="7" customWidth="1"/>
    <col min="5642" max="5642" width="12.7109375" style="7" bestFit="1" customWidth="1"/>
    <col min="5643" max="5643" width="16.85546875" style="7" bestFit="1" customWidth="1"/>
    <col min="5644" max="5644" width="13.7109375" style="7" bestFit="1" customWidth="1"/>
    <col min="5645" max="5645" width="18.7109375" style="7" bestFit="1" customWidth="1"/>
    <col min="5646" max="5648" width="11.5703125" style="7"/>
    <col min="5649" max="5649" width="11.28515625" style="7" customWidth="1"/>
    <col min="5650" max="5889" width="11.5703125" style="7"/>
    <col min="5890" max="5890" width="10" style="7" customWidth="1"/>
    <col min="5891" max="5891" width="15.42578125" style="7" customWidth="1"/>
    <col min="5892" max="5892" width="10" style="7" customWidth="1"/>
    <col min="5893" max="5893" width="7.28515625" style="7" customWidth="1"/>
    <col min="5894" max="5894" width="9.85546875" style="7" customWidth="1"/>
    <col min="5895" max="5895" width="8.85546875" style="7" customWidth="1"/>
    <col min="5896" max="5896" width="12.42578125" style="7" customWidth="1"/>
    <col min="5897" max="5897" width="10.85546875" style="7" customWidth="1"/>
    <col min="5898" max="5898" width="12.7109375" style="7" bestFit="1" customWidth="1"/>
    <col min="5899" max="5899" width="16.85546875" style="7" bestFit="1" customWidth="1"/>
    <col min="5900" max="5900" width="13.7109375" style="7" bestFit="1" customWidth="1"/>
    <col min="5901" max="5901" width="18.7109375" style="7" bestFit="1" customWidth="1"/>
    <col min="5902" max="5904" width="11.5703125" style="7"/>
    <col min="5905" max="5905" width="11.28515625" style="7" customWidth="1"/>
    <col min="5906" max="6145" width="11.5703125" style="7"/>
    <col min="6146" max="6146" width="10" style="7" customWidth="1"/>
    <col min="6147" max="6147" width="15.42578125" style="7" customWidth="1"/>
    <col min="6148" max="6148" width="10" style="7" customWidth="1"/>
    <col min="6149" max="6149" width="7.28515625" style="7" customWidth="1"/>
    <col min="6150" max="6150" width="9.85546875" style="7" customWidth="1"/>
    <col min="6151" max="6151" width="8.85546875" style="7" customWidth="1"/>
    <col min="6152" max="6152" width="12.42578125" style="7" customWidth="1"/>
    <col min="6153" max="6153" width="10.85546875" style="7" customWidth="1"/>
    <col min="6154" max="6154" width="12.7109375" style="7" bestFit="1" customWidth="1"/>
    <col min="6155" max="6155" width="16.85546875" style="7" bestFit="1" customWidth="1"/>
    <col min="6156" max="6156" width="13.7109375" style="7" bestFit="1" customWidth="1"/>
    <col min="6157" max="6157" width="18.7109375" style="7" bestFit="1" customWidth="1"/>
    <col min="6158" max="6160" width="11.5703125" style="7"/>
    <col min="6161" max="6161" width="11.28515625" style="7" customWidth="1"/>
    <col min="6162" max="6401" width="11.5703125" style="7"/>
    <col min="6402" max="6402" width="10" style="7" customWidth="1"/>
    <col min="6403" max="6403" width="15.42578125" style="7" customWidth="1"/>
    <col min="6404" max="6404" width="10" style="7" customWidth="1"/>
    <col min="6405" max="6405" width="7.28515625" style="7" customWidth="1"/>
    <col min="6406" max="6406" width="9.85546875" style="7" customWidth="1"/>
    <col min="6407" max="6407" width="8.85546875" style="7" customWidth="1"/>
    <col min="6408" max="6408" width="12.42578125" style="7" customWidth="1"/>
    <col min="6409" max="6409" width="10.85546875" style="7" customWidth="1"/>
    <col min="6410" max="6410" width="12.7109375" style="7" bestFit="1" customWidth="1"/>
    <col min="6411" max="6411" width="16.85546875" style="7" bestFit="1" customWidth="1"/>
    <col min="6412" max="6412" width="13.7109375" style="7" bestFit="1" customWidth="1"/>
    <col min="6413" max="6413" width="18.7109375" style="7" bestFit="1" customWidth="1"/>
    <col min="6414" max="6416" width="11.5703125" style="7"/>
    <col min="6417" max="6417" width="11.28515625" style="7" customWidth="1"/>
    <col min="6418" max="6657" width="11.5703125" style="7"/>
    <col min="6658" max="6658" width="10" style="7" customWidth="1"/>
    <col min="6659" max="6659" width="15.42578125" style="7" customWidth="1"/>
    <col min="6660" max="6660" width="10" style="7" customWidth="1"/>
    <col min="6661" max="6661" width="7.28515625" style="7" customWidth="1"/>
    <col min="6662" max="6662" width="9.85546875" style="7" customWidth="1"/>
    <col min="6663" max="6663" width="8.85546875" style="7" customWidth="1"/>
    <col min="6664" max="6664" width="12.42578125" style="7" customWidth="1"/>
    <col min="6665" max="6665" width="10.85546875" style="7" customWidth="1"/>
    <col min="6666" max="6666" width="12.7109375" style="7" bestFit="1" customWidth="1"/>
    <col min="6667" max="6667" width="16.85546875" style="7" bestFit="1" customWidth="1"/>
    <col min="6668" max="6668" width="13.7109375" style="7" bestFit="1" customWidth="1"/>
    <col min="6669" max="6669" width="18.7109375" style="7" bestFit="1" customWidth="1"/>
    <col min="6670" max="6672" width="11.5703125" style="7"/>
    <col min="6673" max="6673" width="11.28515625" style="7" customWidth="1"/>
    <col min="6674" max="6913" width="11.5703125" style="7"/>
    <col min="6914" max="6914" width="10" style="7" customWidth="1"/>
    <col min="6915" max="6915" width="15.42578125" style="7" customWidth="1"/>
    <col min="6916" max="6916" width="10" style="7" customWidth="1"/>
    <col min="6917" max="6917" width="7.28515625" style="7" customWidth="1"/>
    <col min="6918" max="6918" width="9.85546875" style="7" customWidth="1"/>
    <col min="6919" max="6919" width="8.85546875" style="7" customWidth="1"/>
    <col min="6920" max="6920" width="12.42578125" style="7" customWidth="1"/>
    <col min="6921" max="6921" width="10.85546875" style="7" customWidth="1"/>
    <col min="6922" max="6922" width="12.7109375" style="7" bestFit="1" customWidth="1"/>
    <col min="6923" max="6923" width="16.85546875" style="7" bestFit="1" customWidth="1"/>
    <col min="6924" max="6924" width="13.7109375" style="7" bestFit="1" customWidth="1"/>
    <col min="6925" max="6925" width="18.7109375" style="7" bestFit="1" customWidth="1"/>
    <col min="6926" max="6928" width="11.5703125" style="7"/>
    <col min="6929" max="6929" width="11.28515625" style="7" customWidth="1"/>
    <col min="6930" max="7169" width="11.5703125" style="7"/>
    <col min="7170" max="7170" width="10" style="7" customWidth="1"/>
    <col min="7171" max="7171" width="15.42578125" style="7" customWidth="1"/>
    <col min="7172" max="7172" width="10" style="7" customWidth="1"/>
    <col min="7173" max="7173" width="7.28515625" style="7" customWidth="1"/>
    <col min="7174" max="7174" width="9.85546875" style="7" customWidth="1"/>
    <col min="7175" max="7175" width="8.85546875" style="7" customWidth="1"/>
    <col min="7176" max="7176" width="12.42578125" style="7" customWidth="1"/>
    <col min="7177" max="7177" width="10.85546875" style="7" customWidth="1"/>
    <col min="7178" max="7178" width="12.7109375" style="7" bestFit="1" customWidth="1"/>
    <col min="7179" max="7179" width="16.85546875" style="7" bestFit="1" customWidth="1"/>
    <col min="7180" max="7180" width="13.7109375" style="7" bestFit="1" customWidth="1"/>
    <col min="7181" max="7181" width="18.7109375" style="7" bestFit="1" customWidth="1"/>
    <col min="7182" max="7184" width="11.5703125" style="7"/>
    <col min="7185" max="7185" width="11.28515625" style="7" customWidth="1"/>
    <col min="7186" max="7425" width="11.5703125" style="7"/>
    <col min="7426" max="7426" width="10" style="7" customWidth="1"/>
    <col min="7427" max="7427" width="15.42578125" style="7" customWidth="1"/>
    <col min="7428" max="7428" width="10" style="7" customWidth="1"/>
    <col min="7429" max="7429" width="7.28515625" style="7" customWidth="1"/>
    <col min="7430" max="7430" width="9.85546875" style="7" customWidth="1"/>
    <col min="7431" max="7431" width="8.85546875" style="7" customWidth="1"/>
    <col min="7432" max="7432" width="12.42578125" style="7" customWidth="1"/>
    <col min="7433" max="7433" width="10.85546875" style="7" customWidth="1"/>
    <col min="7434" max="7434" width="12.7109375" style="7" bestFit="1" customWidth="1"/>
    <col min="7435" max="7435" width="16.85546875" style="7" bestFit="1" customWidth="1"/>
    <col min="7436" max="7436" width="13.7109375" style="7" bestFit="1" customWidth="1"/>
    <col min="7437" max="7437" width="18.7109375" style="7" bestFit="1" customWidth="1"/>
    <col min="7438" max="7440" width="11.5703125" style="7"/>
    <col min="7441" max="7441" width="11.28515625" style="7" customWidth="1"/>
    <col min="7442" max="7681" width="11.5703125" style="7"/>
    <col min="7682" max="7682" width="10" style="7" customWidth="1"/>
    <col min="7683" max="7683" width="15.42578125" style="7" customWidth="1"/>
    <col min="7684" max="7684" width="10" style="7" customWidth="1"/>
    <col min="7685" max="7685" width="7.28515625" style="7" customWidth="1"/>
    <col min="7686" max="7686" width="9.85546875" style="7" customWidth="1"/>
    <col min="7687" max="7687" width="8.85546875" style="7" customWidth="1"/>
    <col min="7688" max="7688" width="12.42578125" style="7" customWidth="1"/>
    <col min="7689" max="7689" width="10.85546875" style="7" customWidth="1"/>
    <col min="7690" max="7690" width="12.7109375" style="7" bestFit="1" customWidth="1"/>
    <col min="7691" max="7691" width="16.85546875" style="7" bestFit="1" customWidth="1"/>
    <col min="7692" max="7692" width="13.7109375" style="7" bestFit="1" customWidth="1"/>
    <col min="7693" max="7693" width="18.7109375" style="7" bestFit="1" customWidth="1"/>
    <col min="7694" max="7696" width="11.5703125" style="7"/>
    <col min="7697" max="7697" width="11.28515625" style="7" customWidth="1"/>
    <col min="7698" max="7937" width="11.5703125" style="7"/>
    <col min="7938" max="7938" width="10" style="7" customWidth="1"/>
    <col min="7939" max="7939" width="15.42578125" style="7" customWidth="1"/>
    <col min="7940" max="7940" width="10" style="7" customWidth="1"/>
    <col min="7941" max="7941" width="7.28515625" style="7" customWidth="1"/>
    <col min="7942" max="7942" width="9.85546875" style="7" customWidth="1"/>
    <col min="7943" max="7943" width="8.85546875" style="7" customWidth="1"/>
    <col min="7944" max="7944" width="12.42578125" style="7" customWidth="1"/>
    <col min="7945" max="7945" width="10.85546875" style="7" customWidth="1"/>
    <col min="7946" max="7946" width="12.7109375" style="7" bestFit="1" customWidth="1"/>
    <col min="7947" max="7947" width="16.85546875" style="7" bestFit="1" customWidth="1"/>
    <col min="7948" max="7948" width="13.7109375" style="7" bestFit="1" customWidth="1"/>
    <col min="7949" max="7949" width="18.7109375" style="7" bestFit="1" customWidth="1"/>
    <col min="7950" max="7952" width="11.5703125" style="7"/>
    <col min="7953" max="7953" width="11.28515625" style="7" customWidth="1"/>
    <col min="7954" max="8193" width="11.5703125" style="7"/>
    <col min="8194" max="8194" width="10" style="7" customWidth="1"/>
    <col min="8195" max="8195" width="15.42578125" style="7" customWidth="1"/>
    <col min="8196" max="8196" width="10" style="7" customWidth="1"/>
    <col min="8197" max="8197" width="7.28515625" style="7" customWidth="1"/>
    <col min="8198" max="8198" width="9.85546875" style="7" customWidth="1"/>
    <col min="8199" max="8199" width="8.85546875" style="7" customWidth="1"/>
    <col min="8200" max="8200" width="12.42578125" style="7" customWidth="1"/>
    <col min="8201" max="8201" width="10.85546875" style="7" customWidth="1"/>
    <col min="8202" max="8202" width="12.7109375" style="7" bestFit="1" customWidth="1"/>
    <col min="8203" max="8203" width="16.85546875" style="7" bestFit="1" customWidth="1"/>
    <col min="8204" max="8204" width="13.7109375" style="7" bestFit="1" customWidth="1"/>
    <col min="8205" max="8205" width="18.7109375" style="7" bestFit="1" customWidth="1"/>
    <col min="8206" max="8208" width="11.5703125" style="7"/>
    <col min="8209" max="8209" width="11.28515625" style="7" customWidth="1"/>
    <col min="8210" max="8449" width="11.5703125" style="7"/>
    <col min="8450" max="8450" width="10" style="7" customWidth="1"/>
    <col min="8451" max="8451" width="15.42578125" style="7" customWidth="1"/>
    <col min="8452" max="8452" width="10" style="7" customWidth="1"/>
    <col min="8453" max="8453" width="7.28515625" style="7" customWidth="1"/>
    <col min="8454" max="8454" width="9.85546875" style="7" customWidth="1"/>
    <col min="8455" max="8455" width="8.85546875" style="7" customWidth="1"/>
    <col min="8456" max="8456" width="12.42578125" style="7" customWidth="1"/>
    <col min="8457" max="8457" width="10.85546875" style="7" customWidth="1"/>
    <col min="8458" max="8458" width="12.7109375" style="7" bestFit="1" customWidth="1"/>
    <col min="8459" max="8459" width="16.85546875" style="7" bestFit="1" customWidth="1"/>
    <col min="8460" max="8460" width="13.7109375" style="7" bestFit="1" customWidth="1"/>
    <col min="8461" max="8461" width="18.7109375" style="7" bestFit="1" customWidth="1"/>
    <col min="8462" max="8464" width="11.5703125" style="7"/>
    <col min="8465" max="8465" width="11.28515625" style="7" customWidth="1"/>
    <col min="8466" max="8705" width="11.5703125" style="7"/>
    <col min="8706" max="8706" width="10" style="7" customWidth="1"/>
    <col min="8707" max="8707" width="15.42578125" style="7" customWidth="1"/>
    <col min="8708" max="8708" width="10" style="7" customWidth="1"/>
    <col min="8709" max="8709" width="7.28515625" style="7" customWidth="1"/>
    <col min="8710" max="8710" width="9.85546875" style="7" customWidth="1"/>
    <col min="8711" max="8711" width="8.85546875" style="7" customWidth="1"/>
    <col min="8712" max="8712" width="12.42578125" style="7" customWidth="1"/>
    <col min="8713" max="8713" width="10.85546875" style="7" customWidth="1"/>
    <col min="8714" max="8714" width="12.7109375" style="7" bestFit="1" customWidth="1"/>
    <col min="8715" max="8715" width="16.85546875" style="7" bestFit="1" customWidth="1"/>
    <col min="8716" max="8716" width="13.7109375" style="7" bestFit="1" customWidth="1"/>
    <col min="8717" max="8717" width="18.7109375" style="7" bestFit="1" customWidth="1"/>
    <col min="8718" max="8720" width="11.5703125" style="7"/>
    <col min="8721" max="8721" width="11.28515625" style="7" customWidth="1"/>
    <col min="8722" max="8961" width="11.5703125" style="7"/>
    <col min="8962" max="8962" width="10" style="7" customWidth="1"/>
    <col min="8963" max="8963" width="15.42578125" style="7" customWidth="1"/>
    <col min="8964" max="8964" width="10" style="7" customWidth="1"/>
    <col min="8965" max="8965" width="7.28515625" style="7" customWidth="1"/>
    <col min="8966" max="8966" width="9.85546875" style="7" customWidth="1"/>
    <col min="8967" max="8967" width="8.85546875" style="7" customWidth="1"/>
    <col min="8968" max="8968" width="12.42578125" style="7" customWidth="1"/>
    <col min="8969" max="8969" width="10.85546875" style="7" customWidth="1"/>
    <col min="8970" max="8970" width="12.7109375" style="7" bestFit="1" customWidth="1"/>
    <col min="8971" max="8971" width="16.85546875" style="7" bestFit="1" customWidth="1"/>
    <col min="8972" max="8972" width="13.7109375" style="7" bestFit="1" customWidth="1"/>
    <col min="8973" max="8973" width="18.7109375" style="7" bestFit="1" customWidth="1"/>
    <col min="8974" max="8976" width="11.5703125" style="7"/>
    <col min="8977" max="8977" width="11.28515625" style="7" customWidth="1"/>
    <col min="8978" max="9217" width="11.5703125" style="7"/>
    <col min="9218" max="9218" width="10" style="7" customWidth="1"/>
    <col min="9219" max="9219" width="15.42578125" style="7" customWidth="1"/>
    <col min="9220" max="9220" width="10" style="7" customWidth="1"/>
    <col min="9221" max="9221" width="7.28515625" style="7" customWidth="1"/>
    <col min="9222" max="9222" width="9.85546875" style="7" customWidth="1"/>
    <col min="9223" max="9223" width="8.85546875" style="7" customWidth="1"/>
    <col min="9224" max="9224" width="12.42578125" style="7" customWidth="1"/>
    <col min="9225" max="9225" width="10.85546875" style="7" customWidth="1"/>
    <col min="9226" max="9226" width="12.7109375" style="7" bestFit="1" customWidth="1"/>
    <col min="9227" max="9227" width="16.85546875" style="7" bestFit="1" customWidth="1"/>
    <col min="9228" max="9228" width="13.7109375" style="7" bestFit="1" customWidth="1"/>
    <col min="9229" max="9229" width="18.7109375" style="7" bestFit="1" customWidth="1"/>
    <col min="9230" max="9232" width="11.5703125" style="7"/>
    <col min="9233" max="9233" width="11.28515625" style="7" customWidth="1"/>
    <col min="9234" max="9473" width="11.5703125" style="7"/>
    <col min="9474" max="9474" width="10" style="7" customWidth="1"/>
    <col min="9475" max="9475" width="15.42578125" style="7" customWidth="1"/>
    <col min="9476" max="9476" width="10" style="7" customWidth="1"/>
    <col min="9477" max="9477" width="7.28515625" style="7" customWidth="1"/>
    <col min="9478" max="9478" width="9.85546875" style="7" customWidth="1"/>
    <col min="9479" max="9479" width="8.85546875" style="7" customWidth="1"/>
    <col min="9480" max="9480" width="12.42578125" style="7" customWidth="1"/>
    <col min="9481" max="9481" width="10.85546875" style="7" customWidth="1"/>
    <col min="9482" max="9482" width="12.7109375" style="7" bestFit="1" customWidth="1"/>
    <col min="9483" max="9483" width="16.85546875" style="7" bestFit="1" customWidth="1"/>
    <col min="9484" max="9484" width="13.7109375" style="7" bestFit="1" customWidth="1"/>
    <col min="9485" max="9485" width="18.7109375" style="7" bestFit="1" customWidth="1"/>
    <col min="9486" max="9488" width="11.5703125" style="7"/>
    <col min="9489" max="9489" width="11.28515625" style="7" customWidth="1"/>
    <col min="9490" max="9729" width="11.5703125" style="7"/>
    <col min="9730" max="9730" width="10" style="7" customWidth="1"/>
    <col min="9731" max="9731" width="15.42578125" style="7" customWidth="1"/>
    <col min="9732" max="9732" width="10" style="7" customWidth="1"/>
    <col min="9733" max="9733" width="7.28515625" style="7" customWidth="1"/>
    <col min="9734" max="9734" width="9.85546875" style="7" customWidth="1"/>
    <col min="9735" max="9735" width="8.85546875" style="7" customWidth="1"/>
    <col min="9736" max="9736" width="12.42578125" style="7" customWidth="1"/>
    <col min="9737" max="9737" width="10.85546875" style="7" customWidth="1"/>
    <col min="9738" max="9738" width="12.7109375" style="7" bestFit="1" customWidth="1"/>
    <col min="9739" max="9739" width="16.85546875" style="7" bestFit="1" customWidth="1"/>
    <col min="9740" max="9740" width="13.7109375" style="7" bestFit="1" customWidth="1"/>
    <col min="9741" max="9741" width="18.7109375" style="7" bestFit="1" customWidth="1"/>
    <col min="9742" max="9744" width="11.5703125" style="7"/>
    <col min="9745" max="9745" width="11.28515625" style="7" customWidth="1"/>
    <col min="9746" max="9985" width="11.5703125" style="7"/>
    <col min="9986" max="9986" width="10" style="7" customWidth="1"/>
    <col min="9987" max="9987" width="15.42578125" style="7" customWidth="1"/>
    <col min="9988" max="9988" width="10" style="7" customWidth="1"/>
    <col min="9989" max="9989" width="7.28515625" style="7" customWidth="1"/>
    <col min="9990" max="9990" width="9.85546875" style="7" customWidth="1"/>
    <col min="9991" max="9991" width="8.85546875" style="7" customWidth="1"/>
    <col min="9992" max="9992" width="12.42578125" style="7" customWidth="1"/>
    <col min="9993" max="9993" width="10.85546875" style="7" customWidth="1"/>
    <col min="9994" max="9994" width="12.7109375" style="7" bestFit="1" customWidth="1"/>
    <col min="9995" max="9995" width="16.85546875" style="7" bestFit="1" customWidth="1"/>
    <col min="9996" max="9996" width="13.7109375" style="7" bestFit="1" customWidth="1"/>
    <col min="9997" max="9997" width="18.7109375" style="7" bestFit="1" customWidth="1"/>
    <col min="9998" max="10000" width="11.5703125" style="7"/>
    <col min="10001" max="10001" width="11.28515625" style="7" customWidth="1"/>
    <col min="10002" max="10241" width="11.5703125" style="7"/>
    <col min="10242" max="10242" width="10" style="7" customWidth="1"/>
    <col min="10243" max="10243" width="15.42578125" style="7" customWidth="1"/>
    <col min="10244" max="10244" width="10" style="7" customWidth="1"/>
    <col min="10245" max="10245" width="7.28515625" style="7" customWidth="1"/>
    <col min="10246" max="10246" width="9.85546875" style="7" customWidth="1"/>
    <col min="10247" max="10247" width="8.85546875" style="7" customWidth="1"/>
    <col min="10248" max="10248" width="12.42578125" style="7" customWidth="1"/>
    <col min="10249" max="10249" width="10.85546875" style="7" customWidth="1"/>
    <col min="10250" max="10250" width="12.7109375" style="7" bestFit="1" customWidth="1"/>
    <col min="10251" max="10251" width="16.85546875" style="7" bestFit="1" customWidth="1"/>
    <col min="10252" max="10252" width="13.7109375" style="7" bestFit="1" customWidth="1"/>
    <col min="10253" max="10253" width="18.7109375" style="7" bestFit="1" customWidth="1"/>
    <col min="10254" max="10256" width="11.5703125" style="7"/>
    <col min="10257" max="10257" width="11.28515625" style="7" customWidth="1"/>
    <col min="10258" max="10497" width="11.5703125" style="7"/>
    <col min="10498" max="10498" width="10" style="7" customWidth="1"/>
    <col min="10499" max="10499" width="15.42578125" style="7" customWidth="1"/>
    <col min="10500" max="10500" width="10" style="7" customWidth="1"/>
    <col min="10501" max="10501" width="7.28515625" style="7" customWidth="1"/>
    <col min="10502" max="10502" width="9.85546875" style="7" customWidth="1"/>
    <col min="10503" max="10503" width="8.85546875" style="7" customWidth="1"/>
    <col min="10504" max="10504" width="12.42578125" style="7" customWidth="1"/>
    <col min="10505" max="10505" width="10.85546875" style="7" customWidth="1"/>
    <col min="10506" max="10506" width="12.7109375" style="7" bestFit="1" customWidth="1"/>
    <col min="10507" max="10507" width="16.85546875" style="7" bestFit="1" customWidth="1"/>
    <col min="10508" max="10508" width="13.7109375" style="7" bestFit="1" customWidth="1"/>
    <col min="10509" max="10509" width="18.7109375" style="7" bestFit="1" customWidth="1"/>
    <col min="10510" max="10512" width="11.5703125" style="7"/>
    <col min="10513" max="10513" width="11.28515625" style="7" customWidth="1"/>
    <col min="10514" max="10753" width="11.5703125" style="7"/>
    <col min="10754" max="10754" width="10" style="7" customWidth="1"/>
    <col min="10755" max="10755" width="15.42578125" style="7" customWidth="1"/>
    <col min="10756" max="10756" width="10" style="7" customWidth="1"/>
    <col min="10757" max="10757" width="7.28515625" style="7" customWidth="1"/>
    <col min="10758" max="10758" width="9.85546875" style="7" customWidth="1"/>
    <col min="10759" max="10759" width="8.85546875" style="7" customWidth="1"/>
    <col min="10760" max="10760" width="12.42578125" style="7" customWidth="1"/>
    <col min="10761" max="10761" width="10.85546875" style="7" customWidth="1"/>
    <col min="10762" max="10762" width="12.7109375" style="7" bestFit="1" customWidth="1"/>
    <col min="10763" max="10763" width="16.85546875" style="7" bestFit="1" customWidth="1"/>
    <col min="10764" max="10764" width="13.7109375" style="7" bestFit="1" customWidth="1"/>
    <col min="10765" max="10765" width="18.7109375" style="7" bestFit="1" customWidth="1"/>
    <col min="10766" max="10768" width="11.5703125" style="7"/>
    <col min="10769" max="10769" width="11.28515625" style="7" customWidth="1"/>
    <col min="10770" max="11009" width="11.5703125" style="7"/>
    <col min="11010" max="11010" width="10" style="7" customWidth="1"/>
    <col min="11011" max="11011" width="15.42578125" style="7" customWidth="1"/>
    <col min="11012" max="11012" width="10" style="7" customWidth="1"/>
    <col min="11013" max="11013" width="7.28515625" style="7" customWidth="1"/>
    <col min="11014" max="11014" width="9.85546875" style="7" customWidth="1"/>
    <col min="11015" max="11015" width="8.85546875" style="7" customWidth="1"/>
    <col min="11016" max="11016" width="12.42578125" style="7" customWidth="1"/>
    <col min="11017" max="11017" width="10.85546875" style="7" customWidth="1"/>
    <col min="11018" max="11018" width="12.7109375" style="7" bestFit="1" customWidth="1"/>
    <col min="11019" max="11019" width="16.85546875" style="7" bestFit="1" customWidth="1"/>
    <col min="11020" max="11020" width="13.7109375" style="7" bestFit="1" customWidth="1"/>
    <col min="11021" max="11021" width="18.7109375" style="7" bestFit="1" customWidth="1"/>
    <col min="11022" max="11024" width="11.5703125" style="7"/>
    <col min="11025" max="11025" width="11.28515625" style="7" customWidth="1"/>
    <col min="11026" max="11265" width="11.5703125" style="7"/>
    <col min="11266" max="11266" width="10" style="7" customWidth="1"/>
    <col min="11267" max="11267" width="15.42578125" style="7" customWidth="1"/>
    <col min="11268" max="11268" width="10" style="7" customWidth="1"/>
    <col min="11269" max="11269" width="7.28515625" style="7" customWidth="1"/>
    <col min="11270" max="11270" width="9.85546875" style="7" customWidth="1"/>
    <col min="11271" max="11271" width="8.85546875" style="7" customWidth="1"/>
    <col min="11272" max="11272" width="12.42578125" style="7" customWidth="1"/>
    <col min="11273" max="11273" width="10.85546875" style="7" customWidth="1"/>
    <col min="11274" max="11274" width="12.7109375" style="7" bestFit="1" customWidth="1"/>
    <col min="11275" max="11275" width="16.85546875" style="7" bestFit="1" customWidth="1"/>
    <col min="11276" max="11276" width="13.7109375" style="7" bestFit="1" customWidth="1"/>
    <col min="11277" max="11277" width="18.7109375" style="7" bestFit="1" customWidth="1"/>
    <col min="11278" max="11280" width="11.5703125" style="7"/>
    <col min="11281" max="11281" width="11.28515625" style="7" customWidth="1"/>
    <col min="11282" max="11521" width="11.5703125" style="7"/>
    <col min="11522" max="11522" width="10" style="7" customWidth="1"/>
    <col min="11523" max="11523" width="15.42578125" style="7" customWidth="1"/>
    <col min="11524" max="11524" width="10" style="7" customWidth="1"/>
    <col min="11525" max="11525" width="7.28515625" style="7" customWidth="1"/>
    <col min="11526" max="11526" width="9.85546875" style="7" customWidth="1"/>
    <col min="11527" max="11527" width="8.85546875" style="7" customWidth="1"/>
    <col min="11528" max="11528" width="12.42578125" style="7" customWidth="1"/>
    <col min="11529" max="11529" width="10.85546875" style="7" customWidth="1"/>
    <col min="11530" max="11530" width="12.7109375" style="7" bestFit="1" customWidth="1"/>
    <col min="11531" max="11531" width="16.85546875" style="7" bestFit="1" customWidth="1"/>
    <col min="11532" max="11532" width="13.7109375" style="7" bestFit="1" customWidth="1"/>
    <col min="11533" max="11533" width="18.7109375" style="7" bestFit="1" customWidth="1"/>
    <col min="11534" max="11536" width="11.5703125" style="7"/>
    <col min="11537" max="11537" width="11.28515625" style="7" customWidth="1"/>
    <col min="11538" max="11777" width="11.5703125" style="7"/>
    <col min="11778" max="11778" width="10" style="7" customWidth="1"/>
    <col min="11779" max="11779" width="15.42578125" style="7" customWidth="1"/>
    <col min="11780" max="11780" width="10" style="7" customWidth="1"/>
    <col min="11781" max="11781" width="7.28515625" style="7" customWidth="1"/>
    <col min="11782" max="11782" width="9.85546875" style="7" customWidth="1"/>
    <col min="11783" max="11783" width="8.85546875" style="7" customWidth="1"/>
    <col min="11784" max="11784" width="12.42578125" style="7" customWidth="1"/>
    <col min="11785" max="11785" width="10.85546875" style="7" customWidth="1"/>
    <col min="11786" max="11786" width="12.7109375" style="7" bestFit="1" customWidth="1"/>
    <col min="11787" max="11787" width="16.85546875" style="7" bestFit="1" customWidth="1"/>
    <col min="11788" max="11788" width="13.7109375" style="7" bestFit="1" customWidth="1"/>
    <col min="11789" max="11789" width="18.7109375" style="7" bestFit="1" customWidth="1"/>
    <col min="11790" max="11792" width="11.5703125" style="7"/>
    <col min="11793" max="11793" width="11.28515625" style="7" customWidth="1"/>
    <col min="11794" max="12033" width="11.5703125" style="7"/>
    <col min="12034" max="12034" width="10" style="7" customWidth="1"/>
    <col min="12035" max="12035" width="15.42578125" style="7" customWidth="1"/>
    <col min="12036" max="12036" width="10" style="7" customWidth="1"/>
    <col min="12037" max="12037" width="7.28515625" style="7" customWidth="1"/>
    <col min="12038" max="12038" width="9.85546875" style="7" customWidth="1"/>
    <col min="12039" max="12039" width="8.85546875" style="7" customWidth="1"/>
    <col min="12040" max="12040" width="12.42578125" style="7" customWidth="1"/>
    <col min="12041" max="12041" width="10.85546875" style="7" customWidth="1"/>
    <col min="12042" max="12042" width="12.7109375" style="7" bestFit="1" customWidth="1"/>
    <col min="12043" max="12043" width="16.85546875" style="7" bestFit="1" customWidth="1"/>
    <col min="12044" max="12044" width="13.7109375" style="7" bestFit="1" customWidth="1"/>
    <col min="12045" max="12045" width="18.7109375" style="7" bestFit="1" customWidth="1"/>
    <col min="12046" max="12048" width="11.5703125" style="7"/>
    <col min="12049" max="12049" width="11.28515625" style="7" customWidth="1"/>
    <col min="12050" max="12289" width="11.5703125" style="7"/>
    <col min="12290" max="12290" width="10" style="7" customWidth="1"/>
    <col min="12291" max="12291" width="15.42578125" style="7" customWidth="1"/>
    <col min="12292" max="12292" width="10" style="7" customWidth="1"/>
    <col min="12293" max="12293" width="7.28515625" style="7" customWidth="1"/>
    <col min="12294" max="12294" width="9.85546875" style="7" customWidth="1"/>
    <col min="12295" max="12295" width="8.85546875" style="7" customWidth="1"/>
    <col min="12296" max="12296" width="12.42578125" style="7" customWidth="1"/>
    <col min="12297" max="12297" width="10.85546875" style="7" customWidth="1"/>
    <col min="12298" max="12298" width="12.7109375" style="7" bestFit="1" customWidth="1"/>
    <col min="12299" max="12299" width="16.85546875" style="7" bestFit="1" customWidth="1"/>
    <col min="12300" max="12300" width="13.7109375" style="7" bestFit="1" customWidth="1"/>
    <col min="12301" max="12301" width="18.7109375" style="7" bestFit="1" customWidth="1"/>
    <col min="12302" max="12304" width="11.5703125" style="7"/>
    <col min="12305" max="12305" width="11.28515625" style="7" customWidth="1"/>
    <col min="12306" max="12545" width="11.5703125" style="7"/>
    <col min="12546" max="12546" width="10" style="7" customWidth="1"/>
    <col min="12547" max="12547" width="15.42578125" style="7" customWidth="1"/>
    <col min="12548" max="12548" width="10" style="7" customWidth="1"/>
    <col min="12549" max="12549" width="7.28515625" style="7" customWidth="1"/>
    <col min="12550" max="12550" width="9.85546875" style="7" customWidth="1"/>
    <col min="12551" max="12551" width="8.85546875" style="7" customWidth="1"/>
    <col min="12552" max="12552" width="12.42578125" style="7" customWidth="1"/>
    <col min="12553" max="12553" width="10.85546875" style="7" customWidth="1"/>
    <col min="12554" max="12554" width="12.7109375" style="7" bestFit="1" customWidth="1"/>
    <col min="12555" max="12555" width="16.85546875" style="7" bestFit="1" customWidth="1"/>
    <col min="12556" max="12556" width="13.7109375" style="7" bestFit="1" customWidth="1"/>
    <col min="12557" max="12557" width="18.7109375" style="7" bestFit="1" customWidth="1"/>
    <col min="12558" max="12560" width="11.5703125" style="7"/>
    <col min="12561" max="12561" width="11.28515625" style="7" customWidth="1"/>
    <col min="12562" max="12801" width="11.5703125" style="7"/>
    <col min="12802" max="12802" width="10" style="7" customWidth="1"/>
    <col min="12803" max="12803" width="15.42578125" style="7" customWidth="1"/>
    <col min="12804" max="12804" width="10" style="7" customWidth="1"/>
    <col min="12805" max="12805" width="7.28515625" style="7" customWidth="1"/>
    <col min="12806" max="12806" width="9.85546875" style="7" customWidth="1"/>
    <col min="12807" max="12807" width="8.85546875" style="7" customWidth="1"/>
    <col min="12808" max="12808" width="12.42578125" style="7" customWidth="1"/>
    <col min="12809" max="12809" width="10.85546875" style="7" customWidth="1"/>
    <col min="12810" max="12810" width="12.7109375" style="7" bestFit="1" customWidth="1"/>
    <col min="12811" max="12811" width="16.85546875" style="7" bestFit="1" customWidth="1"/>
    <col min="12812" max="12812" width="13.7109375" style="7" bestFit="1" customWidth="1"/>
    <col min="12813" max="12813" width="18.7109375" style="7" bestFit="1" customWidth="1"/>
    <col min="12814" max="12816" width="11.5703125" style="7"/>
    <col min="12817" max="12817" width="11.28515625" style="7" customWidth="1"/>
    <col min="12818" max="13057" width="11.5703125" style="7"/>
    <col min="13058" max="13058" width="10" style="7" customWidth="1"/>
    <col min="13059" max="13059" width="15.42578125" style="7" customWidth="1"/>
    <col min="13060" max="13060" width="10" style="7" customWidth="1"/>
    <col min="13061" max="13061" width="7.28515625" style="7" customWidth="1"/>
    <col min="13062" max="13062" width="9.85546875" style="7" customWidth="1"/>
    <col min="13063" max="13063" width="8.85546875" style="7" customWidth="1"/>
    <col min="13064" max="13064" width="12.42578125" style="7" customWidth="1"/>
    <col min="13065" max="13065" width="10.85546875" style="7" customWidth="1"/>
    <col min="13066" max="13066" width="12.7109375" style="7" bestFit="1" customWidth="1"/>
    <col min="13067" max="13067" width="16.85546875" style="7" bestFit="1" customWidth="1"/>
    <col min="13068" max="13068" width="13.7109375" style="7" bestFit="1" customWidth="1"/>
    <col min="13069" max="13069" width="18.7109375" style="7" bestFit="1" customWidth="1"/>
    <col min="13070" max="13072" width="11.5703125" style="7"/>
    <col min="13073" max="13073" width="11.28515625" style="7" customWidth="1"/>
    <col min="13074" max="13313" width="11.5703125" style="7"/>
    <col min="13314" max="13314" width="10" style="7" customWidth="1"/>
    <col min="13315" max="13315" width="15.42578125" style="7" customWidth="1"/>
    <col min="13316" max="13316" width="10" style="7" customWidth="1"/>
    <col min="13317" max="13317" width="7.28515625" style="7" customWidth="1"/>
    <col min="13318" max="13318" width="9.85546875" style="7" customWidth="1"/>
    <col min="13319" max="13319" width="8.85546875" style="7" customWidth="1"/>
    <col min="13320" max="13320" width="12.42578125" style="7" customWidth="1"/>
    <col min="13321" max="13321" width="10.85546875" style="7" customWidth="1"/>
    <col min="13322" max="13322" width="12.7109375" style="7" bestFit="1" customWidth="1"/>
    <col min="13323" max="13323" width="16.85546875" style="7" bestFit="1" customWidth="1"/>
    <col min="13324" max="13324" width="13.7109375" style="7" bestFit="1" customWidth="1"/>
    <col min="13325" max="13325" width="18.7109375" style="7" bestFit="1" customWidth="1"/>
    <col min="13326" max="13328" width="11.5703125" style="7"/>
    <col min="13329" max="13329" width="11.28515625" style="7" customWidth="1"/>
    <col min="13330" max="13569" width="11.5703125" style="7"/>
    <col min="13570" max="13570" width="10" style="7" customWidth="1"/>
    <col min="13571" max="13571" width="15.42578125" style="7" customWidth="1"/>
    <col min="13572" max="13572" width="10" style="7" customWidth="1"/>
    <col min="13573" max="13573" width="7.28515625" style="7" customWidth="1"/>
    <col min="13574" max="13574" width="9.85546875" style="7" customWidth="1"/>
    <col min="13575" max="13575" width="8.85546875" style="7" customWidth="1"/>
    <col min="13576" max="13576" width="12.42578125" style="7" customWidth="1"/>
    <col min="13577" max="13577" width="10.85546875" style="7" customWidth="1"/>
    <col min="13578" max="13578" width="12.7109375" style="7" bestFit="1" customWidth="1"/>
    <col min="13579" max="13579" width="16.85546875" style="7" bestFit="1" customWidth="1"/>
    <col min="13580" max="13580" width="13.7109375" style="7" bestFit="1" customWidth="1"/>
    <col min="13581" max="13581" width="18.7109375" style="7" bestFit="1" customWidth="1"/>
    <col min="13582" max="13584" width="11.5703125" style="7"/>
    <col min="13585" max="13585" width="11.28515625" style="7" customWidth="1"/>
    <col min="13586" max="13825" width="11.5703125" style="7"/>
    <col min="13826" max="13826" width="10" style="7" customWidth="1"/>
    <col min="13827" max="13827" width="15.42578125" style="7" customWidth="1"/>
    <col min="13828" max="13828" width="10" style="7" customWidth="1"/>
    <col min="13829" max="13829" width="7.28515625" style="7" customWidth="1"/>
    <col min="13830" max="13830" width="9.85546875" style="7" customWidth="1"/>
    <col min="13831" max="13831" width="8.85546875" style="7" customWidth="1"/>
    <col min="13832" max="13832" width="12.42578125" style="7" customWidth="1"/>
    <col min="13833" max="13833" width="10.85546875" style="7" customWidth="1"/>
    <col min="13834" max="13834" width="12.7109375" style="7" bestFit="1" customWidth="1"/>
    <col min="13835" max="13835" width="16.85546875" style="7" bestFit="1" customWidth="1"/>
    <col min="13836" max="13836" width="13.7109375" style="7" bestFit="1" customWidth="1"/>
    <col min="13837" max="13837" width="18.7109375" style="7" bestFit="1" customWidth="1"/>
    <col min="13838" max="13840" width="11.5703125" style="7"/>
    <col min="13841" max="13841" width="11.28515625" style="7" customWidth="1"/>
    <col min="13842" max="14081" width="11.5703125" style="7"/>
    <col min="14082" max="14082" width="10" style="7" customWidth="1"/>
    <col min="14083" max="14083" width="15.42578125" style="7" customWidth="1"/>
    <col min="14084" max="14084" width="10" style="7" customWidth="1"/>
    <col min="14085" max="14085" width="7.28515625" style="7" customWidth="1"/>
    <col min="14086" max="14086" width="9.85546875" style="7" customWidth="1"/>
    <col min="14087" max="14087" width="8.85546875" style="7" customWidth="1"/>
    <col min="14088" max="14088" width="12.42578125" style="7" customWidth="1"/>
    <col min="14089" max="14089" width="10.85546875" style="7" customWidth="1"/>
    <col min="14090" max="14090" width="12.7109375" style="7" bestFit="1" customWidth="1"/>
    <col min="14091" max="14091" width="16.85546875" style="7" bestFit="1" customWidth="1"/>
    <col min="14092" max="14092" width="13.7109375" style="7" bestFit="1" customWidth="1"/>
    <col min="14093" max="14093" width="18.7109375" style="7" bestFit="1" customWidth="1"/>
    <col min="14094" max="14096" width="11.5703125" style="7"/>
    <col min="14097" max="14097" width="11.28515625" style="7" customWidth="1"/>
    <col min="14098" max="14337" width="11.5703125" style="7"/>
    <col min="14338" max="14338" width="10" style="7" customWidth="1"/>
    <col min="14339" max="14339" width="15.42578125" style="7" customWidth="1"/>
    <col min="14340" max="14340" width="10" style="7" customWidth="1"/>
    <col min="14341" max="14341" width="7.28515625" style="7" customWidth="1"/>
    <col min="14342" max="14342" width="9.85546875" style="7" customWidth="1"/>
    <col min="14343" max="14343" width="8.85546875" style="7" customWidth="1"/>
    <col min="14344" max="14344" width="12.42578125" style="7" customWidth="1"/>
    <col min="14345" max="14345" width="10.85546875" style="7" customWidth="1"/>
    <col min="14346" max="14346" width="12.7109375" style="7" bestFit="1" customWidth="1"/>
    <col min="14347" max="14347" width="16.85546875" style="7" bestFit="1" customWidth="1"/>
    <col min="14348" max="14348" width="13.7109375" style="7" bestFit="1" customWidth="1"/>
    <col min="14349" max="14349" width="18.7109375" style="7" bestFit="1" customWidth="1"/>
    <col min="14350" max="14352" width="11.5703125" style="7"/>
    <col min="14353" max="14353" width="11.28515625" style="7" customWidth="1"/>
    <col min="14354" max="14593" width="11.5703125" style="7"/>
    <col min="14594" max="14594" width="10" style="7" customWidth="1"/>
    <col min="14595" max="14595" width="15.42578125" style="7" customWidth="1"/>
    <col min="14596" max="14596" width="10" style="7" customWidth="1"/>
    <col min="14597" max="14597" width="7.28515625" style="7" customWidth="1"/>
    <col min="14598" max="14598" width="9.85546875" style="7" customWidth="1"/>
    <col min="14599" max="14599" width="8.85546875" style="7" customWidth="1"/>
    <col min="14600" max="14600" width="12.42578125" style="7" customWidth="1"/>
    <col min="14601" max="14601" width="10.85546875" style="7" customWidth="1"/>
    <col min="14602" max="14602" width="12.7109375" style="7" bestFit="1" customWidth="1"/>
    <col min="14603" max="14603" width="16.85546875" style="7" bestFit="1" customWidth="1"/>
    <col min="14604" max="14604" width="13.7109375" style="7" bestFit="1" customWidth="1"/>
    <col min="14605" max="14605" width="18.7109375" style="7" bestFit="1" customWidth="1"/>
    <col min="14606" max="14608" width="11.5703125" style="7"/>
    <col min="14609" max="14609" width="11.28515625" style="7" customWidth="1"/>
    <col min="14610" max="14849" width="11.5703125" style="7"/>
    <col min="14850" max="14850" width="10" style="7" customWidth="1"/>
    <col min="14851" max="14851" width="15.42578125" style="7" customWidth="1"/>
    <col min="14852" max="14852" width="10" style="7" customWidth="1"/>
    <col min="14853" max="14853" width="7.28515625" style="7" customWidth="1"/>
    <col min="14854" max="14854" width="9.85546875" style="7" customWidth="1"/>
    <col min="14855" max="14855" width="8.85546875" style="7" customWidth="1"/>
    <col min="14856" max="14856" width="12.42578125" style="7" customWidth="1"/>
    <col min="14857" max="14857" width="10.85546875" style="7" customWidth="1"/>
    <col min="14858" max="14858" width="12.7109375" style="7" bestFit="1" customWidth="1"/>
    <col min="14859" max="14859" width="16.85546875" style="7" bestFit="1" customWidth="1"/>
    <col min="14860" max="14860" width="13.7109375" style="7" bestFit="1" customWidth="1"/>
    <col min="14861" max="14861" width="18.7109375" style="7" bestFit="1" customWidth="1"/>
    <col min="14862" max="14864" width="11.5703125" style="7"/>
    <col min="14865" max="14865" width="11.28515625" style="7" customWidth="1"/>
    <col min="14866" max="15105" width="11.5703125" style="7"/>
    <col min="15106" max="15106" width="10" style="7" customWidth="1"/>
    <col min="15107" max="15107" width="15.42578125" style="7" customWidth="1"/>
    <col min="15108" max="15108" width="10" style="7" customWidth="1"/>
    <col min="15109" max="15109" width="7.28515625" style="7" customWidth="1"/>
    <col min="15110" max="15110" width="9.85546875" style="7" customWidth="1"/>
    <col min="15111" max="15111" width="8.85546875" style="7" customWidth="1"/>
    <col min="15112" max="15112" width="12.42578125" style="7" customWidth="1"/>
    <col min="15113" max="15113" width="10.85546875" style="7" customWidth="1"/>
    <col min="15114" max="15114" width="12.7109375" style="7" bestFit="1" customWidth="1"/>
    <col min="15115" max="15115" width="16.85546875" style="7" bestFit="1" customWidth="1"/>
    <col min="15116" max="15116" width="13.7109375" style="7" bestFit="1" customWidth="1"/>
    <col min="15117" max="15117" width="18.7109375" style="7" bestFit="1" customWidth="1"/>
    <col min="15118" max="15120" width="11.5703125" style="7"/>
    <col min="15121" max="15121" width="11.28515625" style="7" customWidth="1"/>
    <col min="15122" max="15361" width="11.5703125" style="7"/>
    <col min="15362" max="15362" width="10" style="7" customWidth="1"/>
    <col min="15363" max="15363" width="15.42578125" style="7" customWidth="1"/>
    <col min="15364" max="15364" width="10" style="7" customWidth="1"/>
    <col min="15365" max="15365" width="7.28515625" style="7" customWidth="1"/>
    <col min="15366" max="15366" width="9.85546875" style="7" customWidth="1"/>
    <col min="15367" max="15367" width="8.85546875" style="7" customWidth="1"/>
    <col min="15368" max="15368" width="12.42578125" style="7" customWidth="1"/>
    <col min="15369" max="15369" width="10.85546875" style="7" customWidth="1"/>
    <col min="15370" max="15370" width="12.7109375" style="7" bestFit="1" customWidth="1"/>
    <col min="15371" max="15371" width="16.85546875" style="7" bestFit="1" customWidth="1"/>
    <col min="15372" max="15372" width="13.7109375" style="7" bestFit="1" customWidth="1"/>
    <col min="15373" max="15373" width="18.7109375" style="7" bestFit="1" customWidth="1"/>
    <col min="15374" max="15376" width="11.5703125" style="7"/>
    <col min="15377" max="15377" width="11.28515625" style="7" customWidth="1"/>
    <col min="15378" max="15617" width="11.5703125" style="7"/>
    <col min="15618" max="15618" width="10" style="7" customWidth="1"/>
    <col min="15619" max="15619" width="15.42578125" style="7" customWidth="1"/>
    <col min="15620" max="15620" width="10" style="7" customWidth="1"/>
    <col min="15621" max="15621" width="7.28515625" style="7" customWidth="1"/>
    <col min="15622" max="15622" width="9.85546875" style="7" customWidth="1"/>
    <col min="15623" max="15623" width="8.85546875" style="7" customWidth="1"/>
    <col min="15624" max="15624" width="12.42578125" style="7" customWidth="1"/>
    <col min="15625" max="15625" width="10.85546875" style="7" customWidth="1"/>
    <col min="15626" max="15626" width="12.7109375" style="7" bestFit="1" customWidth="1"/>
    <col min="15627" max="15627" width="16.85546875" style="7" bestFit="1" customWidth="1"/>
    <col min="15628" max="15628" width="13.7109375" style="7" bestFit="1" customWidth="1"/>
    <col min="15629" max="15629" width="18.7109375" style="7" bestFit="1" customWidth="1"/>
    <col min="15630" max="15632" width="11.5703125" style="7"/>
    <col min="15633" max="15633" width="11.28515625" style="7" customWidth="1"/>
    <col min="15634" max="15873" width="11.5703125" style="7"/>
    <col min="15874" max="15874" width="10" style="7" customWidth="1"/>
    <col min="15875" max="15875" width="15.42578125" style="7" customWidth="1"/>
    <col min="15876" max="15876" width="10" style="7" customWidth="1"/>
    <col min="15877" max="15877" width="7.28515625" style="7" customWidth="1"/>
    <col min="15878" max="15878" width="9.85546875" style="7" customWidth="1"/>
    <col min="15879" max="15879" width="8.85546875" style="7" customWidth="1"/>
    <col min="15880" max="15880" width="12.42578125" style="7" customWidth="1"/>
    <col min="15881" max="15881" width="10.85546875" style="7" customWidth="1"/>
    <col min="15882" max="15882" width="12.7109375" style="7" bestFit="1" customWidth="1"/>
    <col min="15883" max="15883" width="16.85546875" style="7" bestFit="1" customWidth="1"/>
    <col min="15884" max="15884" width="13.7109375" style="7" bestFit="1" customWidth="1"/>
    <col min="15885" max="15885" width="18.7109375" style="7" bestFit="1" customWidth="1"/>
    <col min="15886" max="15888" width="11.5703125" style="7"/>
    <col min="15889" max="15889" width="11.28515625" style="7" customWidth="1"/>
    <col min="15890" max="16129" width="11.5703125" style="7"/>
    <col min="16130" max="16130" width="10" style="7" customWidth="1"/>
    <col min="16131" max="16131" width="15.42578125" style="7" customWidth="1"/>
    <col min="16132" max="16132" width="10" style="7" customWidth="1"/>
    <col min="16133" max="16133" width="7.28515625" style="7" customWidth="1"/>
    <col min="16134" max="16134" width="9.85546875" style="7" customWidth="1"/>
    <col min="16135" max="16135" width="8.85546875" style="7" customWidth="1"/>
    <col min="16136" max="16136" width="12.42578125" style="7" customWidth="1"/>
    <col min="16137" max="16137" width="10.85546875" style="7" customWidth="1"/>
    <col min="16138" max="16138" width="12.7109375" style="7" bestFit="1" customWidth="1"/>
    <col min="16139" max="16139" width="16.85546875" style="7" bestFit="1" customWidth="1"/>
    <col min="16140" max="16140" width="13.7109375" style="7" bestFit="1" customWidth="1"/>
    <col min="16141" max="16141" width="18.7109375" style="7" bestFit="1" customWidth="1"/>
    <col min="16142" max="16144" width="11.5703125" style="7"/>
    <col min="16145" max="16145" width="11.28515625" style="7" customWidth="1"/>
    <col min="16146" max="16384" width="11.5703125" style="7"/>
  </cols>
  <sheetData>
    <row r="1" spans="1:21" ht="32.25" customHeight="1" x14ac:dyDescent="0.25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25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25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25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25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.75" x14ac:dyDescent="0.3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25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.75" x14ac:dyDescent="0.3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25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25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25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25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25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25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25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25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25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25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25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25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25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25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25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25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25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25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25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25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25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25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25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25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25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25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25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25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25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25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25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25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25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25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25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25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25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25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25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25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25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25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25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25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25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25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25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25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25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25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25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25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25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25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25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25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25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25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25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25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25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25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25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25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25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25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25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25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25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25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25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25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25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25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25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25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25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25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25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25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25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25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25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25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25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25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25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25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25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25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25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25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25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25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25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25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25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25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25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25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25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25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25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25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25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25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25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25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25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25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25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25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25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25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25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25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25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25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25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25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25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25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25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25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25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25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25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25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25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25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25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25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25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25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25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25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2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2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2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2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2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2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2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2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2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2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2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2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2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2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2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2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2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2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25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25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25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25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25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25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25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25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25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25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25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25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25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25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25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25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25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25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25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25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25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25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25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25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25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25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25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25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25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25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25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25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25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25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25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25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25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25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25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25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25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25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25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25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25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25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25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25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25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25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25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25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25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25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25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25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25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25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25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25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25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25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25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25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25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25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25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25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25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25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25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25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25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25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25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25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25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25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25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25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25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25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25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25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25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25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25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25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25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25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25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25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25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25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25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25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25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25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25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25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25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25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25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25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25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25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25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25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25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25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25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25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25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25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25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25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25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25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25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25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25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25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25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25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25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25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25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25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25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25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25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25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25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25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25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25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25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25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25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25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25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25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25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25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25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25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25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25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25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25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25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25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25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25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25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25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25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25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25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25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25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25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25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25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25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25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25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25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25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25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25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25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25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25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25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25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25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25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25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25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25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25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25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25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25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25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25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25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25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25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25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25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25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25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25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25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25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25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25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25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25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25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25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25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25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25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25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25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25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25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25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25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25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25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25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25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25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25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25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25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25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25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25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25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25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25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25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25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25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25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25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25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25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25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25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25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25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25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25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25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25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25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25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25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25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25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25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25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25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25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25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25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25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25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25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25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25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25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25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25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25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25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25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25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25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25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25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25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25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25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25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25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25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25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25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25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25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25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25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25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25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25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25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25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25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25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25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25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25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25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25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25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25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25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25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25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25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25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25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25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25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25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25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25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25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25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25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25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25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25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25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25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25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25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25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25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25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25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25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25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25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25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25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25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25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25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25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25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25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25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25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25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25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25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25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25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25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25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25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25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25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25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25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25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25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25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25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25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25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25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25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25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25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25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25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25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25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25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25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25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25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25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25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25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25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25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25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25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25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25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25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25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25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25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25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25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25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25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25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25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25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25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25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25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25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25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25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25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25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25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25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25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25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25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25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25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25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25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25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25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25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25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25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25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25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25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25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25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25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25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25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25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25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25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25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25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25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25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25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25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25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25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25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25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25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25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25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25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25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25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25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25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25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25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25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25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25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25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25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25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25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25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25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25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25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25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25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25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25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25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25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25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25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25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25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25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25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25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25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25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25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25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25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25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25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25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25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25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25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25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25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25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25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25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25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25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25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25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25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25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25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25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25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25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25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25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25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25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25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25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25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25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25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25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25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25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25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25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25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25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25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25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25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25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25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25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25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25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25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25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25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25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25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25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25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25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25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25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25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25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25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25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25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25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25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25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25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25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25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25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25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25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25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25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25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25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25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25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25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25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25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25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25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25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25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25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25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25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25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25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25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25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25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25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25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25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25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25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25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25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25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25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25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25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25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25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25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25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25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25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25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25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25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25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25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25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25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25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25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25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25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25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25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25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25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25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25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25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25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25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25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25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25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25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25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25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25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25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25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25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25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25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25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25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25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25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25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25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25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25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25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25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25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25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25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25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25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25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25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25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25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25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25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25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25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25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25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25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25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25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25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25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25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25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25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25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25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25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25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25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25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25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25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25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25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25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25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25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25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25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25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25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25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25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25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25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25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25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25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25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25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25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25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25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25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25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25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25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25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25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25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25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25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25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25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25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25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25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25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25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25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25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25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25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25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25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25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25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25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25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25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25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25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25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25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25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25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25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25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25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25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25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25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25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25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25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25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25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25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25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25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25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25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25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25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25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25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25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25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25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25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25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25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25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25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25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25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25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25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25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25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25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25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25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25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25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25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25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25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25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25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25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25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25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25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25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25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25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25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25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25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25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25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25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25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25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25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25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25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25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25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25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25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25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25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25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25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25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25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25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25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25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25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25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25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25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25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25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25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25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25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25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25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25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25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25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25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25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25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25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25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25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25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25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25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25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25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25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25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25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25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25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25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25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25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25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25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25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25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25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25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25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25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25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25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25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25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25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25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25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25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25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25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25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25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25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25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25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25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25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25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25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25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25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25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25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25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25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25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25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25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25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25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25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25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25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25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25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25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25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25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25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25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25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25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25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25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25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25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25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25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25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25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25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25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25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25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25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25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25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25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25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25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25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25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25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25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25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25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25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25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25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25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25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25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25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25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25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25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25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25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25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25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25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25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25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25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25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25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25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25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25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25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25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25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25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25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25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25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25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25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25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25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25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25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25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25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25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25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25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25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25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25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25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25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25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25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25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25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25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25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25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25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25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25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25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25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25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25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25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25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25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25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25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25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25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25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25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25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25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25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25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25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25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25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25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25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25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25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25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25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25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25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25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25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25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25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25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25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25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25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25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25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25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25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25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25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25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25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25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25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25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25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25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25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25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25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25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25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25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25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25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25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25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25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25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25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25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25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25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25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25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25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25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25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25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25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25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25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25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25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25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25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25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25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25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25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25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25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25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25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25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25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25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25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25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25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25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25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25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25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25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25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25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25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25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25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25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25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25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25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25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25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25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25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25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25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25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25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25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25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25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25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25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25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25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25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25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25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25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25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25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25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25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25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25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25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25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25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25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25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25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25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25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25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25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25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25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25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25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25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25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25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25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25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25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25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25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25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25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25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25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25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25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25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25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25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25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25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25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25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25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25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25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25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25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25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25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25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25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25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25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25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25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25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25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25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25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25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25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25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25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25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25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25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25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25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25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25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25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25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25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25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25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25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25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25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25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25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25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25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25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25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25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25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25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25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25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25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25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25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104775</xdr:colOff>
                    <xdr:row>0</xdr:row>
                    <xdr:rowOff>38100</xdr:rowOff>
                  </from>
                  <to>
                    <xdr:col>12</xdr:col>
                    <xdr:colOff>561975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P379"/>
  <sheetViews>
    <sheetView tabSelected="1" workbookViewId="0">
      <pane ySplit="2" topLeftCell="A366" activePane="bottomLeft" state="frozen"/>
      <selection pane="bottomLeft" activeCell="N2" sqref="N2"/>
    </sheetView>
  </sheetViews>
  <sheetFormatPr baseColWidth="10" defaultColWidth="11.42578125" defaultRowHeight="15" x14ac:dyDescent="0.25"/>
  <cols>
    <col min="1" max="1" width="11.140625" style="136" bestFit="1" customWidth="1"/>
    <col min="2" max="2" width="5.140625" style="50" bestFit="1" customWidth="1"/>
    <col min="3" max="3" width="10.7109375" style="50" bestFit="1" customWidth="1"/>
    <col min="4" max="4" width="8" style="50" bestFit="1" customWidth="1"/>
    <col min="5" max="5" width="6.7109375" style="50" bestFit="1" customWidth="1"/>
    <col min="6" max="6" width="7.28515625" style="50" bestFit="1" customWidth="1"/>
    <col min="7" max="7" width="5.7109375" style="49" bestFit="1" customWidth="1"/>
    <col min="8" max="8" width="16.28515625" style="49" bestFit="1" customWidth="1"/>
    <col min="9" max="9" width="19.42578125" style="49" bestFit="1" customWidth="1"/>
    <col min="10" max="10" width="14.5703125" style="132" bestFit="1" customWidth="1"/>
    <col min="11" max="11" width="21.7109375" style="49" bestFit="1" customWidth="1"/>
    <col min="12" max="12" width="27.7109375" style="48" bestFit="1" customWidth="1"/>
    <col min="13" max="13" width="13.85546875" style="48" bestFit="1" customWidth="1"/>
    <col min="14" max="14" width="12.7109375" style="48" bestFit="1" customWidth="1"/>
    <col min="15" max="15" width="20" style="48" bestFit="1" customWidth="1"/>
    <col min="16" max="16" width="9.85546875" style="48" bestFit="1" customWidth="1"/>
    <col min="17" max="17" width="8.85546875" style="48" bestFit="1" customWidth="1"/>
    <col min="18" max="25" width="11.42578125" style="48"/>
    <col min="26" max="26" width="2" style="48" bestFit="1" customWidth="1"/>
    <col min="27" max="16384" width="11.42578125" style="48"/>
  </cols>
  <sheetData>
    <row r="1" spans="1:16" s="109" customFormat="1" ht="26.25" customHeight="1" x14ac:dyDescent="0.25">
      <c r="A1" s="252" t="s">
        <v>140</v>
      </c>
      <c r="B1" s="252"/>
      <c r="C1" s="252"/>
      <c r="D1" s="252"/>
      <c r="E1" s="252"/>
      <c r="F1" s="252"/>
      <c r="G1" s="252"/>
      <c r="H1" s="252"/>
      <c r="I1" s="252"/>
      <c r="J1" s="252"/>
      <c r="K1" s="252"/>
      <c r="L1" s="252"/>
      <c r="M1" s="253"/>
      <c r="N1" s="157" t="s">
        <v>214</v>
      </c>
      <c r="O1" s="246"/>
      <c r="P1" s="150"/>
    </row>
    <row r="2" spans="1:16" s="109" customFormat="1" ht="26.25" customHeight="1" x14ac:dyDescent="0.25">
      <c r="A2" s="230" t="s">
        <v>139</v>
      </c>
      <c r="B2" s="57" t="s">
        <v>138</v>
      </c>
      <c r="C2" s="46" t="s">
        <v>3</v>
      </c>
      <c r="D2" s="47" t="s">
        <v>4</v>
      </c>
      <c r="E2" s="47" t="s">
        <v>5</v>
      </c>
      <c r="F2" s="46" t="s">
        <v>6</v>
      </c>
      <c r="G2" s="46" t="s">
        <v>0</v>
      </c>
      <c r="H2" s="46" t="s">
        <v>7</v>
      </c>
      <c r="I2" s="46" t="s">
        <v>8</v>
      </c>
      <c r="J2" s="131" t="s">
        <v>9</v>
      </c>
      <c r="K2" s="46" t="s">
        <v>10</v>
      </c>
      <c r="L2" s="46" t="s">
        <v>72</v>
      </c>
      <c r="M2" s="156" t="s">
        <v>213</v>
      </c>
      <c r="N2" s="158">
        <f ca="1">SOMME_SI_COULEUR(qtélot,O1)-SOMME_SI_COULEUR(FAIT,P1)</f>
        <v>1278</v>
      </c>
    </row>
    <row r="3" spans="1:16" s="51" customFormat="1" ht="18" customHeight="1" x14ac:dyDescent="0.25">
      <c r="A3" s="236">
        <v>43207</v>
      </c>
      <c r="B3" s="130">
        <v>1</v>
      </c>
      <c r="C3" s="53">
        <v>121370</v>
      </c>
      <c r="D3" s="241">
        <v>60311</v>
      </c>
      <c r="E3" s="75">
        <v>20</v>
      </c>
      <c r="F3" s="93"/>
      <c r="G3" s="48"/>
      <c r="H3" s="48" t="s">
        <v>13</v>
      </c>
      <c r="I3" s="48" t="s">
        <v>137</v>
      </c>
      <c r="J3" s="132">
        <v>43209</v>
      </c>
      <c r="K3" s="58"/>
    </row>
    <row r="4" spans="1:16" s="51" customFormat="1" x14ac:dyDescent="0.25">
      <c r="A4" s="236">
        <v>43207</v>
      </c>
      <c r="B4" s="130">
        <v>2</v>
      </c>
      <c r="C4" s="53">
        <v>121401</v>
      </c>
      <c r="D4" s="241">
        <v>60284</v>
      </c>
      <c r="E4" s="75">
        <v>11</v>
      </c>
      <c r="F4" s="93"/>
      <c r="G4" s="48"/>
      <c r="H4" s="48" t="s">
        <v>13</v>
      </c>
      <c r="I4" s="48" t="s">
        <v>15</v>
      </c>
      <c r="J4" s="132">
        <v>43215</v>
      </c>
      <c r="K4" s="58"/>
    </row>
    <row r="5" spans="1:16" s="51" customFormat="1" x14ac:dyDescent="0.25">
      <c r="A5" s="236">
        <v>43207</v>
      </c>
      <c r="B5" s="130">
        <v>3</v>
      </c>
      <c r="C5" s="53">
        <v>121400</v>
      </c>
      <c r="D5" s="241">
        <v>60259</v>
      </c>
      <c r="E5" s="75">
        <v>1</v>
      </c>
      <c r="F5" s="93"/>
      <c r="G5" s="48"/>
      <c r="H5" s="48" t="s">
        <v>23</v>
      </c>
      <c r="I5" s="48" t="s">
        <v>26</v>
      </c>
      <c r="J5" s="132">
        <v>43216</v>
      </c>
      <c r="K5" s="58"/>
    </row>
    <row r="6" spans="1:16" s="51" customFormat="1" x14ac:dyDescent="0.25">
      <c r="A6" s="236">
        <v>43207</v>
      </c>
      <c r="B6" s="130">
        <v>4</v>
      </c>
      <c r="C6" s="53">
        <v>121407</v>
      </c>
      <c r="D6" s="241">
        <v>60265</v>
      </c>
      <c r="E6" s="75">
        <v>3</v>
      </c>
      <c r="F6" s="93"/>
      <c r="G6" s="48"/>
      <c r="H6" s="48" t="s">
        <v>13</v>
      </c>
      <c r="I6" s="48" t="s">
        <v>14</v>
      </c>
      <c r="J6" s="132">
        <v>43213</v>
      </c>
      <c r="K6" s="58"/>
      <c r="L6" s="151"/>
    </row>
    <row r="7" spans="1:16" s="51" customFormat="1" x14ac:dyDescent="0.25">
      <c r="A7" s="236">
        <v>43207</v>
      </c>
      <c r="B7" s="130">
        <v>5</v>
      </c>
      <c r="C7" s="53">
        <v>121417</v>
      </c>
      <c r="D7" s="241">
        <v>60294</v>
      </c>
      <c r="E7" s="75">
        <v>1</v>
      </c>
      <c r="F7" s="93"/>
      <c r="G7" s="48"/>
      <c r="H7" s="48" t="s">
        <v>13</v>
      </c>
      <c r="I7" s="48" t="s">
        <v>15</v>
      </c>
      <c r="J7" s="132">
        <v>43215</v>
      </c>
      <c r="K7" s="58"/>
      <c r="L7" s="152"/>
    </row>
    <row r="8" spans="1:16" s="51" customFormat="1" x14ac:dyDescent="0.25">
      <c r="A8" s="236">
        <v>43207</v>
      </c>
      <c r="B8" s="130">
        <v>6</v>
      </c>
      <c r="C8" s="53">
        <v>121408</v>
      </c>
      <c r="D8" s="241">
        <v>60260</v>
      </c>
      <c r="E8" s="104">
        <v>8</v>
      </c>
      <c r="F8" s="93"/>
      <c r="G8" s="48"/>
      <c r="H8" s="48" t="s">
        <v>18</v>
      </c>
      <c r="I8" s="108" t="s">
        <v>136</v>
      </c>
      <c r="J8" s="132">
        <v>43216</v>
      </c>
      <c r="K8" s="58"/>
      <c r="L8" s="152"/>
    </row>
    <row r="9" spans="1:16" s="51" customFormat="1" x14ac:dyDescent="0.25">
      <c r="A9" s="236">
        <v>43207</v>
      </c>
      <c r="B9" s="130">
        <v>7</v>
      </c>
      <c r="C9" s="53" t="s">
        <v>135</v>
      </c>
      <c r="D9" s="241">
        <v>60323</v>
      </c>
      <c r="E9" s="75">
        <v>25</v>
      </c>
      <c r="F9" s="93"/>
      <c r="G9" s="48"/>
      <c r="H9" s="48" t="s">
        <v>13</v>
      </c>
      <c r="I9" s="48" t="s">
        <v>15</v>
      </c>
      <c r="J9" s="132">
        <v>43208</v>
      </c>
      <c r="K9" s="58"/>
      <c r="L9" s="152"/>
    </row>
    <row r="10" spans="1:16" s="51" customFormat="1" x14ac:dyDescent="0.25">
      <c r="A10" s="236">
        <v>43208</v>
      </c>
      <c r="B10" s="127">
        <v>1</v>
      </c>
      <c r="C10" s="53">
        <v>121442</v>
      </c>
      <c r="D10" s="241">
        <v>60324</v>
      </c>
      <c r="E10" s="104">
        <v>4</v>
      </c>
      <c r="F10" s="93"/>
      <c r="G10" s="48"/>
      <c r="H10" s="48" t="s">
        <v>13</v>
      </c>
      <c r="I10" s="48" t="s">
        <v>15</v>
      </c>
      <c r="J10" s="132">
        <v>43215</v>
      </c>
      <c r="K10" s="58"/>
      <c r="L10" s="152"/>
    </row>
    <row r="11" spans="1:16" s="51" customFormat="1" x14ac:dyDescent="0.25">
      <c r="A11" s="236">
        <v>43208</v>
      </c>
      <c r="B11" s="127">
        <v>2</v>
      </c>
      <c r="C11" s="53">
        <v>121134</v>
      </c>
      <c r="D11" s="241">
        <v>60054</v>
      </c>
      <c r="E11" s="104">
        <v>24</v>
      </c>
      <c r="F11" s="93"/>
      <c r="H11" s="51" t="s">
        <v>13</v>
      </c>
      <c r="I11" s="51" t="s">
        <v>19</v>
      </c>
      <c r="J11" s="133">
        <v>43213</v>
      </c>
      <c r="K11" s="78"/>
      <c r="L11" s="152"/>
    </row>
    <row r="12" spans="1:16" s="51" customFormat="1" x14ac:dyDescent="0.25">
      <c r="A12" s="236">
        <v>43208</v>
      </c>
      <c r="B12" s="127">
        <v>3</v>
      </c>
      <c r="C12" s="53">
        <v>121335</v>
      </c>
      <c r="D12" s="241">
        <v>60230</v>
      </c>
      <c r="E12" s="104">
        <v>21</v>
      </c>
      <c r="F12" s="93"/>
      <c r="G12" s="48"/>
      <c r="H12" s="48" t="s">
        <v>13</v>
      </c>
      <c r="I12" s="48" t="s">
        <v>19</v>
      </c>
      <c r="J12" s="132">
        <v>43213</v>
      </c>
      <c r="K12" s="58"/>
      <c r="L12" s="152"/>
    </row>
    <row r="13" spans="1:16" s="51" customFormat="1" x14ac:dyDescent="0.25">
      <c r="A13" s="236">
        <v>43208</v>
      </c>
      <c r="B13" s="127">
        <v>4</v>
      </c>
      <c r="C13" s="53">
        <v>121182</v>
      </c>
      <c r="D13" s="241">
        <v>60099</v>
      </c>
      <c r="E13" s="104">
        <v>1</v>
      </c>
      <c r="F13" s="93"/>
      <c r="G13" s="48"/>
      <c r="H13" s="48" t="s">
        <v>34</v>
      </c>
      <c r="I13" s="48" t="s">
        <v>19</v>
      </c>
      <c r="J13" s="132">
        <v>43216</v>
      </c>
      <c r="K13" s="58"/>
      <c r="L13" s="109"/>
    </row>
    <row r="14" spans="1:16" s="51" customFormat="1" x14ac:dyDescent="0.25">
      <c r="A14" s="236">
        <v>43208</v>
      </c>
      <c r="B14" s="127">
        <v>5</v>
      </c>
      <c r="C14" s="53">
        <v>121164</v>
      </c>
      <c r="D14" s="241">
        <v>60081</v>
      </c>
      <c r="E14" s="104">
        <v>1</v>
      </c>
      <c r="F14" s="93"/>
      <c r="G14" s="48"/>
      <c r="H14" s="48" t="s">
        <v>13</v>
      </c>
      <c r="I14" s="48" t="s">
        <v>134</v>
      </c>
      <c r="J14" s="132">
        <v>43216</v>
      </c>
      <c r="K14" s="58"/>
      <c r="L14" s="152"/>
    </row>
    <row r="15" spans="1:16" s="51" customFormat="1" x14ac:dyDescent="0.25">
      <c r="A15" s="236">
        <v>43208</v>
      </c>
      <c r="B15" s="127">
        <v>6</v>
      </c>
      <c r="C15" s="53">
        <v>121160</v>
      </c>
      <c r="D15" s="241">
        <v>60050</v>
      </c>
      <c r="E15" s="75">
        <v>1</v>
      </c>
      <c r="F15" s="93"/>
      <c r="G15" s="48"/>
      <c r="H15" s="48" t="s">
        <v>18</v>
      </c>
      <c r="I15" s="48" t="s">
        <v>19</v>
      </c>
      <c r="J15" s="132">
        <v>43213</v>
      </c>
      <c r="K15" s="58"/>
      <c r="L15" s="152"/>
    </row>
    <row r="16" spans="1:16" s="51" customFormat="1" x14ac:dyDescent="0.25">
      <c r="A16" s="236">
        <v>43208</v>
      </c>
      <c r="B16" s="127">
        <v>7</v>
      </c>
      <c r="C16" s="53">
        <v>121247</v>
      </c>
      <c r="D16" s="241">
        <v>60135</v>
      </c>
      <c r="E16" s="104">
        <v>2</v>
      </c>
      <c r="F16" s="93"/>
      <c r="G16" s="48"/>
      <c r="H16" s="48" t="s">
        <v>13</v>
      </c>
      <c r="I16" s="48" t="s">
        <v>19</v>
      </c>
      <c r="J16" s="132">
        <v>43214</v>
      </c>
      <c r="K16" s="58"/>
      <c r="L16" s="152"/>
    </row>
    <row r="17" spans="1:13" s="51" customFormat="1" x14ac:dyDescent="0.25">
      <c r="A17" s="236">
        <v>43208</v>
      </c>
      <c r="B17" s="127">
        <v>8</v>
      </c>
      <c r="C17" s="53">
        <v>121245</v>
      </c>
      <c r="D17" s="241">
        <v>60129</v>
      </c>
      <c r="E17" s="104">
        <v>10</v>
      </c>
      <c r="F17" s="93"/>
      <c r="G17" s="48"/>
      <c r="H17" s="48" t="s">
        <v>23</v>
      </c>
      <c r="I17" s="48" t="s">
        <v>19</v>
      </c>
      <c r="J17" s="132">
        <v>43216</v>
      </c>
      <c r="K17" s="58"/>
      <c r="L17" s="152"/>
    </row>
    <row r="18" spans="1:13" s="51" customFormat="1" x14ac:dyDescent="0.25">
      <c r="A18" s="236">
        <v>43208</v>
      </c>
      <c r="B18" s="127">
        <v>9</v>
      </c>
      <c r="C18" s="53">
        <v>121236</v>
      </c>
      <c r="D18" s="241">
        <v>60124</v>
      </c>
      <c r="E18" s="104">
        <v>1</v>
      </c>
      <c r="F18" s="93"/>
      <c r="G18" s="48"/>
      <c r="H18" s="48" t="s">
        <v>18</v>
      </c>
      <c r="I18" s="48" t="s">
        <v>26</v>
      </c>
      <c r="J18" s="132">
        <v>43215</v>
      </c>
      <c r="K18" s="58"/>
      <c r="L18" s="152"/>
    </row>
    <row r="19" spans="1:13" s="51" customFormat="1" x14ac:dyDescent="0.25">
      <c r="A19" s="236">
        <v>43208</v>
      </c>
      <c r="B19" s="127">
        <v>10</v>
      </c>
      <c r="C19" s="53">
        <v>121246</v>
      </c>
      <c r="D19" s="241">
        <v>60130</v>
      </c>
      <c r="E19" s="104">
        <v>1</v>
      </c>
      <c r="F19" s="93"/>
      <c r="G19" s="48"/>
      <c r="H19" s="48" t="s">
        <v>23</v>
      </c>
      <c r="I19" s="48" t="s">
        <v>15</v>
      </c>
      <c r="J19" s="132">
        <v>43215</v>
      </c>
      <c r="K19" s="58"/>
      <c r="L19" s="152"/>
    </row>
    <row r="20" spans="1:13" s="51" customFormat="1" x14ac:dyDescent="0.25">
      <c r="A20" s="236">
        <v>43208</v>
      </c>
      <c r="B20" s="127">
        <v>11</v>
      </c>
      <c r="C20" s="53">
        <v>121259</v>
      </c>
      <c r="D20" s="241">
        <v>60140</v>
      </c>
      <c r="E20" s="75">
        <v>2</v>
      </c>
      <c r="F20" s="93"/>
      <c r="G20" s="48"/>
      <c r="H20" s="48" t="s">
        <v>18</v>
      </c>
      <c r="I20" s="48" t="s">
        <v>19</v>
      </c>
      <c r="J20" s="132">
        <v>43216</v>
      </c>
      <c r="K20" s="58"/>
      <c r="L20" s="152"/>
    </row>
    <row r="21" spans="1:13" s="51" customFormat="1" x14ac:dyDescent="0.25">
      <c r="A21" s="236">
        <v>43208</v>
      </c>
      <c r="B21" s="127">
        <v>12</v>
      </c>
      <c r="C21" s="53">
        <v>121241</v>
      </c>
      <c r="D21" s="241">
        <v>60128</v>
      </c>
      <c r="E21" s="75">
        <v>1</v>
      </c>
      <c r="F21" s="93"/>
      <c r="G21" s="48"/>
      <c r="H21" s="48" t="s">
        <v>18</v>
      </c>
      <c r="I21" s="48" t="s">
        <v>19</v>
      </c>
      <c r="J21" s="132">
        <v>43216</v>
      </c>
      <c r="K21" s="58"/>
      <c r="L21" s="152"/>
    </row>
    <row r="22" spans="1:13" s="51" customFormat="1" x14ac:dyDescent="0.25">
      <c r="A22" s="236">
        <v>43208</v>
      </c>
      <c r="B22" s="127">
        <v>13</v>
      </c>
      <c r="C22" s="53">
        <v>121262</v>
      </c>
      <c r="D22" s="241">
        <v>60153</v>
      </c>
      <c r="E22" s="104">
        <v>1</v>
      </c>
      <c r="F22" s="93"/>
      <c r="G22" s="48"/>
      <c r="H22" s="48" t="s">
        <v>18</v>
      </c>
      <c r="I22" s="48" t="s">
        <v>26</v>
      </c>
      <c r="J22" s="132">
        <v>43216</v>
      </c>
      <c r="K22" s="58"/>
      <c r="L22" s="151"/>
    </row>
    <row r="23" spans="1:13" s="51" customFormat="1" x14ac:dyDescent="0.25">
      <c r="A23" s="236">
        <v>43208</v>
      </c>
      <c r="B23" s="127">
        <v>14</v>
      </c>
      <c r="C23" s="53">
        <v>121240</v>
      </c>
      <c r="D23" s="241">
        <v>60127</v>
      </c>
      <c r="E23" s="75">
        <v>1</v>
      </c>
      <c r="F23" s="93"/>
      <c r="G23" s="48"/>
      <c r="H23" s="48" t="s">
        <v>18</v>
      </c>
      <c r="I23" s="48" t="s">
        <v>19</v>
      </c>
      <c r="J23" s="132">
        <v>43216</v>
      </c>
      <c r="K23" s="58"/>
      <c r="L23" s="48"/>
    </row>
    <row r="24" spans="1:13" s="51" customFormat="1" x14ac:dyDescent="0.25">
      <c r="A24" s="236">
        <v>43208</v>
      </c>
      <c r="B24" s="127">
        <v>15</v>
      </c>
      <c r="C24" s="53">
        <v>121275</v>
      </c>
      <c r="D24" s="241">
        <v>60163</v>
      </c>
      <c r="E24" s="104">
        <v>2</v>
      </c>
      <c r="F24" s="93"/>
      <c r="G24" s="48"/>
      <c r="H24" s="48" t="s">
        <v>23</v>
      </c>
      <c r="I24" s="48" t="s">
        <v>26</v>
      </c>
      <c r="J24" s="132">
        <v>43215</v>
      </c>
      <c r="K24" s="58"/>
      <c r="L24" s="48"/>
    </row>
    <row r="25" spans="1:13" s="51" customFormat="1" x14ac:dyDescent="0.25">
      <c r="A25" s="236">
        <v>43208</v>
      </c>
      <c r="B25" s="127">
        <v>16</v>
      </c>
      <c r="C25" s="53">
        <v>121276</v>
      </c>
      <c r="D25" s="241">
        <v>60164</v>
      </c>
      <c r="E25" s="104">
        <v>2</v>
      </c>
      <c r="F25" s="93"/>
      <c r="G25" s="48"/>
      <c r="H25" s="48" t="s">
        <v>18</v>
      </c>
      <c r="I25" s="48" t="s">
        <v>26</v>
      </c>
      <c r="J25" s="132">
        <v>43215</v>
      </c>
      <c r="K25" s="58"/>
      <c r="L25" s="48"/>
    </row>
    <row r="26" spans="1:13" s="51" customFormat="1" x14ac:dyDescent="0.25">
      <c r="A26" s="236">
        <v>43208</v>
      </c>
      <c r="B26" s="127">
        <v>17</v>
      </c>
      <c r="C26" s="53">
        <v>121360</v>
      </c>
      <c r="D26" s="241">
        <v>60256</v>
      </c>
      <c r="E26" s="72">
        <v>2</v>
      </c>
      <c r="F26" s="93"/>
      <c r="G26" s="48"/>
      <c r="H26" s="48" t="s">
        <v>13</v>
      </c>
      <c r="I26" s="48" t="s">
        <v>19</v>
      </c>
      <c r="J26" s="132">
        <v>43215</v>
      </c>
      <c r="K26" s="58"/>
      <c r="L26" s="48" t="s">
        <v>133</v>
      </c>
      <c r="M26" s="51" t="s">
        <v>29</v>
      </c>
    </row>
    <row r="27" spans="1:13" s="51" customFormat="1" x14ac:dyDescent="0.25">
      <c r="A27" s="236">
        <v>43208</v>
      </c>
      <c r="B27" s="127">
        <v>18</v>
      </c>
      <c r="C27" s="53">
        <v>121376</v>
      </c>
      <c r="D27" s="241">
        <v>60254</v>
      </c>
      <c r="E27" s="107">
        <v>2</v>
      </c>
      <c r="F27" s="93"/>
      <c r="G27" s="48"/>
      <c r="H27" s="48" t="s">
        <v>13</v>
      </c>
      <c r="I27" s="48" t="s">
        <v>26</v>
      </c>
      <c r="J27" s="132">
        <v>43222</v>
      </c>
      <c r="K27" s="58"/>
      <c r="L27" s="48"/>
      <c r="M27" s="51" t="s">
        <v>132</v>
      </c>
    </row>
    <row r="28" spans="1:13" s="51" customFormat="1" x14ac:dyDescent="0.25">
      <c r="A28" s="236">
        <v>43208</v>
      </c>
      <c r="B28" s="127">
        <v>19</v>
      </c>
      <c r="C28" s="53">
        <v>121270</v>
      </c>
      <c r="D28" s="241">
        <v>60179</v>
      </c>
      <c r="E28" s="104">
        <v>26</v>
      </c>
      <c r="F28" s="93"/>
      <c r="G28" s="48"/>
      <c r="H28" s="48" t="s">
        <v>18</v>
      </c>
      <c r="I28" s="48" t="s">
        <v>19</v>
      </c>
      <c r="J28" s="132">
        <v>43216</v>
      </c>
      <c r="K28" s="58"/>
      <c r="L28" s="48"/>
    </row>
    <row r="29" spans="1:13" s="51" customFormat="1" x14ac:dyDescent="0.25">
      <c r="A29" s="236">
        <v>43209</v>
      </c>
      <c r="B29" s="128">
        <v>1</v>
      </c>
      <c r="C29" s="53">
        <v>121458</v>
      </c>
      <c r="D29" s="241">
        <v>60363</v>
      </c>
      <c r="E29" s="107">
        <v>1</v>
      </c>
      <c r="F29" s="93"/>
      <c r="G29" s="48"/>
      <c r="H29" s="48" t="s">
        <v>13</v>
      </c>
      <c r="I29" s="48" t="s">
        <v>14</v>
      </c>
      <c r="J29" s="132">
        <v>43221</v>
      </c>
      <c r="K29" s="58"/>
      <c r="L29" s="48"/>
    </row>
    <row r="30" spans="1:13" s="51" customFormat="1" x14ac:dyDescent="0.25">
      <c r="A30" s="236">
        <v>43209</v>
      </c>
      <c r="B30" s="128">
        <v>2</v>
      </c>
      <c r="C30" s="53">
        <v>121462</v>
      </c>
      <c r="D30" s="241">
        <v>60369</v>
      </c>
      <c r="E30" s="107">
        <v>2</v>
      </c>
      <c r="F30" s="93"/>
      <c r="G30" s="48"/>
      <c r="H30" s="48" t="s">
        <v>13</v>
      </c>
      <c r="I30" s="48" t="s">
        <v>15</v>
      </c>
      <c r="J30" s="132">
        <v>43215</v>
      </c>
      <c r="K30" s="58"/>
      <c r="L30" s="48"/>
    </row>
    <row r="31" spans="1:13" s="51" customFormat="1" x14ac:dyDescent="0.25">
      <c r="A31" s="236">
        <v>43209</v>
      </c>
      <c r="B31" s="128">
        <v>3</v>
      </c>
      <c r="C31" s="53">
        <v>121362</v>
      </c>
      <c r="D31" s="241">
        <v>60258</v>
      </c>
      <c r="E31" s="107">
        <v>2</v>
      </c>
      <c r="F31" s="93"/>
      <c r="G31" s="48"/>
      <c r="H31" s="48" t="s">
        <v>13</v>
      </c>
      <c r="I31" s="48" t="s">
        <v>26</v>
      </c>
      <c r="J31" s="132">
        <v>43215</v>
      </c>
      <c r="K31" s="58"/>
      <c r="L31" s="48"/>
      <c r="M31" s="48"/>
    </row>
    <row r="32" spans="1:13" s="51" customFormat="1" x14ac:dyDescent="0.25">
      <c r="A32" s="236">
        <v>43209</v>
      </c>
      <c r="B32" s="128">
        <v>4</v>
      </c>
      <c r="C32" s="53">
        <v>121271</v>
      </c>
      <c r="D32" s="241">
        <v>60154</v>
      </c>
      <c r="E32" s="107">
        <v>3</v>
      </c>
      <c r="F32" s="93"/>
      <c r="G32" s="48"/>
      <c r="H32" s="48" t="s">
        <v>18</v>
      </c>
      <c r="I32" s="48" t="s">
        <v>19</v>
      </c>
      <c r="J32" s="132">
        <v>43216</v>
      </c>
      <c r="K32" s="58"/>
      <c r="L32" s="48"/>
      <c r="M32" s="48"/>
    </row>
    <row r="33" spans="1:13" s="51" customFormat="1" x14ac:dyDescent="0.25">
      <c r="A33" s="236">
        <v>43209</v>
      </c>
      <c r="B33" s="128">
        <v>5</v>
      </c>
      <c r="C33" s="53">
        <v>120967</v>
      </c>
      <c r="D33" s="241">
        <v>59930</v>
      </c>
      <c r="E33" s="75">
        <v>1</v>
      </c>
      <c r="F33" s="93"/>
      <c r="G33" s="48"/>
      <c r="H33" s="48" t="s">
        <v>18</v>
      </c>
      <c r="I33" s="48" t="s">
        <v>19</v>
      </c>
      <c r="J33" s="132">
        <v>43216</v>
      </c>
      <c r="K33" s="58"/>
      <c r="L33" s="48" t="s">
        <v>131</v>
      </c>
      <c r="M33" s="58" t="s">
        <v>37</v>
      </c>
    </row>
    <row r="34" spans="1:13" s="51" customFormat="1" x14ac:dyDescent="0.25">
      <c r="A34" s="236">
        <v>43209</v>
      </c>
      <c r="B34" s="128">
        <v>6</v>
      </c>
      <c r="C34" s="53">
        <v>121316</v>
      </c>
      <c r="D34" s="241">
        <v>60193</v>
      </c>
      <c r="E34" s="75">
        <v>1</v>
      </c>
      <c r="F34" s="93"/>
      <c r="G34" s="48"/>
      <c r="H34" s="48" t="s">
        <v>23</v>
      </c>
      <c r="I34" s="48" t="s">
        <v>19</v>
      </c>
      <c r="J34" s="132">
        <v>43215</v>
      </c>
      <c r="K34" s="58"/>
      <c r="L34" s="48"/>
      <c r="M34" s="48"/>
    </row>
    <row r="35" spans="1:13" s="51" customFormat="1" x14ac:dyDescent="0.25">
      <c r="A35" s="236">
        <v>43209</v>
      </c>
      <c r="B35" s="128">
        <v>7</v>
      </c>
      <c r="C35" s="53">
        <v>121324</v>
      </c>
      <c r="D35" s="241">
        <v>60195</v>
      </c>
      <c r="E35" s="75">
        <v>5</v>
      </c>
      <c r="F35" s="93"/>
      <c r="G35" s="48"/>
      <c r="H35" s="48" t="s">
        <v>23</v>
      </c>
      <c r="I35" s="48" t="s">
        <v>26</v>
      </c>
      <c r="J35" s="132">
        <v>43216</v>
      </c>
      <c r="K35" s="58"/>
      <c r="L35" s="48"/>
      <c r="M35" s="48"/>
    </row>
    <row r="36" spans="1:13" s="51" customFormat="1" x14ac:dyDescent="0.25">
      <c r="A36" s="236">
        <v>43209</v>
      </c>
      <c r="B36" s="128">
        <v>8</v>
      </c>
      <c r="C36" s="53">
        <v>121355</v>
      </c>
      <c r="D36" s="241">
        <v>60229</v>
      </c>
      <c r="E36" s="107">
        <v>1</v>
      </c>
      <c r="F36" s="93"/>
      <c r="G36" s="48"/>
      <c r="H36" s="48" t="s">
        <v>13</v>
      </c>
      <c r="I36" s="48" t="s">
        <v>19</v>
      </c>
      <c r="J36" s="132">
        <v>43215</v>
      </c>
      <c r="K36" s="58"/>
      <c r="L36" s="48"/>
      <c r="M36" s="48"/>
    </row>
    <row r="37" spans="1:13" s="51" customFormat="1" x14ac:dyDescent="0.25">
      <c r="A37" s="236">
        <v>43209</v>
      </c>
      <c r="B37" s="128">
        <v>9</v>
      </c>
      <c r="C37" s="53">
        <v>121314</v>
      </c>
      <c r="D37" s="241">
        <v>60198</v>
      </c>
      <c r="E37" s="75">
        <v>1</v>
      </c>
      <c r="F37" s="93"/>
      <c r="H37" s="51" t="s">
        <v>13</v>
      </c>
      <c r="I37" s="51" t="s">
        <v>19</v>
      </c>
      <c r="J37" s="132">
        <v>43215</v>
      </c>
      <c r="K37" s="58"/>
      <c r="L37" s="51" t="s">
        <v>130</v>
      </c>
      <c r="M37" s="48"/>
    </row>
    <row r="38" spans="1:13" s="51" customFormat="1" x14ac:dyDescent="0.25">
      <c r="A38" s="236">
        <v>43209</v>
      </c>
      <c r="B38" s="128">
        <v>10</v>
      </c>
      <c r="C38" s="53">
        <v>121372</v>
      </c>
      <c r="D38" s="241">
        <v>60299</v>
      </c>
      <c r="E38" s="72">
        <v>43</v>
      </c>
      <c r="F38" s="93"/>
      <c r="H38" s="51" t="s">
        <v>13</v>
      </c>
      <c r="I38" s="51" t="s">
        <v>19</v>
      </c>
      <c r="J38" s="132">
        <v>43223</v>
      </c>
      <c r="K38" s="58"/>
      <c r="L38" s="51" t="s">
        <v>129</v>
      </c>
      <c r="M38" s="55"/>
    </row>
    <row r="39" spans="1:13" s="51" customFormat="1" x14ac:dyDescent="0.25">
      <c r="A39" s="236">
        <v>43209</v>
      </c>
      <c r="B39" s="128">
        <v>11</v>
      </c>
      <c r="C39" s="53">
        <v>121281</v>
      </c>
      <c r="D39" s="241">
        <v>60175</v>
      </c>
      <c r="E39" s="107">
        <v>1</v>
      </c>
      <c r="F39" s="93"/>
      <c r="G39" s="48"/>
      <c r="H39" s="48" t="s">
        <v>18</v>
      </c>
      <c r="I39" s="48" t="s">
        <v>15</v>
      </c>
      <c r="J39" s="132">
        <v>43220</v>
      </c>
      <c r="K39" s="58"/>
      <c r="L39" s="48"/>
    </row>
    <row r="40" spans="1:13" s="51" customFormat="1" x14ac:dyDescent="0.25">
      <c r="A40" s="236">
        <v>43209</v>
      </c>
      <c r="B40" s="128">
        <v>12</v>
      </c>
      <c r="C40" s="53">
        <v>121294</v>
      </c>
      <c r="D40" s="241">
        <v>60174</v>
      </c>
      <c r="E40" s="75">
        <v>2</v>
      </c>
      <c r="F40" s="93"/>
      <c r="G40" s="48"/>
      <c r="H40" s="48" t="s">
        <v>18</v>
      </c>
      <c r="I40" s="48" t="s">
        <v>27</v>
      </c>
      <c r="J40" s="132">
        <v>43220</v>
      </c>
      <c r="K40" s="58"/>
      <c r="L40" s="48"/>
    </row>
    <row r="41" spans="1:13" s="51" customFormat="1" x14ac:dyDescent="0.25">
      <c r="A41" s="236">
        <v>43209</v>
      </c>
      <c r="B41" s="128">
        <v>13</v>
      </c>
      <c r="C41" s="53">
        <v>121293</v>
      </c>
      <c r="D41" s="241">
        <v>60173</v>
      </c>
      <c r="E41" s="75">
        <v>4</v>
      </c>
      <c r="F41" s="93"/>
      <c r="G41" s="48"/>
      <c r="H41" s="48" t="s">
        <v>18</v>
      </c>
      <c r="I41" s="48" t="s">
        <v>27</v>
      </c>
      <c r="J41" s="132">
        <v>43220</v>
      </c>
      <c r="K41" s="58"/>
      <c r="L41" s="48"/>
    </row>
    <row r="42" spans="1:13" s="51" customFormat="1" x14ac:dyDescent="0.25">
      <c r="A42" s="236">
        <v>43209</v>
      </c>
      <c r="B42" s="128">
        <v>14</v>
      </c>
      <c r="C42" s="53">
        <v>121414</v>
      </c>
      <c r="D42" s="241">
        <v>60321</v>
      </c>
      <c r="E42" s="107">
        <v>2</v>
      </c>
      <c r="F42" s="93"/>
      <c r="G42" s="48"/>
      <c r="H42" s="48" t="s">
        <v>13</v>
      </c>
      <c r="I42" s="48" t="s">
        <v>68</v>
      </c>
      <c r="J42" s="132">
        <v>43220</v>
      </c>
      <c r="K42" s="58"/>
      <c r="L42" s="48"/>
    </row>
    <row r="43" spans="1:13" s="51" customFormat="1" x14ac:dyDescent="0.25">
      <c r="A43" s="236">
        <v>43209</v>
      </c>
      <c r="B43" s="128">
        <v>15</v>
      </c>
      <c r="C43" s="53">
        <v>121300</v>
      </c>
      <c r="D43" s="241">
        <v>60197</v>
      </c>
      <c r="E43" s="107">
        <v>14</v>
      </c>
      <c r="F43" s="93"/>
      <c r="G43" s="48"/>
      <c r="H43" s="48" t="s">
        <v>13</v>
      </c>
      <c r="I43" s="48" t="s">
        <v>19</v>
      </c>
      <c r="J43" s="132">
        <v>43220</v>
      </c>
      <c r="K43" s="58"/>
      <c r="L43" s="48"/>
      <c r="M43" s="51" t="s">
        <v>128</v>
      </c>
    </row>
    <row r="44" spans="1:13" s="51" customFormat="1" x14ac:dyDescent="0.25">
      <c r="A44" s="236">
        <v>43210</v>
      </c>
      <c r="B44" s="74">
        <v>1</v>
      </c>
      <c r="C44" s="53">
        <v>121178</v>
      </c>
      <c r="D44" s="241">
        <v>60077</v>
      </c>
      <c r="E44" s="75">
        <v>8</v>
      </c>
      <c r="F44" s="93"/>
      <c r="G44" s="48"/>
      <c r="H44" s="48" t="s">
        <v>18</v>
      </c>
      <c r="I44" s="48" t="s">
        <v>14</v>
      </c>
      <c r="J44" s="132">
        <v>43220</v>
      </c>
      <c r="K44" s="58"/>
      <c r="L44" s="48"/>
    </row>
    <row r="45" spans="1:13" s="51" customFormat="1" x14ac:dyDescent="0.25">
      <c r="A45" s="236">
        <v>43210</v>
      </c>
      <c r="B45" s="74">
        <v>2</v>
      </c>
      <c r="C45" s="53">
        <v>121177</v>
      </c>
      <c r="D45" s="241">
        <v>60076</v>
      </c>
      <c r="E45" s="75">
        <v>8</v>
      </c>
      <c r="F45" s="93"/>
      <c r="G45" s="48"/>
      <c r="H45" s="48" t="s">
        <v>18</v>
      </c>
      <c r="I45" s="48" t="s">
        <v>14</v>
      </c>
      <c r="J45" s="132">
        <v>43220</v>
      </c>
      <c r="K45" s="58"/>
      <c r="L45" s="48"/>
    </row>
    <row r="46" spans="1:13" s="51" customFormat="1" x14ac:dyDescent="0.25">
      <c r="A46" s="236">
        <v>43210</v>
      </c>
      <c r="B46" s="74">
        <v>3</v>
      </c>
      <c r="C46" s="53">
        <v>121176</v>
      </c>
      <c r="D46" s="241">
        <v>60075</v>
      </c>
      <c r="E46" s="75">
        <v>8</v>
      </c>
      <c r="F46" s="93"/>
      <c r="G46" s="48"/>
      <c r="H46" s="48" t="s">
        <v>18</v>
      </c>
      <c r="I46" s="48" t="s">
        <v>14</v>
      </c>
      <c r="J46" s="132">
        <v>43220</v>
      </c>
      <c r="K46" s="58"/>
      <c r="L46" s="48"/>
    </row>
    <row r="47" spans="1:13" s="51" customFormat="1" x14ac:dyDescent="0.25">
      <c r="A47" s="236">
        <v>43210</v>
      </c>
      <c r="B47" s="74">
        <v>4</v>
      </c>
      <c r="C47" s="53">
        <v>121169</v>
      </c>
      <c r="D47" s="241">
        <v>60060</v>
      </c>
      <c r="E47" s="75">
        <v>8</v>
      </c>
      <c r="F47" s="93"/>
      <c r="G47" s="48"/>
      <c r="H47" s="48" t="s">
        <v>18</v>
      </c>
      <c r="I47" s="48" t="s">
        <v>14</v>
      </c>
      <c r="J47" s="132">
        <v>43220</v>
      </c>
      <c r="K47" s="58"/>
      <c r="L47" s="48"/>
    </row>
    <row r="48" spans="1:13" s="51" customFormat="1" x14ac:dyDescent="0.25">
      <c r="A48" s="236">
        <v>43210</v>
      </c>
      <c r="B48" s="74">
        <v>5</v>
      </c>
      <c r="C48" s="53">
        <v>121168</v>
      </c>
      <c r="D48" s="241">
        <v>60059</v>
      </c>
      <c r="E48" s="75">
        <v>8</v>
      </c>
      <c r="F48" s="93"/>
      <c r="G48" s="48"/>
      <c r="H48" s="48" t="s">
        <v>18</v>
      </c>
      <c r="I48" s="48" t="s">
        <v>14</v>
      </c>
      <c r="J48" s="132">
        <v>43220</v>
      </c>
      <c r="K48" s="58"/>
      <c r="L48" s="48"/>
    </row>
    <row r="49" spans="1:13" s="51" customFormat="1" x14ac:dyDescent="0.25">
      <c r="A49" s="236">
        <v>43210</v>
      </c>
      <c r="B49" s="74">
        <v>6</v>
      </c>
      <c r="C49" s="53">
        <v>121167</v>
      </c>
      <c r="D49" s="241">
        <v>60095</v>
      </c>
      <c r="E49" s="75">
        <v>8</v>
      </c>
      <c r="F49" s="93"/>
      <c r="G49" s="48"/>
      <c r="H49" s="48" t="s">
        <v>18</v>
      </c>
      <c r="I49" s="48" t="s">
        <v>14</v>
      </c>
      <c r="J49" s="132">
        <v>43220</v>
      </c>
      <c r="K49" s="58"/>
      <c r="L49" s="48"/>
    </row>
    <row r="50" spans="1:13" s="51" customFormat="1" x14ac:dyDescent="0.25">
      <c r="A50" s="236">
        <v>43210</v>
      </c>
      <c r="B50" s="74">
        <v>7</v>
      </c>
      <c r="C50" s="53">
        <v>121157</v>
      </c>
      <c r="D50" s="241">
        <v>60049</v>
      </c>
      <c r="E50" s="75">
        <v>8</v>
      </c>
      <c r="F50" s="93"/>
      <c r="G50" s="48"/>
      <c r="H50" s="48" t="s">
        <v>18</v>
      </c>
      <c r="I50" s="48" t="s">
        <v>14</v>
      </c>
      <c r="J50" s="132">
        <v>43220</v>
      </c>
      <c r="K50" s="58"/>
      <c r="L50" s="48"/>
    </row>
    <row r="51" spans="1:13" s="51" customFormat="1" x14ac:dyDescent="0.25">
      <c r="A51" s="236">
        <v>43210</v>
      </c>
      <c r="B51" s="74">
        <v>8</v>
      </c>
      <c r="C51" s="53">
        <v>121504</v>
      </c>
      <c r="D51" s="241">
        <v>60375</v>
      </c>
      <c r="E51" s="75">
        <v>4</v>
      </c>
      <c r="F51" s="93"/>
      <c r="G51" s="48"/>
      <c r="H51" s="48" t="s">
        <v>18</v>
      </c>
      <c r="I51" s="48" t="s">
        <v>127</v>
      </c>
      <c r="J51" s="132">
        <v>43215</v>
      </c>
      <c r="K51" s="58"/>
      <c r="L51" s="48"/>
    </row>
    <row r="52" spans="1:13" s="51" customFormat="1" x14ac:dyDescent="0.25">
      <c r="A52" s="236">
        <v>43210</v>
      </c>
      <c r="B52" s="74">
        <v>9</v>
      </c>
      <c r="C52" s="53">
        <v>121499</v>
      </c>
      <c r="D52" s="241">
        <v>60378</v>
      </c>
      <c r="E52" s="75">
        <v>2</v>
      </c>
      <c r="F52" s="93"/>
      <c r="G52" s="48"/>
      <c r="H52" s="48" t="s">
        <v>18</v>
      </c>
      <c r="I52" s="48" t="s">
        <v>19</v>
      </c>
      <c r="J52" s="132">
        <v>43215</v>
      </c>
      <c r="K52" s="58"/>
      <c r="L52" s="48"/>
    </row>
    <row r="53" spans="1:13" s="51" customFormat="1" x14ac:dyDescent="0.25">
      <c r="A53" s="236">
        <v>43213</v>
      </c>
      <c r="B53" s="129">
        <v>1</v>
      </c>
      <c r="C53" s="53">
        <v>120817</v>
      </c>
      <c r="D53" s="241">
        <v>59799</v>
      </c>
      <c r="E53" s="75">
        <v>222</v>
      </c>
      <c r="F53" s="93"/>
      <c r="G53" s="48"/>
      <c r="H53" s="48" t="s">
        <v>13</v>
      </c>
      <c r="I53" s="48" t="s">
        <v>36</v>
      </c>
      <c r="J53" s="132">
        <v>43208</v>
      </c>
      <c r="K53" s="58"/>
      <c r="L53" s="48"/>
    </row>
    <row r="54" spans="1:13" s="51" customFormat="1" x14ac:dyDescent="0.25">
      <c r="A54" s="236">
        <v>43213</v>
      </c>
      <c r="B54" s="129">
        <v>2</v>
      </c>
      <c r="C54" s="53">
        <v>121368</v>
      </c>
      <c r="D54" s="241">
        <v>60405</v>
      </c>
      <c r="E54" s="75">
        <v>1</v>
      </c>
      <c r="F54" s="93"/>
      <c r="G54" s="48"/>
      <c r="H54" s="48" t="s">
        <v>13</v>
      </c>
      <c r="I54" s="48" t="s">
        <v>19</v>
      </c>
      <c r="J54" s="132">
        <v>43208</v>
      </c>
      <c r="K54" s="58"/>
      <c r="L54" s="48" t="s">
        <v>126</v>
      </c>
    </row>
    <row r="55" spans="1:13" s="51" customFormat="1" x14ac:dyDescent="0.25">
      <c r="A55" s="236">
        <v>43214</v>
      </c>
      <c r="B55" s="130">
        <v>1</v>
      </c>
      <c r="C55" s="53" t="s">
        <v>125</v>
      </c>
      <c r="D55" s="241">
        <v>60437</v>
      </c>
      <c r="E55" s="75">
        <v>8</v>
      </c>
      <c r="F55" s="93"/>
      <c r="G55" s="48"/>
      <c r="H55" s="48" t="s">
        <v>13</v>
      </c>
      <c r="I55" s="48" t="s">
        <v>124</v>
      </c>
      <c r="J55" s="132">
        <v>43217</v>
      </c>
      <c r="K55" s="58"/>
      <c r="L55" s="48"/>
    </row>
    <row r="56" spans="1:13" s="51" customFormat="1" x14ac:dyDescent="0.25">
      <c r="A56" s="236">
        <v>43214</v>
      </c>
      <c r="B56" s="130">
        <v>2</v>
      </c>
      <c r="C56" s="53">
        <v>121305</v>
      </c>
      <c r="D56" s="241">
        <v>60200</v>
      </c>
      <c r="E56" s="72">
        <v>47</v>
      </c>
      <c r="F56" s="93"/>
      <c r="G56" s="48"/>
      <c r="H56" s="48" t="s">
        <v>13</v>
      </c>
      <c r="I56" s="48" t="s">
        <v>19</v>
      </c>
      <c r="J56" s="132">
        <v>43220</v>
      </c>
      <c r="K56" s="58"/>
      <c r="L56" s="48" t="s">
        <v>29</v>
      </c>
      <c r="M56" s="51" t="s">
        <v>105</v>
      </c>
    </row>
    <row r="57" spans="1:13" s="51" customFormat="1" x14ac:dyDescent="0.25">
      <c r="A57" s="236">
        <v>43214</v>
      </c>
      <c r="B57" s="130">
        <v>3</v>
      </c>
      <c r="C57" s="53">
        <v>121303</v>
      </c>
      <c r="D57" s="241">
        <v>60183</v>
      </c>
      <c r="E57" s="75">
        <v>1</v>
      </c>
      <c r="F57" s="93"/>
      <c r="G57" s="48"/>
      <c r="H57" s="48" t="s">
        <v>18</v>
      </c>
      <c r="I57" s="48" t="s">
        <v>123</v>
      </c>
      <c r="J57" s="132">
        <v>43220</v>
      </c>
      <c r="K57" s="58"/>
      <c r="L57" s="48" t="s">
        <v>29</v>
      </c>
    </row>
    <row r="58" spans="1:13" s="51" customFormat="1" x14ac:dyDescent="0.25">
      <c r="A58" s="236">
        <v>43214</v>
      </c>
      <c r="B58" s="130">
        <v>4</v>
      </c>
      <c r="C58" s="53">
        <v>121287</v>
      </c>
      <c r="D58" s="241">
        <v>60166</v>
      </c>
      <c r="E58" s="72">
        <v>2</v>
      </c>
      <c r="F58" s="93"/>
      <c r="G58" s="48"/>
      <c r="H58" s="48" t="s">
        <v>18</v>
      </c>
      <c r="I58" s="48" t="s">
        <v>19</v>
      </c>
      <c r="J58" s="132">
        <v>43223</v>
      </c>
      <c r="K58" s="58"/>
      <c r="L58" s="48"/>
    </row>
    <row r="59" spans="1:13" s="51" customFormat="1" x14ac:dyDescent="0.25">
      <c r="A59" s="236">
        <v>43214</v>
      </c>
      <c r="B59" s="130">
        <v>5</v>
      </c>
      <c r="C59" s="53">
        <v>121327</v>
      </c>
      <c r="D59" s="241">
        <v>60202</v>
      </c>
      <c r="E59" s="72">
        <v>20</v>
      </c>
      <c r="F59" s="93"/>
      <c r="G59" s="48"/>
      <c r="H59" s="48" t="s">
        <v>18</v>
      </c>
      <c r="I59" s="48" t="s">
        <v>26</v>
      </c>
      <c r="J59" s="132">
        <v>43222</v>
      </c>
      <c r="K59" s="58"/>
      <c r="L59" s="48"/>
    </row>
    <row r="60" spans="1:13" s="51" customFormat="1" x14ac:dyDescent="0.25">
      <c r="A60" s="236">
        <v>43214</v>
      </c>
      <c r="B60" s="130">
        <v>6</v>
      </c>
      <c r="C60" s="53">
        <v>121537</v>
      </c>
      <c r="D60" s="241">
        <v>60397</v>
      </c>
      <c r="E60" s="75">
        <v>1</v>
      </c>
      <c r="F60" s="93"/>
      <c r="G60" s="48"/>
      <c r="H60" s="48" t="s">
        <v>13</v>
      </c>
      <c r="I60" s="48" t="s">
        <v>14</v>
      </c>
      <c r="J60" s="132">
        <v>43222</v>
      </c>
      <c r="K60" s="58"/>
      <c r="L60" s="48"/>
      <c r="M60" s="51" t="s">
        <v>122</v>
      </c>
    </row>
    <row r="61" spans="1:13" s="51" customFormat="1" x14ac:dyDescent="0.25">
      <c r="A61" s="236">
        <v>43214</v>
      </c>
      <c r="B61" s="130">
        <v>7</v>
      </c>
      <c r="C61" s="53">
        <v>121313</v>
      </c>
      <c r="D61" s="241">
        <v>60199</v>
      </c>
      <c r="E61" s="72">
        <v>1</v>
      </c>
      <c r="F61" s="93"/>
      <c r="H61" s="51" t="s">
        <v>13</v>
      </c>
      <c r="I61" s="51" t="s">
        <v>19</v>
      </c>
      <c r="J61" s="133">
        <v>43215</v>
      </c>
      <c r="K61" s="78"/>
      <c r="L61" s="51" t="s">
        <v>29</v>
      </c>
      <c r="M61" s="55"/>
    </row>
    <row r="62" spans="1:13" s="51" customFormat="1" x14ac:dyDescent="0.25">
      <c r="A62" s="236">
        <v>43215</v>
      </c>
      <c r="B62" s="127">
        <v>1</v>
      </c>
      <c r="C62" s="53">
        <v>121301</v>
      </c>
      <c r="D62" s="241">
        <v>60201</v>
      </c>
      <c r="E62" s="75">
        <v>13</v>
      </c>
      <c r="F62" s="93"/>
      <c r="G62" s="48"/>
      <c r="H62" s="48" t="s">
        <v>23</v>
      </c>
      <c r="I62" s="48" t="s">
        <v>17</v>
      </c>
      <c r="J62" s="132">
        <v>43220</v>
      </c>
      <c r="K62" s="58"/>
      <c r="L62" s="48" t="s">
        <v>29</v>
      </c>
      <c r="M62" s="48" t="s">
        <v>11</v>
      </c>
    </row>
    <row r="63" spans="1:13" s="51" customFormat="1" x14ac:dyDescent="0.25">
      <c r="A63" s="236">
        <v>43215</v>
      </c>
      <c r="B63" s="127">
        <v>2</v>
      </c>
      <c r="C63" s="53">
        <v>121311</v>
      </c>
      <c r="D63" s="241">
        <v>60191</v>
      </c>
      <c r="E63" s="75">
        <v>3</v>
      </c>
      <c r="F63" s="93"/>
      <c r="G63" s="48"/>
      <c r="H63" s="48" t="s">
        <v>18</v>
      </c>
      <c r="I63" s="48" t="s">
        <v>17</v>
      </c>
      <c r="J63" s="132">
        <v>43220</v>
      </c>
      <c r="K63" s="58"/>
      <c r="L63" s="48" t="s">
        <v>29</v>
      </c>
      <c r="M63" s="48" t="s">
        <v>11</v>
      </c>
    </row>
    <row r="64" spans="1:13" s="51" customFormat="1" x14ac:dyDescent="0.25">
      <c r="A64" s="236">
        <v>43215</v>
      </c>
      <c r="B64" s="127">
        <v>3</v>
      </c>
      <c r="C64" s="53">
        <v>121421</v>
      </c>
      <c r="D64" s="241">
        <v>60295</v>
      </c>
      <c r="E64" s="75">
        <v>4</v>
      </c>
      <c r="F64" s="93"/>
      <c r="G64" s="48"/>
      <c r="H64" s="48" t="s">
        <v>13</v>
      </c>
      <c r="I64" s="48" t="s">
        <v>19</v>
      </c>
      <c r="J64" s="132">
        <v>43222</v>
      </c>
      <c r="K64" s="58"/>
      <c r="L64" s="48" t="s">
        <v>121</v>
      </c>
      <c r="M64" s="48" t="s">
        <v>20</v>
      </c>
    </row>
    <row r="65" spans="1:14" s="51" customFormat="1" x14ac:dyDescent="0.25">
      <c r="A65" s="236">
        <v>43215</v>
      </c>
      <c r="B65" s="127">
        <v>4</v>
      </c>
      <c r="C65" s="53">
        <v>121507</v>
      </c>
      <c r="D65" s="241">
        <v>60376</v>
      </c>
      <c r="E65" s="72">
        <v>1</v>
      </c>
      <c r="F65" s="93"/>
      <c r="G65" s="48"/>
      <c r="H65" s="48" t="s">
        <v>18</v>
      </c>
      <c r="I65" s="48" t="s">
        <v>120</v>
      </c>
      <c r="J65" s="132">
        <v>43222</v>
      </c>
      <c r="K65" s="58"/>
      <c r="L65" s="48" t="s">
        <v>20</v>
      </c>
    </row>
    <row r="66" spans="1:14" s="51" customFormat="1" x14ac:dyDescent="0.25">
      <c r="A66" s="236">
        <v>43215</v>
      </c>
      <c r="B66" s="127">
        <v>5</v>
      </c>
      <c r="C66" s="53">
        <v>121576</v>
      </c>
      <c r="D66" s="241">
        <v>60439</v>
      </c>
      <c r="E66" s="72">
        <v>2</v>
      </c>
      <c r="F66" s="93"/>
      <c r="G66" s="48"/>
      <c r="H66" s="48" t="s">
        <v>119</v>
      </c>
      <c r="I66" s="48" t="s">
        <v>15</v>
      </c>
      <c r="J66" s="132">
        <v>43222</v>
      </c>
      <c r="K66" s="58"/>
      <c r="L66" s="48"/>
    </row>
    <row r="67" spans="1:14" s="51" customFormat="1" x14ac:dyDescent="0.25">
      <c r="A67" s="236">
        <v>43215</v>
      </c>
      <c r="B67" s="127">
        <v>6</v>
      </c>
      <c r="C67" s="53">
        <v>121413</v>
      </c>
      <c r="D67" s="241">
        <v>60312</v>
      </c>
      <c r="E67" s="72">
        <v>4</v>
      </c>
      <c r="F67" s="93"/>
      <c r="G67" s="48"/>
      <c r="H67" s="48" t="s">
        <v>23</v>
      </c>
      <c r="I67" s="48" t="s">
        <v>15</v>
      </c>
      <c r="J67" s="132">
        <v>43222</v>
      </c>
      <c r="K67" s="58"/>
      <c r="L67" s="48"/>
    </row>
    <row r="68" spans="1:14" s="51" customFormat="1" x14ac:dyDescent="0.25">
      <c r="A68" s="236">
        <v>43215</v>
      </c>
      <c r="B68" s="127">
        <v>7</v>
      </c>
      <c r="C68" s="53">
        <v>121436</v>
      </c>
      <c r="D68" s="241">
        <v>60328</v>
      </c>
      <c r="E68" s="72">
        <v>1</v>
      </c>
      <c r="F68" s="93"/>
      <c r="G68" s="48"/>
      <c r="H68" s="48" t="s">
        <v>23</v>
      </c>
      <c r="I68" s="48" t="s">
        <v>15</v>
      </c>
      <c r="J68" s="132">
        <v>43222</v>
      </c>
      <c r="K68" s="58"/>
      <c r="L68" s="48"/>
    </row>
    <row r="69" spans="1:14" s="51" customFormat="1" x14ac:dyDescent="0.25">
      <c r="A69" s="236">
        <v>43215</v>
      </c>
      <c r="B69" s="127">
        <v>8</v>
      </c>
      <c r="C69" s="53">
        <v>121334</v>
      </c>
      <c r="D69" s="241">
        <v>60232</v>
      </c>
      <c r="E69" s="72">
        <v>6</v>
      </c>
      <c r="F69" s="93"/>
      <c r="G69" s="48"/>
      <c r="H69" s="48" t="s">
        <v>23</v>
      </c>
      <c r="I69" s="48" t="s">
        <v>14</v>
      </c>
      <c r="J69" s="132">
        <v>43222</v>
      </c>
      <c r="K69" s="58"/>
      <c r="L69" s="48"/>
    </row>
    <row r="70" spans="1:14" s="51" customFormat="1" x14ac:dyDescent="0.25">
      <c r="A70" s="236">
        <v>43215</v>
      </c>
      <c r="B70" s="127">
        <v>9</v>
      </c>
      <c r="C70" s="53">
        <v>121494</v>
      </c>
      <c r="D70" s="241">
        <v>60347</v>
      </c>
      <c r="E70" s="72">
        <v>2</v>
      </c>
      <c r="F70" s="93"/>
      <c r="G70" s="48"/>
      <c r="H70" s="48" t="s">
        <v>18</v>
      </c>
      <c r="I70" s="48" t="s">
        <v>14</v>
      </c>
      <c r="J70" s="132">
        <v>43222</v>
      </c>
      <c r="K70" s="58"/>
      <c r="L70" s="48"/>
    </row>
    <row r="71" spans="1:14" s="51" customFormat="1" x14ac:dyDescent="0.25">
      <c r="A71" s="236">
        <v>43215</v>
      </c>
      <c r="B71" s="127">
        <v>10</v>
      </c>
      <c r="C71" s="53">
        <v>121510</v>
      </c>
      <c r="D71" s="241">
        <v>60380</v>
      </c>
      <c r="E71" s="72">
        <v>1</v>
      </c>
      <c r="F71" s="93"/>
      <c r="G71" s="48"/>
      <c r="H71" s="48" t="s">
        <v>18</v>
      </c>
      <c r="I71" s="48" t="s">
        <v>47</v>
      </c>
      <c r="J71" s="132">
        <v>43222</v>
      </c>
      <c r="K71" s="58"/>
      <c r="L71" s="48"/>
    </row>
    <row r="72" spans="1:14" s="51" customFormat="1" x14ac:dyDescent="0.25">
      <c r="A72" s="236">
        <v>43215</v>
      </c>
      <c r="B72" s="127">
        <v>11</v>
      </c>
      <c r="C72" s="53">
        <v>121382</v>
      </c>
      <c r="D72" s="241">
        <v>60285</v>
      </c>
      <c r="E72" s="75">
        <v>1</v>
      </c>
      <c r="F72" s="93"/>
      <c r="G72" s="48"/>
      <c r="H72" s="48" t="s">
        <v>13</v>
      </c>
      <c r="I72" s="48" t="s">
        <v>14</v>
      </c>
      <c r="J72" s="132">
        <v>43222</v>
      </c>
      <c r="K72" s="58"/>
      <c r="L72" s="48"/>
    </row>
    <row r="73" spans="1:14" s="51" customFormat="1" x14ac:dyDescent="0.25">
      <c r="A73" s="236">
        <v>43215</v>
      </c>
      <c r="B73" s="127">
        <v>12</v>
      </c>
      <c r="C73" s="53">
        <v>121076</v>
      </c>
      <c r="D73" s="241">
        <v>60016</v>
      </c>
      <c r="E73" s="104">
        <v>2</v>
      </c>
      <c r="F73" s="93"/>
      <c r="G73" s="48"/>
      <c r="H73" s="48" t="s">
        <v>13</v>
      </c>
      <c r="I73" s="48" t="s">
        <v>118</v>
      </c>
      <c r="J73" s="132">
        <v>43238</v>
      </c>
      <c r="K73" s="58"/>
      <c r="L73" s="48"/>
    </row>
    <row r="74" spans="1:14" s="51" customFormat="1" x14ac:dyDescent="0.25">
      <c r="A74" s="236">
        <v>43215</v>
      </c>
      <c r="B74" s="127">
        <v>13</v>
      </c>
      <c r="C74" s="53">
        <v>121022</v>
      </c>
      <c r="D74" s="241">
        <v>60010</v>
      </c>
      <c r="E74" s="106">
        <v>2</v>
      </c>
      <c r="F74" s="93"/>
      <c r="G74" s="48"/>
      <c r="H74" s="48" t="s">
        <v>13</v>
      </c>
      <c r="I74" s="48" t="s">
        <v>14</v>
      </c>
      <c r="J74" s="132">
        <v>43223</v>
      </c>
      <c r="K74" s="58"/>
      <c r="L74" s="48" t="s">
        <v>117</v>
      </c>
    </row>
    <row r="75" spans="1:14" s="51" customFormat="1" x14ac:dyDescent="0.25">
      <c r="A75" s="236">
        <v>43215</v>
      </c>
      <c r="B75" s="127">
        <v>14</v>
      </c>
      <c r="C75" s="53" t="s">
        <v>116</v>
      </c>
      <c r="D75" s="241">
        <v>60180</v>
      </c>
      <c r="E75" s="106">
        <v>17</v>
      </c>
      <c r="F75" s="93"/>
      <c r="G75" s="48"/>
      <c r="H75" s="48" t="s">
        <v>13</v>
      </c>
      <c r="I75" s="48" t="s">
        <v>14</v>
      </c>
      <c r="J75" s="132">
        <v>43223</v>
      </c>
      <c r="K75" s="58"/>
      <c r="L75" s="48" t="s">
        <v>115</v>
      </c>
      <c r="M75" s="48"/>
      <c r="N75" s="48"/>
    </row>
    <row r="76" spans="1:14" s="51" customFormat="1" x14ac:dyDescent="0.25">
      <c r="A76" s="236">
        <v>43157</v>
      </c>
      <c r="B76" s="128">
        <v>1</v>
      </c>
      <c r="C76" s="53">
        <v>121398</v>
      </c>
      <c r="D76" s="241">
        <v>60257</v>
      </c>
      <c r="E76" s="75">
        <v>2</v>
      </c>
      <c r="F76" s="93"/>
      <c r="G76" s="48"/>
      <c r="H76" s="48" t="s">
        <v>18</v>
      </c>
      <c r="I76" s="48" t="s">
        <v>19</v>
      </c>
      <c r="J76" s="132">
        <v>43222</v>
      </c>
      <c r="K76" s="58"/>
      <c r="L76" s="48"/>
      <c r="M76" s="48"/>
      <c r="N76" s="48"/>
    </row>
    <row r="77" spans="1:14" s="51" customFormat="1" x14ac:dyDescent="0.25">
      <c r="A77" s="236">
        <v>43157</v>
      </c>
      <c r="B77" s="128">
        <v>2</v>
      </c>
      <c r="C77" s="53">
        <v>121286</v>
      </c>
      <c r="D77" s="241">
        <v>60239</v>
      </c>
      <c r="E77" s="75">
        <v>6</v>
      </c>
      <c r="F77" s="93"/>
      <c r="G77" s="48"/>
      <c r="H77" s="48" t="s">
        <v>18</v>
      </c>
      <c r="I77" s="48" t="s">
        <v>19</v>
      </c>
      <c r="J77" s="132">
        <v>43223</v>
      </c>
      <c r="K77" s="58"/>
      <c r="L77" s="48"/>
      <c r="M77" s="48"/>
      <c r="N77" s="48"/>
    </row>
    <row r="78" spans="1:14" s="51" customFormat="1" x14ac:dyDescent="0.25">
      <c r="A78" s="236">
        <v>43157</v>
      </c>
      <c r="B78" s="128">
        <v>3</v>
      </c>
      <c r="C78" s="53">
        <v>121386</v>
      </c>
      <c r="D78" s="241">
        <v>60242</v>
      </c>
      <c r="E78" s="72">
        <v>5</v>
      </c>
      <c r="F78" s="93"/>
      <c r="G78" s="48"/>
      <c r="H78" s="48" t="s">
        <v>18</v>
      </c>
      <c r="I78" s="48" t="s">
        <v>26</v>
      </c>
      <c r="J78" s="132">
        <v>43222</v>
      </c>
      <c r="K78" s="58"/>
      <c r="L78" s="48"/>
      <c r="M78" s="48"/>
      <c r="N78" s="48"/>
    </row>
    <row r="79" spans="1:14" s="51" customFormat="1" x14ac:dyDescent="0.25">
      <c r="A79" s="236">
        <v>43157</v>
      </c>
      <c r="B79" s="128">
        <v>4</v>
      </c>
      <c r="C79" s="53">
        <v>121489</v>
      </c>
      <c r="D79" s="241">
        <v>60379</v>
      </c>
      <c r="E79" s="75">
        <v>22</v>
      </c>
      <c r="F79" s="93"/>
      <c r="G79" s="48"/>
      <c r="H79" s="48" t="s">
        <v>18</v>
      </c>
      <c r="I79" s="48" t="s">
        <v>26</v>
      </c>
      <c r="J79" s="132">
        <v>43223</v>
      </c>
      <c r="K79" s="58"/>
      <c r="L79" s="48"/>
      <c r="M79" s="48"/>
      <c r="N79" s="48"/>
    </row>
    <row r="80" spans="1:14" s="51" customFormat="1" x14ac:dyDescent="0.25">
      <c r="A80" s="236">
        <v>43157</v>
      </c>
      <c r="B80" s="128">
        <v>5</v>
      </c>
      <c r="C80" s="53">
        <v>121055</v>
      </c>
      <c r="D80" s="241">
        <v>59994</v>
      </c>
      <c r="E80" s="106">
        <v>1</v>
      </c>
      <c r="F80" s="93"/>
      <c r="G80" s="48"/>
      <c r="H80" s="48" t="s">
        <v>13</v>
      </c>
      <c r="I80" s="48" t="s">
        <v>14</v>
      </c>
      <c r="J80" s="132">
        <v>43223</v>
      </c>
      <c r="K80" s="58"/>
      <c r="L80" s="48"/>
      <c r="M80" s="48"/>
      <c r="N80" s="48"/>
    </row>
    <row r="81" spans="1:14" s="51" customFormat="1" x14ac:dyDescent="0.25">
      <c r="A81" s="236">
        <v>43157</v>
      </c>
      <c r="B81" s="128">
        <v>6</v>
      </c>
      <c r="C81" s="53">
        <v>121482</v>
      </c>
      <c r="D81" s="241">
        <v>60340</v>
      </c>
      <c r="E81" s="72">
        <v>2</v>
      </c>
      <c r="F81" s="93"/>
      <c r="G81" s="48"/>
      <c r="H81" s="48" t="s">
        <v>23</v>
      </c>
      <c r="I81" s="48" t="s">
        <v>47</v>
      </c>
      <c r="J81" s="132">
        <v>43222</v>
      </c>
      <c r="K81" s="58"/>
      <c r="L81" s="48"/>
      <c r="M81" s="48"/>
      <c r="N81" s="48"/>
    </row>
    <row r="82" spans="1:14" s="51" customFormat="1" x14ac:dyDescent="0.25">
      <c r="A82" s="236">
        <v>43157</v>
      </c>
      <c r="B82" s="128">
        <v>7</v>
      </c>
      <c r="C82" s="53">
        <v>121599</v>
      </c>
      <c r="D82" s="241">
        <v>60464</v>
      </c>
      <c r="E82" s="106">
        <v>1</v>
      </c>
      <c r="F82" s="93"/>
      <c r="G82" s="48"/>
      <c r="H82" s="48" t="s">
        <v>18</v>
      </c>
      <c r="I82" s="48" t="s">
        <v>19</v>
      </c>
      <c r="J82" s="132">
        <v>43223</v>
      </c>
      <c r="K82" s="58"/>
      <c r="L82" s="48"/>
      <c r="M82" s="48"/>
      <c r="N82" s="48"/>
    </row>
    <row r="83" spans="1:14" s="51" customFormat="1" x14ac:dyDescent="0.25">
      <c r="A83" s="236">
        <v>43157</v>
      </c>
      <c r="B83" s="128">
        <v>8</v>
      </c>
      <c r="C83" s="53">
        <v>121521</v>
      </c>
      <c r="D83" s="241">
        <v>60391</v>
      </c>
      <c r="E83" s="106">
        <v>4</v>
      </c>
      <c r="F83" s="93"/>
      <c r="G83" s="48"/>
      <c r="H83" s="48" t="s">
        <v>18</v>
      </c>
      <c r="I83" s="48" t="s">
        <v>14</v>
      </c>
      <c r="J83" s="132">
        <v>43223</v>
      </c>
      <c r="K83" s="58"/>
      <c r="L83" s="48"/>
      <c r="M83" s="48"/>
      <c r="N83" s="48"/>
    </row>
    <row r="84" spans="1:14" s="51" customFormat="1" x14ac:dyDescent="0.25">
      <c r="A84" s="236">
        <v>43157</v>
      </c>
      <c r="B84" s="128">
        <v>9</v>
      </c>
      <c r="C84" s="53">
        <v>121463</v>
      </c>
      <c r="D84" s="241">
        <v>60356</v>
      </c>
      <c r="E84" s="72">
        <v>9</v>
      </c>
      <c r="F84" s="93"/>
      <c r="G84" s="48"/>
      <c r="H84" s="48" t="s">
        <v>13</v>
      </c>
      <c r="I84" s="48" t="s">
        <v>26</v>
      </c>
      <c r="J84" s="132">
        <v>43224</v>
      </c>
      <c r="K84" s="58"/>
      <c r="L84" s="48"/>
      <c r="M84" s="48"/>
      <c r="N84" s="48"/>
    </row>
    <row r="85" spans="1:14" s="51" customFormat="1" x14ac:dyDescent="0.25">
      <c r="A85" s="236">
        <v>43157</v>
      </c>
      <c r="B85" s="128">
        <v>10</v>
      </c>
      <c r="C85" s="53">
        <v>121466</v>
      </c>
      <c r="D85" s="241">
        <v>60368</v>
      </c>
      <c r="E85" s="72">
        <v>3</v>
      </c>
      <c r="F85" s="93"/>
      <c r="G85" s="48"/>
      <c r="H85" s="48" t="s">
        <v>13</v>
      </c>
      <c r="I85" s="48" t="s">
        <v>26</v>
      </c>
      <c r="J85" s="132">
        <v>43224</v>
      </c>
      <c r="K85" s="58"/>
      <c r="L85" s="48"/>
      <c r="M85" s="48"/>
      <c r="N85" s="48"/>
    </row>
    <row r="86" spans="1:14" s="51" customFormat="1" x14ac:dyDescent="0.25">
      <c r="A86" s="236">
        <v>43157</v>
      </c>
      <c r="B86" s="128">
        <v>11</v>
      </c>
      <c r="C86" s="53">
        <v>121467</v>
      </c>
      <c r="D86" s="241">
        <v>60359</v>
      </c>
      <c r="E86" s="72">
        <v>2</v>
      </c>
      <c r="F86" s="93"/>
      <c r="G86" s="48"/>
      <c r="H86" s="48" t="s">
        <v>13</v>
      </c>
      <c r="I86" s="48" t="s">
        <v>26</v>
      </c>
      <c r="J86" s="132">
        <v>43224</v>
      </c>
      <c r="K86" s="58"/>
      <c r="L86" s="48"/>
      <c r="M86" s="48"/>
      <c r="N86" s="48"/>
    </row>
    <row r="87" spans="1:14" s="51" customFormat="1" x14ac:dyDescent="0.25">
      <c r="A87" s="236">
        <v>43157</v>
      </c>
      <c r="B87" s="128">
        <v>12</v>
      </c>
      <c r="C87" s="53">
        <v>121468</v>
      </c>
      <c r="D87" s="241">
        <v>60360</v>
      </c>
      <c r="E87" s="72">
        <v>2</v>
      </c>
      <c r="F87" s="93"/>
      <c r="G87" s="48"/>
      <c r="H87" s="48" t="s">
        <v>13</v>
      </c>
      <c r="I87" s="48" t="s">
        <v>26</v>
      </c>
      <c r="J87" s="132">
        <v>43224</v>
      </c>
      <c r="K87" s="58"/>
      <c r="L87" s="48"/>
      <c r="M87" s="48"/>
      <c r="N87" s="48"/>
    </row>
    <row r="88" spans="1:14" s="51" customFormat="1" x14ac:dyDescent="0.25">
      <c r="A88" s="236">
        <v>43157</v>
      </c>
      <c r="B88" s="128">
        <v>13</v>
      </c>
      <c r="C88" s="53">
        <v>121469</v>
      </c>
      <c r="D88" s="241">
        <v>60367</v>
      </c>
      <c r="E88" s="72">
        <v>16</v>
      </c>
      <c r="F88" s="93"/>
      <c r="G88" s="48"/>
      <c r="H88" s="48" t="s">
        <v>13</v>
      </c>
      <c r="I88" s="48" t="s">
        <v>26</v>
      </c>
      <c r="J88" s="132">
        <v>43224</v>
      </c>
      <c r="K88" s="58"/>
      <c r="L88" s="48"/>
      <c r="M88" s="48"/>
      <c r="N88" s="48"/>
    </row>
    <row r="89" spans="1:14" s="51" customFormat="1" x14ac:dyDescent="0.25">
      <c r="A89" s="236">
        <v>43157</v>
      </c>
      <c r="B89" s="128">
        <v>14</v>
      </c>
      <c r="C89" s="53">
        <v>121470</v>
      </c>
      <c r="D89" s="241">
        <v>60361</v>
      </c>
      <c r="E89" s="72">
        <v>18</v>
      </c>
      <c r="F89" s="93"/>
      <c r="G89" s="48"/>
      <c r="H89" s="48" t="s">
        <v>13</v>
      </c>
      <c r="I89" s="48" t="s">
        <v>26</v>
      </c>
      <c r="J89" s="132">
        <v>43224</v>
      </c>
      <c r="K89" s="58"/>
      <c r="L89" s="48"/>
      <c r="M89" s="48"/>
      <c r="N89" s="48"/>
    </row>
    <row r="90" spans="1:14" s="51" customFormat="1" x14ac:dyDescent="0.25">
      <c r="A90" s="236">
        <v>43157</v>
      </c>
      <c r="B90" s="128">
        <v>15</v>
      </c>
      <c r="C90" s="53">
        <v>121471</v>
      </c>
      <c r="D90" s="241">
        <v>60362</v>
      </c>
      <c r="E90" s="72">
        <v>6</v>
      </c>
      <c r="F90" s="93"/>
      <c r="G90" s="48"/>
      <c r="H90" s="48" t="s">
        <v>13</v>
      </c>
      <c r="I90" s="48" t="s">
        <v>26</v>
      </c>
      <c r="J90" s="132">
        <v>43224</v>
      </c>
      <c r="K90" s="58"/>
      <c r="L90" s="48"/>
      <c r="M90" s="48" t="s">
        <v>114</v>
      </c>
      <c r="N90" s="48"/>
    </row>
    <row r="91" spans="1:14" s="51" customFormat="1" x14ac:dyDescent="0.25">
      <c r="A91" s="236">
        <v>43217</v>
      </c>
      <c r="B91" s="74">
        <v>1</v>
      </c>
      <c r="C91" s="53">
        <v>121544</v>
      </c>
      <c r="D91" s="241">
        <v>60427</v>
      </c>
      <c r="E91" s="75">
        <v>17</v>
      </c>
      <c r="F91" s="93"/>
      <c r="G91" s="48"/>
      <c r="H91" s="48" t="s">
        <v>23</v>
      </c>
      <c r="I91" s="48" t="s">
        <v>15</v>
      </c>
      <c r="J91" s="132">
        <v>43229</v>
      </c>
      <c r="K91" s="58"/>
      <c r="L91" s="48"/>
      <c r="M91" s="48"/>
      <c r="N91" s="48"/>
    </row>
    <row r="92" spans="1:14" s="51" customFormat="1" x14ac:dyDescent="0.25">
      <c r="A92" s="236">
        <v>43217</v>
      </c>
      <c r="B92" s="74">
        <v>2</v>
      </c>
      <c r="C92" s="53">
        <v>121448</v>
      </c>
      <c r="D92" s="241">
        <v>60326</v>
      </c>
      <c r="E92" s="75">
        <v>12</v>
      </c>
      <c r="F92" s="93"/>
      <c r="G92" s="48"/>
      <c r="H92" s="48" t="s">
        <v>13</v>
      </c>
      <c r="I92" s="48" t="s">
        <v>109</v>
      </c>
      <c r="J92" s="132">
        <v>43229</v>
      </c>
      <c r="K92" s="58"/>
      <c r="L92" s="48"/>
    </row>
    <row r="93" spans="1:14" s="51" customFormat="1" x14ac:dyDescent="0.25">
      <c r="A93" s="236">
        <v>43217</v>
      </c>
      <c r="B93" s="74">
        <v>3</v>
      </c>
      <c r="C93" s="53">
        <v>121626</v>
      </c>
      <c r="D93" s="241">
        <v>60474</v>
      </c>
      <c r="E93" s="75">
        <v>2</v>
      </c>
      <c r="F93" s="93"/>
      <c r="G93" s="48"/>
      <c r="H93" s="48" t="s">
        <v>13</v>
      </c>
      <c r="I93" s="48" t="s">
        <v>14</v>
      </c>
      <c r="J93" s="132">
        <v>43231</v>
      </c>
      <c r="K93" s="58"/>
      <c r="L93" s="48"/>
    </row>
    <row r="94" spans="1:14" s="51" customFormat="1" x14ac:dyDescent="0.25">
      <c r="A94" s="236">
        <v>43217</v>
      </c>
      <c r="B94" s="74">
        <v>4</v>
      </c>
      <c r="C94" s="53">
        <v>121613</v>
      </c>
      <c r="D94" s="241">
        <v>60475</v>
      </c>
      <c r="E94" s="75">
        <v>2</v>
      </c>
      <c r="F94" s="93"/>
      <c r="G94" s="48"/>
      <c r="H94" s="48" t="s">
        <v>13</v>
      </c>
      <c r="I94" s="48" t="s">
        <v>14</v>
      </c>
      <c r="J94" s="132">
        <v>43231</v>
      </c>
      <c r="K94" s="58"/>
      <c r="L94" s="48"/>
    </row>
    <row r="95" spans="1:14" s="51" customFormat="1" x14ac:dyDescent="0.25">
      <c r="A95" s="236">
        <v>43217</v>
      </c>
      <c r="B95" s="74">
        <v>5</v>
      </c>
      <c r="C95" s="53">
        <v>121444</v>
      </c>
      <c r="D95" s="241">
        <v>60342</v>
      </c>
      <c r="E95" s="75">
        <v>11</v>
      </c>
      <c r="F95" s="93"/>
      <c r="G95" s="48"/>
      <c r="H95" s="48" t="s">
        <v>23</v>
      </c>
      <c r="I95" s="48" t="s">
        <v>19</v>
      </c>
      <c r="J95" s="132">
        <v>43229</v>
      </c>
      <c r="K95" s="58"/>
      <c r="L95" s="48"/>
    </row>
    <row r="96" spans="1:14" s="51" customFormat="1" x14ac:dyDescent="0.25">
      <c r="A96" s="236">
        <v>43217</v>
      </c>
      <c r="B96" s="74">
        <v>6</v>
      </c>
      <c r="C96" s="53">
        <v>121502</v>
      </c>
      <c r="D96" s="241">
        <v>60374</v>
      </c>
      <c r="E96" s="75">
        <v>1</v>
      </c>
      <c r="F96" s="93"/>
      <c r="G96" s="48"/>
      <c r="H96" s="48" t="s">
        <v>18</v>
      </c>
      <c r="I96" s="48" t="s">
        <v>19</v>
      </c>
      <c r="J96" s="132">
        <v>43230</v>
      </c>
      <c r="K96" s="58"/>
      <c r="L96" s="48"/>
    </row>
    <row r="97" spans="1:13" s="51" customFormat="1" x14ac:dyDescent="0.25">
      <c r="A97" s="236">
        <v>43217</v>
      </c>
      <c r="B97" s="74">
        <v>7</v>
      </c>
      <c r="C97" s="53">
        <v>121501</v>
      </c>
      <c r="D97" s="241">
        <v>60373</v>
      </c>
      <c r="E97" s="75">
        <v>16</v>
      </c>
      <c r="F97" s="93"/>
      <c r="G97" s="48"/>
      <c r="H97" s="48" t="s">
        <v>18</v>
      </c>
      <c r="I97" s="48" t="s">
        <v>26</v>
      </c>
      <c r="J97" s="132">
        <v>43230</v>
      </c>
      <c r="K97" s="58"/>
      <c r="L97" s="48"/>
    </row>
    <row r="98" spans="1:13" s="51" customFormat="1" x14ac:dyDescent="0.25">
      <c r="A98" s="236">
        <v>43217</v>
      </c>
      <c r="B98" s="74">
        <v>8</v>
      </c>
      <c r="C98" s="53">
        <v>121500</v>
      </c>
      <c r="D98" s="241">
        <v>60372</v>
      </c>
      <c r="E98" s="75">
        <v>19</v>
      </c>
      <c r="F98" s="93"/>
      <c r="G98" s="48"/>
      <c r="H98" s="48" t="s">
        <v>18</v>
      </c>
      <c r="I98" s="48" t="s">
        <v>26</v>
      </c>
      <c r="J98" s="132">
        <v>43237</v>
      </c>
      <c r="K98" s="58"/>
      <c r="L98" s="48"/>
      <c r="M98" s="51" t="s">
        <v>113</v>
      </c>
    </row>
    <row r="99" spans="1:13" s="51" customFormat="1" x14ac:dyDescent="0.25">
      <c r="A99" s="236">
        <v>43217</v>
      </c>
      <c r="B99" s="74">
        <v>9</v>
      </c>
      <c r="C99" s="53" t="s">
        <v>112</v>
      </c>
      <c r="D99" s="241">
        <v>60501</v>
      </c>
      <c r="E99" s="106">
        <v>25</v>
      </c>
      <c r="F99" s="93"/>
      <c r="G99" s="48"/>
      <c r="H99" s="48" t="s">
        <v>111</v>
      </c>
      <c r="I99" s="48" t="s">
        <v>19</v>
      </c>
      <c r="J99" s="132" t="s">
        <v>110</v>
      </c>
      <c r="K99" s="58"/>
      <c r="L99" s="48"/>
    </row>
    <row r="100" spans="1:13" s="51" customFormat="1" x14ac:dyDescent="0.25">
      <c r="A100" s="236">
        <v>43220</v>
      </c>
      <c r="B100" s="129">
        <v>1</v>
      </c>
      <c r="C100" s="53">
        <v>121652</v>
      </c>
      <c r="D100" s="241">
        <v>60497</v>
      </c>
      <c r="E100" s="75">
        <v>3</v>
      </c>
      <c r="F100" s="93"/>
      <c r="G100" s="48"/>
      <c r="H100" s="48" t="s">
        <v>23</v>
      </c>
      <c r="I100" s="48" t="s">
        <v>25</v>
      </c>
      <c r="J100" s="132">
        <v>43229</v>
      </c>
      <c r="K100" s="58"/>
      <c r="L100" s="48"/>
    </row>
    <row r="101" spans="1:13" s="51" customFormat="1" x14ac:dyDescent="0.25">
      <c r="A101" s="236">
        <v>43220</v>
      </c>
      <c r="B101" s="129">
        <v>2</v>
      </c>
      <c r="C101" s="53">
        <v>121641</v>
      </c>
      <c r="D101" s="241">
        <v>60471</v>
      </c>
      <c r="E101" s="75">
        <v>1</v>
      </c>
      <c r="F101" s="93"/>
      <c r="G101" s="48"/>
      <c r="H101" s="48" t="s">
        <v>18</v>
      </c>
      <c r="I101" s="48" t="s">
        <v>26</v>
      </c>
      <c r="J101" s="132">
        <v>43223</v>
      </c>
      <c r="K101" s="58"/>
      <c r="L101" s="48"/>
    </row>
    <row r="102" spans="1:13" s="51" customFormat="1" x14ac:dyDescent="0.25">
      <c r="A102" s="236">
        <v>43220</v>
      </c>
      <c r="B102" s="129">
        <v>3</v>
      </c>
      <c r="C102" s="53">
        <v>121477</v>
      </c>
      <c r="D102" s="241">
        <v>60337</v>
      </c>
      <c r="E102" s="75">
        <v>1</v>
      </c>
      <c r="F102" s="93"/>
      <c r="G102" s="48"/>
      <c r="H102" s="48" t="s">
        <v>18</v>
      </c>
      <c r="I102" s="48" t="s">
        <v>19</v>
      </c>
      <c r="J102" s="132">
        <v>43230</v>
      </c>
      <c r="K102" s="58"/>
      <c r="L102" s="48"/>
    </row>
    <row r="103" spans="1:13" s="51" customFormat="1" x14ac:dyDescent="0.25">
      <c r="A103" s="236">
        <v>43220</v>
      </c>
      <c r="B103" s="129">
        <v>4</v>
      </c>
      <c r="C103" s="53">
        <v>121410</v>
      </c>
      <c r="D103" s="241">
        <v>60262</v>
      </c>
      <c r="E103" s="75">
        <v>1</v>
      </c>
      <c r="F103" s="93"/>
      <c r="G103" s="48"/>
      <c r="H103" s="48" t="s">
        <v>18</v>
      </c>
      <c r="I103" s="48" t="s">
        <v>106</v>
      </c>
      <c r="J103" s="132">
        <v>43230</v>
      </c>
      <c r="K103" s="58"/>
      <c r="L103" s="48"/>
    </row>
    <row r="104" spans="1:13" s="51" customFormat="1" x14ac:dyDescent="0.25">
      <c r="A104" s="236">
        <v>43220</v>
      </c>
      <c r="B104" s="129">
        <v>5</v>
      </c>
      <c r="C104" s="53">
        <v>121419</v>
      </c>
      <c r="D104" s="241">
        <v>60280</v>
      </c>
      <c r="E104" s="75">
        <v>2</v>
      </c>
      <c r="F104" s="93"/>
      <c r="G104" s="48"/>
      <c r="H104" s="48" t="s">
        <v>18</v>
      </c>
      <c r="I104" s="48" t="s">
        <v>109</v>
      </c>
      <c r="J104" s="132">
        <v>43230</v>
      </c>
      <c r="K104" s="58"/>
      <c r="L104" s="48"/>
    </row>
    <row r="105" spans="1:13" s="51" customFormat="1" x14ac:dyDescent="0.25">
      <c r="A105" s="236">
        <v>43220</v>
      </c>
      <c r="B105" s="129">
        <v>6</v>
      </c>
      <c r="C105" s="53">
        <v>121445</v>
      </c>
      <c r="D105" s="241">
        <v>60327</v>
      </c>
      <c r="E105" s="75">
        <v>1</v>
      </c>
      <c r="F105" s="93"/>
      <c r="G105" s="48"/>
      <c r="H105" s="48" t="s">
        <v>18</v>
      </c>
      <c r="I105" s="48" t="s">
        <v>19</v>
      </c>
      <c r="J105" s="132">
        <v>43230</v>
      </c>
      <c r="K105" s="58"/>
      <c r="L105" s="48"/>
    </row>
    <row r="106" spans="1:13" s="51" customFormat="1" x14ac:dyDescent="0.25">
      <c r="A106" s="236">
        <v>43220</v>
      </c>
      <c r="B106" s="129">
        <v>7</v>
      </c>
      <c r="C106" s="53">
        <v>121479</v>
      </c>
      <c r="D106" s="241">
        <v>60338</v>
      </c>
      <c r="E106" s="89">
        <v>2</v>
      </c>
      <c r="F106" s="93"/>
      <c r="G106" s="48"/>
      <c r="H106" s="48" t="s">
        <v>18</v>
      </c>
      <c r="I106" s="48" t="s">
        <v>108</v>
      </c>
      <c r="J106" s="132">
        <v>43231</v>
      </c>
      <c r="K106" s="58"/>
      <c r="L106" s="48"/>
    </row>
    <row r="107" spans="1:13" s="51" customFormat="1" x14ac:dyDescent="0.25">
      <c r="A107" s="236">
        <v>43220</v>
      </c>
      <c r="B107" s="129">
        <v>8</v>
      </c>
      <c r="C107" s="53">
        <v>121480</v>
      </c>
      <c r="D107" s="241">
        <v>60339</v>
      </c>
      <c r="E107" s="89">
        <v>1</v>
      </c>
      <c r="F107" s="93"/>
      <c r="G107" s="48"/>
      <c r="H107" s="48" t="s">
        <v>18</v>
      </c>
      <c r="I107" s="48" t="s">
        <v>108</v>
      </c>
      <c r="J107" s="132">
        <v>43231</v>
      </c>
      <c r="K107" s="58"/>
      <c r="L107" s="48"/>
    </row>
    <row r="108" spans="1:13" s="51" customFormat="1" x14ac:dyDescent="0.25">
      <c r="A108" s="236">
        <v>43220</v>
      </c>
      <c r="B108" s="129">
        <v>9</v>
      </c>
      <c r="C108" s="53">
        <v>121553</v>
      </c>
      <c r="D108" s="241">
        <v>60416</v>
      </c>
      <c r="E108" s="75">
        <v>4</v>
      </c>
      <c r="F108" s="93"/>
      <c r="G108" s="48"/>
      <c r="H108" s="48" t="s">
        <v>18</v>
      </c>
      <c r="I108" s="48" t="s">
        <v>26</v>
      </c>
      <c r="J108" s="132">
        <v>43230</v>
      </c>
      <c r="K108" s="58"/>
      <c r="L108" s="48"/>
    </row>
    <row r="109" spans="1:13" s="51" customFormat="1" x14ac:dyDescent="0.25">
      <c r="A109" s="236">
        <v>43220</v>
      </c>
      <c r="B109" s="129">
        <v>10</v>
      </c>
      <c r="C109" s="53">
        <v>121577</v>
      </c>
      <c r="D109" s="241">
        <v>60440</v>
      </c>
      <c r="E109" s="75">
        <v>1</v>
      </c>
      <c r="F109" s="93"/>
      <c r="G109" s="48"/>
      <c r="H109" s="48" t="s">
        <v>107</v>
      </c>
      <c r="I109" s="48" t="s">
        <v>15</v>
      </c>
      <c r="J109" s="132">
        <v>43227</v>
      </c>
      <c r="K109" s="58"/>
      <c r="L109" s="48"/>
    </row>
    <row r="110" spans="1:13" s="51" customFormat="1" x14ac:dyDescent="0.25">
      <c r="A110" s="236">
        <v>43220</v>
      </c>
      <c r="B110" s="129">
        <v>11</v>
      </c>
      <c r="C110" s="53">
        <v>121611</v>
      </c>
      <c r="D110" s="241">
        <v>60456</v>
      </c>
      <c r="E110" s="104">
        <v>3</v>
      </c>
      <c r="F110" s="93"/>
      <c r="G110" s="48"/>
      <c r="H110" s="48" t="s">
        <v>18</v>
      </c>
      <c r="I110" s="48" t="s">
        <v>25</v>
      </c>
      <c r="J110" s="132">
        <v>43229</v>
      </c>
      <c r="K110" s="58"/>
      <c r="L110" s="48"/>
    </row>
    <row r="111" spans="1:13" s="51" customFormat="1" x14ac:dyDescent="0.25">
      <c r="A111" s="236">
        <v>43220</v>
      </c>
      <c r="B111" s="129">
        <v>12</v>
      </c>
      <c r="C111" s="53">
        <v>121627</v>
      </c>
      <c r="D111" s="241">
        <v>60478</v>
      </c>
      <c r="E111" s="75">
        <v>3</v>
      </c>
      <c r="F111" s="93"/>
      <c r="G111" s="48"/>
      <c r="H111" s="48" t="s">
        <v>34</v>
      </c>
      <c r="I111" s="48" t="s">
        <v>14</v>
      </c>
      <c r="J111" s="132">
        <v>43229</v>
      </c>
      <c r="K111" s="58"/>
      <c r="L111" s="48"/>
    </row>
    <row r="112" spans="1:13" s="51" customFormat="1" x14ac:dyDescent="0.25">
      <c r="A112" s="236">
        <v>43220</v>
      </c>
      <c r="B112" s="129">
        <v>13</v>
      </c>
      <c r="C112" s="53">
        <v>121487</v>
      </c>
      <c r="D112" s="241">
        <v>60341</v>
      </c>
      <c r="E112" s="75">
        <v>2</v>
      </c>
      <c r="F112" s="93"/>
      <c r="G112" s="48"/>
      <c r="H112" s="48" t="s">
        <v>18</v>
      </c>
      <c r="I112" s="48" t="s">
        <v>26</v>
      </c>
      <c r="J112" s="132">
        <v>43229</v>
      </c>
      <c r="K112" s="58"/>
      <c r="L112" s="48"/>
    </row>
    <row r="113" spans="1:16" s="51" customFormat="1" x14ac:dyDescent="0.25">
      <c r="A113" s="236">
        <v>43220</v>
      </c>
      <c r="B113" s="129">
        <v>14</v>
      </c>
      <c r="C113" s="53">
        <v>121460</v>
      </c>
      <c r="D113" s="241">
        <v>60325</v>
      </c>
      <c r="E113" s="75">
        <v>5</v>
      </c>
      <c r="F113" s="93"/>
      <c r="G113" s="48"/>
      <c r="H113" s="48" t="s">
        <v>18</v>
      </c>
      <c r="I113" s="48" t="s">
        <v>19</v>
      </c>
      <c r="J113" s="132">
        <v>43222</v>
      </c>
      <c r="K113" s="58"/>
      <c r="L113" s="48"/>
    </row>
    <row r="114" spans="1:16" s="51" customFormat="1" x14ac:dyDescent="0.25">
      <c r="A114" s="236">
        <v>43220</v>
      </c>
      <c r="B114" s="129">
        <v>15</v>
      </c>
      <c r="C114" s="53">
        <v>121455</v>
      </c>
      <c r="D114" s="241">
        <v>60320</v>
      </c>
      <c r="E114" s="75">
        <v>1</v>
      </c>
      <c r="F114" s="93"/>
      <c r="G114" s="48"/>
      <c r="H114" s="48" t="s">
        <v>18</v>
      </c>
      <c r="I114" s="48" t="s">
        <v>19</v>
      </c>
      <c r="J114" s="132">
        <v>43234</v>
      </c>
      <c r="K114" s="58"/>
      <c r="L114" s="48"/>
    </row>
    <row r="115" spans="1:16" s="51" customFormat="1" x14ac:dyDescent="0.25">
      <c r="A115" s="236">
        <v>43220</v>
      </c>
      <c r="B115" s="129">
        <v>16</v>
      </c>
      <c r="C115" s="53">
        <v>121433</v>
      </c>
      <c r="D115" s="241">
        <v>60300</v>
      </c>
      <c r="E115" s="72">
        <v>2</v>
      </c>
      <c r="F115" s="93"/>
      <c r="G115" s="48"/>
      <c r="H115" s="48" t="s">
        <v>18</v>
      </c>
      <c r="I115" s="48" t="s">
        <v>19</v>
      </c>
      <c r="J115" s="132">
        <v>43234</v>
      </c>
      <c r="K115" s="58"/>
      <c r="L115" s="48"/>
    </row>
    <row r="116" spans="1:16" s="51" customFormat="1" x14ac:dyDescent="0.25">
      <c r="A116" s="236">
        <v>43220</v>
      </c>
      <c r="B116" s="129">
        <v>17</v>
      </c>
      <c r="C116" s="53">
        <v>121434</v>
      </c>
      <c r="D116" s="241">
        <v>60314</v>
      </c>
      <c r="E116" s="72">
        <v>3</v>
      </c>
      <c r="F116" s="93"/>
      <c r="G116" s="48"/>
      <c r="H116" s="48" t="s">
        <v>18</v>
      </c>
      <c r="I116" s="48" t="s">
        <v>19</v>
      </c>
      <c r="J116" s="132">
        <v>43234</v>
      </c>
      <c r="K116" s="58"/>
      <c r="L116" s="48"/>
    </row>
    <row r="117" spans="1:16" s="51" customFormat="1" x14ac:dyDescent="0.25">
      <c r="A117" s="236">
        <v>43220</v>
      </c>
      <c r="B117" s="129">
        <v>18</v>
      </c>
      <c r="C117" s="53">
        <v>121601</v>
      </c>
      <c r="D117" s="241">
        <v>60466</v>
      </c>
      <c r="E117" s="72">
        <v>17</v>
      </c>
      <c r="F117" s="93"/>
      <c r="G117" s="48"/>
      <c r="H117" s="48" t="s">
        <v>18</v>
      </c>
      <c r="I117" s="48" t="s">
        <v>56</v>
      </c>
      <c r="J117" s="132">
        <v>43234</v>
      </c>
      <c r="K117" s="58"/>
      <c r="L117" s="48"/>
    </row>
    <row r="118" spans="1:16" s="51" customFormat="1" x14ac:dyDescent="0.25">
      <c r="A118" s="236">
        <v>43220</v>
      </c>
      <c r="B118" s="129">
        <v>19</v>
      </c>
      <c r="C118" s="53">
        <v>121457</v>
      </c>
      <c r="D118" s="241">
        <v>60322</v>
      </c>
      <c r="E118" s="75">
        <v>1</v>
      </c>
      <c r="F118" s="93"/>
      <c r="G118" s="48"/>
      <c r="H118" s="48" t="s">
        <v>18</v>
      </c>
      <c r="I118" s="48" t="s">
        <v>19</v>
      </c>
      <c r="J118" s="132">
        <v>43228</v>
      </c>
      <c r="K118" s="58"/>
      <c r="L118" s="48" t="s">
        <v>20</v>
      </c>
    </row>
    <row r="119" spans="1:16" s="51" customFormat="1" x14ac:dyDescent="0.25">
      <c r="A119" s="236">
        <v>43220</v>
      </c>
      <c r="B119" s="129">
        <v>20</v>
      </c>
      <c r="C119" s="53">
        <v>121420</v>
      </c>
      <c r="D119" s="241">
        <v>60281</v>
      </c>
      <c r="E119" s="75">
        <v>1</v>
      </c>
      <c r="F119" s="93"/>
      <c r="G119" s="48"/>
      <c r="H119" s="48" t="s">
        <v>18</v>
      </c>
      <c r="I119" s="48" t="s">
        <v>106</v>
      </c>
      <c r="J119" s="132">
        <v>43229</v>
      </c>
      <c r="K119" s="58"/>
      <c r="L119" s="48" t="s">
        <v>20</v>
      </c>
    </row>
    <row r="120" spans="1:16" s="51" customFormat="1" x14ac:dyDescent="0.25">
      <c r="A120" s="236">
        <v>43220</v>
      </c>
      <c r="B120" s="129">
        <v>21</v>
      </c>
      <c r="C120" s="53">
        <v>121593</v>
      </c>
      <c r="D120" s="241">
        <v>60465</v>
      </c>
      <c r="E120" s="75">
        <v>21</v>
      </c>
      <c r="F120" s="93"/>
      <c r="G120" s="48"/>
      <c r="H120" s="48" t="s">
        <v>18</v>
      </c>
      <c r="I120" s="48" t="s">
        <v>19</v>
      </c>
      <c r="J120" s="132">
        <v>43234</v>
      </c>
      <c r="K120" s="58"/>
      <c r="L120" s="51" t="s">
        <v>105</v>
      </c>
      <c r="M120" s="48"/>
      <c r="N120" s="48" t="s">
        <v>11</v>
      </c>
      <c r="O120" s="48" t="s">
        <v>104</v>
      </c>
      <c r="P120" s="48"/>
    </row>
    <row r="121" spans="1:16" s="51" customFormat="1" x14ac:dyDescent="0.25">
      <c r="A121" s="236">
        <v>43221</v>
      </c>
      <c r="B121" s="130">
        <v>1</v>
      </c>
      <c r="C121" s="53">
        <v>120961</v>
      </c>
      <c r="D121" s="241">
        <v>59914</v>
      </c>
      <c r="E121" s="75">
        <v>44</v>
      </c>
      <c r="F121" s="93"/>
      <c r="G121" s="48"/>
      <c r="H121" s="48" t="s">
        <v>87</v>
      </c>
      <c r="I121" s="48" t="s">
        <v>19</v>
      </c>
      <c r="J121" s="132">
        <v>43223</v>
      </c>
      <c r="K121" s="58"/>
      <c r="L121" s="48" t="s">
        <v>84</v>
      </c>
      <c r="M121" s="48" t="s">
        <v>103</v>
      </c>
      <c r="N121" s="48"/>
      <c r="O121" s="48"/>
      <c r="P121" s="48"/>
    </row>
    <row r="122" spans="1:16" s="51" customFormat="1" x14ac:dyDescent="0.25">
      <c r="A122" s="236">
        <v>43221</v>
      </c>
      <c r="B122" s="130">
        <v>2</v>
      </c>
      <c r="C122" s="53">
        <v>121643</v>
      </c>
      <c r="D122" s="241">
        <v>60496</v>
      </c>
      <c r="E122" s="75">
        <v>1</v>
      </c>
      <c r="F122" s="93"/>
      <c r="G122" s="48"/>
      <c r="H122" s="48" t="s">
        <v>13</v>
      </c>
      <c r="I122" s="48" t="s">
        <v>102</v>
      </c>
      <c r="J122" s="132">
        <v>43229</v>
      </c>
      <c r="K122" s="58"/>
      <c r="L122" s="48" t="s">
        <v>101</v>
      </c>
      <c r="M122" s="48"/>
      <c r="N122" s="48"/>
      <c r="O122" s="48"/>
      <c r="P122" s="48"/>
    </row>
    <row r="123" spans="1:16" s="51" customFormat="1" x14ac:dyDescent="0.25">
      <c r="A123" s="236">
        <v>43221</v>
      </c>
      <c r="B123" s="130">
        <v>3</v>
      </c>
      <c r="C123" s="53">
        <v>121612</v>
      </c>
      <c r="D123" s="241">
        <v>60479</v>
      </c>
      <c r="E123" s="104">
        <v>1</v>
      </c>
      <c r="F123" s="93"/>
      <c r="G123" s="48"/>
      <c r="H123" s="48" t="s">
        <v>13</v>
      </c>
      <c r="I123" s="48" t="s">
        <v>15</v>
      </c>
      <c r="J123" s="132">
        <v>43236</v>
      </c>
      <c r="K123" s="58"/>
      <c r="L123" s="48"/>
      <c r="M123" s="48"/>
      <c r="N123" s="48"/>
      <c r="O123" s="48"/>
      <c r="P123" s="48"/>
    </row>
    <row r="124" spans="1:16" s="51" customFormat="1" x14ac:dyDescent="0.25">
      <c r="A124" s="236">
        <v>43222</v>
      </c>
      <c r="B124" s="128">
        <v>1</v>
      </c>
      <c r="C124" s="53">
        <v>121695</v>
      </c>
      <c r="D124" s="241">
        <v>60528</v>
      </c>
      <c r="E124" s="75">
        <v>9</v>
      </c>
      <c r="F124" s="93"/>
      <c r="G124" s="48"/>
      <c r="H124" s="48" t="s">
        <v>13</v>
      </c>
      <c r="I124" s="48" t="s">
        <v>100</v>
      </c>
      <c r="J124" s="132">
        <v>43239</v>
      </c>
      <c r="K124" s="58"/>
      <c r="L124" s="48"/>
      <c r="M124" s="48"/>
      <c r="N124" s="48"/>
      <c r="O124" s="48"/>
      <c r="P124" s="48"/>
    </row>
    <row r="125" spans="1:16" s="51" customFormat="1" x14ac:dyDescent="0.25">
      <c r="A125" s="236">
        <v>43222</v>
      </c>
      <c r="B125" s="128">
        <v>2</v>
      </c>
      <c r="C125" s="53">
        <v>121681</v>
      </c>
      <c r="D125" s="241">
        <v>60531</v>
      </c>
      <c r="E125" s="102">
        <v>8</v>
      </c>
      <c r="F125" s="93"/>
      <c r="G125" s="48"/>
      <c r="H125" s="48" t="s">
        <v>99</v>
      </c>
      <c r="I125" s="48" t="s">
        <v>98</v>
      </c>
      <c r="J125" s="132">
        <v>43229</v>
      </c>
      <c r="K125" s="58"/>
      <c r="L125" s="48"/>
      <c r="M125" s="48"/>
      <c r="N125" s="48"/>
      <c r="O125" s="48"/>
      <c r="P125" s="48"/>
    </row>
    <row r="126" spans="1:16" s="51" customFormat="1" x14ac:dyDescent="0.25">
      <c r="A126" s="236">
        <v>43222</v>
      </c>
      <c r="B126" s="128">
        <v>3</v>
      </c>
      <c r="C126" s="53">
        <v>121694</v>
      </c>
      <c r="D126" s="241">
        <v>60524</v>
      </c>
      <c r="E126" s="104">
        <v>1</v>
      </c>
      <c r="F126" s="93"/>
      <c r="G126" s="48"/>
      <c r="H126" s="48" t="s">
        <v>18</v>
      </c>
      <c r="I126" s="48" t="s">
        <v>19</v>
      </c>
      <c r="J126" s="132">
        <v>43236</v>
      </c>
      <c r="K126" s="58"/>
      <c r="L126" s="48"/>
      <c r="M126" s="48"/>
      <c r="N126" s="48"/>
      <c r="O126" s="48"/>
      <c r="P126" s="48"/>
    </row>
    <row r="127" spans="1:16" x14ac:dyDescent="0.25">
      <c r="A127" s="237">
        <v>43222</v>
      </c>
      <c r="B127" s="128">
        <v>4</v>
      </c>
      <c r="C127" s="53">
        <v>121561</v>
      </c>
      <c r="D127" s="241">
        <v>60422</v>
      </c>
      <c r="E127" s="79">
        <v>12</v>
      </c>
      <c r="F127" s="93"/>
      <c r="G127" s="48"/>
      <c r="H127" s="48" t="s">
        <v>23</v>
      </c>
      <c r="I127" s="48" t="s">
        <v>19</v>
      </c>
      <c r="J127" s="132">
        <v>43234</v>
      </c>
      <c r="K127" s="58"/>
    </row>
    <row r="128" spans="1:16" x14ac:dyDescent="0.25">
      <c r="A128" s="237">
        <v>43222</v>
      </c>
      <c r="B128" s="128">
        <v>5</v>
      </c>
      <c r="C128" s="53">
        <v>121530</v>
      </c>
      <c r="D128" s="241">
        <v>60393</v>
      </c>
      <c r="E128" s="79">
        <v>8</v>
      </c>
      <c r="F128" s="93"/>
      <c r="G128" s="48"/>
      <c r="H128" s="48" t="s">
        <v>23</v>
      </c>
      <c r="I128" s="48" t="s">
        <v>19</v>
      </c>
      <c r="J128" s="132">
        <v>43234</v>
      </c>
      <c r="K128" s="58"/>
      <c r="N128" s="48">
        <f>E106+E107+E110+E115+E116+E117+E120+E123+E125+E126+E127+E128+E129+E130+E131+E132+E133+E134+E135+E136+E137+E138+E139+E140+E141+E142+E143</f>
        <v>200</v>
      </c>
    </row>
    <row r="129" spans="1:14" x14ac:dyDescent="0.25">
      <c r="A129" s="237">
        <v>43222</v>
      </c>
      <c r="B129" s="128">
        <v>6</v>
      </c>
      <c r="C129" s="53">
        <v>121549</v>
      </c>
      <c r="D129" s="241">
        <v>60412</v>
      </c>
      <c r="E129" s="79">
        <v>12</v>
      </c>
      <c r="F129" s="93"/>
      <c r="G129" s="48"/>
      <c r="H129" s="48" t="s">
        <v>23</v>
      </c>
      <c r="I129" s="48" t="s">
        <v>19</v>
      </c>
      <c r="J129" s="132">
        <v>43234</v>
      </c>
      <c r="K129" s="58"/>
    </row>
    <row r="130" spans="1:14" x14ac:dyDescent="0.25">
      <c r="A130" s="237">
        <v>43222</v>
      </c>
      <c r="B130" s="128">
        <v>7</v>
      </c>
      <c r="C130" s="53">
        <v>121543</v>
      </c>
      <c r="D130" s="241">
        <v>60408</v>
      </c>
      <c r="E130" s="79">
        <v>12</v>
      </c>
      <c r="F130" s="93"/>
      <c r="G130" s="48"/>
      <c r="H130" s="48" t="s">
        <v>23</v>
      </c>
      <c r="I130" s="48" t="s">
        <v>19</v>
      </c>
      <c r="J130" s="132">
        <v>43234</v>
      </c>
      <c r="K130" s="58"/>
    </row>
    <row r="131" spans="1:14" x14ac:dyDescent="0.25">
      <c r="A131" s="237">
        <v>43222</v>
      </c>
      <c r="B131" s="128">
        <v>8</v>
      </c>
      <c r="C131" s="53">
        <v>121556</v>
      </c>
      <c r="D131" s="241">
        <v>60417</v>
      </c>
      <c r="E131" s="104">
        <v>12</v>
      </c>
      <c r="F131" s="93"/>
      <c r="G131" s="48"/>
      <c r="H131" s="48" t="s">
        <v>23</v>
      </c>
      <c r="I131" s="48" t="s">
        <v>19</v>
      </c>
      <c r="J131" s="132">
        <v>43234</v>
      </c>
      <c r="K131" s="58"/>
    </row>
    <row r="132" spans="1:14" x14ac:dyDescent="0.25">
      <c r="A132" s="237">
        <v>43222</v>
      </c>
      <c r="B132" s="128">
        <v>9</v>
      </c>
      <c r="C132" s="53">
        <v>121678</v>
      </c>
      <c r="D132" s="241">
        <v>60527</v>
      </c>
      <c r="E132" s="104">
        <v>1</v>
      </c>
      <c r="F132" s="93"/>
      <c r="G132" s="48"/>
      <c r="H132" s="48" t="s">
        <v>13</v>
      </c>
      <c r="I132" s="48" t="s">
        <v>14</v>
      </c>
      <c r="J132" s="132">
        <v>43227</v>
      </c>
      <c r="K132" s="58"/>
    </row>
    <row r="133" spans="1:14" x14ac:dyDescent="0.25">
      <c r="A133" s="237">
        <v>43223</v>
      </c>
      <c r="B133" s="127">
        <v>1</v>
      </c>
      <c r="C133" s="53">
        <v>121515</v>
      </c>
      <c r="D133" s="241">
        <v>60383</v>
      </c>
      <c r="E133" s="101">
        <v>3</v>
      </c>
      <c r="F133" s="93"/>
      <c r="G133" s="51"/>
      <c r="H133" s="51" t="s">
        <v>34</v>
      </c>
      <c r="I133" s="51" t="s">
        <v>19</v>
      </c>
      <c r="J133" s="132">
        <v>43227</v>
      </c>
      <c r="K133" s="58"/>
      <c r="L133" s="51" t="s">
        <v>75</v>
      </c>
      <c r="M133" s="51" t="s">
        <v>35</v>
      </c>
      <c r="N133" s="51" t="s">
        <v>97</v>
      </c>
    </row>
    <row r="134" spans="1:14" x14ac:dyDescent="0.25">
      <c r="A134" s="237">
        <v>43223</v>
      </c>
      <c r="B134" s="127">
        <v>2</v>
      </c>
      <c r="C134" s="53">
        <v>121711</v>
      </c>
      <c r="D134" s="241">
        <v>60535</v>
      </c>
      <c r="E134" s="79">
        <v>1</v>
      </c>
      <c r="F134" s="93"/>
      <c r="G134" s="51"/>
      <c r="H134" s="51" t="s">
        <v>23</v>
      </c>
      <c r="I134" s="51" t="s">
        <v>26</v>
      </c>
      <c r="J134" s="132">
        <v>43229</v>
      </c>
      <c r="K134" s="58"/>
    </row>
    <row r="135" spans="1:14" x14ac:dyDescent="0.25">
      <c r="A135" s="237">
        <v>43223</v>
      </c>
      <c r="B135" s="127">
        <v>3</v>
      </c>
      <c r="C135" s="53">
        <v>121705</v>
      </c>
      <c r="D135" s="241">
        <v>60546</v>
      </c>
      <c r="E135" s="104">
        <v>4</v>
      </c>
      <c r="F135" s="93"/>
      <c r="G135" s="51"/>
      <c r="H135" s="51" t="s">
        <v>96</v>
      </c>
      <c r="I135" s="51" t="s">
        <v>36</v>
      </c>
      <c r="J135" s="132">
        <v>43229</v>
      </c>
      <c r="K135" s="58"/>
    </row>
    <row r="136" spans="1:14" x14ac:dyDescent="0.25">
      <c r="A136" s="237">
        <v>43223</v>
      </c>
      <c r="B136" s="127">
        <v>4</v>
      </c>
      <c r="C136" s="53">
        <v>121730</v>
      </c>
      <c r="D136" s="241">
        <v>60547</v>
      </c>
      <c r="E136" s="79">
        <v>2</v>
      </c>
      <c r="F136" s="93"/>
      <c r="G136" s="51"/>
      <c r="H136" s="51" t="s">
        <v>13</v>
      </c>
      <c r="I136" s="51" t="s">
        <v>55</v>
      </c>
      <c r="J136" s="132">
        <v>43229</v>
      </c>
      <c r="K136" s="58"/>
      <c r="L136" s="105"/>
    </row>
    <row r="137" spans="1:14" x14ac:dyDescent="0.25">
      <c r="A137" s="237">
        <v>43223</v>
      </c>
      <c r="B137" s="127">
        <v>5</v>
      </c>
      <c r="C137" s="53">
        <v>121727</v>
      </c>
      <c r="D137" s="241">
        <v>60548</v>
      </c>
      <c r="E137" s="104">
        <v>3</v>
      </c>
      <c r="F137" s="93"/>
      <c r="G137" s="51"/>
      <c r="H137" s="51" t="s">
        <v>13</v>
      </c>
      <c r="I137" s="51" t="s">
        <v>36</v>
      </c>
      <c r="J137" s="132">
        <v>43229</v>
      </c>
      <c r="K137" s="58"/>
    </row>
    <row r="138" spans="1:14" x14ac:dyDescent="0.25">
      <c r="A138" s="237">
        <v>43223</v>
      </c>
      <c r="B138" s="127">
        <v>6</v>
      </c>
      <c r="C138" s="53">
        <v>121529</v>
      </c>
      <c r="D138" s="241">
        <v>60392</v>
      </c>
      <c r="E138" s="104">
        <v>10</v>
      </c>
      <c r="F138" s="93"/>
      <c r="G138" s="48"/>
      <c r="H138" s="48" t="s">
        <v>18</v>
      </c>
      <c r="I138" s="48" t="s">
        <v>19</v>
      </c>
      <c r="J138" s="132">
        <v>43234</v>
      </c>
      <c r="K138" s="58"/>
    </row>
    <row r="139" spans="1:14" x14ac:dyDescent="0.25">
      <c r="A139" s="237">
        <v>43223</v>
      </c>
      <c r="B139" s="127">
        <v>7</v>
      </c>
      <c r="C139" s="53">
        <v>121541</v>
      </c>
      <c r="D139" s="241">
        <v>60407</v>
      </c>
      <c r="E139" s="104">
        <v>15</v>
      </c>
      <c r="F139" s="93"/>
      <c r="G139" s="48"/>
      <c r="H139" s="48" t="s">
        <v>18</v>
      </c>
      <c r="I139" s="48" t="s">
        <v>19</v>
      </c>
      <c r="J139" s="132">
        <v>43234</v>
      </c>
      <c r="K139" s="58"/>
    </row>
    <row r="140" spans="1:14" x14ac:dyDescent="0.25">
      <c r="A140" s="237">
        <v>43223</v>
      </c>
      <c r="B140" s="127">
        <v>8</v>
      </c>
      <c r="C140" s="53">
        <v>121547</v>
      </c>
      <c r="D140" s="241">
        <v>60411</v>
      </c>
      <c r="E140" s="79">
        <v>15</v>
      </c>
      <c r="F140" s="93"/>
      <c r="G140" s="48"/>
      <c r="H140" s="48" t="s">
        <v>18</v>
      </c>
      <c r="I140" s="48" t="s">
        <v>19</v>
      </c>
      <c r="J140" s="132">
        <v>43234</v>
      </c>
      <c r="K140" s="58"/>
    </row>
    <row r="141" spans="1:14" x14ac:dyDescent="0.25">
      <c r="A141" s="237">
        <v>43223</v>
      </c>
      <c r="B141" s="127">
        <v>9</v>
      </c>
      <c r="C141" s="53">
        <v>121554</v>
      </c>
      <c r="D141" s="241">
        <v>60426</v>
      </c>
      <c r="E141" s="79">
        <v>15</v>
      </c>
      <c r="F141" s="93"/>
      <c r="G141" s="48"/>
      <c r="H141" s="48" t="s">
        <v>18</v>
      </c>
      <c r="I141" s="48" t="s">
        <v>19</v>
      </c>
      <c r="J141" s="132">
        <v>43234</v>
      </c>
      <c r="K141" s="58"/>
    </row>
    <row r="142" spans="1:14" x14ac:dyDescent="0.25">
      <c r="A142" s="237">
        <v>43223</v>
      </c>
      <c r="B142" s="127">
        <v>10</v>
      </c>
      <c r="C142" s="53">
        <v>121560</v>
      </c>
      <c r="D142" s="241">
        <v>60421</v>
      </c>
      <c r="E142" s="79">
        <v>15</v>
      </c>
      <c r="F142" s="93"/>
      <c r="G142" s="48"/>
      <c r="H142" s="48" t="s">
        <v>18</v>
      </c>
      <c r="I142" s="48" t="s">
        <v>19</v>
      </c>
      <c r="J142" s="132">
        <v>43234</v>
      </c>
      <c r="K142" s="58"/>
    </row>
    <row r="143" spans="1:14" x14ac:dyDescent="0.25">
      <c r="A143" s="237">
        <v>43223</v>
      </c>
      <c r="B143" s="127">
        <v>11</v>
      </c>
      <c r="C143" s="53">
        <v>121318</v>
      </c>
      <c r="D143" s="241">
        <v>60194</v>
      </c>
      <c r="E143" s="102">
        <v>1</v>
      </c>
      <c r="F143" s="93"/>
      <c r="G143" s="51"/>
      <c r="H143" s="51" t="s">
        <v>18</v>
      </c>
      <c r="I143" s="51" t="s">
        <v>19</v>
      </c>
      <c r="J143" s="132">
        <v>43234</v>
      </c>
      <c r="K143" s="58"/>
      <c r="L143" s="51" t="s">
        <v>75</v>
      </c>
      <c r="M143" s="51"/>
      <c r="N143" s="48" t="s">
        <v>95</v>
      </c>
    </row>
    <row r="144" spans="1:14" x14ac:dyDescent="0.25">
      <c r="A144" s="237">
        <v>43224</v>
      </c>
      <c r="B144" s="103">
        <v>1</v>
      </c>
      <c r="C144" s="53">
        <v>121756</v>
      </c>
      <c r="D144" s="241">
        <v>60573</v>
      </c>
      <c r="E144" s="102">
        <v>2</v>
      </c>
      <c r="F144" s="93"/>
      <c r="G144" s="51"/>
      <c r="H144" s="51" t="s">
        <v>34</v>
      </c>
      <c r="I144" s="51" t="s">
        <v>19</v>
      </c>
      <c r="J144" s="132">
        <v>43230</v>
      </c>
      <c r="K144" s="58"/>
      <c r="L144" s="51"/>
      <c r="M144" s="51"/>
    </row>
    <row r="145" spans="1:15" x14ac:dyDescent="0.25">
      <c r="A145" s="237">
        <v>43224</v>
      </c>
      <c r="B145" s="103">
        <v>2</v>
      </c>
      <c r="C145" s="53">
        <v>121491</v>
      </c>
      <c r="D145" s="241">
        <v>60467</v>
      </c>
      <c r="E145" s="96">
        <v>5</v>
      </c>
      <c r="F145" s="93"/>
      <c r="G145" s="48"/>
      <c r="H145" s="48" t="s">
        <v>18</v>
      </c>
      <c r="I145" s="48" t="s">
        <v>47</v>
      </c>
      <c r="J145" s="132">
        <v>43237</v>
      </c>
      <c r="K145" s="58"/>
      <c r="L145" s="48" t="s">
        <v>94</v>
      </c>
    </row>
    <row r="146" spans="1:15" x14ac:dyDescent="0.25">
      <c r="A146" s="237">
        <v>43224</v>
      </c>
      <c r="B146" s="103">
        <v>3</v>
      </c>
      <c r="C146" s="53">
        <v>121728</v>
      </c>
      <c r="D146" s="241">
        <v>60540</v>
      </c>
      <c r="E146" s="96">
        <v>1</v>
      </c>
      <c r="F146" s="93"/>
      <c r="G146" s="48"/>
      <c r="H146" s="48" t="s">
        <v>18</v>
      </c>
      <c r="I146" s="48" t="s">
        <v>25</v>
      </c>
      <c r="J146" s="132">
        <v>43248</v>
      </c>
      <c r="K146" s="58"/>
      <c r="L146" s="48" t="s">
        <v>93</v>
      </c>
    </row>
    <row r="147" spans="1:15" x14ac:dyDescent="0.25">
      <c r="A147" s="237">
        <v>43224</v>
      </c>
      <c r="B147" s="103">
        <v>4</v>
      </c>
      <c r="C147" s="53">
        <v>121531</v>
      </c>
      <c r="D147" s="241">
        <v>60394</v>
      </c>
      <c r="E147" s="102">
        <v>6</v>
      </c>
      <c r="F147" s="93"/>
      <c r="G147" s="48"/>
      <c r="H147" s="48" t="s">
        <v>18</v>
      </c>
      <c r="I147" s="48" t="s">
        <v>19</v>
      </c>
      <c r="J147" s="132">
        <v>43234</v>
      </c>
      <c r="K147" s="58"/>
    </row>
    <row r="148" spans="1:15" x14ac:dyDescent="0.25">
      <c r="A148" s="237">
        <v>43224</v>
      </c>
      <c r="B148" s="103">
        <v>5</v>
      </c>
      <c r="C148" s="53">
        <v>121545</v>
      </c>
      <c r="D148" s="241">
        <v>60409</v>
      </c>
      <c r="E148" s="102">
        <v>10</v>
      </c>
      <c r="F148" s="93"/>
      <c r="G148" s="48"/>
      <c r="H148" s="48" t="s">
        <v>18</v>
      </c>
      <c r="I148" s="48" t="s">
        <v>19</v>
      </c>
      <c r="J148" s="132">
        <v>43234</v>
      </c>
      <c r="K148" s="58"/>
    </row>
    <row r="149" spans="1:15" x14ac:dyDescent="0.25">
      <c r="A149" s="237">
        <v>43224</v>
      </c>
      <c r="B149" s="103">
        <v>6</v>
      </c>
      <c r="C149" s="53">
        <v>121546</v>
      </c>
      <c r="D149" s="241">
        <v>60410</v>
      </c>
      <c r="E149" s="102">
        <v>2</v>
      </c>
      <c r="F149" s="93"/>
      <c r="G149" s="48"/>
      <c r="H149" s="48" t="s">
        <v>18</v>
      </c>
      <c r="I149" s="48" t="s">
        <v>19</v>
      </c>
      <c r="J149" s="132">
        <v>43234</v>
      </c>
      <c r="K149" s="58"/>
    </row>
    <row r="150" spans="1:15" x14ac:dyDescent="0.25">
      <c r="A150" s="237">
        <v>43224</v>
      </c>
      <c r="B150" s="103">
        <v>7</v>
      </c>
      <c r="C150" s="53">
        <v>121550</v>
      </c>
      <c r="D150" s="241">
        <v>60413</v>
      </c>
      <c r="E150" s="102">
        <v>10</v>
      </c>
      <c r="F150" s="93"/>
      <c r="G150" s="48"/>
      <c r="H150" s="48" t="s">
        <v>18</v>
      </c>
      <c r="I150" s="48" t="s">
        <v>19</v>
      </c>
      <c r="J150" s="132">
        <v>43234</v>
      </c>
      <c r="K150" s="58"/>
    </row>
    <row r="151" spans="1:15" x14ac:dyDescent="0.25">
      <c r="A151" s="237">
        <v>43224</v>
      </c>
      <c r="B151" s="103">
        <v>8</v>
      </c>
      <c r="C151" s="53">
        <v>121552</v>
      </c>
      <c r="D151" s="241">
        <v>60414</v>
      </c>
      <c r="E151" s="102">
        <v>2</v>
      </c>
      <c r="F151" s="93"/>
      <c r="G151" s="48"/>
      <c r="H151" s="48" t="s">
        <v>18</v>
      </c>
      <c r="I151" s="48" t="s">
        <v>19</v>
      </c>
      <c r="J151" s="132">
        <v>43234</v>
      </c>
      <c r="K151" s="58"/>
    </row>
    <row r="152" spans="1:15" x14ac:dyDescent="0.25">
      <c r="A152" s="237">
        <v>43224</v>
      </c>
      <c r="B152" s="103">
        <v>9</v>
      </c>
      <c r="C152" s="53">
        <v>121557</v>
      </c>
      <c r="D152" s="241">
        <v>60418</v>
      </c>
      <c r="E152" s="102">
        <v>6</v>
      </c>
      <c r="F152" s="93"/>
      <c r="G152" s="48"/>
      <c r="H152" s="48" t="s">
        <v>18</v>
      </c>
      <c r="I152" s="48" t="s">
        <v>19</v>
      </c>
      <c r="J152" s="132">
        <v>43234</v>
      </c>
      <c r="K152" s="58"/>
    </row>
    <row r="153" spans="1:15" x14ac:dyDescent="0.25">
      <c r="A153" s="237">
        <v>43224</v>
      </c>
      <c r="B153" s="103">
        <v>10</v>
      </c>
      <c r="C153" s="53">
        <v>121558</v>
      </c>
      <c r="D153" s="241">
        <v>60419</v>
      </c>
      <c r="E153" s="102">
        <v>4</v>
      </c>
      <c r="F153" s="93"/>
      <c r="G153" s="48"/>
      <c r="H153" s="48" t="s">
        <v>18</v>
      </c>
      <c r="I153" s="48" t="s">
        <v>19</v>
      </c>
      <c r="J153" s="132">
        <v>43234</v>
      </c>
      <c r="K153" s="58"/>
    </row>
    <row r="154" spans="1:15" x14ac:dyDescent="0.25">
      <c r="A154" s="237">
        <v>43224</v>
      </c>
      <c r="B154" s="103">
        <v>11</v>
      </c>
      <c r="C154" s="53">
        <v>121559</v>
      </c>
      <c r="D154" s="241">
        <v>60420</v>
      </c>
      <c r="E154" s="102">
        <v>2</v>
      </c>
      <c r="F154" s="93"/>
      <c r="G154" s="48"/>
      <c r="H154" s="48" t="s">
        <v>18</v>
      </c>
      <c r="I154" s="48" t="s">
        <v>19</v>
      </c>
      <c r="J154" s="132">
        <v>43234</v>
      </c>
      <c r="K154" s="58"/>
    </row>
    <row r="155" spans="1:15" x14ac:dyDescent="0.25">
      <c r="A155" s="237">
        <v>43224</v>
      </c>
      <c r="B155" s="103">
        <v>12</v>
      </c>
      <c r="C155" s="53">
        <v>121562</v>
      </c>
      <c r="D155" s="241">
        <v>60423</v>
      </c>
      <c r="E155" s="102">
        <v>2</v>
      </c>
      <c r="F155" s="93"/>
      <c r="G155" s="48"/>
      <c r="H155" s="48" t="s">
        <v>18</v>
      </c>
      <c r="I155" s="48" t="s">
        <v>19</v>
      </c>
      <c r="J155" s="132">
        <v>43234</v>
      </c>
      <c r="K155" s="58"/>
    </row>
    <row r="156" spans="1:15" x14ac:dyDescent="0.25">
      <c r="A156" s="237">
        <v>43224</v>
      </c>
      <c r="B156" s="103">
        <v>13</v>
      </c>
      <c r="C156" s="53">
        <v>121563</v>
      </c>
      <c r="D156" s="241">
        <v>60424</v>
      </c>
      <c r="E156" s="102">
        <v>6</v>
      </c>
      <c r="F156" s="93"/>
      <c r="G156" s="48"/>
      <c r="H156" s="48" t="s">
        <v>18</v>
      </c>
      <c r="I156" s="48" t="s">
        <v>19</v>
      </c>
      <c r="J156" s="132">
        <v>43234</v>
      </c>
      <c r="K156" s="58"/>
    </row>
    <row r="157" spans="1:15" x14ac:dyDescent="0.25">
      <c r="A157" s="237">
        <v>43224</v>
      </c>
      <c r="B157" s="103">
        <v>14</v>
      </c>
      <c r="C157" s="53">
        <v>121564</v>
      </c>
      <c r="D157" s="241">
        <v>60451</v>
      </c>
      <c r="E157" s="102">
        <v>4</v>
      </c>
      <c r="F157" s="93"/>
      <c r="G157" s="48"/>
      <c r="H157" s="48" t="s">
        <v>18</v>
      </c>
      <c r="I157" s="48" t="s">
        <v>19</v>
      </c>
      <c r="J157" s="132">
        <v>43234</v>
      </c>
      <c r="K157" s="58"/>
    </row>
    <row r="158" spans="1:15" x14ac:dyDescent="0.25">
      <c r="A158" s="237">
        <v>43224</v>
      </c>
      <c r="B158" s="103">
        <v>15</v>
      </c>
      <c r="C158" s="53">
        <v>121733</v>
      </c>
      <c r="D158" s="241">
        <v>60583</v>
      </c>
      <c r="E158" s="102">
        <v>1</v>
      </c>
      <c r="F158" s="93"/>
      <c r="G158" s="51"/>
      <c r="H158" s="51" t="s">
        <v>13</v>
      </c>
      <c r="I158" s="51" t="s">
        <v>14</v>
      </c>
      <c r="J158" s="132">
        <v>43230</v>
      </c>
      <c r="K158" s="58"/>
      <c r="L158" s="51"/>
      <c r="M158" s="51"/>
    </row>
    <row r="159" spans="1:15" x14ac:dyDescent="0.25">
      <c r="A159" s="237">
        <v>43224</v>
      </c>
      <c r="B159" s="103">
        <v>16</v>
      </c>
      <c r="C159" s="53">
        <v>121139</v>
      </c>
      <c r="D159" s="241">
        <v>60055</v>
      </c>
      <c r="E159" s="101">
        <v>5</v>
      </c>
      <c r="F159" s="93"/>
      <c r="G159" s="48"/>
      <c r="H159" s="48" t="s">
        <v>18</v>
      </c>
      <c r="I159" s="48" t="s">
        <v>19</v>
      </c>
      <c r="J159" s="132">
        <v>43227</v>
      </c>
      <c r="K159" s="58"/>
      <c r="L159" s="59" t="s">
        <v>92</v>
      </c>
      <c r="M159" s="59" t="s">
        <v>91</v>
      </c>
      <c r="O159" s="48" t="s">
        <v>52</v>
      </c>
    </row>
    <row r="160" spans="1:15" x14ac:dyDescent="0.25">
      <c r="A160" s="237">
        <v>43227</v>
      </c>
      <c r="B160" s="128">
        <v>1</v>
      </c>
      <c r="C160" s="53">
        <v>121619</v>
      </c>
      <c r="D160" s="241">
        <v>60463</v>
      </c>
      <c r="E160" s="102">
        <v>20</v>
      </c>
      <c r="F160" s="93"/>
      <c r="G160" s="48"/>
      <c r="H160" s="48" t="s">
        <v>18</v>
      </c>
      <c r="I160" s="48" t="s">
        <v>19</v>
      </c>
      <c r="J160" s="132">
        <v>43234</v>
      </c>
      <c r="K160" s="58"/>
      <c r="L160" s="51"/>
      <c r="M160" s="51"/>
    </row>
    <row r="161" spans="1:13" x14ac:dyDescent="0.25">
      <c r="A161" s="237">
        <v>43227</v>
      </c>
      <c r="B161" s="128">
        <v>2</v>
      </c>
      <c r="C161" s="53">
        <v>121795</v>
      </c>
      <c r="D161" s="241">
        <v>60592</v>
      </c>
      <c r="E161" s="101">
        <v>1</v>
      </c>
      <c r="F161" s="93"/>
      <c r="G161" s="48"/>
      <c r="H161" s="48" t="s">
        <v>18</v>
      </c>
      <c r="I161" s="48" t="s">
        <v>19</v>
      </c>
      <c r="J161" s="132">
        <v>43238</v>
      </c>
      <c r="K161" s="58"/>
      <c r="L161" s="77" t="s">
        <v>72</v>
      </c>
      <c r="M161" s="51"/>
    </row>
    <row r="162" spans="1:13" x14ac:dyDescent="0.25">
      <c r="A162" s="237">
        <v>43227</v>
      </c>
      <c r="B162" s="128">
        <v>3</v>
      </c>
      <c r="C162" s="53">
        <v>121794</v>
      </c>
      <c r="D162" s="241">
        <v>60591</v>
      </c>
      <c r="E162" s="72">
        <v>6</v>
      </c>
      <c r="F162" s="93"/>
      <c r="G162" s="48"/>
      <c r="H162" s="48" t="s">
        <v>18</v>
      </c>
      <c r="I162" s="48" t="s">
        <v>19</v>
      </c>
      <c r="J162" s="132">
        <v>43238</v>
      </c>
      <c r="K162" s="58"/>
      <c r="L162" s="77" t="s">
        <v>72</v>
      </c>
      <c r="M162" s="51"/>
    </row>
    <row r="163" spans="1:13" x14ac:dyDescent="0.25">
      <c r="A163" s="237">
        <v>43227</v>
      </c>
      <c r="B163" s="128">
        <v>4</v>
      </c>
      <c r="C163" s="53">
        <v>121791</v>
      </c>
      <c r="D163" s="241">
        <v>60589</v>
      </c>
      <c r="E163" s="101">
        <v>5</v>
      </c>
      <c r="F163" s="93"/>
      <c r="G163" s="48"/>
      <c r="H163" s="48" t="s">
        <v>18</v>
      </c>
      <c r="I163" s="48" t="s">
        <v>19</v>
      </c>
      <c r="J163" s="132">
        <v>43238</v>
      </c>
      <c r="K163" s="58"/>
      <c r="L163" s="77" t="s">
        <v>72</v>
      </c>
      <c r="M163" s="51"/>
    </row>
    <row r="164" spans="1:13" x14ac:dyDescent="0.25">
      <c r="A164" s="237">
        <v>43227</v>
      </c>
      <c r="B164" s="128">
        <v>5</v>
      </c>
      <c r="C164" s="53">
        <v>121669</v>
      </c>
      <c r="D164" s="241">
        <v>60511</v>
      </c>
      <c r="E164" s="100">
        <v>2</v>
      </c>
      <c r="F164" s="93"/>
      <c r="G164" s="48"/>
      <c r="H164" s="48" t="s">
        <v>18</v>
      </c>
      <c r="I164" s="48" t="s">
        <v>19</v>
      </c>
      <c r="J164" s="132">
        <v>43234</v>
      </c>
      <c r="K164" s="58"/>
      <c r="L164" s="51"/>
      <c r="M164" s="51"/>
    </row>
    <row r="165" spans="1:13" x14ac:dyDescent="0.25">
      <c r="A165" s="237">
        <v>43227</v>
      </c>
      <c r="B165" s="128">
        <v>6</v>
      </c>
      <c r="C165" s="53">
        <v>121668</v>
      </c>
      <c r="D165" s="241">
        <v>60509</v>
      </c>
      <c r="E165" s="101">
        <v>1</v>
      </c>
      <c r="F165" s="93"/>
      <c r="G165" s="48"/>
      <c r="H165" s="48" t="s">
        <v>18</v>
      </c>
      <c r="I165" s="48" t="s">
        <v>19</v>
      </c>
      <c r="J165" s="132">
        <v>43234</v>
      </c>
      <c r="K165" s="58"/>
      <c r="L165" s="51"/>
      <c r="M165" s="51"/>
    </row>
    <row r="166" spans="1:13" x14ac:dyDescent="0.25">
      <c r="A166" s="237">
        <v>43227</v>
      </c>
      <c r="B166" s="128">
        <v>7</v>
      </c>
      <c r="C166" s="53">
        <v>121761</v>
      </c>
      <c r="D166" s="241">
        <v>60599</v>
      </c>
      <c r="E166" s="75">
        <v>4</v>
      </c>
      <c r="F166" s="248"/>
      <c r="G166" s="48"/>
      <c r="H166" s="48" t="s">
        <v>18</v>
      </c>
      <c r="I166" s="48" t="s">
        <v>19</v>
      </c>
      <c r="J166" s="132">
        <v>43238</v>
      </c>
      <c r="K166" s="58"/>
      <c r="L166" s="51"/>
      <c r="M166" s="51"/>
    </row>
    <row r="167" spans="1:13" x14ac:dyDescent="0.25">
      <c r="A167" s="237">
        <v>43227</v>
      </c>
      <c r="B167" s="128">
        <v>8</v>
      </c>
      <c r="C167" s="53">
        <v>121497</v>
      </c>
      <c r="D167" s="241">
        <v>60396</v>
      </c>
      <c r="E167" s="102">
        <v>5</v>
      </c>
      <c r="F167" s="93"/>
      <c r="G167" s="48"/>
      <c r="H167" s="48" t="s">
        <v>13</v>
      </c>
      <c r="I167" s="48" t="s">
        <v>19</v>
      </c>
      <c r="J167" s="132">
        <v>43236</v>
      </c>
      <c r="K167" s="58"/>
      <c r="L167" s="51"/>
      <c r="M167" s="51"/>
    </row>
    <row r="168" spans="1:13" x14ac:dyDescent="0.25">
      <c r="A168" s="237">
        <v>43227</v>
      </c>
      <c r="B168" s="128">
        <v>9</v>
      </c>
      <c r="C168" s="53">
        <v>121498</v>
      </c>
      <c r="D168" s="241">
        <v>60370</v>
      </c>
      <c r="E168" s="72">
        <v>1</v>
      </c>
      <c r="F168" s="93"/>
      <c r="G168" s="48"/>
      <c r="H168" s="48" t="s">
        <v>18</v>
      </c>
      <c r="I168" s="48" t="s">
        <v>19</v>
      </c>
      <c r="J168" s="132">
        <v>43236</v>
      </c>
      <c r="K168" s="58"/>
      <c r="L168" s="51"/>
      <c r="M168" s="51"/>
    </row>
    <row r="169" spans="1:13" x14ac:dyDescent="0.25">
      <c r="A169" s="237">
        <v>43227</v>
      </c>
      <c r="B169" s="128">
        <v>10</v>
      </c>
      <c r="C169" s="53">
        <v>121511</v>
      </c>
      <c r="D169" s="241">
        <v>60381</v>
      </c>
      <c r="E169" s="101">
        <v>1</v>
      </c>
      <c r="F169" s="93"/>
      <c r="G169" s="48"/>
      <c r="H169" s="48" t="s">
        <v>18</v>
      </c>
      <c r="I169" s="48" t="s">
        <v>19</v>
      </c>
      <c r="J169" s="132">
        <v>43236</v>
      </c>
      <c r="K169" s="58"/>
      <c r="L169" s="51" t="s">
        <v>35</v>
      </c>
      <c r="M169" s="51"/>
    </row>
    <row r="170" spans="1:13" x14ac:dyDescent="0.25">
      <c r="A170" s="237">
        <v>43227</v>
      </c>
      <c r="B170" s="128">
        <v>11</v>
      </c>
      <c r="C170" s="53">
        <v>121592</v>
      </c>
      <c r="D170" s="241">
        <v>60443</v>
      </c>
      <c r="E170" s="101">
        <v>2</v>
      </c>
      <c r="F170" s="93"/>
      <c r="G170" s="48"/>
      <c r="H170" s="48" t="s">
        <v>18</v>
      </c>
      <c r="I170" s="48" t="s">
        <v>19</v>
      </c>
      <c r="J170" s="132">
        <v>43235</v>
      </c>
      <c r="K170" s="58"/>
      <c r="L170" s="51"/>
      <c r="M170" s="51"/>
    </row>
    <row r="171" spans="1:13" x14ac:dyDescent="0.25">
      <c r="A171" s="237">
        <v>43227</v>
      </c>
      <c r="B171" s="128">
        <v>12</v>
      </c>
      <c r="C171" s="53">
        <v>121590</v>
      </c>
      <c r="D171" s="241">
        <v>60442</v>
      </c>
      <c r="E171" s="102">
        <v>4</v>
      </c>
      <c r="F171" s="93"/>
      <c r="G171" s="48"/>
      <c r="H171" s="48" t="s">
        <v>18</v>
      </c>
      <c r="I171" s="48" t="s">
        <v>19</v>
      </c>
      <c r="J171" s="132">
        <v>43236</v>
      </c>
      <c r="K171" s="58"/>
      <c r="L171" s="51"/>
      <c r="M171" s="51"/>
    </row>
    <row r="172" spans="1:13" x14ac:dyDescent="0.25">
      <c r="A172" s="237">
        <v>43227</v>
      </c>
      <c r="B172" s="128">
        <v>13</v>
      </c>
      <c r="C172" s="53">
        <v>121647</v>
      </c>
      <c r="D172" s="241">
        <v>60485</v>
      </c>
      <c r="E172" s="102">
        <v>2</v>
      </c>
      <c r="F172" s="93"/>
      <c r="G172" s="48"/>
      <c r="H172" s="48" t="s">
        <v>18</v>
      </c>
      <c r="I172" s="48" t="s">
        <v>19</v>
      </c>
      <c r="J172" s="132">
        <v>43237</v>
      </c>
      <c r="K172" s="58"/>
      <c r="L172" s="51"/>
      <c r="M172" s="51"/>
    </row>
    <row r="173" spans="1:13" x14ac:dyDescent="0.25">
      <c r="A173" s="237">
        <v>43227</v>
      </c>
      <c r="B173" s="128">
        <v>14</v>
      </c>
      <c r="C173" s="53">
        <v>121709</v>
      </c>
      <c r="D173" s="241">
        <v>60600</v>
      </c>
      <c r="E173" s="102">
        <v>6</v>
      </c>
      <c r="F173" s="93"/>
      <c r="G173" s="51"/>
      <c r="H173" s="51" t="s">
        <v>13</v>
      </c>
      <c r="I173" s="51" t="s">
        <v>26</v>
      </c>
      <c r="J173" s="132">
        <v>43230</v>
      </c>
      <c r="K173" s="58"/>
      <c r="L173" s="51"/>
      <c r="M173" s="51"/>
    </row>
    <row r="174" spans="1:13" x14ac:dyDescent="0.25">
      <c r="A174" s="237">
        <v>43228</v>
      </c>
      <c r="B174" s="129">
        <v>1</v>
      </c>
      <c r="C174" s="53">
        <v>121181</v>
      </c>
      <c r="D174" s="241">
        <v>60161</v>
      </c>
      <c r="E174" s="101">
        <v>1</v>
      </c>
      <c r="F174" s="93"/>
      <c r="G174" s="51"/>
      <c r="H174" s="51" t="s">
        <v>18</v>
      </c>
      <c r="I174" s="51" t="s">
        <v>19</v>
      </c>
      <c r="J174" s="133">
        <v>43216</v>
      </c>
      <c r="K174" s="78"/>
      <c r="L174" s="55" t="s">
        <v>82</v>
      </c>
      <c r="M174" s="55" t="s">
        <v>90</v>
      </c>
    </row>
    <row r="175" spans="1:13" x14ac:dyDescent="0.25">
      <c r="A175" s="237">
        <v>43228</v>
      </c>
      <c r="B175" s="129">
        <v>2</v>
      </c>
      <c r="C175" s="53">
        <v>121492</v>
      </c>
      <c r="D175" s="241">
        <v>60522</v>
      </c>
      <c r="E175" s="96">
        <v>1</v>
      </c>
      <c r="F175" s="93"/>
      <c r="G175" s="48"/>
      <c r="H175" s="48" t="s">
        <v>18</v>
      </c>
      <c r="I175" s="48" t="s">
        <v>47</v>
      </c>
      <c r="J175" s="132">
        <v>43237</v>
      </c>
      <c r="K175" s="58"/>
    </row>
    <row r="176" spans="1:13" x14ac:dyDescent="0.25">
      <c r="A176" s="237">
        <v>43228</v>
      </c>
      <c r="B176" s="129">
        <v>3</v>
      </c>
      <c r="C176" s="53">
        <v>121578</v>
      </c>
      <c r="D176" s="241">
        <v>60441</v>
      </c>
      <c r="E176" s="101">
        <v>8</v>
      </c>
      <c r="F176" s="93"/>
      <c r="G176" s="48"/>
      <c r="H176" s="48" t="s">
        <v>23</v>
      </c>
      <c r="I176" s="48" t="s">
        <v>15</v>
      </c>
      <c r="J176" s="132">
        <v>43236</v>
      </c>
      <c r="K176" s="58"/>
      <c r="L176" s="48" t="s">
        <v>89</v>
      </c>
    </row>
    <row r="177" spans="1:15" x14ac:dyDescent="0.25">
      <c r="A177" s="237">
        <v>43228</v>
      </c>
      <c r="B177" s="129">
        <v>4</v>
      </c>
      <c r="C177" s="53">
        <v>121655</v>
      </c>
      <c r="D177" s="241">
        <v>60492</v>
      </c>
      <c r="E177" s="101">
        <v>1</v>
      </c>
      <c r="F177" s="93"/>
      <c r="G177" s="48"/>
      <c r="H177" s="48" t="s">
        <v>23</v>
      </c>
      <c r="I177" s="48" t="s">
        <v>27</v>
      </c>
      <c r="J177" s="132">
        <v>43236</v>
      </c>
      <c r="K177" s="58"/>
    </row>
    <row r="178" spans="1:15" x14ac:dyDescent="0.25">
      <c r="A178" s="237">
        <v>43228</v>
      </c>
      <c r="B178" s="129">
        <v>5</v>
      </c>
      <c r="C178" s="53">
        <v>121656</v>
      </c>
      <c r="D178" s="241">
        <v>60499</v>
      </c>
      <c r="E178" s="101">
        <v>10</v>
      </c>
      <c r="F178" s="93"/>
      <c r="G178" s="48"/>
      <c r="H178" s="48" t="s">
        <v>23</v>
      </c>
      <c r="I178" s="48" t="s">
        <v>76</v>
      </c>
      <c r="J178" s="132">
        <v>43236</v>
      </c>
      <c r="K178" s="58"/>
      <c r="L178" s="48" t="s">
        <v>35</v>
      </c>
    </row>
    <row r="179" spans="1:15" x14ac:dyDescent="0.25">
      <c r="A179" s="237">
        <v>43228</v>
      </c>
      <c r="B179" s="129">
        <v>6</v>
      </c>
      <c r="C179" s="53">
        <v>121793</v>
      </c>
      <c r="D179" s="241">
        <v>60590</v>
      </c>
      <c r="E179" s="101">
        <v>1</v>
      </c>
      <c r="F179" s="93"/>
      <c r="G179" s="48"/>
      <c r="H179" s="48" t="s">
        <v>18</v>
      </c>
      <c r="I179" s="48" t="s">
        <v>15</v>
      </c>
      <c r="J179" s="132">
        <v>43236</v>
      </c>
      <c r="K179" s="58"/>
    </row>
    <row r="180" spans="1:15" x14ac:dyDescent="0.25">
      <c r="A180" s="237">
        <v>43228</v>
      </c>
      <c r="B180" s="129">
        <v>7</v>
      </c>
      <c r="C180" s="53">
        <v>121783</v>
      </c>
      <c r="D180" s="241">
        <v>60581</v>
      </c>
      <c r="E180" s="101">
        <v>1</v>
      </c>
      <c r="F180" s="93"/>
      <c r="G180" s="48"/>
      <c r="H180" s="48" t="s">
        <v>18</v>
      </c>
      <c r="I180" s="48" t="s">
        <v>88</v>
      </c>
      <c r="J180" s="132">
        <v>43236</v>
      </c>
      <c r="K180" s="58"/>
      <c r="L180" s="48" t="s">
        <v>52</v>
      </c>
    </row>
    <row r="181" spans="1:15" x14ac:dyDescent="0.25">
      <c r="A181" s="237">
        <v>43228</v>
      </c>
      <c r="B181" s="129">
        <v>8</v>
      </c>
      <c r="C181" s="53">
        <v>121781</v>
      </c>
      <c r="D181" s="241">
        <v>60579</v>
      </c>
      <c r="E181" s="101">
        <v>4</v>
      </c>
      <c r="F181" s="93"/>
      <c r="G181" s="48"/>
      <c r="H181" s="48" t="s">
        <v>18</v>
      </c>
      <c r="I181" s="48" t="s">
        <v>15</v>
      </c>
      <c r="J181" s="132">
        <v>43236</v>
      </c>
      <c r="K181" s="58"/>
    </row>
    <row r="182" spans="1:15" x14ac:dyDescent="0.25">
      <c r="A182" s="237">
        <v>43228</v>
      </c>
      <c r="B182" s="129">
        <v>9</v>
      </c>
      <c r="C182" s="53">
        <v>121782</v>
      </c>
      <c r="D182" s="241">
        <v>60580</v>
      </c>
      <c r="E182" s="101">
        <v>3</v>
      </c>
      <c r="F182" s="93"/>
      <c r="G182" s="48"/>
      <c r="H182" s="48" t="s">
        <v>18</v>
      </c>
      <c r="I182" s="48" t="s">
        <v>15</v>
      </c>
      <c r="J182" s="132">
        <v>43236</v>
      </c>
      <c r="K182" s="58"/>
    </row>
    <row r="183" spans="1:15" x14ac:dyDescent="0.25">
      <c r="A183" s="237">
        <v>43228</v>
      </c>
      <c r="B183" s="129">
        <v>10</v>
      </c>
      <c r="C183" s="53">
        <v>120979</v>
      </c>
      <c r="D183" s="241">
        <v>59917</v>
      </c>
      <c r="E183" s="100">
        <v>43</v>
      </c>
      <c r="F183" s="93"/>
      <c r="G183" s="48"/>
      <c r="H183" s="48" t="s">
        <v>87</v>
      </c>
      <c r="I183" s="48" t="s">
        <v>19</v>
      </c>
      <c r="J183" s="132">
        <v>43231</v>
      </c>
      <c r="K183" s="77" t="s">
        <v>83</v>
      </c>
      <c r="L183" s="51"/>
      <c r="M183" s="55" t="s">
        <v>86</v>
      </c>
      <c r="N183" s="48" t="s">
        <v>85</v>
      </c>
      <c r="O183" s="48" t="s">
        <v>84</v>
      </c>
    </row>
    <row r="184" spans="1:15" x14ac:dyDescent="0.25">
      <c r="A184" s="237">
        <v>43228</v>
      </c>
      <c r="B184" s="129">
        <v>11</v>
      </c>
      <c r="C184" s="53">
        <v>121754</v>
      </c>
      <c r="D184" s="241">
        <v>60649</v>
      </c>
      <c r="E184" s="72">
        <v>2</v>
      </c>
      <c r="F184" s="93"/>
      <c r="G184" s="51"/>
      <c r="H184" s="51" t="s">
        <v>13</v>
      </c>
      <c r="I184" s="51" t="s">
        <v>12</v>
      </c>
      <c r="J184" s="132">
        <v>43237</v>
      </c>
      <c r="K184" s="58"/>
      <c r="L184" s="51"/>
      <c r="M184" s="51"/>
    </row>
    <row r="185" spans="1:15" x14ac:dyDescent="0.25">
      <c r="A185" s="237">
        <v>43228</v>
      </c>
      <c r="B185" s="129">
        <v>12</v>
      </c>
      <c r="C185" s="53">
        <v>121860</v>
      </c>
      <c r="D185" s="241">
        <v>60654</v>
      </c>
      <c r="E185" s="101">
        <v>1</v>
      </c>
      <c r="F185" s="93"/>
      <c r="G185" s="51"/>
      <c r="H185" s="51" t="s">
        <v>18</v>
      </c>
      <c r="I185" s="51" t="s">
        <v>19</v>
      </c>
      <c r="J185" s="132">
        <v>43234</v>
      </c>
      <c r="K185" s="77" t="s">
        <v>83</v>
      </c>
      <c r="L185" s="51"/>
      <c r="M185" s="51"/>
    </row>
    <row r="186" spans="1:15" x14ac:dyDescent="0.25">
      <c r="A186" s="237">
        <v>43229</v>
      </c>
      <c r="B186" s="99">
        <v>1</v>
      </c>
      <c r="C186" s="53">
        <v>121852</v>
      </c>
      <c r="D186" s="241">
        <v>60655</v>
      </c>
      <c r="E186" s="72">
        <v>1</v>
      </c>
      <c r="F186" s="93"/>
      <c r="G186" s="48"/>
      <c r="H186" s="48" t="s">
        <v>13</v>
      </c>
      <c r="I186" s="48" t="s">
        <v>15</v>
      </c>
      <c r="J186" s="132">
        <v>43236</v>
      </c>
      <c r="K186" s="58"/>
    </row>
    <row r="187" spans="1:15" x14ac:dyDescent="0.25">
      <c r="A187" s="237">
        <v>43229</v>
      </c>
      <c r="B187" s="99">
        <v>2</v>
      </c>
      <c r="C187" s="53">
        <v>121607</v>
      </c>
      <c r="D187" s="241">
        <v>60454</v>
      </c>
      <c r="E187" s="72">
        <v>55</v>
      </c>
      <c r="F187" s="93"/>
      <c r="G187" s="48"/>
      <c r="H187" s="48" t="s">
        <v>18</v>
      </c>
      <c r="I187" s="48" t="s">
        <v>27</v>
      </c>
      <c r="J187" s="132">
        <v>43244</v>
      </c>
      <c r="K187" s="58"/>
    </row>
    <row r="188" spans="1:15" x14ac:dyDescent="0.25">
      <c r="A188" s="237">
        <v>43229</v>
      </c>
      <c r="B188" s="99">
        <v>3</v>
      </c>
      <c r="C188" s="53">
        <v>121609</v>
      </c>
      <c r="D188" s="241">
        <v>60455</v>
      </c>
      <c r="E188" s="100">
        <v>10</v>
      </c>
      <c r="F188" s="93"/>
      <c r="G188" s="48"/>
      <c r="H188" s="48" t="s">
        <v>18</v>
      </c>
      <c r="I188" s="48" t="s">
        <v>27</v>
      </c>
      <c r="J188" s="132">
        <v>43244</v>
      </c>
      <c r="K188" s="58"/>
    </row>
    <row r="189" spans="1:15" x14ac:dyDescent="0.25">
      <c r="A189" s="237">
        <v>43229</v>
      </c>
      <c r="B189" s="99">
        <v>4</v>
      </c>
      <c r="C189" s="54">
        <v>121717</v>
      </c>
      <c r="D189" s="242">
        <v>60538</v>
      </c>
      <c r="E189" s="69">
        <v>2</v>
      </c>
      <c r="F189" s="248"/>
      <c r="G189" s="60"/>
      <c r="H189" s="60" t="s">
        <v>23</v>
      </c>
      <c r="I189" s="60" t="s">
        <v>15</v>
      </c>
      <c r="J189" s="134">
        <v>43243</v>
      </c>
      <c r="K189" s="66" t="s">
        <v>79</v>
      </c>
      <c r="L189" s="59" t="s">
        <v>82</v>
      </c>
      <c r="M189" s="59"/>
    </row>
    <row r="190" spans="1:15" x14ac:dyDescent="0.25">
      <c r="A190" s="237">
        <v>43229</v>
      </c>
      <c r="B190" s="99">
        <v>5</v>
      </c>
      <c r="C190" s="54">
        <v>121787</v>
      </c>
      <c r="D190" s="242">
        <v>60587</v>
      </c>
      <c r="E190" s="69">
        <v>6</v>
      </c>
      <c r="F190" s="248"/>
      <c r="G190" s="60"/>
      <c r="H190" s="60" t="s">
        <v>18</v>
      </c>
      <c r="I190" s="60" t="s">
        <v>81</v>
      </c>
      <c r="J190" s="134">
        <v>43243</v>
      </c>
      <c r="K190" s="66"/>
      <c r="L190" s="59"/>
      <c r="M190" s="59"/>
    </row>
    <row r="191" spans="1:15" x14ac:dyDescent="0.25">
      <c r="A191" s="237">
        <v>43230</v>
      </c>
      <c r="B191" s="97">
        <v>1</v>
      </c>
      <c r="C191" s="53">
        <v>121896</v>
      </c>
      <c r="D191" s="241">
        <v>60684</v>
      </c>
      <c r="E191" s="72">
        <v>1</v>
      </c>
      <c r="F191" s="93"/>
      <c r="G191" s="48"/>
      <c r="H191" s="48" t="s">
        <v>13</v>
      </c>
      <c r="I191" s="48" t="s">
        <v>80</v>
      </c>
      <c r="J191" s="132">
        <v>43236</v>
      </c>
      <c r="K191" s="58"/>
      <c r="M191" s="55"/>
      <c r="O191" s="51"/>
    </row>
    <row r="192" spans="1:15" x14ac:dyDescent="0.25">
      <c r="A192" s="237">
        <v>43230</v>
      </c>
      <c r="B192" s="97">
        <v>2</v>
      </c>
      <c r="C192" s="54">
        <v>121676</v>
      </c>
      <c r="D192" s="242">
        <v>60514</v>
      </c>
      <c r="E192" s="69">
        <v>36</v>
      </c>
      <c r="F192" s="248"/>
      <c r="G192" s="60"/>
      <c r="H192" s="60" t="s">
        <v>18</v>
      </c>
      <c r="I192" s="60" t="s">
        <v>19</v>
      </c>
      <c r="J192" s="134">
        <v>43241</v>
      </c>
      <c r="K192" s="66"/>
      <c r="M192" s="59"/>
    </row>
    <row r="193" spans="1:15" x14ac:dyDescent="0.25">
      <c r="A193" s="237">
        <v>43230</v>
      </c>
      <c r="B193" s="97">
        <v>3</v>
      </c>
      <c r="C193" s="53">
        <v>121716</v>
      </c>
      <c r="D193" s="241">
        <v>60537</v>
      </c>
      <c r="E193" s="75">
        <v>1</v>
      </c>
      <c r="F193" s="93"/>
      <c r="G193" s="48"/>
      <c r="H193" s="48" t="s">
        <v>18</v>
      </c>
      <c r="I193" s="48" t="s">
        <v>19</v>
      </c>
      <c r="J193" s="132">
        <v>43241</v>
      </c>
      <c r="K193" s="58" t="s">
        <v>79</v>
      </c>
      <c r="L193" s="48" t="s">
        <v>78</v>
      </c>
    </row>
    <row r="194" spans="1:15" x14ac:dyDescent="0.25">
      <c r="A194" s="238">
        <v>43230</v>
      </c>
      <c r="B194" s="97">
        <v>4</v>
      </c>
      <c r="C194" s="54">
        <v>121895</v>
      </c>
      <c r="D194" s="242">
        <v>60667</v>
      </c>
      <c r="E194" s="98">
        <v>3</v>
      </c>
      <c r="F194" s="248"/>
      <c r="G194" s="60"/>
      <c r="H194" s="60" t="s">
        <v>23</v>
      </c>
      <c r="I194" s="60" t="s">
        <v>19</v>
      </c>
      <c r="J194" s="134">
        <v>43248</v>
      </c>
      <c r="K194" s="66"/>
      <c r="L194" s="60"/>
      <c r="M194" s="60"/>
    </row>
    <row r="195" spans="1:15" x14ac:dyDescent="0.25">
      <c r="A195" s="238">
        <v>43230</v>
      </c>
      <c r="B195" s="97">
        <v>5</v>
      </c>
      <c r="C195" s="54">
        <v>121911</v>
      </c>
      <c r="D195" s="242">
        <v>60671</v>
      </c>
      <c r="E195" s="69">
        <v>6</v>
      </c>
      <c r="F195" s="248"/>
      <c r="G195" s="60"/>
      <c r="H195" s="48" t="s">
        <v>13</v>
      </c>
      <c r="I195" s="60" t="s">
        <v>77</v>
      </c>
      <c r="J195" s="134">
        <v>43237</v>
      </c>
      <c r="K195" s="66"/>
      <c r="L195" s="60"/>
      <c r="M195" s="60"/>
    </row>
    <row r="196" spans="1:15" x14ac:dyDescent="0.25">
      <c r="A196" s="237">
        <v>43230</v>
      </c>
      <c r="B196" s="97">
        <v>6</v>
      </c>
      <c r="C196" s="54">
        <v>121540</v>
      </c>
      <c r="D196" s="242">
        <v>60406</v>
      </c>
      <c r="E196" s="70">
        <v>2</v>
      </c>
      <c r="F196" s="248"/>
      <c r="G196" s="56"/>
      <c r="H196" s="56" t="s">
        <v>18</v>
      </c>
      <c r="I196" s="56" t="s">
        <v>76</v>
      </c>
      <c r="J196" s="134">
        <v>43248</v>
      </c>
      <c r="K196" s="95" t="s">
        <v>72</v>
      </c>
      <c r="L196" s="55" t="s">
        <v>64</v>
      </c>
      <c r="M196" s="55" t="s">
        <v>75</v>
      </c>
      <c r="N196" s="55" t="s">
        <v>74</v>
      </c>
      <c r="O196" s="56" t="s">
        <v>52</v>
      </c>
    </row>
    <row r="197" spans="1:15" x14ac:dyDescent="0.25">
      <c r="A197" s="237">
        <v>43231</v>
      </c>
      <c r="B197" s="65">
        <v>1</v>
      </c>
      <c r="C197" s="53">
        <v>121618</v>
      </c>
      <c r="D197" s="241">
        <v>60462</v>
      </c>
      <c r="E197" s="89">
        <v>50</v>
      </c>
      <c r="F197" s="93"/>
      <c r="G197" s="48"/>
      <c r="H197" s="48" t="s">
        <v>18</v>
      </c>
      <c r="I197" s="48" t="s">
        <v>19</v>
      </c>
      <c r="J197" s="132">
        <v>43243</v>
      </c>
      <c r="K197" s="58"/>
    </row>
    <row r="198" spans="1:15" x14ac:dyDescent="0.25">
      <c r="A198" s="237">
        <v>43231</v>
      </c>
      <c r="B198" s="65">
        <v>2</v>
      </c>
      <c r="C198" s="53">
        <v>121962</v>
      </c>
      <c r="D198" s="241">
        <v>60701</v>
      </c>
      <c r="E198" s="96">
        <v>2</v>
      </c>
      <c r="F198" s="93"/>
      <c r="G198" s="48"/>
      <c r="H198" s="48" t="s">
        <v>18</v>
      </c>
      <c r="I198" s="48" t="s">
        <v>15</v>
      </c>
      <c r="J198" s="132">
        <v>43243</v>
      </c>
      <c r="K198" s="58"/>
    </row>
    <row r="199" spans="1:15" x14ac:dyDescent="0.25">
      <c r="A199" s="237">
        <v>43231</v>
      </c>
      <c r="B199" s="65">
        <v>3</v>
      </c>
      <c r="C199" s="53">
        <v>121690</v>
      </c>
      <c r="D199" s="241">
        <v>60698</v>
      </c>
      <c r="E199" s="96">
        <v>1</v>
      </c>
      <c r="F199" s="93"/>
      <c r="G199" s="48"/>
      <c r="H199" s="48" t="s">
        <v>18</v>
      </c>
      <c r="I199" s="48" t="s">
        <v>15</v>
      </c>
      <c r="J199" s="132">
        <v>43243</v>
      </c>
      <c r="K199" s="58"/>
    </row>
    <row r="200" spans="1:15" x14ac:dyDescent="0.25">
      <c r="A200" s="237">
        <v>43231</v>
      </c>
      <c r="B200" s="65">
        <v>4</v>
      </c>
      <c r="C200" s="53">
        <v>121958</v>
      </c>
      <c r="D200" s="241">
        <v>60697</v>
      </c>
      <c r="E200" s="89">
        <v>1</v>
      </c>
      <c r="F200" s="93"/>
      <c r="G200" s="48"/>
      <c r="H200" s="48" t="s">
        <v>18</v>
      </c>
      <c r="I200" s="48" t="s">
        <v>17</v>
      </c>
      <c r="J200" s="132">
        <v>43243</v>
      </c>
      <c r="K200" s="58"/>
    </row>
    <row r="201" spans="1:15" x14ac:dyDescent="0.25">
      <c r="A201" s="237">
        <v>43231</v>
      </c>
      <c r="B201" s="65">
        <v>5</v>
      </c>
      <c r="C201" s="54">
        <v>121968</v>
      </c>
      <c r="D201" s="242">
        <v>60723</v>
      </c>
      <c r="E201" s="73">
        <v>2</v>
      </c>
      <c r="F201" s="248"/>
      <c r="G201" s="60"/>
      <c r="H201" s="60" t="s">
        <v>13</v>
      </c>
      <c r="I201" s="60" t="s">
        <v>15</v>
      </c>
      <c r="J201" s="134">
        <v>43243</v>
      </c>
      <c r="K201" s="66"/>
      <c r="L201" s="59"/>
      <c r="M201" s="59"/>
    </row>
    <row r="202" spans="1:15" x14ac:dyDescent="0.25">
      <c r="A202" s="237">
        <v>43231</v>
      </c>
      <c r="B202" s="65">
        <v>6</v>
      </c>
      <c r="C202" s="239">
        <v>121931</v>
      </c>
      <c r="D202" s="54">
        <v>60722</v>
      </c>
      <c r="E202" s="64">
        <v>2</v>
      </c>
      <c r="F202" s="248"/>
      <c r="G202" s="60"/>
      <c r="H202" s="60" t="s">
        <v>34</v>
      </c>
      <c r="I202" s="60" t="s">
        <v>19</v>
      </c>
      <c r="J202" s="134">
        <v>43237</v>
      </c>
      <c r="K202" s="66"/>
      <c r="L202" s="59"/>
      <c r="M202" s="59"/>
    </row>
    <row r="203" spans="1:15" x14ac:dyDescent="0.25">
      <c r="A203" s="237">
        <v>43231</v>
      </c>
      <c r="B203" s="65">
        <v>7</v>
      </c>
      <c r="C203" s="53">
        <v>121777</v>
      </c>
      <c r="D203" s="241">
        <v>60577</v>
      </c>
      <c r="E203" s="89">
        <v>5</v>
      </c>
      <c r="F203" s="93"/>
      <c r="G203" s="48"/>
      <c r="H203" s="48" t="s">
        <v>34</v>
      </c>
      <c r="I203" s="48" t="s">
        <v>17</v>
      </c>
      <c r="J203" s="132">
        <v>43243</v>
      </c>
      <c r="K203" s="58"/>
      <c r="L203" s="58" t="s">
        <v>52</v>
      </c>
    </row>
    <row r="204" spans="1:15" x14ac:dyDescent="0.25">
      <c r="A204" s="237">
        <v>43231</v>
      </c>
      <c r="B204" s="65">
        <v>8</v>
      </c>
      <c r="C204" s="53">
        <v>121776</v>
      </c>
      <c r="D204" s="241">
        <v>60576</v>
      </c>
      <c r="E204" s="89">
        <v>12</v>
      </c>
      <c r="F204" s="93"/>
      <c r="G204" s="48"/>
      <c r="H204" s="48" t="s">
        <v>34</v>
      </c>
      <c r="I204" s="48" t="s">
        <v>17</v>
      </c>
      <c r="J204" s="132">
        <v>43243</v>
      </c>
      <c r="K204" s="58"/>
      <c r="L204" s="58" t="s">
        <v>52</v>
      </c>
    </row>
    <row r="205" spans="1:15" x14ac:dyDescent="0.25">
      <c r="A205" s="237">
        <v>43231</v>
      </c>
      <c r="B205" s="65">
        <v>9</v>
      </c>
      <c r="C205" s="53">
        <v>121790</v>
      </c>
      <c r="D205" s="241">
        <v>60598</v>
      </c>
      <c r="E205" s="83">
        <v>4</v>
      </c>
      <c r="F205" s="93"/>
      <c r="G205" s="48"/>
      <c r="H205" s="48" t="s">
        <v>23</v>
      </c>
      <c r="I205" s="48" t="s">
        <v>19</v>
      </c>
      <c r="J205" s="132">
        <v>43243</v>
      </c>
      <c r="K205" s="58"/>
      <c r="L205" s="58" t="s">
        <v>73</v>
      </c>
    </row>
    <row r="206" spans="1:15" x14ac:dyDescent="0.25">
      <c r="A206" s="237">
        <v>43234</v>
      </c>
      <c r="B206" s="92">
        <v>1</v>
      </c>
      <c r="C206" s="53">
        <v>121775</v>
      </c>
      <c r="D206" s="241">
        <v>60575</v>
      </c>
      <c r="E206" s="89">
        <v>19</v>
      </c>
      <c r="F206" s="93"/>
      <c r="G206" s="48"/>
      <c r="H206" s="48" t="s">
        <v>34</v>
      </c>
      <c r="I206" s="48" t="s">
        <v>17</v>
      </c>
      <c r="J206" s="132">
        <v>43243</v>
      </c>
      <c r="K206" s="58"/>
      <c r="L206" s="58" t="s">
        <v>52</v>
      </c>
    </row>
    <row r="207" spans="1:15" x14ac:dyDescent="0.25">
      <c r="A207" s="237">
        <v>43234</v>
      </c>
      <c r="B207" s="92">
        <v>2</v>
      </c>
      <c r="C207" s="53">
        <v>121598</v>
      </c>
      <c r="D207" s="241">
        <v>60500</v>
      </c>
      <c r="E207" s="89">
        <v>2</v>
      </c>
      <c r="F207" s="93"/>
      <c r="G207" s="48"/>
      <c r="H207" s="48" t="s">
        <v>18</v>
      </c>
      <c r="I207" s="48" t="s">
        <v>19</v>
      </c>
      <c r="J207" s="132">
        <v>43241</v>
      </c>
      <c r="K207" s="58"/>
    </row>
    <row r="208" spans="1:15" x14ac:dyDescent="0.25">
      <c r="A208" s="237">
        <v>43234</v>
      </c>
      <c r="B208" s="92">
        <v>3</v>
      </c>
      <c r="C208" s="53">
        <v>121654</v>
      </c>
      <c r="D208" s="241">
        <v>60498</v>
      </c>
      <c r="E208" s="89">
        <v>1</v>
      </c>
      <c r="F208" s="93"/>
      <c r="G208" s="48"/>
      <c r="H208" s="48" t="s">
        <v>13</v>
      </c>
      <c r="I208" s="48" t="s">
        <v>17</v>
      </c>
      <c r="J208" s="132">
        <v>43241</v>
      </c>
      <c r="K208" s="58"/>
      <c r="L208" s="48" t="s">
        <v>35</v>
      </c>
    </row>
    <row r="209" spans="1:15" x14ac:dyDescent="0.25">
      <c r="A209" s="237">
        <v>43234</v>
      </c>
      <c r="B209" s="92">
        <v>4</v>
      </c>
      <c r="C209" s="53">
        <v>121662</v>
      </c>
      <c r="D209" s="241">
        <v>60502</v>
      </c>
      <c r="E209" s="90">
        <v>4</v>
      </c>
      <c r="F209" s="93"/>
      <c r="G209" s="48"/>
      <c r="H209" s="48" t="s">
        <v>18</v>
      </c>
      <c r="I209" s="48" t="s">
        <v>19</v>
      </c>
      <c r="J209" s="132">
        <v>43242</v>
      </c>
      <c r="K209" s="58"/>
    </row>
    <row r="210" spans="1:15" x14ac:dyDescent="0.25">
      <c r="A210" s="237">
        <v>43234</v>
      </c>
      <c r="B210" s="92">
        <v>5</v>
      </c>
      <c r="C210" s="54">
        <v>121925</v>
      </c>
      <c r="D210" s="242">
        <v>60686</v>
      </c>
      <c r="E210" s="64">
        <v>15</v>
      </c>
      <c r="F210" s="248"/>
      <c r="G210" s="60"/>
      <c r="H210" s="60" t="s">
        <v>23</v>
      </c>
      <c r="I210" s="60" t="s">
        <v>51</v>
      </c>
      <c r="J210" s="134">
        <v>43238</v>
      </c>
      <c r="K210" s="95" t="s">
        <v>72</v>
      </c>
      <c r="L210" s="60" t="s">
        <v>52</v>
      </c>
      <c r="M210" s="60">
        <f>E225+E227+E228+E230</f>
        <v>24</v>
      </c>
      <c r="N210" s="60"/>
    </row>
    <row r="211" spans="1:15" x14ac:dyDescent="0.25">
      <c r="A211" s="238">
        <v>43234</v>
      </c>
      <c r="B211" s="92">
        <v>6</v>
      </c>
      <c r="C211" s="54">
        <v>121924</v>
      </c>
      <c r="D211" s="242">
        <v>60685</v>
      </c>
      <c r="E211" s="64">
        <v>8</v>
      </c>
      <c r="F211" s="248"/>
      <c r="G211" s="60"/>
      <c r="H211" s="60" t="s">
        <v>23</v>
      </c>
      <c r="I211" s="60" t="s">
        <v>19</v>
      </c>
      <c r="J211" s="134">
        <v>43238</v>
      </c>
      <c r="K211" s="94" t="s">
        <v>72</v>
      </c>
      <c r="L211" s="60" t="s">
        <v>52</v>
      </c>
      <c r="M211" s="60"/>
    </row>
    <row r="212" spans="1:15" x14ac:dyDescent="0.25">
      <c r="A212" s="237">
        <v>43234</v>
      </c>
      <c r="B212" s="92">
        <v>7</v>
      </c>
      <c r="C212" s="53">
        <v>121657</v>
      </c>
      <c r="D212" s="241">
        <v>60494</v>
      </c>
      <c r="E212" s="75">
        <v>2</v>
      </c>
      <c r="F212" s="93"/>
      <c r="G212" s="48"/>
      <c r="H212" s="48" t="s">
        <v>18</v>
      </c>
      <c r="I212" s="48" t="s">
        <v>19</v>
      </c>
      <c r="J212" s="132">
        <v>43243</v>
      </c>
      <c r="K212" s="58"/>
    </row>
    <row r="213" spans="1:15" x14ac:dyDescent="0.25">
      <c r="A213" s="237">
        <v>43234</v>
      </c>
      <c r="B213" s="92">
        <v>8</v>
      </c>
      <c r="C213" s="53">
        <v>121658</v>
      </c>
      <c r="D213" s="241">
        <v>60495</v>
      </c>
      <c r="E213" s="75">
        <v>1</v>
      </c>
      <c r="F213" s="93"/>
      <c r="G213" s="48"/>
      <c r="H213" s="48" t="s">
        <v>18</v>
      </c>
      <c r="I213" s="48" t="s">
        <v>19</v>
      </c>
      <c r="J213" s="132">
        <v>43243</v>
      </c>
      <c r="K213" s="58"/>
    </row>
    <row r="214" spans="1:15" x14ac:dyDescent="0.25">
      <c r="A214" s="237">
        <v>43234</v>
      </c>
      <c r="B214" s="92">
        <v>9</v>
      </c>
      <c r="C214" s="53">
        <v>121650</v>
      </c>
      <c r="D214" s="241">
        <v>60487</v>
      </c>
      <c r="E214" s="89">
        <v>5</v>
      </c>
      <c r="F214" s="93"/>
      <c r="G214" s="48"/>
      <c r="H214" s="48" t="s">
        <v>18</v>
      </c>
      <c r="I214" s="48" t="s">
        <v>19</v>
      </c>
      <c r="J214" s="132">
        <v>43243</v>
      </c>
      <c r="K214" s="58"/>
      <c r="L214" s="48" t="s">
        <v>35</v>
      </c>
    </row>
    <row r="215" spans="1:15" x14ac:dyDescent="0.25">
      <c r="A215" s="237">
        <v>43234</v>
      </c>
      <c r="B215" s="92">
        <v>10</v>
      </c>
      <c r="C215" s="53">
        <v>121648</v>
      </c>
      <c r="D215" s="241">
        <v>60486</v>
      </c>
      <c r="E215" s="75">
        <v>1</v>
      </c>
      <c r="F215" s="93"/>
      <c r="G215" s="48"/>
      <c r="H215" s="48" t="s">
        <v>18</v>
      </c>
      <c r="I215" s="48" t="s">
        <v>19</v>
      </c>
      <c r="J215" s="132">
        <v>43243</v>
      </c>
      <c r="K215" s="58"/>
    </row>
    <row r="216" spans="1:15" x14ac:dyDescent="0.25">
      <c r="A216" s="237">
        <v>43234</v>
      </c>
      <c r="B216" s="92">
        <v>11</v>
      </c>
      <c r="C216" s="53">
        <v>121649</v>
      </c>
      <c r="D216" s="241">
        <v>60512</v>
      </c>
      <c r="E216" s="83">
        <v>2</v>
      </c>
      <c r="F216" s="93"/>
      <c r="G216" s="48"/>
      <c r="H216" s="48" t="s">
        <v>18</v>
      </c>
      <c r="I216" s="48" t="s">
        <v>19</v>
      </c>
      <c r="J216" s="132">
        <v>43243</v>
      </c>
      <c r="K216" s="58"/>
    </row>
    <row r="217" spans="1:15" x14ac:dyDescent="0.25">
      <c r="A217" s="237">
        <v>43234</v>
      </c>
      <c r="B217" s="92">
        <v>12</v>
      </c>
      <c r="C217" s="53">
        <v>121725</v>
      </c>
      <c r="D217" s="241">
        <v>60539</v>
      </c>
      <c r="E217" s="89">
        <v>1</v>
      </c>
      <c r="F217" s="93"/>
      <c r="G217" s="48"/>
      <c r="H217" s="48" t="s">
        <v>23</v>
      </c>
      <c r="I217" s="48" t="s">
        <v>19</v>
      </c>
      <c r="J217" s="132">
        <v>43243</v>
      </c>
      <c r="K217" s="58"/>
    </row>
    <row r="218" spans="1:15" x14ac:dyDescent="0.25">
      <c r="A218" s="237">
        <v>43234</v>
      </c>
      <c r="B218" s="92">
        <v>13</v>
      </c>
      <c r="C218" s="53">
        <v>121850</v>
      </c>
      <c r="D218" s="241">
        <v>60652</v>
      </c>
      <c r="E218" s="90">
        <v>2</v>
      </c>
      <c r="F218" s="93"/>
      <c r="G218" s="48"/>
      <c r="H218" s="48" t="s">
        <v>13</v>
      </c>
      <c r="I218" s="48" t="s">
        <v>19</v>
      </c>
      <c r="J218" s="132">
        <v>43243</v>
      </c>
      <c r="K218" s="58"/>
      <c r="L218" s="48" t="s">
        <v>71</v>
      </c>
    </row>
    <row r="219" spans="1:15" x14ac:dyDescent="0.25">
      <c r="A219" s="237">
        <v>43234</v>
      </c>
      <c r="B219" s="92">
        <v>14</v>
      </c>
      <c r="C219" s="53">
        <v>121851</v>
      </c>
      <c r="D219" s="241">
        <v>60645</v>
      </c>
      <c r="E219" s="90">
        <v>4</v>
      </c>
      <c r="F219" s="93"/>
      <c r="G219" s="48"/>
      <c r="H219" s="48" t="s">
        <v>23</v>
      </c>
      <c r="I219" s="48" t="s">
        <v>19</v>
      </c>
      <c r="J219" s="132">
        <v>43244</v>
      </c>
      <c r="K219" s="58"/>
    </row>
    <row r="220" spans="1:15" x14ac:dyDescent="0.25">
      <c r="A220" s="237">
        <v>43234</v>
      </c>
      <c r="B220" s="92">
        <v>15</v>
      </c>
      <c r="C220" s="53">
        <v>121634</v>
      </c>
      <c r="D220" s="241">
        <v>60476</v>
      </c>
      <c r="E220" s="75">
        <v>1</v>
      </c>
      <c r="F220" s="93"/>
      <c r="G220" s="48"/>
      <c r="H220" s="48" t="s">
        <v>18</v>
      </c>
      <c r="I220" s="48" t="s">
        <v>36</v>
      </c>
      <c r="J220" s="132">
        <v>43244</v>
      </c>
      <c r="K220" s="58"/>
    </row>
    <row r="221" spans="1:15" x14ac:dyDescent="0.25">
      <c r="A221" s="237">
        <v>43234</v>
      </c>
      <c r="B221" s="92">
        <v>16</v>
      </c>
      <c r="C221" s="53">
        <v>121635</v>
      </c>
      <c r="D221" s="241">
        <v>60477</v>
      </c>
      <c r="E221" s="89">
        <v>9</v>
      </c>
      <c r="F221" s="93"/>
      <c r="G221" s="48"/>
      <c r="H221" s="48" t="s">
        <v>18</v>
      </c>
      <c r="I221" s="48" t="s">
        <v>36</v>
      </c>
      <c r="J221" s="132">
        <v>43244</v>
      </c>
      <c r="K221" s="58"/>
    </row>
    <row r="222" spans="1:15" x14ac:dyDescent="0.25">
      <c r="A222" s="237">
        <v>43235</v>
      </c>
      <c r="B222" s="63">
        <v>1</v>
      </c>
      <c r="C222" s="53">
        <v>121666</v>
      </c>
      <c r="D222" s="241">
        <v>60574</v>
      </c>
      <c r="E222" s="76">
        <v>40</v>
      </c>
      <c r="F222" s="93"/>
      <c r="G222" s="48"/>
      <c r="H222" s="48" t="s">
        <v>13</v>
      </c>
      <c r="I222" s="48" t="s">
        <v>70</v>
      </c>
      <c r="J222" s="132">
        <v>43243</v>
      </c>
      <c r="K222" s="58"/>
      <c r="L222" s="48" t="s">
        <v>67</v>
      </c>
      <c r="M222" s="48" t="s">
        <v>69</v>
      </c>
    </row>
    <row r="223" spans="1:15" x14ac:dyDescent="0.25">
      <c r="A223" s="237">
        <v>43235</v>
      </c>
      <c r="B223" s="63">
        <v>2</v>
      </c>
      <c r="C223" s="53">
        <v>121752</v>
      </c>
      <c r="D223" s="241">
        <v>60612</v>
      </c>
      <c r="E223" s="76">
        <v>24</v>
      </c>
      <c r="F223" s="93"/>
      <c r="G223" s="48"/>
      <c r="H223" s="48" t="s">
        <v>13</v>
      </c>
      <c r="I223" s="48" t="s">
        <v>68</v>
      </c>
      <c r="J223" s="132">
        <v>43243</v>
      </c>
      <c r="K223" s="58"/>
      <c r="L223" s="48" t="s">
        <v>67</v>
      </c>
      <c r="M223" s="48" t="s">
        <v>66</v>
      </c>
      <c r="O223" s="91"/>
    </row>
    <row r="224" spans="1:15" x14ac:dyDescent="0.25">
      <c r="A224" s="237">
        <v>43235</v>
      </c>
      <c r="B224" s="63">
        <v>3</v>
      </c>
      <c r="C224" s="53"/>
      <c r="D224" s="241"/>
      <c r="E224" s="76"/>
      <c r="F224" s="93"/>
      <c r="G224" s="48"/>
      <c r="H224" s="48"/>
      <c r="I224" s="48"/>
      <c r="K224" s="58"/>
    </row>
    <row r="225" spans="1:14" x14ac:dyDescent="0.25">
      <c r="A225" s="237">
        <v>43235</v>
      </c>
      <c r="B225" s="63">
        <v>4</v>
      </c>
      <c r="C225" s="53">
        <v>121163</v>
      </c>
      <c r="D225" s="241">
        <v>60066</v>
      </c>
      <c r="E225" s="89">
        <v>8</v>
      </c>
      <c r="F225" s="93"/>
      <c r="G225" s="51"/>
      <c r="H225" s="51" t="s">
        <v>13</v>
      </c>
      <c r="I225" s="51" t="s">
        <v>14</v>
      </c>
      <c r="J225" s="133">
        <v>43247</v>
      </c>
      <c r="K225" s="78"/>
      <c r="L225" s="51"/>
      <c r="M225" s="51" t="s">
        <v>64</v>
      </c>
      <c r="N225" s="51"/>
    </row>
    <row r="226" spans="1:14" x14ac:dyDescent="0.25">
      <c r="A226" s="237">
        <v>43235</v>
      </c>
      <c r="B226" s="63">
        <v>5</v>
      </c>
      <c r="C226" s="53">
        <v>121156</v>
      </c>
      <c r="D226" s="241">
        <v>60071</v>
      </c>
      <c r="E226" s="75">
        <v>2</v>
      </c>
      <c r="F226" s="93"/>
      <c r="G226" s="51"/>
      <c r="H226" s="51" t="s">
        <v>13</v>
      </c>
      <c r="I226" s="51" t="s">
        <v>14</v>
      </c>
      <c r="J226" s="133">
        <v>43247</v>
      </c>
      <c r="K226" s="78"/>
      <c r="L226" s="51"/>
      <c r="M226" s="51" t="s">
        <v>64</v>
      </c>
      <c r="N226" s="51"/>
    </row>
    <row r="227" spans="1:14" x14ac:dyDescent="0.25">
      <c r="A227" s="237">
        <v>43235</v>
      </c>
      <c r="B227" s="63">
        <v>6</v>
      </c>
      <c r="C227" s="53">
        <v>122019</v>
      </c>
      <c r="D227" s="241">
        <v>60751</v>
      </c>
      <c r="E227" s="75">
        <v>2</v>
      </c>
      <c r="F227" s="93"/>
      <c r="G227" s="48"/>
      <c r="H227" s="48" t="s">
        <v>18</v>
      </c>
      <c r="I227" s="48" t="s">
        <v>19</v>
      </c>
      <c r="J227" s="132">
        <v>43244</v>
      </c>
      <c r="K227" s="58"/>
    </row>
    <row r="228" spans="1:14" x14ac:dyDescent="0.25">
      <c r="A228" s="237">
        <v>43235</v>
      </c>
      <c r="B228" s="63">
        <v>7</v>
      </c>
      <c r="C228" s="240">
        <v>122022</v>
      </c>
      <c r="D228" s="243">
        <v>60738</v>
      </c>
      <c r="E228" s="88">
        <v>1</v>
      </c>
      <c r="F228" s="249"/>
      <c r="G228" s="85"/>
      <c r="H228" s="85" t="s">
        <v>18</v>
      </c>
      <c r="I228" s="85" t="s">
        <v>15</v>
      </c>
      <c r="J228" s="135">
        <v>43243</v>
      </c>
      <c r="K228" s="62"/>
      <c r="M228" s="59"/>
    </row>
    <row r="229" spans="1:14" x14ac:dyDescent="0.25">
      <c r="A229" s="237">
        <v>43235</v>
      </c>
      <c r="B229" s="63">
        <v>8</v>
      </c>
      <c r="C229" s="240">
        <v>122019</v>
      </c>
      <c r="D229" s="243">
        <v>60751</v>
      </c>
      <c r="E229" s="87">
        <v>2</v>
      </c>
      <c r="F229" s="249"/>
      <c r="G229" s="85"/>
      <c r="H229" s="85" t="s">
        <v>18</v>
      </c>
      <c r="I229" s="85" t="s">
        <v>19</v>
      </c>
      <c r="J229" s="135">
        <v>43244</v>
      </c>
      <c r="K229" s="58"/>
    </row>
    <row r="230" spans="1:14" x14ac:dyDescent="0.25">
      <c r="A230" s="237">
        <v>43235</v>
      </c>
      <c r="B230" s="63">
        <v>9</v>
      </c>
      <c r="C230" s="240">
        <v>122017</v>
      </c>
      <c r="D230" s="243">
        <v>60730</v>
      </c>
      <c r="E230" s="86">
        <v>13</v>
      </c>
      <c r="F230" s="249"/>
      <c r="G230" s="85"/>
      <c r="H230" s="85" t="s">
        <v>18</v>
      </c>
      <c r="I230" s="85" t="s">
        <v>54</v>
      </c>
      <c r="J230" s="135">
        <v>43243</v>
      </c>
      <c r="K230" s="58"/>
    </row>
    <row r="231" spans="1:14" x14ac:dyDescent="0.25">
      <c r="A231" s="237">
        <v>43236</v>
      </c>
      <c r="B231" s="82">
        <v>1</v>
      </c>
      <c r="C231" s="53">
        <v>122042</v>
      </c>
      <c r="D231" s="241">
        <v>60776</v>
      </c>
      <c r="E231" s="75">
        <v>2</v>
      </c>
      <c r="F231" s="93"/>
      <c r="G231" s="48"/>
      <c r="H231" s="48" t="s">
        <v>13</v>
      </c>
      <c r="I231" s="48" t="s">
        <v>15</v>
      </c>
      <c r="J231" s="133">
        <v>43243</v>
      </c>
      <c r="K231" s="48"/>
    </row>
    <row r="232" spans="1:14" x14ac:dyDescent="0.25">
      <c r="A232" s="237">
        <v>43236</v>
      </c>
      <c r="B232" s="82">
        <v>2</v>
      </c>
      <c r="C232" s="53">
        <v>121138</v>
      </c>
      <c r="D232" s="241">
        <v>60045</v>
      </c>
      <c r="E232" s="75">
        <v>43</v>
      </c>
      <c r="F232" s="93"/>
      <c r="G232" s="51"/>
      <c r="H232" s="51" t="s">
        <v>18</v>
      </c>
      <c r="I232" s="51" t="s">
        <v>19</v>
      </c>
      <c r="J232" s="133">
        <v>43247</v>
      </c>
      <c r="K232" s="78"/>
      <c r="L232" s="51" t="s">
        <v>65</v>
      </c>
      <c r="M232" s="51" t="s">
        <v>64</v>
      </c>
      <c r="N232" s="51" t="s">
        <v>63</v>
      </c>
    </row>
    <row r="233" spans="1:14" x14ac:dyDescent="0.25">
      <c r="A233" s="237">
        <v>43236</v>
      </c>
      <c r="B233" s="82">
        <v>3</v>
      </c>
      <c r="C233" s="53">
        <v>121729</v>
      </c>
      <c r="D233" s="241">
        <v>60549</v>
      </c>
      <c r="E233" s="84">
        <v>2</v>
      </c>
      <c r="F233" s="93"/>
      <c r="G233" s="48"/>
      <c r="H233" s="48" t="s">
        <v>13</v>
      </c>
      <c r="I233" s="48" t="s">
        <v>15</v>
      </c>
      <c r="J233" s="132">
        <v>43248</v>
      </c>
      <c r="K233" s="58"/>
    </row>
    <row r="234" spans="1:14" x14ac:dyDescent="0.25">
      <c r="A234" s="238">
        <v>43236</v>
      </c>
      <c r="B234" s="82">
        <v>4</v>
      </c>
      <c r="C234" s="54">
        <v>121914</v>
      </c>
      <c r="D234" s="242">
        <v>60679</v>
      </c>
      <c r="E234" s="70">
        <v>16</v>
      </c>
      <c r="F234" s="248"/>
      <c r="G234" s="60"/>
      <c r="H234" s="60" t="s">
        <v>23</v>
      </c>
      <c r="I234" s="60" t="s">
        <v>12</v>
      </c>
      <c r="J234" s="134">
        <v>43248</v>
      </c>
      <c r="K234" s="60"/>
      <c r="L234" s="60"/>
      <c r="M234" s="60"/>
    </row>
    <row r="235" spans="1:14" x14ac:dyDescent="0.25">
      <c r="A235" s="238">
        <v>43236</v>
      </c>
      <c r="B235" s="82">
        <v>5</v>
      </c>
      <c r="C235" s="54">
        <v>121993</v>
      </c>
      <c r="D235" s="242">
        <v>60713</v>
      </c>
      <c r="E235" s="81">
        <v>1</v>
      </c>
      <c r="F235" s="248"/>
      <c r="G235" s="60"/>
      <c r="H235" s="60" t="s">
        <v>62</v>
      </c>
      <c r="I235" s="60" t="s">
        <v>19</v>
      </c>
      <c r="J235" s="134">
        <v>43248</v>
      </c>
      <c r="K235" s="60"/>
      <c r="L235" s="60" t="s">
        <v>61</v>
      </c>
      <c r="M235" s="60"/>
    </row>
    <row r="236" spans="1:14" ht="15.75" customHeight="1" x14ac:dyDescent="0.25">
      <c r="A236" s="238">
        <v>43236</v>
      </c>
      <c r="B236" s="82">
        <v>6</v>
      </c>
      <c r="C236" s="54">
        <v>121998</v>
      </c>
      <c r="D236" s="242">
        <v>60724</v>
      </c>
      <c r="E236" s="70">
        <v>4</v>
      </c>
      <c r="F236" s="248"/>
      <c r="G236" s="60"/>
      <c r="H236" s="60" t="s">
        <v>18</v>
      </c>
      <c r="I236" s="60" t="s">
        <v>19</v>
      </c>
      <c r="J236" s="134">
        <v>43248</v>
      </c>
      <c r="K236" s="60"/>
      <c r="L236" s="60"/>
      <c r="M236" s="60"/>
    </row>
    <row r="237" spans="1:14" x14ac:dyDescent="0.25">
      <c r="A237" s="237">
        <v>43236</v>
      </c>
      <c r="B237" s="82">
        <v>7</v>
      </c>
      <c r="C237" s="53">
        <v>121875</v>
      </c>
      <c r="D237" s="241">
        <v>60656</v>
      </c>
      <c r="E237" s="83">
        <v>4</v>
      </c>
      <c r="F237" s="93"/>
      <c r="G237" s="48"/>
      <c r="H237" s="48" t="s">
        <v>23</v>
      </c>
      <c r="I237" s="48" t="s">
        <v>26</v>
      </c>
      <c r="J237" s="132">
        <v>43248</v>
      </c>
      <c r="K237" s="58"/>
    </row>
    <row r="238" spans="1:14" x14ac:dyDescent="0.25">
      <c r="A238" s="237">
        <v>43236</v>
      </c>
      <c r="B238" s="82">
        <v>8</v>
      </c>
      <c r="C238" s="54">
        <v>122089</v>
      </c>
      <c r="D238" s="242">
        <v>60785</v>
      </c>
      <c r="E238" s="81">
        <v>5</v>
      </c>
      <c r="F238" s="93"/>
      <c r="G238" s="60"/>
      <c r="H238" s="60" t="s">
        <v>18</v>
      </c>
      <c r="I238" s="60" t="s">
        <v>54</v>
      </c>
      <c r="J238" s="132">
        <v>43243</v>
      </c>
      <c r="K238" s="48"/>
    </row>
    <row r="239" spans="1:14" ht="13.5" customHeight="1" x14ac:dyDescent="0.25">
      <c r="A239" s="237">
        <v>43237</v>
      </c>
      <c r="B239" s="74">
        <v>1</v>
      </c>
      <c r="C239" s="54">
        <v>122075</v>
      </c>
      <c r="D239" s="242">
        <v>60769</v>
      </c>
      <c r="E239" s="70">
        <v>1</v>
      </c>
      <c r="F239" s="93"/>
      <c r="H239" s="60" t="s">
        <v>18</v>
      </c>
      <c r="I239" s="60" t="s">
        <v>51</v>
      </c>
      <c r="J239" s="134">
        <v>43255</v>
      </c>
      <c r="K239" s="58"/>
    </row>
    <row r="240" spans="1:14" ht="13.5" customHeight="1" x14ac:dyDescent="0.25">
      <c r="A240" s="237">
        <v>43237</v>
      </c>
      <c r="B240" s="74">
        <v>2</v>
      </c>
      <c r="C240" s="53">
        <v>121688</v>
      </c>
      <c r="D240" s="241">
        <v>60520</v>
      </c>
      <c r="E240" s="75">
        <v>7</v>
      </c>
      <c r="F240" s="93"/>
      <c r="G240" s="48"/>
      <c r="H240" s="48" t="s">
        <v>18</v>
      </c>
      <c r="I240" s="48" t="s">
        <v>17</v>
      </c>
      <c r="J240" s="132">
        <v>43250</v>
      </c>
      <c r="K240" s="58"/>
      <c r="L240" s="48" t="s">
        <v>35</v>
      </c>
    </row>
    <row r="241" spans="1:13" ht="13.5" customHeight="1" x14ac:dyDescent="0.25">
      <c r="A241" s="237">
        <v>43237</v>
      </c>
      <c r="B241" s="74">
        <v>3</v>
      </c>
      <c r="C241" s="53">
        <v>121832</v>
      </c>
      <c r="D241" s="241">
        <v>60651</v>
      </c>
      <c r="E241" s="75">
        <v>8</v>
      </c>
      <c r="F241" s="93"/>
      <c r="G241" s="48"/>
      <c r="H241" s="48" t="s">
        <v>13</v>
      </c>
      <c r="I241" s="48" t="s">
        <v>14</v>
      </c>
      <c r="J241" s="132">
        <v>43250</v>
      </c>
      <c r="K241" s="58"/>
    </row>
    <row r="242" spans="1:13" ht="13.5" customHeight="1" x14ac:dyDescent="0.25">
      <c r="A242" s="237">
        <v>43237</v>
      </c>
      <c r="B242" s="74">
        <v>4</v>
      </c>
      <c r="C242" s="54">
        <v>121881</v>
      </c>
      <c r="D242" s="242">
        <v>60658</v>
      </c>
      <c r="E242" s="73">
        <v>1</v>
      </c>
      <c r="F242" s="248"/>
      <c r="G242" s="60"/>
      <c r="H242" s="60" t="s">
        <v>18</v>
      </c>
      <c r="I242" s="60" t="s">
        <v>19</v>
      </c>
      <c r="J242" s="134">
        <v>43250</v>
      </c>
      <c r="K242" s="58"/>
    </row>
    <row r="243" spans="1:13" ht="13.5" customHeight="1" x14ac:dyDescent="0.25">
      <c r="A243" s="237">
        <v>43237</v>
      </c>
      <c r="B243" s="74">
        <v>5</v>
      </c>
      <c r="C243" s="54">
        <v>121955</v>
      </c>
      <c r="D243" s="242">
        <v>60696</v>
      </c>
      <c r="E243" s="73">
        <v>2</v>
      </c>
      <c r="F243" s="248"/>
      <c r="G243" s="60"/>
      <c r="H243" s="60" t="s">
        <v>18</v>
      </c>
      <c r="I243" s="60" t="s">
        <v>54</v>
      </c>
      <c r="J243" s="134">
        <v>43250</v>
      </c>
      <c r="K243" s="58"/>
    </row>
    <row r="244" spans="1:13" ht="13.5" customHeight="1" x14ac:dyDescent="0.25">
      <c r="A244" s="237">
        <v>43237</v>
      </c>
      <c r="B244" s="74">
        <v>6</v>
      </c>
      <c r="C244" s="53">
        <v>122058</v>
      </c>
      <c r="D244" s="241">
        <v>60773</v>
      </c>
      <c r="E244" s="75">
        <v>1</v>
      </c>
      <c r="F244" s="93"/>
      <c r="G244" s="48"/>
      <c r="H244" s="48" t="s">
        <v>18</v>
      </c>
      <c r="I244" s="48" t="s">
        <v>60</v>
      </c>
      <c r="J244" s="134">
        <v>43250</v>
      </c>
      <c r="K244" s="58"/>
    </row>
    <row r="245" spans="1:13" ht="13.5" customHeight="1" x14ac:dyDescent="0.25">
      <c r="A245" s="237">
        <v>43237</v>
      </c>
      <c r="B245" s="74">
        <v>7</v>
      </c>
      <c r="C245" s="54">
        <v>122093</v>
      </c>
      <c r="D245" s="242">
        <v>60824</v>
      </c>
      <c r="E245" s="70">
        <v>1</v>
      </c>
      <c r="F245" s="93"/>
      <c r="G245" s="60"/>
      <c r="H245" s="60" t="s">
        <v>13</v>
      </c>
      <c r="I245" s="60" t="s">
        <v>36</v>
      </c>
      <c r="J245" s="134">
        <v>43257</v>
      </c>
      <c r="K245" s="58"/>
    </row>
    <row r="246" spans="1:13" ht="13.5" customHeight="1" x14ac:dyDescent="0.25">
      <c r="A246" s="237">
        <v>43237</v>
      </c>
      <c r="B246" s="74">
        <v>8</v>
      </c>
      <c r="C246" s="54">
        <v>122085</v>
      </c>
      <c r="D246" s="242">
        <v>60825</v>
      </c>
      <c r="E246" s="70">
        <v>1</v>
      </c>
      <c r="F246" s="93"/>
      <c r="G246" s="60"/>
      <c r="H246" s="60" t="s">
        <v>13</v>
      </c>
      <c r="I246" s="60" t="s">
        <v>59</v>
      </c>
      <c r="J246" s="134">
        <v>43257</v>
      </c>
      <c r="K246" s="58"/>
    </row>
    <row r="247" spans="1:13" ht="13.5" customHeight="1" x14ac:dyDescent="0.25">
      <c r="A247" s="237">
        <v>43237</v>
      </c>
      <c r="B247" s="74">
        <v>9</v>
      </c>
      <c r="C247" s="54">
        <v>122087</v>
      </c>
      <c r="D247" s="242">
        <v>60826</v>
      </c>
      <c r="E247" s="70">
        <v>3</v>
      </c>
      <c r="F247" s="93"/>
      <c r="G247" s="60"/>
      <c r="H247" s="60" t="s">
        <v>13</v>
      </c>
      <c r="I247" s="60" t="s">
        <v>36</v>
      </c>
      <c r="J247" s="134">
        <v>43257</v>
      </c>
      <c r="K247" s="58"/>
    </row>
    <row r="248" spans="1:13" ht="13.5" customHeight="1" x14ac:dyDescent="0.25">
      <c r="A248" s="237">
        <v>43237</v>
      </c>
      <c r="B248" s="74">
        <v>10</v>
      </c>
      <c r="C248" s="54">
        <v>122098</v>
      </c>
      <c r="D248" s="242">
        <v>60827</v>
      </c>
      <c r="E248" s="70">
        <v>6</v>
      </c>
      <c r="F248" s="93"/>
      <c r="G248" s="60"/>
      <c r="H248" s="60" t="s">
        <v>13</v>
      </c>
      <c r="I248" s="60" t="s">
        <v>12</v>
      </c>
      <c r="J248" s="134">
        <v>43248</v>
      </c>
      <c r="K248" s="58"/>
    </row>
    <row r="249" spans="1:13" ht="13.5" customHeight="1" x14ac:dyDescent="0.25">
      <c r="A249" s="237">
        <v>43237</v>
      </c>
      <c r="B249" s="74">
        <v>11</v>
      </c>
      <c r="C249" s="54">
        <v>122090</v>
      </c>
      <c r="D249" s="242">
        <v>60786</v>
      </c>
      <c r="E249" s="70">
        <v>1</v>
      </c>
      <c r="F249" s="93"/>
      <c r="G249" s="60"/>
      <c r="H249" s="60" t="s">
        <v>18</v>
      </c>
      <c r="I249" s="60" t="s">
        <v>15</v>
      </c>
      <c r="J249" s="134">
        <v>43255</v>
      </c>
      <c r="K249" s="58"/>
    </row>
    <row r="250" spans="1:13" ht="17.25" customHeight="1" x14ac:dyDescent="0.25">
      <c r="A250" s="237">
        <v>43237</v>
      </c>
      <c r="B250" s="74">
        <v>12</v>
      </c>
      <c r="C250" s="54">
        <v>121929</v>
      </c>
      <c r="D250" s="242">
        <v>60817</v>
      </c>
      <c r="E250" s="73">
        <v>11</v>
      </c>
      <c r="F250" s="93"/>
      <c r="H250" s="60" t="s">
        <v>13</v>
      </c>
      <c r="I250" s="60" t="s">
        <v>15</v>
      </c>
      <c r="J250" s="134">
        <v>43250</v>
      </c>
      <c r="K250" s="58"/>
    </row>
    <row r="251" spans="1:13" x14ac:dyDescent="0.25">
      <c r="A251" s="237">
        <v>43237</v>
      </c>
      <c r="B251" s="74">
        <v>13</v>
      </c>
      <c r="C251" s="54">
        <v>121932</v>
      </c>
      <c r="D251" s="242">
        <v>60815</v>
      </c>
      <c r="E251" s="73">
        <v>1</v>
      </c>
      <c r="F251" s="93"/>
      <c r="H251" s="60" t="s">
        <v>13</v>
      </c>
      <c r="I251" s="60" t="s">
        <v>15</v>
      </c>
      <c r="J251" s="134">
        <v>43250</v>
      </c>
      <c r="K251" s="58"/>
    </row>
    <row r="252" spans="1:13" x14ac:dyDescent="0.25">
      <c r="A252" s="237">
        <v>43237</v>
      </c>
      <c r="B252" s="74">
        <v>14</v>
      </c>
      <c r="C252" s="54">
        <v>121933</v>
      </c>
      <c r="D252" s="242">
        <v>60814</v>
      </c>
      <c r="E252" s="70">
        <v>14</v>
      </c>
      <c r="F252" s="93"/>
      <c r="H252" s="60" t="s">
        <v>13</v>
      </c>
      <c r="I252" s="60" t="s">
        <v>15</v>
      </c>
      <c r="J252" s="134">
        <v>43250</v>
      </c>
      <c r="K252" s="58"/>
    </row>
    <row r="253" spans="1:13" x14ac:dyDescent="0.25">
      <c r="A253" s="237">
        <v>43237</v>
      </c>
      <c r="B253" s="74">
        <v>15</v>
      </c>
      <c r="C253" s="54">
        <v>121936</v>
      </c>
      <c r="D253" s="242">
        <v>60813</v>
      </c>
      <c r="E253" s="70">
        <v>9</v>
      </c>
      <c r="F253" s="93"/>
      <c r="H253" s="60" t="s">
        <v>13</v>
      </c>
      <c r="I253" s="60" t="s">
        <v>15</v>
      </c>
      <c r="J253" s="134">
        <v>43250</v>
      </c>
      <c r="K253" s="58"/>
    </row>
    <row r="254" spans="1:13" x14ac:dyDescent="0.25">
      <c r="A254" s="237">
        <v>43237</v>
      </c>
      <c r="B254" s="74">
        <v>16</v>
      </c>
      <c r="C254" s="54">
        <v>121946</v>
      </c>
      <c r="D254" s="242">
        <v>60812</v>
      </c>
      <c r="E254" s="70">
        <v>7</v>
      </c>
      <c r="F254" s="93"/>
      <c r="H254" s="60" t="s">
        <v>13</v>
      </c>
      <c r="I254" s="60" t="s">
        <v>15</v>
      </c>
      <c r="J254" s="134">
        <v>43250</v>
      </c>
      <c r="K254" s="58"/>
    </row>
    <row r="255" spans="1:13" x14ac:dyDescent="0.25">
      <c r="A255" s="237">
        <v>43237</v>
      </c>
      <c r="B255" s="74">
        <v>17</v>
      </c>
      <c r="C255" s="54">
        <v>121948</v>
      </c>
      <c r="D255" s="242">
        <v>60811</v>
      </c>
      <c r="E255" s="70">
        <v>8</v>
      </c>
      <c r="F255" s="93"/>
      <c r="H255" s="60" t="s">
        <v>13</v>
      </c>
      <c r="I255" s="60" t="s">
        <v>15</v>
      </c>
      <c r="J255" s="134">
        <v>43250</v>
      </c>
      <c r="K255" s="58"/>
    </row>
    <row r="256" spans="1:13" x14ac:dyDescent="0.25">
      <c r="A256" s="237">
        <v>43237</v>
      </c>
      <c r="B256" s="74">
        <v>18</v>
      </c>
      <c r="C256" s="53">
        <v>121712</v>
      </c>
      <c r="D256" s="241">
        <v>60536</v>
      </c>
      <c r="E256" s="75">
        <v>2</v>
      </c>
      <c r="F256" s="93"/>
      <c r="G256" s="48"/>
      <c r="H256" s="48" t="s">
        <v>18</v>
      </c>
      <c r="I256" s="48" t="s">
        <v>50</v>
      </c>
      <c r="J256" s="132">
        <v>43243</v>
      </c>
      <c r="K256" s="58" t="s">
        <v>58</v>
      </c>
      <c r="L256" s="48" t="s">
        <v>57</v>
      </c>
      <c r="M256" s="48" t="s">
        <v>35</v>
      </c>
    </row>
    <row r="257" spans="1:13" x14ac:dyDescent="0.25">
      <c r="A257" s="237">
        <v>43237</v>
      </c>
      <c r="B257" s="74">
        <v>19</v>
      </c>
      <c r="C257" s="54">
        <v>122047</v>
      </c>
      <c r="D257" s="242">
        <v>60754</v>
      </c>
      <c r="E257" s="70">
        <v>1</v>
      </c>
      <c r="F257" s="248"/>
      <c r="G257" s="60"/>
      <c r="H257" s="60" t="s">
        <v>23</v>
      </c>
      <c r="I257" s="60" t="s">
        <v>15</v>
      </c>
      <c r="J257" s="134">
        <v>43250</v>
      </c>
      <c r="K257" s="58" t="s">
        <v>29</v>
      </c>
    </row>
    <row r="258" spans="1:13" x14ac:dyDescent="0.25">
      <c r="A258" s="237">
        <v>43237</v>
      </c>
      <c r="B258" s="74">
        <v>20</v>
      </c>
      <c r="C258" s="54">
        <v>121513</v>
      </c>
      <c r="D258" s="242">
        <v>60382</v>
      </c>
      <c r="E258" s="70">
        <v>2</v>
      </c>
      <c r="F258" s="248"/>
      <c r="G258" s="60"/>
      <c r="H258" s="60" t="s">
        <v>23</v>
      </c>
      <c r="I258" s="60" t="s">
        <v>14</v>
      </c>
      <c r="J258" s="134">
        <v>43234</v>
      </c>
      <c r="K258" s="58"/>
    </row>
    <row r="259" spans="1:13" x14ac:dyDescent="0.25">
      <c r="A259" s="237">
        <v>43238</v>
      </c>
      <c r="B259" s="128">
        <v>1</v>
      </c>
      <c r="C259" s="54"/>
      <c r="D259" s="242">
        <v>60854</v>
      </c>
      <c r="E259" s="69">
        <v>7</v>
      </c>
      <c r="F259" s="248"/>
      <c r="G259" s="60"/>
      <c r="H259" s="60" t="s">
        <v>13</v>
      </c>
      <c r="I259" s="60" t="s">
        <v>15</v>
      </c>
      <c r="J259" s="134">
        <v>43238</v>
      </c>
      <c r="K259" s="58"/>
    </row>
    <row r="260" spans="1:13" x14ac:dyDescent="0.25">
      <c r="A260" s="237">
        <v>43238</v>
      </c>
      <c r="B260" s="128">
        <v>2</v>
      </c>
      <c r="C260" s="54">
        <v>122140</v>
      </c>
      <c r="D260" s="242">
        <v>60853</v>
      </c>
      <c r="E260" s="70">
        <v>4</v>
      </c>
      <c r="F260" s="248"/>
      <c r="G260" s="60"/>
      <c r="H260" s="60" t="s">
        <v>13</v>
      </c>
      <c r="I260" s="60" t="s">
        <v>56</v>
      </c>
      <c r="J260" s="134">
        <v>43244</v>
      </c>
      <c r="K260" s="58"/>
    </row>
    <row r="261" spans="1:13" x14ac:dyDescent="0.25">
      <c r="A261" s="237">
        <v>43238</v>
      </c>
      <c r="B261" s="128">
        <v>3</v>
      </c>
      <c r="C261" s="53"/>
      <c r="D261" s="242">
        <v>60858</v>
      </c>
      <c r="E261" s="70">
        <v>9</v>
      </c>
      <c r="F261" s="93"/>
      <c r="G261" s="60"/>
      <c r="H261" s="60" t="s">
        <v>18</v>
      </c>
      <c r="I261" s="60" t="s">
        <v>36</v>
      </c>
      <c r="J261" s="132">
        <v>43243</v>
      </c>
      <c r="K261" s="58"/>
    </row>
    <row r="262" spans="1:13" x14ac:dyDescent="0.25">
      <c r="A262" s="237">
        <v>43242</v>
      </c>
      <c r="B262" s="130">
        <v>1</v>
      </c>
      <c r="C262" s="54">
        <v>122141</v>
      </c>
      <c r="D262" s="242">
        <v>60850</v>
      </c>
      <c r="E262" s="73">
        <v>4</v>
      </c>
      <c r="F262" s="248"/>
      <c r="G262" s="60"/>
      <c r="H262" s="60" t="s">
        <v>13</v>
      </c>
      <c r="I262" s="60" t="s">
        <v>55</v>
      </c>
      <c r="J262" s="134">
        <v>43248</v>
      </c>
      <c r="K262" s="58"/>
    </row>
    <row r="263" spans="1:13" x14ac:dyDescent="0.25">
      <c r="A263" s="237">
        <v>43242</v>
      </c>
      <c r="B263" s="130">
        <v>2</v>
      </c>
      <c r="C263" s="53">
        <v>121879</v>
      </c>
      <c r="D263" s="241">
        <v>60657</v>
      </c>
      <c r="E263" s="75">
        <v>27</v>
      </c>
      <c r="F263" s="93"/>
      <c r="G263" s="48"/>
      <c r="H263" s="48" t="s">
        <v>18</v>
      </c>
      <c r="I263" s="48" t="s">
        <v>19</v>
      </c>
      <c r="J263" s="132">
        <v>43249</v>
      </c>
      <c r="K263" s="58" t="s">
        <v>29</v>
      </c>
    </row>
    <row r="264" spans="1:13" x14ac:dyDescent="0.25">
      <c r="A264" s="237">
        <v>43242</v>
      </c>
      <c r="B264" s="130">
        <v>3</v>
      </c>
      <c r="C264" s="54">
        <v>122119</v>
      </c>
      <c r="D264" s="242">
        <v>60851</v>
      </c>
      <c r="E264" s="70">
        <v>4</v>
      </c>
      <c r="F264" s="248"/>
      <c r="G264" s="60"/>
      <c r="H264" s="60" t="s">
        <v>18</v>
      </c>
      <c r="I264" s="60" t="s">
        <v>15</v>
      </c>
      <c r="J264" s="134">
        <v>43250</v>
      </c>
      <c r="K264" s="58"/>
    </row>
    <row r="265" spans="1:13" x14ac:dyDescent="0.25">
      <c r="A265" s="237">
        <v>43242</v>
      </c>
      <c r="B265" s="130">
        <v>4</v>
      </c>
      <c r="C265" s="54">
        <v>121969</v>
      </c>
      <c r="D265" s="242">
        <v>60707</v>
      </c>
      <c r="E265" s="70">
        <v>26</v>
      </c>
      <c r="F265" s="248"/>
      <c r="G265" s="60"/>
      <c r="H265" s="60" t="s">
        <v>18</v>
      </c>
      <c r="I265" s="60" t="s">
        <v>54</v>
      </c>
      <c r="J265" s="134">
        <v>43251</v>
      </c>
      <c r="K265" s="58" t="s">
        <v>29</v>
      </c>
    </row>
    <row r="266" spans="1:13" x14ac:dyDescent="0.25">
      <c r="A266" s="237">
        <v>43242</v>
      </c>
      <c r="B266" s="130">
        <v>5</v>
      </c>
      <c r="C266" s="54">
        <v>122118</v>
      </c>
      <c r="D266" s="242">
        <v>60852</v>
      </c>
      <c r="E266" s="70">
        <v>18</v>
      </c>
      <c r="F266" s="248"/>
      <c r="G266" s="60"/>
      <c r="H266" s="60" t="s">
        <v>18</v>
      </c>
      <c r="I266" s="60" t="s">
        <v>15</v>
      </c>
      <c r="J266" s="134">
        <v>43250</v>
      </c>
      <c r="K266" s="58"/>
    </row>
    <row r="267" spans="1:13" x14ac:dyDescent="0.25">
      <c r="A267" s="237">
        <v>43241</v>
      </c>
      <c r="B267" s="80">
        <v>1</v>
      </c>
      <c r="C267" s="53">
        <v>121779</v>
      </c>
      <c r="D267" s="241">
        <v>60578</v>
      </c>
      <c r="E267" s="75">
        <v>12</v>
      </c>
      <c r="F267" s="93"/>
      <c r="G267" s="48"/>
      <c r="H267" s="48" t="s">
        <v>34</v>
      </c>
      <c r="I267" s="48" t="s">
        <v>17</v>
      </c>
      <c r="J267" s="132">
        <v>43243</v>
      </c>
      <c r="K267" s="58" t="s">
        <v>53</v>
      </c>
      <c r="L267" s="58" t="s">
        <v>52</v>
      </c>
    </row>
    <row r="268" spans="1:13" x14ac:dyDescent="0.25">
      <c r="A268" s="237">
        <v>43241</v>
      </c>
      <c r="B268" s="80">
        <v>2</v>
      </c>
      <c r="C268" s="54">
        <v>121983</v>
      </c>
      <c r="D268" s="242">
        <v>60712</v>
      </c>
      <c r="E268" s="70">
        <v>4</v>
      </c>
      <c r="F268" s="248"/>
      <c r="G268" s="60"/>
      <c r="H268" s="60" t="s">
        <v>18</v>
      </c>
      <c r="I268" s="60" t="s">
        <v>19</v>
      </c>
      <c r="J268" s="134">
        <v>43250</v>
      </c>
      <c r="K268" s="48"/>
    </row>
    <row r="269" spans="1:13" x14ac:dyDescent="0.25">
      <c r="A269" s="237">
        <v>43241</v>
      </c>
      <c r="B269" s="80">
        <v>3</v>
      </c>
      <c r="C269" s="53">
        <v>122086</v>
      </c>
      <c r="D269" s="241">
        <v>60777</v>
      </c>
      <c r="E269" s="72">
        <v>2</v>
      </c>
      <c r="F269" s="93"/>
      <c r="H269" s="48" t="s">
        <v>18</v>
      </c>
      <c r="I269" s="48" t="s">
        <v>51</v>
      </c>
      <c r="J269" s="134">
        <v>43262</v>
      </c>
      <c r="K269" s="48"/>
    </row>
    <row r="270" spans="1:13" x14ac:dyDescent="0.25">
      <c r="A270" s="237">
        <v>43241</v>
      </c>
      <c r="B270" s="80">
        <v>4</v>
      </c>
      <c r="C270" s="53">
        <v>121842</v>
      </c>
      <c r="D270" s="241">
        <v>60641</v>
      </c>
      <c r="E270" s="75">
        <v>1</v>
      </c>
      <c r="F270" s="93"/>
      <c r="G270" s="48"/>
      <c r="H270" s="48" t="s">
        <v>18</v>
      </c>
      <c r="I270" s="48" t="s">
        <v>50</v>
      </c>
      <c r="J270" s="132">
        <v>43251</v>
      </c>
      <c r="K270" s="58" t="s">
        <v>20</v>
      </c>
    </row>
    <row r="271" spans="1:13" x14ac:dyDescent="0.25">
      <c r="A271" s="237">
        <v>43241</v>
      </c>
      <c r="B271" s="80">
        <v>5</v>
      </c>
      <c r="C271" s="54">
        <v>121982</v>
      </c>
      <c r="D271" s="242">
        <v>60829</v>
      </c>
      <c r="E271" s="61">
        <v>4</v>
      </c>
      <c r="F271" s="248"/>
      <c r="G271" s="60"/>
      <c r="H271" s="60" t="s">
        <v>18</v>
      </c>
      <c r="I271" s="60" t="s">
        <v>49</v>
      </c>
      <c r="J271" s="134">
        <v>43251</v>
      </c>
      <c r="K271" s="58" t="s">
        <v>32</v>
      </c>
      <c r="L271" s="60" t="s">
        <v>48</v>
      </c>
      <c r="M271" s="60"/>
    </row>
    <row r="272" spans="1:13" x14ac:dyDescent="0.25">
      <c r="A272" s="237">
        <v>43243</v>
      </c>
      <c r="B272" s="127">
        <v>1</v>
      </c>
      <c r="C272" s="53">
        <v>121838</v>
      </c>
      <c r="D272" s="241">
        <v>60642</v>
      </c>
      <c r="E272" s="79">
        <v>57</v>
      </c>
      <c r="F272" s="93"/>
      <c r="G272" s="48"/>
      <c r="H272" s="48" t="s">
        <v>13</v>
      </c>
      <c r="I272" s="48" t="s">
        <v>19</v>
      </c>
      <c r="J272" s="132">
        <v>43248</v>
      </c>
      <c r="K272" s="58"/>
    </row>
    <row r="273" spans="1:14" x14ac:dyDescent="0.25">
      <c r="A273" s="237">
        <v>43243</v>
      </c>
      <c r="B273" s="127">
        <v>2</v>
      </c>
      <c r="C273" s="54">
        <v>122154</v>
      </c>
      <c r="D273" s="242">
        <v>60889</v>
      </c>
      <c r="E273" s="70">
        <v>10</v>
      </c>
      <c r="F273" s="248"/>
      <c r="G273" s="60"/>
      <c r="H273" s="48" t="s">
        <v>13</v>
      </c>
      <c r="I273" s="48" t="s">
        <v>19</v>
      </c>
      <c r="J273" s="132">
        <v>43248</v>
      </c>
      <c r="K273" s="58"/>
    </row>
    <row r="274" spans="1:14" x14ac:dyDescent="0.25">
      <c r="A274" s="237">
        <v>43243</v>
      </c>
      <c r="B274" s="127">
        <v>3</v>
      </c>
      <c r="C274" s="54">
        <v>121892</v>
      </c>
      <c r="D274" s="242">
        <v>60683</v>
      </c>
      <c r="E274" s="70">
        <v>12</v>
      </c>
      <c r="F274" s="248"/>
      <c r="G274" s="60"/>
      <c r="H274" s="60" t="s">
        <v>18</v>
      </c>
      <c r="I274" s="60" t="s">
        <v>19</v>
      </c>
      <c r="J274" s="134">
        <v>43255</v>
      </c>
      <c r="K274" s="58"/>
    </row>
    <row r="275" spans="1:14" x14ac:dyDescent="0.25">
      <c r="A275" s="237">
        <v>43243</v>
      </c>
      <c r="B275" s="127">
        <v>4</v>
      </c>
      <c r="C275" s="54">
        <v>122177</v>
      </c>
      <c r="D275" s="242">
        <v>60926</v>
      </c>
      <c r="E275" s="70">
        <v>4</v>
      </c>
      <c r="F275" s="93"/>
      <c r="H275" s="48" t="s">
        <v>13</v>
      </c>
      <c r="I275" s="48" t="s">
        <v>15</v>
      </c>
      <c r="J275" s="134">
        <v>43250</v>
      </c>
      <c r="K275" s="58"/>
    </row>
    <row r="276" spans="1:14" x14ac:dyDescent="0.25">
      <c r="A276" s="237">
        <v>43243</v>
      </c>
      <c r="B276" s="127">
        <v>5</v>
      </c>
      <c r="C276" s="53">
        <v>122038</v>
      </c>
      <c r="D276" s="241">
        <v>60752</v>
      </c>
      <c r="E276" s="75">
        <v>1</v>
      </c>
      <c r="F276" s="93"/>
      <c r="H276" s="48" t="s">
        <v>18</v>
      </c>
      <c r="I276" s="48" t="s">
        <v>19</v>
      </c>
      <c r="J276" s="134">
        <v>43255</v>
      </c>
      <c r="K276" s="58"/>
    </row>
    <row r="277" spans="1:14" x14ac:dyDescent="0.25">
      <c r="A277" s="237">
        <v>43243</v>
      </c>
      <c r="B277" s="127">
        <v>6</v>
      </c>
      <c r="C277" s="54">
        <v>122165</v>
      </c>
      <c r="D277" s="242">
        <v>60884</v>
      </c>
      <c r="E277" s="70">
        <v>1</v>
      </c>
      <c r="F277" s="93"/>
      <c r="H277" s="48" t="s">
        <v>18</v>
      </c>
      <c r="I277" s="48" t="s">
        <v>19</v>
      </c>
      <c r="J277" s="134">
        <v>43255</v>
      </c>
      <c r="K277" s="58"/>
    </row>
    <row r="278" spans="1:14" x14ac:dyDescent="0.25">
      <c r="A278" s="237">
        <v>43243</v>
      </c>
      <c r="B278" s="127">
        <v>7</v>
      </c>
      <c r="C278" s="54">
        <v>122217</v>
      </c>
      <c r="D278" s="242">
        <v>60930</v>
      </c>
      <c r="E278" s="70">
        <v>1</v>
      </c>
      <c r="F278" s="248"/>
      <c r="G278" s="60"/>
      <c r="H278" s="60" t="s">
        <v>13</v>
      </c>
      <c r="I278" s="60" t="s">
        <v>47</v>
      </c>
      <c r="J278" s="134">
        <v>43250</v>
      </c>
      <c r="K278" s="58"/>
    </row>
    <row r="279" spans="1:14" x14ac:dyDescent="0.25">
      <c r="A279" s="237">
        <v>43243</v>
      </c>
      <c r="B279" s="127">
        <v>8</v>
      </c>
      <c r="C279" s="54">
        <v>121886</v>
      </c>
      <c r="D279" s="242">
        <v>60929</v>
      </c>
      <c r="E279" s="70">
        <v>1</v>
      </c>
      <c r="F279" s="248"/>
      <c r="G279" s="60"/>
      <c r="H279" s="60" t="s">
        <v>13</v>
      </c>
      <c r="I279" s="60" t="s">
        <v>47</v>
      </c>
      <c r="J279" s="134">
        <v>43244</v>
      </c>
      <c r="K279" s="58"/>
    </row>
    <row r="280" spans="1:14" x14ac:dyDescent="0.25">
      <c r="A280" s="237">
        <v>43243</v>
      </c>
      <c r="B280" s="127">
        <v>9</v>
      </c>
      <c r="C280" s="54">
        <v>121607</v>
      </c>
      <c r="D280" s="242">
        <v>60944</v>
      </c>
      <c r="E280" s="70">
        <v>1</v>
      </c>
      <c r="F280" s="248"/>
      <c r="G280" s="60"/>
      <c r="H280" s="60" t="s">
        <v>18</v>
      </c>
      <c r="I280" s="60" t="s">
        <v>27</v>
      </c>
      <c r="J280" s="134">
        <v>43244</v>
      </c>
      <c r="K280" s="58"/>
    </row>
    <row r="281" spans="1:14" x14ac:dyDescent="0.25">
      <c r="A281" s="237">
        <v>43244</v>
      </c>
      <c r="B281" s="65">
        <v>1</v>
      </c>
      <c r="C281" s="54">
        <v>122189</v>
      </c>
      <c r="D281" s="242">
        <v>60913</v>
      </c>
      <c r="E281" s="70">
        <v>31</v>
      </c>
      <c r="F281" s="93"/>
      <c r="H281" s="48" t="s">
        <v>34</v>
      </c>
      <c r="I281" s="48" t="s">
        <v>19</v>
      </c>
      <c r="J281" s="134">
        <v>43251</v>
      </c>
      <c r="K281" s="58"/>
    </row>
    <row r="282" spans="1:14" x14ac:dyDescent="0.25">
      <c r="A282" s="237">
        <v>43244</v>
      </c>
      <c r="B282" s="65">
        <v>2</v>
      </c>
      <c r="C282" s="54">
        <v>122238</v>
      </c>
      <c r="D282" s="242">
        <v>60959</v>
      </c>
      <c r="E282" s="70">
        <v>8</v>
      </c>
      <c r="F282" s="248"/>
      <c r="G282" s="60"/>
      <c r="H282" s="60" t="s">
        <v>13</v>
      </c>
      <c r="I282" s="60" t="s">
        <v>21</v>
      </c>
      <c r="J282" s="134">
        <v>43250</v>
      </c>
      <c r="K282" s="58" t="s">
        <v>40</v>
      </c>
    </row>
    <row r="283" spans="1:14" x14ac:dyDescent="0.25">
      <c r="A283" s="237">
        <v>43244</v>
      </c>
      <c r="B283" s="65">
        <v>3</v>
      </c>
      <c r="C283" s="54">
        <v>122218</v>
      </c>
      <c r="D283" s="242">
        <v>60951</v>
      </c>
      <c r="E283" s="70">
        <v>1</v>
      </c>
      <c r="F283" s="248"/>
      <c r="G283" s="60"/>
      <c r="H283" s="60" t="s">
        <v>13</v>
      </c>
      <c r="I283" s="60" t="s">
        <v>14</v>
      </c>
      <c r="J283" s="134">
        <v>43250</v>
      </c>
      <c r="K283" s="58"/>
    </row>
    <row r="284" spans="1:14" x14ac:dyDescent="0.25">
      <c r="A284" s="237">
        <v>43244</v>
      </c>
      <c r="B284" s="65">
        <v>4</v>
      </c>
      <c r="C284" s="54">
        <v>122225</v>
      </c>
      <c r="D284" s="242">
        <v>60956</v>
      </c>
      <c r="E284" s="70">
        <v>11</v>
      </c>
      <c r="F284" s="248"/>
      <c r="G284" s="60"/>
      <c r="H284" s="60" t="s">
        <v>13</v>
      </c>
      <c r="I284" s="60" t="s">
        <v>36</v>
      </c>
      <c r="J284" s="134">
        <v>43251</v>
      </c>
      <c r="K284" s="58"/>
    </row>
    <row r="285" spans="1:14" x14ac:dyDescent="0.25">
      <c r="A285" s="237">
        <v>43244</v>
      </c>
      <c r="B285" s="65">
        <v>5</v>
      </c>
      <c r="C285" s="53">
        <v>120833</v>
      </c>
      <c r="D285" s="241">
        <v>59806</v>
      </c>
      <c r="E285" s="75">
        <v>1</v>
      </c>
      <c r="F285" s="93"/>
      <c r="G285" s="51"/>
      <c r="H285" s="51" t="s">
        <v>18</v>
      </c>
      <c r="I285" s="51" t="s">
        <v>19</v>
      </c>
      <c r="J285" s="133">
        <v>43209</v>
      </c>
      <c r="K285" s="78"/>
      <c r="L285" s="51" t="s">
        <v>46</v>
      </c>
      <c r="M285" s="51"/>
      <c r="N285" s="51"/>
    </row>
    <row r="286" spans="1:14" x14ac:dyDescent="0.25">
      <c r="A286" s="237">
        <v>43244</v>
      </c>
      <c r="B286" s="65">
        <v>6</v>
      </c>
      <c r="C286" s="54">
        <v>121883</v>
      </c>
      <c r="D286" s="242">
        <v>60660</v>
      </c>
      <c r="E286" s="70">
        <v>1</v>
      </c>
      <c r="F286" s="248"/>
      <c r="G286" s="60"/>
      <c r="H286" s="60" t="s">
        <v>18</v>
      </c>
      <c r="I286" s="60" t="s">
        <v>19</v>
      </c>
      <c r="J286" s="134">
        <v>43257</v>
      </c>
      <c r="K286" s="58"/>
    </row>
    <row r="287" spans="1:14" x14ac:dyDescent="0.25">
      <c r="A287" s="237">
        <v>43244</v>
      </c>
      <c r="B287" s="65">
        <v>7</v>
      </c>
      <c r="C287" s="54">
        <v>121882</v>
      </c>
      <c r="D287" s="242">
        <v>60659</v>
      </c>
      <c r="E287" s="70">
        <v>1</v>
      </c>
      <c r="F287" s="248"/>
      <c r="G287" s="60"/>
      <c r="H287" s="60" t="s">
        <v>18</v>
      </c>
      <c r="I287" s="60" t="s">
        <v>30</v>
      </c>
      <c r="J287" s="134">
        <v>43257</v>
      </c>
      <c r="K287" s="66" t="s">
        <v>45</v>
      </c>
    </row>
    <row r="288" spans="1:14" x14ac:dyDescent="0.25">
      <c r="A288" s="237">
        <v>43244</v>
      </c>
      <c r="B288" s="65">
        <v>8</v>
      </c>
      <c r="C288" s="54">
        <v>122149</v>
      </c>
      <c r="D288" s="242">
        <v>60857</v>
      </c>
      <c r="E288" s="70">
        <v>1</v>
      </c>
      <c r="F288" s="248"/>
      <c r="G288" s="60"/>
      <c r="H288" s="60" t="s">
        <v>18</v>
      </c>
      <c r="I288" s="60" t="s">
        <v>19</v>
      </c>
      <c r="J288" s="134">
        <v>43265</v>
      </c>
      <c r="K288" s="66" t="s">
        <v>44</v>
      </c>
    </row>
    <row r="289" spans="1:11" x14ac:dyDescent="0.25">
      <c r="A289" s="237">
        <v>43244</v>
      </c>
      <c r="B289" s="65">
        <v>9</v>
      </c>
      <c r="C289" s="54">
        <v>121947</v>
      </c>
      <c r="D289" s="242">
        <v>60695</v>
      </c>
      <c r="E289" s="70">
        <v>2</v>
      </c>
      <c r="F289" s="248"/>
      <c r="G289" s="60"/>
      <c r="H289" s="60" t="s">
        <v>18</v>
      </c>
      <c r="I289" s="60" t="s">
        <v>43</v>
      </c>
      <c r="J289" s="134">
        <v>43257</v>
      </c>
      <c r="K289" s="66"/>
    </row>
    <row r="290" spans="1:11" x14ac:dyDescent="0.25">
      <c r="A290" s="237">
        <v>43244</v>
      </c>
      <c r="B290" s="65">
        <v>10</v>
      </c>
      <c r="C290" s="54">
        <v>121940</v>
      </c>
      <c r="D290" s="242">
        <v>60694</v>
      </c>
      <c r="E290" s="70">
        <v>6</v>
      </c>
      <c r="F290" s="248"/>
      <c r="G290" s="60"/>
      <c r="H290" s="60" t="s">
        <v>18</v>
      </c>
      <c r="I290" s="60" t="s">
        <v>43</v>
      </c>
      <c r="J290" s="134">
        <v>43257</v>
      </c>
      <c r="K290" s="66"/>
    </row>
    <row r="291" spans="1:11" x14ac:dyDescent="0.25">
      <c r="A291" s="237">
        <v>43244</v>
      </c>
      <c r="B291" s="65">
        <v>11</v>
      </c>
      <c r="C291" s="54">
        <v>121995</v>
      </c>
      <c r="D291" s="242">
        <v>60715</v>
      </c>
      <c r="E291" s="70">
        <v>8</v>
      </c>
      <c r="F291" s="248"/>
      <c r="G291" s="60"/>
      <c r="H291" s="60" t="s">
        <v>18</v>
      </c>
      <c r="I291" s="60" t="s">
        <v>19</v>
      </c>
      <c r="J291" s="134">
        <v>43257</v>
      </c>
      <c r="K291" s="66"/>
    </row>
    <row r="292" spans="1:11" x14ac:dyDescent="0.25">
      <c r="A292" s="237">
        <v>43244</v>
      </c>
      <c r="B292" s="65">
        <v>12</v>
      </c>
      <c r="C292" s="54">
        <v>122233</v>
      </c>
      <c r="D292" s="242">
        <v>60957</v>
      </c>
      <c r="E292" s="68">
        <v>1</v>
      </c>
      <c r="F292" s="93"/>
      <c r="H292" s="60" t="s">
        <v>23</v>
      </c>
      <c r="I292" s="60" t="s">
        <v>25</v>
      </c>
      <c r="J292" s="134">
        <v>43257</v>
      </c>
      <c r="K292" s="66"/>
    </row>
    <row r="293" spans="1:11" x14ac:dyDescent="0.25">
      <c r="A293" s="237">
        <v>43244</v>
      </c>
      <c r="B293" s="65">
        <v>13</v>
      </c>
      <c r="C293" s="54">
        <v>122180</v>
      </c>
      <c r="D293" s="242">
        <v>60901</v>
      </c>
      <c r="E293" s="70">
        <v>9</v>
      </c>
      <c r="F293" s="93"/>
      <c r="H293" s="60" t="s">
        <v>23</v>
      </c>
      <c r="I293" s="60" t="s">
        <v>42</v>
      </c>
      <c r="J293" s="134">
        <v>43257</v>
      </c>
      <c r="K293" s="58" t="s">
        <v>40</v>
      </c>
    </row>
    <row r="294" spans="1:11" x14ac:dyDescent="0.25">
      <c r="A294" s="237">
        <v>43244</v>
      </c>
      <c r="B294" s="65">
        <v>14</v>
      </c>
      <c r="C294" s="54">
        <v>121996</v>
      </c>
      <c r="D294" s="242">
        <v>60714</v>
      </c>
      <c r="E294" s="70">
        <v>2</v>
      </c>
      <c r="F294" s="248"/>
      <c r="G294" s="60"/>
      <c r="H294" s="60" t="s">
        <v>18</v>
      </c>
      <c r="I294" s="60" t="s">
        <v>19</v>
      </c>
      <c r="J294" s="134">
        <v>43257</v>
      </c>
      <c r="K294" s="58"/>
    </row>
    <row r="295" spans="1:11" x14ac:dyDescent="0.25">
      <c r="A295" s="237">
        <v>43244</v>
      </c>
      <c r="B295" s="65">
        <v>15</v>
      </c>
      <c r="C295" s="54">
        <v>121691</v>
      </c>
      <c r="D295" s="242">
        <v>61026</v>
      </c>
      <c r="E295" s="70">
        <v>2</v>
      </c>
      <c r="F295" s="248"/>
      <c r="G295" s="60"/>
      <c r="H295" s="60" t="s">
        <v>18</v>
      </c>
      <c r="I295" s="60" t="s">
        <v>30</v>
      </c>
      <c r="J295" s="134">
        <v>43243</v>
      </c>
      <c r="K295" s="66"/>
    </row>
    <row r="296" spans="1:11" x14ac:dyDescent="0.25">
      <c r="A296" s="237">
        <v>43245</v>
      </c>
      <c r="B296" s="74">
        <v>1</v>
      </c>
      <c r="C296" s="54">
        <v>122227</v>
      </c>
      <c r="D296" s="242">
        <v>60931</v>
      </c>
      <c r="E296" s="70">
        <v>17</v>
      </c>
      <c r="F296" s="248"/>
      <c r="G296" s="60"/>
      <c r="H296" s="60" t="s">
        <v>23</v>
      </c>
      <c r="I296" s="60" t="s">
        <v>19</v>
      </c>
      <c r="J296" s="134">
        <v>43256</v>
      </c>
      <c r="K296" s="58"/>
    </row>
    <row r="297" spans="1:11" x14ac:dyDescent="0.25">
      <c r="A297" s="237">
        <v>43245</v>
      </c>
      <c r="B297" s="74">
        <v>2</v>
      </c>
      <c r="C297" s="54">
        <v>122221</v>
      </c>
      <c r="D297" s="242">
        <v>60952</v>
      </c>
      <c r="E297" s="69">
        <v>4</v>
      </c>
      <c r="F297" s="248"/>
      <c r="G297" s="60"/>
      <c r="H297" s="60" t="s">
        <v>13</v>
      </c>
      <c r="I297" s="60" t="s">
        <v>19</v>
      </c>
      <c r="J297" s="134">
        <v>43258</v>
      </c>
      <c r="K297" s="58" t="s">
        <v>35</v>
      </c>
    </row>
    <row r="298" spans="1:11" x14ac:dyDescent="0.25">
      <c r="A298" s="237">
        <v>43245</v>
      </c>
      <c r="B298" s="74">
        <v>3</v>
      </c>
      <c r="C298" s="53">
        <v>121451</v>
      </c>
      <c r="D298" s="241">
        <v>60924</v>
      </c>
      <c r="E298" s="75">
        <v>70</v>
      </c>
      <c r="F298" s="93"/>
      <c r="H298" s="48" t="s">
        <v>18</v>
      </c>
      <c r="I298" s="48" t="s">
        <v>41</v>
      </c>
      <c r="J298" s="134">
        <v>43252</v>
      </c>
      <c r="K298" s="58" t="s">
        <v>40</v>
      </c>
    </row>
    <row r="299" spans="1:11" x14ac:dyDescent="0.25">
      <c r="A299" s="237">
        <v>43245</v>
      </c>
      <c r="B299" s="74">
        <v>4</v>
      </c>
      <c r="C299" s="53">
        <v>121453</v>
      </c>
      <c r="D299" s="241">
        <v>60925</v>
      </c>
      <c r="E299" s="75">
        <v>2</v>
      </c>
      <c r="F299" s="93"/>
      <c r="H299" s="48" t="s">
        <v>18</v>
      </c>
      <c r="I299" s="48" t="s">
        <v>41</v>
      </c>
      <c r="J299" s="134">
        <v>43252</v>
      </c>
      <c r="K299" s="58" t="s">
        <v>40</v>
      </c>
    </row>
    <row r="300" spans="1:11" x14ac:dyDescent="0.25">
      <c r="A300" s="237">
        <v>43245</v>
      </c>
      <c r="B300" s="74">
        <v>5</v>
      </c>
      <c r="C300" s="53" t="s">
        <v>39</v>
      </c>
      <c r="D300" s="242">
        <v>60962</v>
      </c>
      <c r="E300" s="70">
        <v>1</v>
      </c>
      <c r="F300" s="93"/>
      <c r="H300" s="60" t="s">
        <v>13</v>
      </c>
      <c r="I300" s="60" t="s">
        <v>36</v>
      </c>
      <c r="J300" s="134">
        <v>43243</v>
      </c>
      <c r="K300" s="58"/>
    </row>
    <row r="301" spans="1:11" x14ac:dyDescent="0.25">
      <c r="A301" s="237">
        <v>43248</v>
      </c>
      <c r="B301" s="129">
        <v>1</v>
      </c>
      <c r="C301" s="54">
        <v>121823</v>
      </c>
      <c r="D301" s="242">
        <v>60624</v>
      </c>
      <c r="E301" s="73">
        <v>2</v>
      </c>
      <c r="F301" s="248"/>
      <c r="G301" s="60"/>
      <c r="H301" s="60" t="s">
        <v>18</v>
      </c>
      <c r="I301" s="60" t="s">
        <v>19</v>
      </c>
      <c r="J301" s="134">
        <v>43257</v>
      </c>
      <c r="K301" s="58"/>
    </row>
    <row r="302" spans="1:11" x14ac:dyDescent="0.25">
      <c r="A302" s="237">
        <v>43248</v>
      </c>
      <c r="B302" s="129">
        <v>2</v>
      </c>
      <c r="C302" s="54">
        <v>121822</v>
      </c>
      <c r="D302" s="242">
        <v>60625</v>
      </c>
      <c r="E302" s="73">
        <v>12</v>
      </c>
      <c r="F302" s="248"/>
      <c r="G302" s="60"/>
      <c r="H302" s="60" t="s">
        <v>23</v>
      </c>
      <c r="I302" s="60" t="s">
        <v>19</v>
      </c>
      <c r="J302" s="134">
        <v>43257</v>
      </c>
      <c r="K302" s="58"/>
    </row>
    <row r="303" spans="1:11" x14ac:dyDescent="0.25">
      <c r="A303" s="237">
        <v>43248</v>
      </c>
      <c r="B303" s="129">
        <v>3</v>
      </c>
      <c r="C303" s="54">
        <v>121821</v>
      </c>
      <c r="D303" s="242">
        <v>60623</v>
      </c>
      <c r="E303" s="73">
        <v>10</v>
      </c>
      <c r="F303" s="248"/>
      <c r="G303" s="60"/>
      <c r="H303" s="60" t="s">
        <v>18</v>
      </c>
      <c r="I303" s="60" t="s">
        <v>19</v>
      </c>
      <c r="J303" s="134">
        <v>43257</v>
      </c>
      <c r="K303" s="58"/>
    </row>
    <row r="304" spans="1:11" x14ac:dyDescent="0.25">
      <c r="A304" s="237">
        <v>43248</v>
      </c>
      <c r="B304" s="129">
        <v>4</v>
      </c>
      <c r="C304" s="54">
        <v>121820</v>
      </c>
      <c r="D304" s="242">
        <v>60622</v>
      </c>
      <c r="E304" s="70">
        <v>15</v>
      </c>
      <c r="F304" s="248"/>
      <c r="G304" s="60"/>
      <c r="H304" s="60" t="s">
        <v>18</v>
      </c>
      <c r="I304" s="60" t="s">
        <v>19</v>
      </c>
      <c r="J304" s="134">
        <v>43257</v>
      </c>
      <c r="K304" s="58" t="s">
        <v>37</v>
      </c>
    </row>
    <row r="305" spans="1:11" x14ac:dyDescent="0.25">
      <c r="A305" s="237">
        <v>43248</v>
      </c>
      <c r="B305" s="129">
        <v>5</v>
      </c>
      <c r="C305" s="54">
        <v>121819</v>
      </c>
      <c r="D305" s="242">
        <v>60620</v>
      </c>
      <c r="E305" s="73">
        <v>2</v>
      </c>
      <c r="F305" s="248"/>
      <c r="G305" s="60"/>
      <c r="H305" s="60" t="s">
        <v>18</v>
      </c>
      <c r="I305" s="60" t="s">
        <v>19</v>
      </c>
      <c r="J305" s="134">
        <v>43257</v>
      </c>
      <c r="K305" s="58"/>
    </row>
    <row r="306" spans="1:11" x14ac:dyDescent="0.25">
      <c r="A306" s="237">
        <v>43248</v>
      </c>
      <c r="B306" s="129">
        <v>6</v>
      </c>
      <c r="C306" s="54">
        <v>121818</v>
      </c>
      <c r="D306" s="242">
        <v>60621</v>
      </c>
      <c r="E306" s="70">
        <v>15</v>
      </c>
      <c r="F306" s="248"/>
      <c r="G306" s="60"/>
      <c r="H306" s="60" t="s">
        <v>18</v>
      </c>
      <c r="I306" s="60" t="s">
        <v>19</v>
      </c>
      <c r="J306" s="134">
        <v>43257</v>
      </c>
      <c r="K306" s="58" t="s">
        <v>37</v>
      </c>
    </row>
    <row r="307" spans="1:11" x14ac:dyDescent="0.25">
      <c r="A307" s="237">
        <v>43248</v>
      </c>
      <c r="B307" s="129">
        <v>7</v>
      </c>
      <c r="C307" s="54">
        <v>121817</v>
      </c>
      <c r="D307" s="242">
        <v>60619</v>
      </c>
      <c r="E307" s="73">
        <v>4</v>
      </c>
      <c r="F307" s="248"/>
      <c r="G307" s="60"/>
      <c r="H307" s="60" t="s">
        <v>18</v>
      </c>
      <c r="I307" s="60" t="s">
        <v>19</v>
      </c>
      <c r="J307" s="134">
        <v>43257</v>
      </c>
      <c r="K307" s="58"/>
    </row>
    <row r="308" spans="1:11" x14ac:dyDescent="0.25">
      <c r="A308" s="237">
        <v>43248</v>
      </c>
      <c r="B308" s="129">
        <v>8</v>
      </c>
      <c r="C308" s="54">
        <v>121816</v>
      </c>
      <c r="D308" s="242">
        <v>60618</v>
      </c>
      <c r="E308" s="73">
        <v>6</v>
      </c>
      <c r="F308" s="248"/>
      <c r="G308" s="60"/>
      <c r="H308" s="60" t="s">
        <v>18</v>
      </c>
      <c r="I308" s="60" t="s">
        <v>19</v>
      </c>
      <c r="J308" s="134">
        <v>43257</v>
      </c>
      <c r="K308" s="58"/>
    </row>
    <row r="309" spans="1:11" x14ac:dyDescent="0.25">
      <c r="A309" s="237">
        <v>43248</v>
      </c>
      <c r="B309" s="129">
        <v>9</v>
      </c>
      <c r="C309" s="54">
        <v>121813</v>
      </c>
      <c r="D309" s="242">
        <v>60617</v>
      </c>
      <c r="E309" s="64">
        <v>12</v>
      </c>
      <c r="F309" s="248"/>
      <c r="G309" s="60"/>
      <c r="H309" s="60" t="s">
        <v>23</v>
      </c>
      <c r="I309" s="60" t="s">
        <v>19</v>
      </c>
      <c r="J309" s="134">
        <v>43257</v>
      </c>
      <c r="K309" s="58"/>
    </row>
    <row r="310" spans="1:11" x14ac:dyDescent="0.25">
      <c r="A310" s="237">
        <v>43248</v>
      </c>
      <c r="B310" s="129">
        <v>10</v>
      </c>
      <c r="C310" s="54">
        <v>121824</v>
      </c>
      <c r="D310" s="242">
        <v>60626</v>
      </c>
      <c r="E310" s="73">
        <v>2</v>
      </c>
      <c r="F310" s="248"/>
      <c r="G310" s="60"/>
      <c r="H310" s="60" t="s">
        <v>18</v>
      </c>
      <c r="I310" s="60" t="s">
        <v>19</v>
      </c>
      <c r="J310" s="134">
        <v>43257</v>
      </c>
      <c r="K310" s="58"/>
    </row>
    <row r="311" spans="1:11" x14ac:dyDescent="0.25">
      <c r="A311" s="237">
        <v>43248</v>
      </c>
      <c r="B311" s="129">
        <v>11</v>
      </c>
      <c r="C311" s="54">
        <v>121807</v>
      </c>
      <c r="D311" s="242">
        <v>60615</v>
      </c>
      <c r="E311" s="73">
        <v>2</v>
      </c>
      <c r="F311" s="248"/>
      <c r="G311" s="60"/>
      <c r="H311" s="60" t="s">
        <v>18</v>
      </c>
      <c r="I311" s="60" t="s">
        <v>19</v>
      </c>
      <c r="J311" s="134">
        <v>43257</v>
      </c>
      <c r="K311" s="58"/>
    </row>
    <row r="312" spans="1:11" x14ac:dyDescent="0.25">
      <c r="A312" s="237">
        <v>43248</v>
      </c>
      <c r="B312" s="129">
        <v>12</v>
      </c>
      <c r="C312" s="54">
        <v>121806</v>
      </c>
      <c r="D312" s="242">
        <v>60616</v>
      </c>
      <c r="E312" s="70">
        <v>15</v>
      </c>
      <c r="F312" s="248"/>
      <c r="G312" s="60"/>
      <c r="H312" s="60" t="s">
        <v>18</v>
      </c>
      <c r="I312" s="60" t="s">
        <v>19</v>
      </c>
      <c r="J312" s="134">
        <v>43257</v>
      </c>
      <c r="K312" s="58" t="s">
        <v>38</v>
      </c>
    </row>
    <row r="313" spans="1:11" x14ac:dyDescent="0.25">
      <c r="A313" s="237">
        <v>43248</v>
      </c>
      <c r="B313" s="129">
        <v>13</v>
      </c>
      <c r="C313" s="54">
        <v>121805</v>
      </c>
      <c r="D313" s="242">
        <v>60614</v>
      </c>
      <c r="E313" s="67">
        <v>12</v>
      </c>
      <c r="F313" s="248"/>
      <c r="G313" s="60"/>
      <c r="H313" s="60" t="s">
        <v>23</v>
      </c>
      <c r="I313" s="60" t="s">
        <v>19</v>
      </c>
      <c r="J313" s="134">
        <v>43257</v>
      </c>
      <c r="K313" s="58"/>
    </row>
    <row r="314" spans="1:11" x14ac:dyDescent="0.25">
      <c r="A314" s="237">
        <v>43248</v>
      </c>
      <c r="B314" s="129">
        <v>14</v>
      </c>
      <c r="C314" s="54">
        <v>121804</v>
      </c>
      <c r="D314" s="242">
        <v>60613</v>
      </c>
      <c r="E314" s="73">
        <v>10</v>
      </c>
      <c r="F314" s="248"/>
      <c r="G314" s="60"/>
      <c r="H314" s="60" t="s">
        <v>18</v>
      </c>
      <c r="I314" s="60" t="s">
        <v>19</v>
      </c>
      <c r="J314" s="134">
        <v>43257</v>
      </c>
      <c r="K314" s="58"/>
    </row>
    <row r="315" spans="1:11" x14ac:dyDescent="0.25">
      <c r="A315" s="237">
        <v>43248</v>
      </c>
      <c r="B315" s="129">
        <v>15</v>
      </c>
      <c r="C315" s="54">
        <v>121803</v>
      </c>
      <c r="D315" s="242">
        <v>60611</v>
      </c>
      <c r="E315" s="73">
        <v>2</v>
      </c>
      <c r="F315" s="248"/>
      <c r="G315" s="60"/>
      <c r="H315" s="60" t="s">
        <v>18</v>
      </c>
      <c r="I315" s="60" t="s">
        <v>19</v>
      </c>
      <c r="J315" s="134">
        <v>43257</v>
      </c>
      <c r="K315" s="58"/>
    </row>
    <row r="316" spans="1:11" x14ac:dyDescent="0.25">
      <c r="A316" s="237">
        <v>43248</v>
      </c>
      <c r="B316" s="129">
        <v>16</v>
      </c>
      <c r="C316" s="54">
        <v>121802</v>
      </c>
      <c r="D316" s="242">
        <v>60610</v>
      </c>
      <c r="E316" s="70">
        <v>15</v>
      </c>
      <c r="F316" s="248"/>
      <c r="G316" s="60"/>
      <c r="H316" s="60" t="s">
        <v>18</v>
      </c>
      <c r="I316" s="60" t="s">
        <v>19</v>
      </c>
      <c r="J316" s="134">
        <v>43257</v>
      </c>
      <c r="K316" s="58" t="s">
        <v>37</v>
      </c>
    </row>
    <row r="317" spans="1:11" x14ac:dyDescent="0.25">
      <c r="A317" s="237">
        <v>43248</v>
      </c>
      <c r="B317" s="129">
        <v>17</v>
      </c>
      <c r="C317" s="54">
        <v>121801</v>
      </c>
      <c r="D317" s="242">
        <v>60609</v>
      </c>
      <c r="E317" s="64">
        <v>12</v>
      </c>
      <c r="F317" s="248"/>
      <c r="G317" s="60"/>
      <c r="H317" s="60" t="s">
        <v>23</v>
      </c>
      <c r="I317" s="60" t="s">
        <v>19</v>
      </c>
      <c r="J317" s="134">
        <v>43257</v>
      </c>
      <c r="K317" s="58"/>
    </row>
    <row r="318" spans="1:11" x14ac:dyDescent="0.25">
      <c r="A318" s="237">
        <v>43248</v>
      </c>
      <c r="B318" s="129">
        <v>18</v>
      </c>
      <c r="C318" s="54">
        <v>121800</v>
      </c>
      <c r="D318" s="242">
        <v>60608</v>
      </c>
      <c r="E318" s="73">
        <v>10</v>
      </c>
      <c r="F318" s="248"/>
      <c r="G318" s="60"/>
      <c r="H318" s="60" t="s">
        <v>18</v>
      </c>
      <c r="I318" s="60" t="s">
        <v>19</v>
      </c>
      <c r="J318" s="134">
        <v>43257</v>
      </c>
      <c r="K318" s="58"/>
    </row>
    <row r="319" spans="1:11" x14ac:dyDescent="0.25">
      <c r="A319" s="237">
        <v>43248</v>
      </c>
      <c r="B319" s="129">
        <v>19</v>
      </c>
      <c r="C319" s="54">
        <v>121799</v>
      </c>
      <c r="D319" s="242">
        <v>60607</v>
      </c>
      <c r="E319" s="70">
        <v>26</v>
      </c>
      <c r="F319" s="248"/>
      <c r="G319" s="60"/>
      <c r="H319" s="60" t="s">
        <v>23</v>
      </c>
      <c r="I319" s="60" t="s">
        <v>19</v>
      </c>
      <c r="J319" s="134">
        <v>43257</v>
      </c>
      <c r="K319" s="58"/>
    </row>
    <row r="320" spans="1:11" x14ac:dyDescent="0.25">
      <c r="A320" s="237">
        <v>43249</v>
      </c>
      <c r="B320" s="130">
        <v>1</v>
      </c>
      <c r="C320" s="54">
        <v>122240</v>
      </c>
      <c r="D320" s="242">
        <v>61001</v>
      </c>
      <c r="E320" s="68">
        <v>1</v>
      </c>
      <c r="F320" s="248"/>
      <c r="G320" s="60"/>
      <c r="H320" s="60" t="s">
        <v>13</v>
      </c>
      <c r="I320" s="60" t="s">
        <v>21</v>
      </c>
      <c r="J320" s="134">
        <v>43257</v>
      </c>
      <c r="K320" s="58"/>
    </row>
    <row r="321" spans="1:12" x14ac:dyDescent="0.25">
      <c r="A321" s="237">
        <v>43249</v>
      </c>
      <c r="B321" s="130">
        <v>2</v>
      </c>
      <c r="C321" s="54">
        <v>121984</v>
      </c>
      <c r="D321" s="242">
        <v>60822</v>
      </c>
      <c r="E321" s="67">
        <v>11</v>
      </c>
      <c r="F321" s="93"/>
      <c r="H321" s="60" t="s">
        <v>13</v>
      </c>
      <c r="I321" s="60" t="s">
        <v>15</v>
      </c>
      <c r="J321" s="134">
        <v>43257</v>
      </c>
      <c r="K321" s="58"/>
    </row>
    <row r="322" spans="1:12" x14ac:dyDescent="0.25">
      <c r="A322" s="237">
        <v>43249</v>
      </c>
      <c r="B322" s="130">
        <v>3</v>
      </c>
      <c r="C322" s="54">
        <v>121987</v>
      </c>
      <c r="D322" s="242">
        <v>60820</v>
      </c>
      <c r="E322" s="68">
        <v>1</v>
      </c>
      <c r="F322" s="93"/>
      <c r="H322" s="60" t="s">
        <v>13</v>
      </c>
      <c r="I322" s="60" t="s">
        <v>15</v>
      </c>
      <c r="J322" s="134">
        <v>43257</v>
      </c>
      <c r="K322" s="58"/>
    </row>
    <row r="323" spans="1:12" x14ac:dyDescent="0.25">
      <c r="A323" s="237">
        <v>43249</v>
      </c>
      <c r="B323" s="130">
        <v>4</v>
      </c>
      <c r="C323" s="54">
        <v>121988</v>
      </c>
      <c r="D323" s="242">
        <v>60819</v>
      </c>
      <c r="E323" s="70">
        <v>14</v>
      </c>
      <c r="F323" s="93"/>
      <c r="H323" s="60" t="s">
        <v>13</v>
      </c>
      <c r="I323" s="60" t="s">
        <v>15</v>
      </c>
      <c r="J323" s="134">
        <v>43257</v>
      </c>
      <c r="K323" s="58"/>
    </row>
    <row r="324" spans="1:12" x14ac:dyDescent="0.25">
      <c r="A324" s="237">
        <v>43249</v>
      </c>
      <c r="B324" s="130">
        <v>5</v>
      </c>
      <c r="C324" s="54">
        <v>121989</v>
      </c>
      <c r="D324" s="242">
        <v>60818</v>
      </c>
      <c r="E324" s="68">
        <v>9</v>
      </c>
      <c r="F324" s="93"/>
      <c r="H324" s="60" t="s">
        <v>13</v>
      </c>
      <c r="I324" s="60" t="s">
        <v>15</v>
      </c>
      <c r="J324" s="134">
        <v>43257</v>
      </c>
      <c r="K324" s="58"/>
    </row>
    <row r="325" spans="1:12" x14ac:dyDescent="0.25">
      <c r="A325" s="237">
        <v>43249</v>
      </c>
      <c r="B325" s="130">
        <v>6</v>
      </c>
      <c r="C325" s="54">
        <v>121990</v>
      </c>
      <c r="D325" s="242">
        <v>60823</v>
      </c>
      <c r="E325" s="70">
        <v>7</v>
      </c>
      <c r="F325" s="93"/>
      <c r="H325" s="60" t="s">
        <v>13</v>
      </c>
      <c r="I325" s="60" t="s">
        <v>15</v>
      </c>
      <c r="J325" s="134">
        <v>43257</v>
      </c>
      <c r="K325" s="58"/>
    </row>
    <row r="326" spans="1:12" x14ac:dyDescent="0.25">
      <c r="A326" s="237">
        <v>43249</v>
      </c>
      <c r="B326" s="130">
        <v>7</v>
      </c>
      <c r="C326" s="54">
        <v>121992</v>
      </c>
      <c r="D326" s="242">
        <v>60821</v>
      </c>
      <c r="E326" s="70">
        <v>8</v>
      </c>
      <c r="F326" s="93"/>
      <c r="H326" s="60" t="s">
        <v>13</v>
      </c>
      <c r="I326" s="60" t="s">
        <v>15</v>
      </c>
      <c r="J326" s="134">
        <v>43257</v>
      </c>
      <c r="K326" s="58"/>
    </row>
    <row r="327" spans="1:12" x14ac:dyDescent="0.25">
      <c r="A327" s="237">
        <v>43249</v>
      </c>
      <c r="B327" s="130">
        <v>8</v>
      </c>
      <c r="C327" s="54">
        <v>122203</v>
      </c>
      <c r="D327" s="242">
        <v>61000</v>
      </c>
      <c r="E327" s="70">
        <v>1</v>
      </c>
      <c r="F327" s="93"/>
      <c r="H327" s="60" t="s">
        <v>13</v>
      </c>
      <c r="I327" s="60" t="s">
        <v>21</v>
      </c>
      <c r="J327" s="134">
        <v>43257</v>
      </c>
      <c r="K327" s="58"/>
    </row>
    <row r="328" spans="1:12" x14ac:dyDescent="0.25">
      <c r="A328" s="237">
        <v>43249</v>
      </c>
      <c r="B328" s="130">
        <v>9</v>
      </c>
      <c r="C328" s="54">
        <v>122206</v>
      </c>
      <c r="D328" s="242">
        <v>60999</v>
      </c>
      <c r="E328" s="70">
        <v>2</v>
      </c>
      <c r="F328" s="93"/>
      <c r="H328" s="60" t="s">
        <v>13</v>
      </c>
      <c r="I328" s="60" t="s">
        <v>21</v>
      </c>
      <c r="J328" s="134">
        <v>43257</v>
      </c>
      <c r="K328" s="58"/>
    </row>
    <row r="329" spans="1:12" x14ac:dyDescent="0.25">
      <c r="A329" s="237">
        <v>43249</v>
      </c>
      <c r="B329" s="130">
        <v>10</v>
      </c>
      <c r="C329" s="54">
        <v>122204</v>
      </c>
      <c r="D329" s="242">
        <v>60998</v>
      </c>
      <c r="E329" s="70">
        <v>1</v>
      </c>
      <c r="F329" s="93"/>
      <c r="H329" s="60" t="s">
        <v>13</v>
      </c>
      <c r="I329" s="60" t="s">
        <v>21</v>
      </c>
      <c r="J329" s="134">
        <v>43257</v>
      </c>
      <c r="K329" s="58"/>
    </row>
    <row r="330" spans="1:12" x14ac:dyDescent="0.25">
      <c r="A330" s="237">
        <v>43249</v>
      </c>
      <c r="B330" s="130">
        <v>11</v>
      </c>
      <c r="C330" s="54">
        <v>122155</v>
      </c>
      <c r="D330" s="242">
        <v>60891</v>
      </c>
      <c r="E330" s="68">
        <v>2</v>
      </c>
      <c r="F330" s="93"/>
      <c r="H330" s="60" t="s">
        <v>13</v>
      </c>
      <c r="I330" s="60" t="s">
        <v>36</v>
      </c>
      <c r="J330" s="134">
        <v>43257</v>
      </c>
      <c r="K330" s="58"/>
    </row>
    <row r="331" spans="1:12" x14ac:dyDescent="0.25">
      <c r="A331" s="237">
        <v>43250</v>
      </c>
      <c r="B331" s="127">
        <v>1</v>
      </c>
      <c r="C331" s="54">
        <v>122275</v>
      </c>
      <c r="D331" s="242">
        <v>60965</v>
      </c>
      <c r="E331" s="64">
        <v>2</v>
      </c>
      <c r="F331" s="248"/>
      <c r="G331" s="60"/>
      <c r="H331" s="60" t="s">
        <v>18</v>
      </c>
      <c r="I331" s="60" t="s">
        <v>19</v>
      </c>
      <c r="J331" s="134">
        <v>43255</v>
      </c>
      <c r="K331" s="58"/>
    </row>
    <row r="332" spans="1:12" x14ac:dyDescent="0.25">
      <c r="A332" s="237">
        <v>43250</v>
      </c>
      <c r="B332" s="127">
        <v>2</v>
      </c>
      <c r="C332" s="54">
        <v>122329</v>
      </c>
      <c r="D332" s="242">
        <v>61075</v>
      </c>
      <c r="E332" s="67">
        <v>5</v>
      </c>
      <c r="F332" s="93"/>
      <c r="H332" s="60" t="s">
        <v>18</v>
      </c>
      <c r="I332" s="60" t="s">
        <v>19</v>
      </c>
      <c r="J332" s="134">
        <v>43255</v>
      </c>
      <c r="K332" s="58"/>
    </row>
    <row r="333" spans="1:12" x14ac:dyDescent="0.25">
      <c r="A333" s="237">
        <v>43250</v>
      </c>
      <c r="B333" s="127">
        <v>3</v>
      </c>
      <c r="C333" s="53">
        <v>121972</v>
      </c>
      <c r="D333" s="241">
        <v>60708</v>
      </c>
      <c r="E333" s="72">
        <v>1</v>
      </c>
      <c r="F333" s="93"/>
      <c r="G333" s="48"/>
      <c r="H333" s="48" t="s">
        <v>18</v>
      </c>
      <c r="I333" s="48" t="s">
        <v>26</v>
      </c>
      <c r="J333" s="132">
        <v>43257</v>
      </c>
      <c r="K333" s="62" t="s">
        <v>35</v>
      </c>
    </row>
    <row r="334" spans="1:12" x14ac:dyDescent="0.25">
      <c r="A334" s="237">
        <v>43250</v>
      </c>
      <c r="B334" s="127">
        <v>4</v>
      </c>
      <c r="C334" s="54">
        <v>122024</v>
      </c>
      <c r="D334" s="242">
        <v>60740</v>
      </c>
      <c r="E334" s="67">
        <v>11</v>
      </c>
      <c r="F334" s="248"/>
      <c r="G334" s="60"/>
      <c r="H334" s="60" t="s">
        <v>18</v>
      </c>
      <c r="I334" s="60" t="s">
        <v>28</v>
      </c>
      <c r="J334" s="134">
        <v>43257</v>
      </c>
      <c r="K334" s="66" t="s">
        <v>33</v>
      </c>
      <c r="L334" s="59" t="s">
        <v>29</v>
      </c>
    </row>
    <row r="335" spans="1:12" x14ac:dyDescent="0.25">
      <c r="A335" s="237">
        <v>43250</v>
      </c>
      <c r="B335" s="127">
        <v>5</v>
      </c>
      <c r="C335" s="54">
        <v>122021</v>
      </c>
      <c r="D335" s="242">
        <v>60737</v>
      </c>
      <c r="E335" s="64">
        <v>46</v>
      </c>
      <c r="F335" s="248"/>
      <c r="G335" s="60"/>
      <c r="H335" s="60" t="s">
        <v>34</v>
      </c>
      <c r="I335" s="60" t="s">
        <v>19</v>
      </c>
      <c r="J335" s="134">
        <v>43257</v>
      </c>
      <c r="K335" s="66" t="s">
        <v>33</v>
      </c>
      <c r="L335" s="59" t="s">
        <v>32</v>
      </c>
    </row>
    <row r="336" spans="1:12" x14ac:dyDescent="0.25">
      <c r="A336" s="237">
        <v>43250</v>
      </c>
      <c r="B336" s="127">
        <v>6</v>
      </c>
      <c r="C336" s="54">
        <v>122020</v>
      </c>
      <c r="D336" s="242">
        <v>60778</v>
      </c>
      <c r="E336" s="71">
        <v>46</v>
      </c>
      <c r="F336" s="93"/>
      <c r="H336" s="60" t="s">
        <v>13</v>
      </c>
      <c r="I336" s="60" t="s">
        <v>19</v>
      </c>
      <c r="J336" s="134">
        <v>43257</v>
      </c>
      <c r="K336" s="62" t="s">
        <v>32</v>
      </c>
      <c r="L336" s="48" t="s">
        <v>31</v>
      </c>
    </row>
    <row r="337" spans="1:11" x14ac:dyDescent="0.25">
      <c r="A337" s="237">
        <v>43250</v>
      </c>
      <c r="B337" s="127">
        <v>7</v>
      </c>
      <c r="C337" s="54">
        <v>122262</v>
      </c>
      <c r="D337" s="242">
        <v>60989</v>
      </c>
      <c r="E337" s="70">
        <v>3</v>
      </c>
      <c r="F337" s="93"/>
      <c r="H337" s="60" t="s">
        <v>13</v>
      </c>
      <c r="I337" s="60" t="s">
        <v>21</v>
      </c>
      <c r="J337" s="134">
        <v>43257</v>
      </c>
      <c r="K337" s="62"/>
    </row>
    <row r="338" spans="1:11" x14ac:dyDescent="0.25">
      <c r="A338" s="237">
        <v>43250</v>
      </c>
      <c r="B338" s="127">
        <v>8</v>
      </c>
      <c r="C338" s="54">
        <v>122261</v>
      </c>
      <c r="D338" s="242">
        <v>60961</v>
      </c>
      <c r="E338" s="70">
        <v>1</v>
      </c>
      <c r="F338" s="93"/>
      <c r="G338" s="60"/>
      <c r="H338" s="60" t="s">
        <v>23</v>
      </c>
      <c r="I338" s="60" t="s">
        <v>21</v>
      </c>
      <c r="J338" s="134">
        <v>43257</v>
      </c>
      <c r="K338" s="66"/>
    </row>
    <row r="339" spans="1:11" x14ac:dyDescent="0.25">
      <c r="A339" s="237">
        <v>43250</v>
      </c>
      <c r="B339" s="127">
        <v>9</v>
      </c>
      <c r="C339" s="54">
        <v>122260</v>
      </c>
      <c r="D339" s="242">
        <v>60992</v>
      </c>
      <c r="E339" s="70">
        <v>2</v>
      </c>
      <c r="F339" s="93"/>
      <c r="H339" s="60" t="s">
        <v>13</v>
      </c>
      <c r="I339" s="60" t="s">
        <v>21</v>
      </c>
      <c r="J339" s="134">
        <v>43257</v>
      </c>
      <c r="K339" s="66"/>
    </row>
    <row r="340" spans="1:11" x14ac:dyDescent="0.25">
      <c r="A340" s="237">
        <v>43250</v>
      </c>
      <c r="B340" s="127">
        <v>10</v>
      </c>
      <c r="C340" s="54">
        <v>122253</v>
      </c>
      <c r="D340" s="242">
        <v>60960</v>
      </c>
      <c r="E340" s="67">
        <v>5</v>
      </c>
      <c r="F340" s="93"/>
      <c r="H340" s="60" t="s">
        <v>23</v>
      </c>
      <c r="I340" s="60" t="s">
        <v>21</v>
      </c>
      <c r="J340" s="134">
        <v>43257</v>
      </c>
      <c r="K340" s="66"/>
    </row>
    <row r="341" spans="1:11" x14ac:dyDescent="0.25">
      <c r="A341" s="237">
        <v>43251</v>
      </c>
      <c r="B341" s="65">
        <v>1</v>
      </c>
      <c r="C341" s="54">
        <v>121963</v>
      </c>
      <c r="D341" s="242">
        <v>60725</v>
      </c>
      <c r="E341" s="70">
        <v>16</v>
      </c>
      <c r="F341" s="248"/>
      <c r="G341" s="60"/>
      <c r="H341" s="60" t="s">
        <v>18</v>
      </c>
      <c r="I341" s="60" t="s">
        <v>21</v>
      </c>
      <c r="J341" s="134">
        <v>43257</v>
      </c>
      <c r="K341" s="66"/>
    </row>
    <row r="342" spans="1:11" x14ac:dyDescent="0.25">
      <c r="A342" s="237">
        <v>43251</v>
      </c>
      <c r="B342" s="65">
        <v>2</v>
      </c>
      <c r="C342" s="54">
        <v>122273</v>
      </c>
      <c r="D342" s="242">
        <v>60964</v>
      </c>
      <c r="E342" s="69">
        <v>1</v>
      </c>
      <c r="F342" s="93"/>
      <c r="G342" s="60"/>
      <c r="H342" s="60" t="s">
        <v>23</v>
      </c>
      <c r="I342" s="60" t="s">
        <v>21</v>
      </c>
      <c r="J342" s="134">
        <v>43257</v>
      </c>
      <c r="K342" s="66"/>
    </row>
    <row r="343" spans="1:11" x14ac:dyDescent="0.25">
      <c r="A343" s="237">
        <v>43251</v>
      </c>
      <c r="B343" s="65">
        <v>3</v>
      </c>
      <c r="C343" s="54">
        <v>122274</v>
      </c>
      <c r="D343" s="242">
        <v>60997</v>
      </c>
      <c r="E343" s="69">
        <v>10</v>
      </c>
      <c r="F343" s="93"/>
      <c r="G343" s="60"/>
      <c r="H343" s="60" t="s">
        <v>13</v>
      </c>
      <c r="I343" s="60" t="s">
        <v>21</v>
      </c>
      <c r="J343" s="134">
        <v>43257</v>
      </c>
      <c r="K343" s="66"/>
    </row>
    <row r="344" spans="1:11" x14ac:dyDescent="0.25">
      <c r="A344" s="237">
        <v>43251</v>
      </c>
      <c r="B344" s="65">
        <v>4</v>
      </c>
      <c r="C344" s="54">
        <v>122308</v>
      </c>
      <c r="D344" s="242">
        <v>61028</v>
      </c>
      <c r="E344" s="69">
        <v>2</v>
      </c>
      <c r="F344" s="248"/>
      <c r="G344" s="60"/>
      <c r="H344" s="60" t="s">
        <v>13</v>
      </c>
      <c r="I344" s="60" t="s">
        <v>12</v>
      </c>
      <c r="J344" s="134">
        <v>43257</v>
      </c>
      <c r="K344" s="66"/>
    </row>
    <row r="345" spans="1:11" x14ac:dyDescent="0.25">
      <c r="A345" s="237">
        <v>43251</v>
      </c>
      <c r="B345" s="65">
        <v>5</v>
      </c>
      <c r="C345" s="54">
        <v>122272</v>
      </c>
      <c r="D345" s="242">
        <v>60995</v>
      </c>
      <c r="E345" s="69">
        <v>4</v>
      </c>
      <c r="F345" s="248"/>
      <c r="G345" s="60"/>
      <c r="H345" s="60" t="s">
        <v>13</v>
      </c>
      <c r="I345" s="60" t="s">
        <v>26</v>
      </c>
      <c r="J345" s="134">
        <v>43257</v>
      </c>
      <c r="K345" s="58"/>
    </row>
    <row r="346" spans="1:11" x14ac:dyDescent="0.25">
      <c r="A346" s="237">
        <v>43251</v>
      </c>
      <c r="B346" s="65">
        <v>6</v>
      </c>
      <c r="C346" s="54">
        <v>122268</v>
      </c>
      <c r="D346" s="242">
        <v>60996</v>
      </c>
      <c r="E346" s="69">
        <v>12</v>
      </c>
      <c r="F346" s="248"/>
      <c r="G346" s="60"/>
      <c r="H346" s="60" t="s">
        <v>13</v>
      </c>
      <c r="I346" s="60" t="s">
        <v>26</v>
      </c>
      <c r="J346" s="134">
        <v>43257</v>
      </c>
      <c r="K346" s="58"/>
    </row>
    <row r="347" spans="1:11" x14ac:dyDescent="0.25">
      <c r="A347" s="237">
        <v>43251</v>
      </c>
      <c r="B347" s="65">
        <v>7</v>
      </c>
      <c r="C347" s="54">
        <v>122146</v>
      </c>
      <c r="D347" s="242">
        <v>60890</v>
      </c>
      <c r="E347" s="69">
        <v>3</v>
      </c>
      <c r="F347" s="93"/>
      <c r="H347" s="60" t="s">
        <v>13</v>
      </c>
      <c r="I347" s="60" t="s">
        <v>30</v>
      </c>
      <c r="J347" s="134">
        <v>43257</v>
      </c>
      <c r="K347" s="62" t="s">
        <v>29</v>
      </c>
    </row>
    <row r="348" spans="1:11" x14ac:dyDescent="0.25">
      <c r="A348" s="237">
        <v>43251</v>
      </c>
      <c r="B348" s="65">
        <v>8</v>
      </c>
      <c r="C348" s="54">
        <v>122265</v>
      </c>
      <c r="D348" s="242">
        <v>60988</v>
      </c>
      <c r="E348" s="245">
        <v>2</v>
      </c>
      <c r="F348" s="93"/>
      <c r="H348" s="60" t="s">
        <v>13</v>
      </c>
      <c r="I348" s="60" t="s">
        <v>28</v>
      </c>
      <c r="J348" s="134">
        <v>43257</v>
      </c>
      <c r="K348" s="66"/>
    </row>
    <row r="349" spans="1:11" x14ac:dyDescent="0.25">
      <c r="A349" s="237">
        <v>43251</v>
      </c>
      <c r="B349" s="65">
        <v>9</v>
      </c>
      <c r="C349" s="54">
        <v>122253</v>
      </c>
      <c r="D349" s="242">
        <v>60960</v>
      </c>
      <c r="E349" s="245">
        <v>5</v>
      </c>
      <c r="F349" s="93"/>
      <c r="H349" s="60" t="s">
        <v>23</v>
      </c>
      <c r="I349" s="60" t="s">
        <v>27</v>
      </c>
      <c r="J349" s="134">
        <v>43257</v>
      </c>
      <c r="K349" s="66"/>
    </row>
    <row r="350" spans="1:11" x14ac:dyDescent="0.25">
      <c r="A350" s="237">
        <v>43251</v>
      </c>
      <c r="B350" s="65">
        <v>10</v>
      </c>
      <c r="C350" s="54">
        <v>122209</v>
      </c>
      <c r="D350" s="242">
        <v>60994</v>
      </c>
      <c r="E350" s="245">
        <v>3</v>
      </c>
      <c r="F350" s="248"/>
      <c r="G350" s="60"/>
      <c r="H350" s="60" t="s">
        <v>13</v>
      </c>
      <c r="I350" s="60" t="s">
        <v>19</v>
      </c>
      <c r="J350" s="134">
        <v>43257</v>
      </c>
      <c r="K350" s="62" t="s">
        <v>20</v>
      </c>
    </row>
    <row r="351" spans="1:11" x14ac:dyDescent="0.25">
      <c r="A351" s="237">
        <v>43251</v>
      </c>
      <c r="B351" s="65">
        <v>11</v>
      </c>
      <c r="C351" s="54">
        <v>122219</v>
      </c>
      <c r="D351" s="242">
        <v>60928</v>
      </c>
      <c r="E351" s="245">
        <v>1</v>
      </c>
      <c r="F351" s="248"/>
      <c r="G351" s="60"/>
      <c r="H351" s="60" t="s">
        <v>23</v>
      </c>
      <c r="I351" s="60" t="s">
        <v>14</v>
      </c>
      <c r="J351" s="134">
        <v>43257</v>
      </c>
      <c r="K351" s="66"/>
    </row>
    <row r="352" spans="1:11" x14ac:dyDescent="0.25">
      <c r="A352" s="237">
        <v>43251</v>
      </c>
      <c r="B352" s="65">
        <v>12</v>
      </c>
      <c r="C352" s="54">
        <v>122061</v>
      </c>
      <c r="D352" s="242">
        <v>60766</v>
      </c>
      <c r="E352" s="245">
        <v>4</v>
      </c>
      <c r="F352" s="248"/>
      <c r="G352" s="60"/>
      <c r="H352" s="60" t="s">
        <v>18</v>
      </c>
      <c r="I352" s="60" t="s">
        <v>26</v>
      </c>
      <c r="J352" s="134">
        <v>43257</v>
      </c>
      <c r="K352" s="66"/>
    </row>
    <row r="353" spans="1:11" x14ac:dyDescent="0.25">
      <c r="A353" s="237">
        <v>43251</v>
      </c>
      <c r="B353" s="65">
        <v>13</v>
      </c>
      <c r="C353" s="54">
        <v>122111</v>
      </c>
      <c r="D353" s="242">
        <v>60804</v>
      </c>
      <c r="E353" s="245">
        <v>15</v>
      </c>
      <c r="F353" s="93"/>
      <c r="H353" s="60" t="s">
        <v>23</v>
      </c>
      <c r="I353" s="60" t="s">
        <v>26</v>
      </c>
      <c r="J353" s="134">
        <v>43257</v>
      </c>
      <c r="K353" s="66"/>
    </row>
    <row r="354" spans="1:11" x14ac:dyDescent="0.25">
      <c r="A354" s="237">
        <v>43251</v>
      </c>
      <c r="B354" s="65">
        <v>14</v>
      </c>
      <c r="C354" s="54">
        <v>122201</v>
      </c>
      <c r="D354" s="242">
        <v>60915</v>
      </c>
      <c r="E354" s="245">
        <v>4</v>
      </c>
      <c r="F354" s="93"/>
      <c r="H354" s="60" t="s">
        <v>23</v>
      </c>
      <c r="I354" s="60" t="s">
        <v>26</v>
      </c>
      <c r="J354" s="134">
        <v>43257</v>
      </c>
      <c r="K354" s="66"/>
    </row>
    <row r="355" spans="1:11" x14ac:dyDescent="0.25">
      <c r="A355" s="237">
        <v>43251</v>
      </c>
      <c r="B355" s="65">
        <v>15</v>
      </c>
      <c r="C355" s="54">
        <v>122200</v>
      </c>
      <c r="D355" s="242">
        <v>60914</v>
      </c>
      <c r="E355" s="245">
        <v>3</v>
      </c>
      <c r="F355" s="93"/>
      <c r="H355" s="60" t="s">
        <v>23</v>
      </c>
      <c r="I355" s="60" t="s">
        <v>26</v>
      </c>
      <c r="J355" s="134">
        <v>43257</v>
      </c>
      <c r="K355" s="66"/>
    </row>
    <row r="356" spans="1:11" x14ac:dyDescent="0.25">
      <c r="A356" s="237">
        <v>43251</v>
      </c>
      <c r="B356" s="65">
        <v>16</v>
      </c>
      <c r="C356" s="54">
        <v>122248</v>
      </c>
      <c r="D356" s="242">
        <v>60945</v>
      </c>
      <c r="E356" s="245">
        <v>4</v>
      </c>
      <c r="F356" s="93"/>
      <c r="G356" s="60"/>
      <c r="H356" s="60" t="s">
        <v>18</v>
      </c>
      <c r="I356" s="60" t="s">
        <v>26</v>
      </c>
      <c r="J356" s="134">
        <v>43257</v>
      </c>
      <c r="K356" s="66"/>
    </row>
    <row r="357" spans="1:11" x14ac:dyDescent="0.25">
      <c r="A357" s="237">
        <v>43251</v>
      </c>
      <c r="B357" s="65">
        <v>17</v>
      </c>
      <c r="C357" s="54">
        <v>122354</v>
      </c>
      <c r="D357" s="242">
        <v>61050</v>
      </c>
      <c r="E357" s="245">
        <v>2</v>
      </c>
      <c r="F357" s="93"/>
      <c r="H357" s="60" t="s">
        <v>18</v>
      </c>
      <c r="I357" s="60" t="s">
        <v>14</v>
      </c>
      <c r="J357" s="134">
        <v>43257</v>
      </c>
      <c r="K357" s="66"/>
    </row>
    <row r="358" spans="1:11" x14ac:dyDescent="0.25">
      <c r="A358" s="237">
        <v>43251</v>
      </c>
      <c r="B358" s="65">
        <v>18</v>
      </c>
      <c r="C358" s="53">
        <v>122318</v>
      </c>
      <c r="D358" s="242">
        <v>61027</v>
      </c>
      <c r="E358" s="245">
        <v>1</v>
      </c>
      <c r="F358" s="93"/>
      <c r="H358" s="60" t="s">
        <v>18</v>
      </c>
      <c r="I358" s="60" t="s">
        <v>25</v>
      </c>
      <c r="J358" s="134">
        <v>43265</v>
      </c>
      <c r="K358" s="62" t="s">
        <v>24</v>
      </c>
    </row>
    <row r="359" spans="1:11" x14ac:dyDescent="0.25">
      <c r="A359" s="237">
        <v>43252</v>
      </c>
      <c r="B359" s="63">
        <v>1</v>
      </c>
      <c r="C359" s="53">
        <v>122396</v>
      </c>
      <c r="D359" s="241">
        <v>61092</v>
      </c>
      <c r="E359" s="231">
        <v>65</v>
      </c>
      <c r="F359" s="93"/>
      <c r="H359" s="48" t="s">
        <v>18</v>
      </c>
      <c r="I359" s="48" t="s">
        <v>19</v>
      </c>
      <c r="J359" s="134">
        <v>43262</v>
      </c>
      <c r="K359" s="62"/>
    </row>
    <row r="360" spans="1:11" x14ac:dyDescent="0.25">
      <c r="A360" s="237">
        <v>43252</v>
      </c>
      <c r="B360" s="63">
        <v>2</v>
      </c>
      <c r="C360" s="53">
        <v>122412</v>
      </c>
      <c r="D360" s="241">
        <v>61093</v>
      </c>
      <c r="E360" s="231">
        <v>65</v>
      </c>
      <c r="F360" s="93"/>
      <c r="G360" s="48"/>
      <c r="H360" s="48" t="s">
        <v>18</v>
      </c>
      <c r="I360" s="48" t="s">
        <v>19</v>
      </c>
      <c r="J360" s="132">
        <v>43272</v>
      </c>
      <c r="K360" s="62"/>
    </row>
    <row r="361" spans="1:11" x14ac:dyDescent="0.25">
      <c r="A361" s="237">
        <v>43255</v>
      </c>
      <c r="B361" s="129">
        <v>1</v>
      </c>
      <c r="C361" s="53">
        <v>121954</v>
      </c>
      <c r="D361" s="241">
        <v>60726</v>
      </c>
      <c r="E361" s="231">
        <v>16</v>
      </c>
      <c r="F361" s="93"/>
      <c r="G361" s="48"/>
      <c r="H361" s="48" t="s">
        <v>18</v>
      </c>
      <c r="I361" s="59" t="s">
        <v>21</v>
      </c>
      <c r="J361" s="132">
        <v>43264</v>
      </c>
      <c r="K361" s="62"/>
    </row>
    <row r="362" spans="1:11" x14ac:dyDescent="0.25">
      <c r="A362" s="237">
        <v>43255</v>
      </c>
      <c r="B362" s="129">
        <v>2</v>
      </c>
      <c r="C362" s="53">
        <v>122276</v>
      </c>
      <c r="D362" s="241">
        <v>61029</v>
      </c>
      <c r="E362" s="231">
        <v>3</v>
      </c>
      <c r="F362" s="93"/>
      <c r="G362" s="48"/>
      <c r="H362" s="48" t="s">
        <v>13</v>
      </c>
      <c r="I362" s="59" t="s">
        <v>21</v>
      </c>
      <c r="J362" s="132">
        <v>43264</v>
      </c>
      <c r="K362" s="62"/>
    </row>
    <row r="363" spans="1:11" x14ac:dyDescent="0.25">
      <c r="A363" s="237">
        <v>43255</v>
      </c>
      <c r="B363" s="129">
        <v>3</v>
      </c>
      <c r="C363" s="53">
        <v>122300</v>
      </c>
      <c r="D363" s="242">
        <v>61009</v>
      </c>
      <c r="E363" s="245">
        <v>18</v>
      </c>
      <c r="F363" s="93"/>
      <c r="H363" s="60" t="s">
        <v>23</v>
      </c>
      <c r="I363" s="59" t="s">
        <v>21</v>
      </c>
      <c r="J363" s="134">
        <v>43264</v>
      </c>
      <c r="K363" s="58"/>
    </row>
    <row r="364" spans="1:11" x14ac:dyDescent="0.25">
      <c r="A364" s="237">
        <v>43255</v>
      </c>
      <c r="B364" s="129">
        <v>4</v>
      </c>
      <c r="C364" s="53">
        <v>122358</v>
      </c>
      <c r="D364" s="242">
        <v>61053</v>
      </c>
      <c r="E364" s="245">
        <v>2</v>
      </c>
      <c r="F364" s="93"/>
      <c r="H364" s="60" t="s">
        <v>22</v>
      </c>
      <c r="I364" s="59" t="s">
        <v>21</v>
      </c>
      <c r="J364" s="134">
        <v>43264</v>
      </c>
      <c r="K364" s="58"/>
    </row>
    <row r="365" spans="1:11" x14ac:dyDescent="0.25">
      <c r="A365" s="237">
        <v>43255</v>
      </c>
      <c r="B365" s="129">
        <v>5</v>
      </c>
      <c r="C365" s="53">
        <v>122117</v>
      </c>
      <c r="D365" s="241">
        <v>60828</v>
      </c>
      <c r="E365" s="231">
        <v>1</v>
      </c>
      <c r="F365" s="93"/>
      <c r="H365" s="48" t="s">
        <v>18</v>
      </c>
      <c r="I365" s="48" t="s">
        <v>19</v>
      </c>
      <c r="J365" s="134">
        <v>43264</v>
      </c>
      <c r="K365" s="62" t="s">
        <v>20</v>
      </c>
    </row>
    <row r="366" spans="1:11" x14ac:dyDescent="0.25">
      <c r="A366" s="237">
        <v>43255</v>
      </c>
      <c r="B366" s="129">
        <v>6</v>
      </c>
      <c r="C366" s="54">
        <v>122153</v>
      </c>
      <c r="D366" s="242">
        <v>60859</v>
      </c>
      <c r="E366" s="245">
        <v>1</v>
      </c>
      <c r="F366" s="248"/>
      <c r="G366" s="60"/>
      <c r="H366" s="60" t="s">
        <v>18</v>
      </c>
      <c r="I366" s="60" t="s">
        <v>19</v>
      </c>
      <c r="J366" s="134">
        <v>43264</v>
      </c>
      <c r="K366" s="62" t="s">
        <v>16</v>
      </c>
    </row>
    <row r="367" spans="1:11" x14ac:dyDescent="0.25">
      <c r="A367" s="237">
        <v>43255</v>
      </c>
      <c r="B367" s="129">
        <v>7</v>
      </c>
      <c r="C367" s="53">
        <v>122054</v>
      </c>
      <c r="D367" s="241">
        <v>60756</v>
      </c>
      <c r="E367" s="231">
        <v>1</v>
      </c>
      <c r="F367" s="93"/>
      <c r="H367" s="48" t="s">
        <v>18</v>
      </c>
      <c r="I367" s="48" t="s">
        <v>17</v>
      </c>
      <c r="J367" s="134">
        <v>43264</v>
      </c>
      <c r="K367" s="62" t="s">
        <v>16</v>
      </c>
    </row>
    <row r="368" spans="1:11" x14ac:dyDescent="0.25">
      <c r="A368" s="237">
        <v>43255</v>
      </c>
      <c r="B368" s="129">
        <v>8</v>
      </c>
      <c r="C368" s="53">
        <v>122363</v>
      </c>
      <c r="D368" s="242">
        <v>61133</v>
      </c>
      <c r="E368" s="245">
        <v>8</v>
      </c>
      <c r="F368" s="93"/>
      <c r="H368" s="60" t="s">
        <v>13</v>
      </c>
      <c r="I368" s="48" t="s">
        <v>15</v>
      </c>
      <c r="J368" s="134">
        <v>43264</v>
      </c>
      <c r="K368" s="58"/>
    </row>
    <row r="369" spans="1:13" x14ac:dyDescent="0.25">
      <c r="A369" s="237">
        <v>43255</v>
      </c>
      <c r="B369" s="129">
        <v>9</v>
      </c>
      <c r="C369" s="53">
        <v>122445</v>
      </c>
      <c r="D369" s="242">
        <v>61134</v>
      </c>
      <c r="E369" s="245">
        <v>2</v>
      </c>
      <c r="F369" s="93"/>
      <c r="H369" s="60" t="s">
        <v>13</v>
      </c>
      <c r="I369" s="48" t="s">
        <v>15</v>
      </c>
      <c r="J369" s="134">
        <v>43264</v>
      </c>
      <c r="K369" s="58"/>
    </row>
    <row r="370" spans="1:13" x14ac:dyDescent="0.25">
      <c r="A370" s="237">
        <v>43255</v>
      </c>
      <c r="B370" s="129">
        <v>10</v>
      </c>
      <c r="C370" s="53">
        <v>12152</v>
      </c>
      <c r="D370" s="242">
        <v>64542</v>
      </c>
      <c r="E370" s="250">
        <v>500</v>
      </c>
      <c r="F370" s="93"/>
      <c r="H370" s="60"/>
      <c r="I370" s="48"/>
      <c r="J370" s="134"/>
      <c r="K370" s="58"/>
    </row>
    <row r="371" spans="1:13" x14ac:dyDescent="0.25">
      <c r="A371" s="237">
        <v>43256</v>
      </c>
      <c r="B371" s="129">
        <v>1</v>
      </c>
      <c r="C371" s="53"/>
      <c r="D371" s="242"/>
      <c r="E371" s="245">
        <v>1000</v>
      </c>
      <c r="F371" s="93"/>
      <c r="H371" s="60"/>
      <c r="I371" s="48"/>
      <c r="J371" s="134"/>
      <c r="K371" s="58"/>
    </row>
    <row r="372" spans="1:13" x14ac:dyDescent="0.25">
      <c r="A372" s="237">
        <v>43263</v>
      </c>
      <c r="B372" s="129">
        <v>1</v>
      </c>
      <c r="C372" s="53">
        <v>122464</v>
      </c>
      <c r="D372" s="242">
        <v>61163</v>
      </c>
      <c r="E372" s="245">
        <v>2</v>
      </c>
      <c r="F372" s="93"/>
      <c r="H372" s="60" t="s">
        <v>13</v>
      </c>
      <c r="I372" s="48" t="s">
        <v>14</v>
      </c>
      <c r="J372" s="134">
        <v>43259</v>
      </c>
      <c r="K372" s="58"/>
    </row>
    <row r="373" spans="1:13" x14ac:dyDescent="0.25">
      <c r="A373" s="237">
        <v>43271</v>
      </c>
      <c r="B373" s="50">
        <v>1</v>
      </c>
      <c r="C373" s="53">
        <v>25</v>
      </c>
      <c r="D373" s="53">
        <v>25</v>
      </c>
      <c r="E373" s="75">
        <v>500</v>
      </c>
      <c r="F373" s="231"/>
      <c r="H373" s="49" t="s">
        <v>144</v>
      </c>
      <c r="I373" s="49" t="s">
        <v>215</v>
      </c>
      <c r="J373" s="132">
        <v>43276</v>
      </c>
      <c r="K373" s="49" t="s">
        <v>78</v>
      </c>
      <c r="M373" s="48" t="s">
        <v>78</v>
      </c>
    </row>
    <row r="374" spans="1:13" x14ac:dyDescent="0.25">
      <c r="A374" s="237">
        <v>43271</v>
      </c>
      <c r="B374" s="50">
        <v>2</v>
      </c>
      <c r="C374" s="53">
        <v>158958</v>
      </c>
      <c r="D374" s="53">
        <v>1258956</v>
      </c>
      <c r="E374" s="75">
        <v>500</v>
      </c>
      <c r="F374" s="231"/>
      <c r="H374" s="49" t="s">
        <v>235</v>
      </c>
      <c r="I374" s="49" t="s">
        <v>234</v>
      </c>
      <c r="J374" s="132">
        <v>43255</v>
      </c>
    </row>
    <row r="375" spans="1:13" x14ac:dyDescent="0.25">
      <c r="A375" s="237">
        <v>43273</v>
      </c>
      <c r="B375" s="53"/>
      <c r="C375" s="53">
        <v>121585</v>
      </c>
      <c r="D375" s="244">
        <v>122598</v>
      </c>
      <c r="E375" s="251">
        <v>888</v>
      </c>
      <c r="F375" s="231"/>
      <c r="G375" s="52"/>
      <c r="H375" s="52" t="s">
        <v>141</v>
      </c>
      <c r="I375" s="52" t="s">
        <v>236</v>
      </c>
      <c r="J375" s="133">
        <v>43276</v>
      </c>
      <c r="K375" s="52"/>
      <c r="L375" s="51"/>
    </row>
    <row r="376" spans="1:13" x14ac:dyDescent="0.25">
      <c r="A376" s="237">
        <v>43273</v>
      </c>
      <c r="B376" s="53"/>
      <c r="C376" s="53">
        <v>121585</v>
      </c>
      <c r="D376" s="53">
        <v>122598</v>
      </c>
      <c r="E376" s="251">
        <v>888</v>
      </c>
      <c r="F376" s="231"/>
      <c r="G376" s="52"/>
      <c r="H376" s="52" t="s">
        <v>141</v>
      </c>
      <c r="I376" s="52" t="s">
        <v>236</v>
      </c>
      <c r="J376" s="133">
        <v>43276</v>
      </c>
      <c r="K376" s="52"/>
      <c r="L376" s="51"/>
    </row>
    <row r="377" spans="1:13" x14ac:dyDescent="0.25">
      <c r="A377" s="237">
        <v>43272</v>
      </c>
      <c r="B377" s="53"/>
      <c r="C377" s="53">
        <v>12589</v>
      </c>
      <c r="D377" s="53">
        <v>123658</v>
      </c>
      <c r="E377" s="251">
        <v>60</v>
      </c>
      <c r="F377" s="231"/>
      <c r="G377" s="52"/>
      <c r="H377" s="52" t="s">
        <v>143</v>
      </c>
      <c r="I377" s="52" t="s">
        <v>236</v>
      </c>
      <c r="J377" s="133">
        <v>43306</v>
      </c>
      <c r="K377" s="52"/>
      <c r="L377" s="51"/>
    </row>
    <row r="378" spans="1:13" x14ac:dyDescent="0.25">
      <c r="A378" s="237">
        <v>43272</v>
      </c>
      <c r="B378" s="53"/>
      <c r="C378" s="53">
        <v>1215252</v>
      </c>
      <c r="D378" s="53">
        <v>123589</v>
      </c>
      <c r="E378" s="231">
        <v>25</v>
      </c>
      <c r="F378" s="231"/>
      <c r="G378" s="52"/>
      <c r="H378" s="52" t="s">
        <v>141</v>
      </c>
      <c r="I378" s="52" t="s">
        <v>234</v>
      </c>
      <c r="J378" s="133">
        <v>43306</v>
      </c>
      <c r="K378" s="52"/>
      <c r="L378" s="51"/>
    </row>
    <row r="379" spans="1:13" x14ac:dyDescent="0.25">
      <c r="A379" s="237">
        <v>43274</v>
      </c>
      <c r="B379" s="53"/>
      <c r="C379" s="53">
        <v>121275</v>
      </c>
      <c r="D379" s="53">
        <v>61875</v>
      </c>
      <c r="E379" s="231">
        <v>25</v>
      </c>
      <c r="F379" s="231"/>
      <c r="G379" s="52"/>
      <c r="H379" s="52" t="s">
        <v>141</v>
      </c>
      <c r="I379" s="52" t="s">
        <v>238</v>
      </c>
      <c r="J379" s="133">
        <v>43306</v>
      </c>
      <c r="K379" s="52"/>
      <c r="L379" s="51"/>
    </row>
  </sheetData>
  <mergeCells count="1">
    <mergeCell ref="A1:M1"/>
  </mergeCells>
  <conditionalFormatting sqref="P1:P1048576">
    <cfRule type="colorScale" priority="2">
      <colorScale>
        <cfvo type="min"/>
        <cfvo type="max"/>
        <color theme="0"/>
        <color theme="0"/>
      </colorScale>
    </cfRule>
  </conditionalFormatting>
  <pageMargins left="0" right="0" top="0" bottom="0" header="0.31496062992125984" footer="0.31496062992125984"/>
  <pageSetup scale="99" fitToHeight="0" orientation="landscape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3" r:id="rId4" name="ListBox1">
          <controlPr defaultSize="0" autoLine="0" r:id="rId5">
            <anchor moveWithCells="1">
              <from>
                <xdr:col>37</xdr:col>
                <xdr:colOff>323850</xdr:colOff>
                <xdr:row>0</xdr:row>
                <xdr:rowOff>0</xdr:rowOff>
              </from>
              <to>
                <xdr:col>48</xdr:col>
                <xdr:colOff>38100</xdr:colOff>
                <xdr:row>10</xdr:row>
                <xdr:rowOff>57150</xdr:rowOff>
              </to>
            </anchor>
          </controlPr>
        </control>
      </mc:Choice>
      <mc:Fallback>
        <control shapeId="5126" r:id="rId4" name="ListBox1"/>
      </mc:Fallback>
    </mc:AlternateContent>
    <mc:AlternateContent xmlns:mc="http://schemas.openxmlformats.org/markup-compatibility/2006">
      <mc:Choice Requires="x14">
        <control shapeId="4" r:id="rId6" name="TextBox1">
          <controlPr defaultSize="0" autoLine="0" r:id="rId7">
            <anchor moveWithCells="1">
              <from>
                <xdr:col>11</xdr:col>
                <xdr:colOff>752475</xdr:colOff>
                <xdr:row>0</xdr:row>
                <xdr:rowOff>19050</xdr:rowOff>
              </from>
              <to>
                <xdr:col>12</xdr:col>
                <xdr:colOff>438150</xdr:colOff>
                <xdr:row>0</xdr:row>
                <xdr:rowOff>304800</xdr:rowOff>
              </to>
            </anchor>
          </controlPr>
        </control>
      </mc:Choice>
      <mc:Fallback>
        <control shapeId="5124" r:id="rId6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60"/>
  <sheetViews>
    <sheetView topLeftCell="C1" zoomScale="73" zoomScaleNormal="73" workbookViewId="0">
      <pane ySplit="6" topLeftCell="A61" activePane="bottomLeft" state="frozen"/>
      <selection pane="bottomLeft" activeCell="C38" sqref="C38:M38"/>
    </sheetView>
  </sheetViews>
  <sheetFormatPr baseColWidth="10" defaultColWidth="11.5703125" defaultRowHeight="15" x14ac:dyDescent="0.25"/>
  <cols>
    <col min="1" max="1" width="14.7109375" style="4" hidden="1" customWidth="1"/>
    <col min="2" max="2" width="50.28515625" style="4" bestFit="1" customWidth="1"/>
    <col min="3" max="3" width="29.85546875" style="4" customWidth="1"/>
    <col min="4" max="4" width="35.28515625" style="3" customWidth="1"/>
    <col min="5" max="5" width="52.85546875" style="3" customWidth="1"/>
    <col min="6" max="6" width="12.5703125" style="4" bestFit="1" customWidth="1"/>
    <col min="7" max="7" width="24.140625" style="4" customWidth="1"/>
    <col min="8" max="8" width="18.28515625" style="4" customWidth="1"/>
    <col min="9" max="9" width="39.28515625" style="4" customWidth="1"/>
    <col min="10" max="10" width="23.5703125" style="4" customWidth="1"/>
    <col min="11" max="11" width="13.28515625" style="4" customWidth="1"/>
    <col min="12" max="12" width="10.140625" style="4" bestFit="1" customWidth="1"/>
    <col min="13" max="13" width="15.85546875" style="4" bestFit="1" customWidth="1"/>
    <col min="14" max="14" width="10.140625" style="4" bestFit="1" customWidth="1"/>
    <col min="15" max="15" width="28.7109375" style="4" bestFit="1" customWidth="1"/>
    <col min="16" max="16" width="10.140625" style="4" bestFit="1" customWidth="1"/>
    <col min="17" max="17" width="29.28515625" style="4" bestFit="1" customWidth="1"/>
    <col min="18" max="18" width="10.85546875" style="4" bestFit="1" customWidth="1"/>
    <col min="19" max="19" width="29.28515625" style="4" bestFit="1" customWidth="1"/>
    <col min="20" max="20" width="10.140625" style="4" bestFit="1" customWidth="1"/>
    <col min="21" max="21" width="14.5703125" style="4" customWidth="1"/>
    <col min="22" max="16384" width="11.5703125" style="4"/>
  </cols>
  <sheetData>
    <row r="1" spans="1:22" ht="14.45" customHeight="1" x14ac:dyDescent="0.25">
      <c r="C1"/>
      <c r="D1" s="5"/>
      <c r="E1" s="5"/>
    </row>
    <row r="2" spans="1:22" ht="14.45" customHeight="1" x14ac:dyDescent="0.25">
      <c r="C2" t="e">
        <f>IF(A2='Suivi de commande'!#REF!,"")</f>
        <v>#REF!</v>
      </c>
      <c r="D2" s="5"/>
      <c r="E2" s="5"/>
    </row>
    <row r="3" spans="1:22" ht="14.45" customHeight="1" x14ac:dyDescent="0.25">
      <c r="C3"/>
      <c r="D3" s="5"/>
      <c r="E3" s="5"/>
    </row>
    <row r="4" spans="1:22" x14ac:dyDescent="0.25">
      <c r="C4"/>
      <c r="D4" s="2"/>
      <c r="E4" s="2"/>
    </row>
    <row r="5" spans="1:22" x14ac:dyDescent="0.25">
      <c r="C5" s="1"/>
      <c r="D5" s="2"/>
      <c r="E5" s="2"/>
    </row>
    <row r="6" spans="1:22" ht="42" customHeight="1" x14ac:dyDescent="0.3">
      <c r="A6" s="141" t="s">
        <v>2</v>
      </c>
      <c r="B6" s="110" t="s">
        <v>179</v>
      </c>
      <c r="C6" s="110" t="s">
        <v>3</v>
      </c>
      <c r="D6" s="111" t="s">
        <v>4</v>
      </c>
      <c r="E6" s="111" t="s">
        <v>5</v>
      </c>
      <c r="F6" s="110" t="s">
        <v>6</v>
      </c>
      <c r="G6" s="110" t="s">
        <v>0</v>
      </c>
      <c r="H6" s="110" t="s">
        <v>7</v>
      </c>
      <c r="I6" s="110" t="s">
        <v>8</v>
      </c>
      <c r="J6" s="110" t="s">
        <v>9</v>
      </c>
      <c r="K6" s="110" t="s">
        <v>10</v>
      </c>
      <c r="L6" s="110" t="s">
        <v>72</v>
      </c>
      <c r="M6" s="110" t="s">
        <v>145</v>
      </c>
      <c r="N6" s="44"/>
      <c r="O6" s="44"/>
      <c r="P6" s="44"/>
      <c r="Q6" s="44"/>
      <c r="R6" s="44"/>
      <c r="S6" s="44"/>
      <c r="T6" s="44"/>
      <c r="U6" s="44"/>
      <c r="V6" s="43"/>
    </row>
    <row r="7" spans="1:22" ht="18.75" x14ac:dyDescent="0.3">
      <c r="A7" s="125">
        <f>WEEKNUM(J7)</f>
        <v>0</v>
      </c>
      <c r="B7" s="112"/>
      <c r="C7" s="113"/>
      <c r="D7" s="113"/>
      <c r="E7" s="232"/>
      <c r="F7" s="232"/>
      <c r="G7" s="113"/>
      <c r="H7" s="113"/>
      <c r="I7" s="119"/>
      <c r="J7" s="114"/>
      <c r="K7" s="46"/>
      <c r="L7" s="46"/>
      <c r="M7" s="46"/>
      <c r="N7" s="41"/>
      <c r="O7" s="41"/>
      <c r="P7" s="41"/>
      <c r="Q7" s="41"/>
      <c r="R7" s="41"/>
      <c r="S7" s="41"/>
      <c r="T7" s="41"/>
      <c r="U7" s="41"/>
    </row>
    <row r="8" spans="1:22" ht="18.75" x14ac:dyDescent="0.3">
      <c r="A8" s="125">
        <f t="shared" ref="A8:A25" si="0">WEEKNUM(J8)</f>
        <v>0</v>
      </c>
      <c r="B8" s="112"/>
      <c r="C8" s="113"/>
      <c r="D8" s="113"/>
      <c r="E8" s="232"/>
      <c r="F8" s="232"/>
      <c r="G8" s="113"/>
      <c r="H8" s="113"/>
      <c r="I8" s="119"/>
      <c r="J8" s="114"/>
      <c r="K8" s="46"/>
      <c r="L8" s="46"/>
      <c r="M8" s="46"/>
      <c r="N8" s="40"/>
      <c r="O8" s="40"/>
      <c r="P8" s="40"/>
      <c r="Q8" s="40"/>
      <c r="R8" s="40"/>
      <c r="S8" s="40"/>
      <c r="T8" s="42"/>
      <c r="U8" s="42"/>
    </row>
    <row r="9" spans="1:22" ht="18.75" x14ac:dyDescent="0.3">
      <c r="A9" s="125">
        <f t="shared" si="0"/>
        <v>0</v>
      </c>
      <c r="B9" s="112"/>
      <c r="C9" s="113"/>
      <c r="D9" s="113"/>
      <c r="E9" s="232"/>
      <c r="F9" s="232"/>
      <c r="G9" s="113"/>
      <c r="H9" s="113"/>
      <c r="I9" s="119"/>
      <c r="J9" s="114"/>
      <c r="K9" s="46"/>
      <c r="L9" s="46"/>
      <c r="M9" s="46"/>
      <c r="N9" s="40"/>
      <c r="O9" s="40"/>
      <c r="P9" s="40"/>
      <c r="Q9" s="40"/>
      <c r="R9" s="40"/>
      <c r="S9" s="42"/>
      <c r="T9" s="42"/>
    </row>
    <row r="10" spans="1:22" ht="18.75" x14ac:dyDescent="0.3">
      <c r="A10" s="125">
        <f t="shared" si="0"/>
        <v>0</v>
      </c>
      <c r="B10" s="112"/>
      <c r="C10" s="113"/>
      <c r="D10" s="113"/>
      <c r="E10" s="232"/>
      <c r="F10" s="232"/>
      <c r="G10" s="113"/>
      <c r="H10" s="113"/>
      <c r="I10" s="119"/>
      <c r="J10" s="114"/>
      <c r="K10" s="46"/>
      <c r="L10" s="46"/>
      <c r="M10" s="46"/>
      <c r="N10" s="40"/>
      <c r="O10" s="40"/>
      <c r="P10" s="40"/>
      <c r="Q10" s="40"/>
      <c r="R10" s="40"/>
      <c r="S10" s="40"/>
      <c r="T10" s="42"/>
      <c r="U10" s="42"/>
    </row>
    <row r="11" spans="1:22" ht="21" customHeight="1" x14ac:dyDescent="0.3">
      <c r="A11" s="125">
        <f t="shared" si="0"/>
        <v>0</v>
      </c>
      <c r="B11" s="112"/>
      <c r="C11" s="113"/>
      <c r="D11" s="113"/>
      <c r="E11" s="232"/>
      <c r="F11" s="232"/>
      <c r="G11" s="113"/>
      <c r="H11" s="113"/>
      <c r="I11" s="119"/>
      <c r="J11" s="114"/>
      <c r="K11" s="46"/>
      <c r="L11" s="46"/>
      <c r="M11" s="46"/>
      <c r="N11" s="40"/>
      <c r="O11" s="40"/>
      <c r="P11" s="40"/>
      <c r="Q11" s="40"/>
      <c r="R11" s="40"/>
      <c r="S11" s="40"/>
      <c r="T11" s="42"/>
      <c r="U11" s="42"/>
    </row>
    <row r="12" spans="1:22" ht="21" customHeight="1" x14ac:dyDescent="0.3">
      <c r="A12" s="125">
        <f t="shared" si="0"/>
        <v>0</v>
      </c>
      <c r="B12" s="112"/>
      <c r="C12" s="113"/>
      <c r="D12" s="113"/>
      <c r="E12" s="232"/>
      <c r="F12" s="232"/>
      <c r="G12" s="113"/>
      <c r="H12" s="113"/>
      <c r="I12" s="119"/>
      <c r="J12" s="114"/>
      <c r="K12" s="46"/>
      <c r="L12" s="46"/>
      <c r="M12" s="46"/>
      <c r="N12" s="40"/>
      <c r="O12" s="40"/>
      <c r="P12" s="40"/>
      <c r="Q12" s="40"/>
      <c r="R12" s="40"/>
      <c r="S12" s="40"/>
      <c r="T12" s="42"/>
      <c r="U12" s="42"/>
    </row>
    <row r="13" spans="1:22" ht="21" customHeight="1" x14ac:dyDescent="0.3">
      <c r="A13" s="125">
        <f t="shared" si="0"/>
        <v>0</v>
      </c>
      <c r="B13" s="112"/>
      <c r="C13" s="113"/>
      <c r="D13" s="113"/>
      <c r="E13" s="232"/>
      <c r="F13" s="232"/>
      <c r="G13" s="113"/>
      <c r="H13" s="113"/>
      <c r="I13" s="119"/>
      <c r="J13" s="114"/>
      <c r="K13" s="46"/>
      <c r="L13" s="46"/>
      <c r="M13" s="46"/>
      <c r="N13" s="40"/>
      <c r="O13" s="40"/>
      <c r="P13" s="40"/>
      <c r="Q13" s="40"/>
      <c r="R13" s="40"/>
      <c r="S13" s="40"/>
      <c r="T13" s="42"/>
      <c r="U13" s="42"/>
    </row>
    <row r="14" spans="1:22" ht="21" customHeight="1" x14ac:dyDescent="0.3">
      <c r="A14" s="125">
        <f t="shared" si="0"/>
        <v>0</v>
      </c>
      <c r="B14" s="112"/>
      <c r="C14" s="113"/>
      <c r="D14" s="113"/>
      <c r="E14" s="232"/>
      <c r="F14" s="232"/>
      <c r="G14" s="113"/>
      <c r="H14" s="113"/>
      <c r="I14" s="119"/>
      <c r="J14" s="114"/>
      <c r="K14" s="46"/>
      <c r="L14" s="46"/>
      <c r="M14" s="46"/>
      <c r="N14" s="40"/>
      <c r="O14" s="40"/>
      <c r="P14" s="40"/>
      <c r="Q14" s="40"/>
      <c r="R14" s="40"/>
      <c r="S14" s="40"/>
      <c r="T14" s="42"/>
      <c r="U14" s="42"/>
    </row>
    <row r="15" spans="1:22" ht="21" customHeight="1" x14ac:dyDescent="0.3">
      <c r="A15" s="125">
        <f t="shared" si="0"/>
        <v>0</v>
      </c>
      <c r="B15" s="112"/>
      <c r="C15" s="113"/>
      <c r="D15" s="113"/>
      <c r="E15" s="232"/>
      <c r="F15" s="232"/>
      <c r="G15" s="113"/>
      <c r="H15" s="113"/>
      <c r="I15" s="119"/>
      <c r="J15" s="114"/>
      <c r="K15" s="46"/>
      <c r="L15" s="46"/>
      <c r="M15" s="46"/>
      <c r="N15" s="40"/>
      <c r="O15" s="40"/>
      <c r="P15" s="40"/>
      <c r="Q15" s="40"/>
      <c r="R15" s="40"/>
      <c r="S15" s="40"/>
      <c r="T15" s="42"/>
      <c r="U15" s="42"/>
    </row>
    <row r="16" spans="1:22" ht="18.75" x14ac:dyDescent="0.3">
      <c r="A16" s="125">
        <f t="shared" si="0"/>
        <v>0</v>
      </c>
      <c r="B16" s="112"/>
      <c r="C16" s="113"/>
      <c r="D16" s="113"/>
      <c r="E16" s="232"/>
      <c r="F16" s="232"/>
      <c r="G16" s="113"/>
      <c r="H16" s="113"/>
      <c r="I16" s="119"/>
      <c r="J16" s="114"/>
      <c r="K16" s="46"/>
      <c r="L16" s="46"/>
      <c r="M16" s="46"/>
      <c r="N16" s="40"/>
      <c r="O16" s="40"/>
      <c r="P16" s="40"/>
      <c r="Q16" s="40"/>
      <c r="R16" s="40"/>
      <c r="S16" s="40"/>
      <c r="T16" s="42"/>
      <c r="U16" s="42"/>
    </row>
    <row r="17" spans="1:21" ht="18.75" x14ac:dyDescent="0.3">
      <c r="A17" s="125">
        <f t="shared" si="0"/>
        <v>0</v>
      </c>
      <c r="B17" s="112"/>
      <c r="C17" s="113"/>
      <c r="D17" s="113"/>
      <c r="E17" s="232"/>
      <c r="F17" s="232"/>
      <c r="G17" s="113"/>
      <c r="H17" s="113"/>
      <c r="I17" s="119"/>
      <c r="J17" s="114"/>
      <c r="K17" s="46"/>
      <c r="L17" s="46"/>
      <c r="M17" s="46"/>
      <c r="N17" s="40"/>
      <c r="O17" s="40"/>
      <c r="P17" s="40"/>
      <c r="Q17" s="40"/>
      <c r="R17" s="40"/>
      <c r="S17" s="40"/>
      <c r="T17" s="42"/>
      <c r="U17" s="42"/>
    </row>
    <row r="18" spans="1:21" ht="18.75" x14ac:dyDescent="0.3">
      <c r="A18" s="125">
        <f t="shared" si="0"/>
        <v>0</v>
      </c>
      <c r="B18" s="112"/>
      <c r="C18" s="113"/>
      <c r="D18" s="113"/>
      <c r="E18" s="232"/>
      <c r="F18" s="232"/>
      <c r="G18" s="113"/>
      <c r="H18" s="113"/>
      <c r="I18" s="119"/>
      <c r="J18" s="114"/>
      <c r="K18" s="46"/>
      <c r="L18" s="46"/>
      <c r="M18" s="46"/>
      <c r="N18" s="40"/>
      <c r="O18" s="40"/>
      <c r="P18" s="40"/>
      <c r="Q18" s="40"/>
      <c r="R18" s="40"/>
      <c r="S18" s="40"/>
      <c r="T18" s="42"/>
      <c r="U18" s="42"/>
    </row>
    <row r="19" spans="1:21" ht="18.75" x14ac:dyDescent="0.3">
      <c r="A19" s="125">
        <f t="shared" si="0"/>
        <v>0</v>
      </c>
      <c r="B19" s="112"/>
      <c r="C19" s="113"/>
      <c r="D19" s="113"/>
      <c r="E19" s="232"/>
      <c r="F19" s="232"/>
      <c r="G19" s="113"/>
      <c r="H19" s="113"/>
      <c r="I19" s="119"/>
      <c r="J19" s="114"/>
      <c r="K19" s="46"/>
      <c r="L19" s="46"/>
      <c r="M19" s="46"/>
      <c r="N19" s="40"/>
      <c r="O19" s="40"/>
      <c r="P19" s="40"/>
      <c r="Q19" s="40"/>
      <c r="R19" s="40"/>
      <c r="S19" s="40"/>
      <c r="T19" s="42"/>
      <c r="U19" s="42"/>
    </row>
    <row r="20" spans="1:21" ht="18.75" x14ac:dyDescent="0.3">
      <c r="A20" s="125">
        <f t="shared" si="0"/>
        <v>0</v>
      </c>
      <c r="B20" s="112"/>
      <c r="C20" s="113"/>
      <c r="D20" s="113"/>
      <c r="E20" s="232"/>
      <c r="F20" s="232"/>
      <c r="G20" s="113"/>
      <c r="H20" s="113"/>
      <c r="I20" s="119"/>
      <c r="J20" s="114"/>
      <c r="K20" s="46"/>
      <c r="L20" s="46"/>
      <c r="M20" s="46"/>
      <c r="N20" s="40"/>
      <c r="O20" s="40"/>
      <c r="P20" s="40"/>
      <c r="Q20" s="40"/>
      <c r="R20" s="40"/>
      <c r="S20" s="40"/>
      <c r="T20" s="42"/>
      <c r="U20" s="42"/>
    </row>
    <row r="21" spans="1:21" ht="18.75" x14ac:dyDescent="0.3">
      <c r="A21" s="125">
        <f t="shared" si="0"/>
        <v>0</v>
      </c>
      <c r="B21" s="112"/>
      <c r="C21" s="113"/>
      <c r="D21" s="113"/>
      <c r="E21" s="232"/>
      <c r="F21" s="232"/>
      <c r="G21" s="113"/>
      <c r="H21" s="113"/>
      <c r="I21" s="119"/>
      <c r="J21" s="114"/>
      <c r="K21" s="46"/>
      <c r="L21" s="46"/>
      <c r="M21" s="46"/>
      <c r="N21" s="41"/>
      <c r="O21" s="41"/>
      <c r="P21" s="41"/>
      <c r="Q21" s="41"/>
      <c r="R21" s="41"/>
      <c r="S21" s="41"/>
      <c r="T21" s="41"/>
      <c r="U21" s="41"/>
    </row>
    <row r="22" spans="1:21" ht="17.45" customHeight="1" x14ac:dyDescent="0.3">
      <c r="A22" s="125">
        <f t="shared" si="0"/>
        <v>0</v>
      </c>
      <c r="B22" s="112"/>
      <c r="C22" s="113"/>
      <c r="D22" s="113"/>
      <c r="E22" s="232"/>
      <c r="F22" s="232"/>
      <c r="G22" s="113"/>
      <c r="H22" s="113"/>
      <c r="I22" s="119"/>
      <c r="J22" s="114"/>
      <c r="K22" s="46"/>
      <c r="L22" s="46"/>
      <c r="M22" s="46"/>
      <c r="N22" s="39"/>
      <c r="O22" s="39"/>
      <c r="P22" s="39"/>
      <c r="Q22" s="39"/>
      <c r="R22" s="40"/>
      <c r="S22" s="40"/>
    </row>
    <row r="23" spans="1:21" s="45" customFormat="1" ht="17.45" customHeight="1" x14ac:dyDescent="0.25">
      <c r="A23" s="125">
        <f t="shared" si="0"/>
        <v>0</v>
      </c>
      <c r="B23" s="112"/>
      <c r="C23" s="113"/>
      <c r="D23" s="113"/>
      <c r="E23" s="232"/>
      <c r="F23" s="232"/>
      <c r="G23" s="113"/>
      <c r="H23" s="113"/>
      <c r="I23" s="113"/>
      <c r="J23" s="145"/>
      <c r="K23" s="46"/>
      <c r="L23" s="46"/>
      <c r="M23" s="46"/>
    </row>
    <row r="24" spans="1:21" s="45" customFormat="1" ht="14.45" customHeight="1" x14ac:dyDescent="0.25">
      <c r="A24" s="125">
        <f t="shared" si="0"/>
        <v>0</v>
      </c>
      <c r="B24" s="112"/>
      <c r="C24" s="113"/>
      <c r="D24" s="113"/>
      <c r="E24" s="232"/>
      <c r="F24" s="232"/>
      <c r="G24" s="113"/>
      <c r="H24" s="113"/>
      <c r="I24" s="113"/>
      <c r="J24" s="145"/>
      <c r="K24" s="46"/>
      <c r="L24" s="146"/>
      <c r="M24" s="46"/>
    </row>
    <row r="25" spans="1:21" s="45" customFormat="1" ht="16.149999999999999" customHeight="1" x14ac:dyDescent="0.25">
      <c r="A25" s="125">
        <f t="shared" si="0"/>
        <v>0</v>
      </c>
      <c r="B25" s="112"/>
      <c r="C25" s="113"/>
      <c r="D25" s="113"/>
      <c r="E25" s="232"/>
      <c r="F25" s="232"/>
      <c r="G25" s="113"/>
      <c r="H25" s="113"/>
      <c r="I25" s="113"/>
      <c r="J25" s="145"/>
      <c r="K25" s="46"/>
      <c r="L25" s="146"/>
      <c r="M25" s="46"/>
    </row>
    <row r="26" spans="1:21" ht="16.149999999999999" customHeight="1" x14ac:dyDescent="0.25">
      <c r="A26" s="125">
        <f>WEEKNUM(J25)</f>
        <v>0</v>
      </c>
      <c r="B26" s="112"/>
      <c r="C26" s="113"/>
      <c r="D26" s="113"/>
      <c r="E26" s="232"/>
      <c r="F26" s="232"/>
      <c r="G26" s="113"/>
      <c r="H26" s="113"/>
      <c r="I26" s="113"/>
      <c r="J26" s="145"/>
      <c r="K26" s="46"/>
      <c r="L26" s="146"/>
      <c r="M26" s="46"/>
    </row>
    <row r="27" spans="1:21" x14ac:dyDescent="0.25">
      <c r="A27" s="143" t="s">
        <v>1</v>
      </c>
      <c r="B27" s="144"/>
      <c r="C27" s="149"/>
      <c r="D27" s="144"/>
      <c r="E27" s="144"/>
      <c r="F27" s="144"/>
      <c r="G27" s="144"/>
      <c r="H27" s="144"/>
      <c r="I27" s="144"/>
      <c r="J27" s="149"/>
      <c r="K27" s="148"/>
      <c r="L27" s="147"/>
      <c r="M27" s="144"/>
    </row>
    <row r="28" spans="1:21" ht="18.75" x14ac:dyDescent="0.25">
      <c r="C28" s="142"/>
      <c r="H28" s="110"/>
      <c r="I28" s="4" t="s">
        <v>1</v>
      </c>
      <c r="J28" s="142"/>
      <c r="K28" s="142"/>
    </row>
    <row r="29" spans="1:21" ht="18.75" x14ac:dyDescent="0.25">
      <c r="A29" s="110" t="s">
        <v>2</v>
      </c>
      <c r="B29" s="110" t="s">
        <v>179</v>
      </c>
      <c r="C29" s="110" t="s">
        <v>3</v>
      </c>
      <c r="D29" s="111" t="s">
        <v>4</v>
      </c>
      <c r="E29" s="111" t="s">
        <v>5</v>
      </c>
      <c r="F29" s="110" t="s">
        <v>6</v>
      </c>
      <c r="G29" s="110" t="s">
        <v>0</v>
      </c>
      <c r="H29" s="110" t="s">
        <v>7</v>
      </c>
      <c r="I29" s="110" t="s">
        <v>8</v>
      </c>
      <c r="J29" s="110" t="s">
        <v>9</v>
      </c>
      <c r="K29" s="110" t="s">
        <v>10</v>
      </c>
      <c r="L29" s="110" t="s">
        <v>72</v>
      </c>
      <c r="M29" s="110" t="s">
        <v>145</v>
      </c>
    </row>
    <row r="30" spans="1:21" ht="18.75" x14ac:dyDescent="0.3">
      <c r="A30" s="121">
        <v>23</v>
      </c>
      <c r="B30" s="120" t="s">
        <v>146</v>
      </c>
      <c r="C30" s="123"/>
      <c r="D30" s="115">
        <v>1</v>
      </c>
      <c r="E30" s="123"/>
      <c r="F30" s="123"/>
      <c r="G30" s="123"/>
      <c r="H30" s="123"/>
      <c r="I30" s="124"/>
      <c r="J30" s="116">
        <v>43252</v>
      </c>
      <c r="K30" s="118"/>
      <c r="L30" s="118"/>
      <c r="M30" s="118"/>
    </row>
    <row r="31" spans="1:21" ht="14.45" customHeight="1" x14ac:dyDescent="0.3">
      <c r="A31" s="126">
        <v>24</v>
      </c>
      <c r="B31" s="120" t="s">
        <v>147</v>
      </c>
      <c r="C31" s="123"/>
      <c r="D31" s="115">
        <v>1</v>
      </c>
      <c r="E31" s="123"/>
      <c r="F31" s="123"/>
      <c r="G31" s="123"/>
      <c r="H31" s="123"/>
      <c r="I31" s="124"/>
      <c r="J31" s="116">
        <v>43252</v>
      </c>
      <c r="K31" s="118"/>
      <c r="L31" s="118"/>
      <c r="M31" s="118"/>
    </row>
    <row r="32" spans="1:21" ht="14.45" customHeight="1" x14ac:dyDescent="0.3">
      <c r="A32" s="121">
        <v>25</v>
      </c>
      <c r="B32" s="120" t="s">
        <v>148</v>
      </c>
      <c r="C32" s="123"/>
      <c r="D32" s="115">
        <v>1</v>
      </c>
      <c r="E32" s="123"/>
      <c r="F32" s="123"/>
      <c r="G32" s="123"/>
      <c r="H32" s="123"/>
      <c r="I32" s="124">
        <v>0</v>
      </c>
      <c r="J32" s="116">
        <v>43252</v>
      </c>
      <c r="K32" s="118"/>
      <c r="L32" s="118"/>
      <c r="M32" s="118"/>
    </row>
    <row r="33" spans="1:13" ht="14.45" customHeight="1" x14ac:dyDescent="0.3">
      <c r="A33" s="121">
        <v>26</v>
      </c>
      <c r="B33" s="120" t="s">
        <v>149</v>
      </c>
      <c r="C33" s="123"/>
      <c r="D33" s="115">
        <v>1</v>
      </c>
      <c r="E33" s="123"/>
      <c r="F33" s="123"/>
      <c r="G33" s="123"/>
      <c r="H33" s="123"/>
      <c r="I33" s="124">
        <v>0</v>
      </c>
      <c r="J33" s="116">
        <v>43252</v>
      </c>
      <c r="K33" s="117"/>
      <c r="L33" s="117"/>
      <c r="M33" s="117"/>
    </row>
    <row r="34" spans="1:13" ht="14.45" customHeight="1" x14ac:dyDescent="0.3">
      <c r="A34" s="121">
        <v>27</v>
      </c>
      <c r="B34" s="120" t="s">
        <v>150</v>
      </c>
      <c r="C34" s="123"/>
      <c r="D34" s="115">
        <v>1</v>
      </c>
      <c r="E34" s="123"/>
      <c r="F34" s="123"/>
      <c r="G34" s="123"/>
      <c r="H34" s="123"/>
      <c r="I34" s="124">
        <v>0</v>
      </c>
      <c r="J34" s="116">
        <v>43282</v>
      </c>
      <c r="K34" s="117"/>
      <c r="L34" s="117"/>
      <c r="M34" s="117"/>
    </row>
    <row r="35" spans="1:13" ht="14.45" customHeight="1" x14ac:dyDescent="0.3">
      <c r="A35" s="121">
        <v>28</v>
      </c>
      <c r="B35" s="120" t="s">
        <v>151</v>
      </c>
      <c r="C35" s="123"/>
      <c r="D35" s="115">
        <v>1</v>
      </c>
      <c r="E35" s="123"/>
      <c r="F35" s="123"/>
      <c r="G35" s="123"/>
      <c r="H35" s="123"/>
      <c r="I35" s="124">
        <v>0</v>
      </c>
      <c r="J35" s="116">
        <v>43282</v>
      </c>
      <c r="K35" s="117"/>
      <c r="L35" s="117"/>
      <c r="M35" s="117"/>
    </row>
    <row r="36" spans="1:13" ht="14.45" customHeight="1" x14ac:dyDescent="0.3">
      <c r="A36" s="121">
        <v>29</v>
      </c>
      <c r="B36" s="120" t="s">
        <v>152</v>
      </c>
      <c r="C36" s="123"/>
      <c r="D36" s="115">
        <v>1</v>
      </c>
      <c r="E36" s="123"/>
      <c r="F36" s="123"/>
      <c r="G36" s="123"/>
      <c r="H36" s="123"/>
      <c r="I36" s="124">
        <v>0</v>
      </c>
      <c r="J36" s="116">
        <v>43282</v>
      </c>
      <c r="K36" s="117"/>
      <c r="L36" s="117"/>
      <c r="M36" s="117"/>
    </row>
    <row r="37" spans="1:13" ht="14.45" customHeight="1" x14ac:dyDescent="0.3">
      <c r="A37" s="121">
        <v>30</v>
      </c>
      <c r="B37" s="120" t="s">
        <v>153</v>
      </c>
      <c r="C37" s="123"/>
      <c r="D37" s="115">
        <v>1</v>
      </c>
      <c r="E37" s="123"/>
      <c r="F37" s="123"/>
      <c r="G37" s="123"/>
      <c r="H37" s="123"/>
      <c r="I37" s="124">
        <v>0</v>
      </c>
      <c r="J37" s="116">
        <v>43282</v>
      </c>
      <c r="K37" s="117"/>
      <c r="L37" s="117"/>
      <c r="M37" s="117"/>
    </row>
    <row r="38" spans="1:13" ht="14.45" customHeight="1" x14ac:dyDescent="0.25">
      <c r="A38" s="125">
        <v>30</v>
      </c>
      <c r="B38" s="112"/>
      <c r="C38" s="113">
        <v>121275</v>
      </c>
      <c r="D38" s="113">
        <v>61875</v>
      </c>
      <c r="E38" s="232">
        <v>25</v>
      </c>
      <c r="F38" s="232"/>
      <c r="G38" s="113" t="s">
        <v>237</v>
      </c>
      <c r="H38" s="113" t="s">
        <v>141</v>
      </c>
      <c r="I38" s="119" t="s">
        <v>238</v>
      </c>
      <c r="J38" s="114">
        <v>43306</v>
      </c>
      <c r="K38" s="46"/>
      <c r="L38" s="46"/>
      <c r="M38" s="46"/>
    </row>
    <row r="39" spans="1:13" ht="14.45" customHeight="1" x14ac:dyDescent="0.3">
      <c r="A39" s="121">
        <v>31</v>
      </c>
      <c r="B39" s="120" t="s">
        <v>154</v>
      </c>
      <c r="C39" s="123"/>
      <c r="D39" s="115">
        <v>1</v>
      </c>
      <c r="E39" s="123"/>
      <c r="F39" s="123"/>
      <c r="G39" s="123"/>
      <c r="H39" s="123"/>
      <c r="I39" s="124">
        <v>0</v>
      </c>
      <c r="J39" s="116">
        <v>43282</v>
      </c>
      <c r="K39" s="117"/>
      <c r="L39" s="117"/>
      <c r="M39" s="117"/>
    </row>
    <row r="40" spans="1:13" ht="14.45" customHeight="1" x14ac:dyDescent="0.3">
      <c r="A40" s="121">
        <v>32</v>
      </c>
      <c r="B40" s="120" t="s">
        <v>155</v>
      </c>
      <c r="C40" s="123"/>
      <c r="D40" s="115">
        <v>1</v>
      </c>
      <c r="E40" s="123"/>
      <c r="F40" s="123"/>
      <c r="G40" s="123"/>
      <c r="H40" s="123"/>
      <c r="I40" s="124">
        <v>0</v>
      </c>
      <c r="J40" s="116">
        <v>43313</v>
      </c>
      <c r="K40" s="117"/>
      <c r="L40" s="117"/>
      <c r="M40" s="117"/>
    </row>
    <row r="41" spans="1:13" ht="14.45" customHeight="1" x14ac:dyDescent="0.3">
      <c r="A41" s="121">
        <v>33</v>
      </c>
      <c r="B41" s="120" t="s">
        <v>156</v>
      </c>
      <c r="C41" s="123"/>
      <c r="D41" s="115">
        <v>1</v>
      </c>
      <c r="E41" s="123"/>
      <c r="F41" s="123"/>
      <c r="G41" s="123"/>
      <c r="H41" s="123"/>
      <c r="I41" s="124">
        <v>0</v>
      </c>
      <c r="J41" s="116">
        <v>43313</v>
      </c>
      <c r="K41" s="117"/>
      <c r="L41" s="117"/>
      <c r="M41" s="117"/>
    </row>
    <row r="42" spans="1:13" ht="14.45" customHeight="1" x14ac:dyDescent="0.3">
      <c r="A42" s="121">
        <v>34</v>
      </c>
      <c r="B42" s="120" t="s">
        <v>157</v>
      </c>
      <c r="C42" s="123"/>
      <c r="D42" s="115">
        <v>1</v>
      </c>
      <c r="E42" s="123"/>
      <c r="F42" s="123"/>
      <c r="G42" s="123"/>
      <c r="H42" s="123"/>
      <c r="I42" s="124">
        <v>0</v>
      </c>
      <c r="J42" s="116">
        <v>43313</v>
      </c>
      <c r="K42" s="117"/>
      <c r="L42" s="117"/>
      <c r="M42" s="117"/>
    </row>
    <row r="43" spans="1:13" ht="14.45" customHeight="1" x14ac:dyDescent="0.3">
      <c r="A43" s="121">
        <v>35</v>
      </c>
      <c r="B43" s="120" t="s">
        <v>158</v>
      </c>
      <c r="C43" s="123"/>
      <c r="D43" s="115">
        <v>1</v>
      </c>
      <c r="E43" s="123"/>
      <c r="F43" s="123"/>
      <c r="G43" s="123"/>
      <c r="H43" s="123"/>
      <c r="I43" s="124">
        <v>0</v>
      </c>
      <c r="J43" s="116">
        <v>43313</v>
      </c>
      <c r="K43" s="117"/>
      <c r="L43" s="117"/>
      <c r="M43" s="117"/>
    </row>
    <row r="44" spans="1:13" ht="14.45" customHeight="1" x14ac:dyDescent="0.3">
      <c r="A44" s="121">
        <v>36</v>
      </c>
      <c r="B44" s="120" t="s">
        <v>159</v>
      </c>
      <c r="C44" s="123"/>
      <c r="D44" s="115">
        <v>1</v>
      </c>
      <c r="E44" s="123"/>
      <c r="F44" s="123"/>
      <c r="G44" s="123"/>
      <c r="H44" s="123"/>
      <c r="I44" s="124">
        <v>0</v>
      </c>
      <c r="J44" s="116">
        <v>43344</v>
      </c>
      <c r="K44" s="117"/>
      <c r="L44" s="117"/>
      <c r="M44" s="117"/>
    </row>
    <row r="45" spans="1:13" ht="14.45" customHeight="1" x14ac:dyDescent="0.3">
      <c r="A45" s="121">
        <v>37</v>
      </c>
      <c r="B45" s="120" t="s">
        <v>160</v>
      </c>
      <c r="C45" s="123"/>
      <c r="D45" s="115">
        <v>1</v>
      </c>
      <c r="E45" s="123"/>
      <c r="F45" s="123"/>
      <c r="G45" s="123"/>
      <c r="H45" s="123"/>
      <c r="I45" s="124">
        <v>0</v>
      </c>
      <c r="J45" s="116">
        <v>43344</v>
      </c>
      <c r="K45" s="117"/>
      <c r="L45" s="117"/>
      <c r="M45" s="117"/>
    </row>
    <row r="46" spans="1:13" ht="14.45" customHeight="1" x14ac:dyDescent="0.3">
      <c r="A46" s="121">
        <v>38</v>
      </c>
      <c r="B46" s="120" t="s">
        <v>161</v>
      </c>
      <c r="C46" s="123"/>
      <c r="D46" s="115">
        <v>1</v>
      </c>
      <c r="E46" s="123"/>
      <c r="F46" s="123"/>
      <c r="G46" s="123"/>
      <c r="H46" s="123"/>
      <c r="I46" s="124">
        <v>0</v>
      </c>
      <c r="J46" s="116">
        <v>43344</v>
      </c>
      <c r="K46" s="117"/>
      <c r="L46" s="117"/>
      <c r="M46" s="117"/>
    </row>
    <row r="47" spans="1:13" ht="14.45" customHeight="1" x14ac:dyDescent="0.3">
      <c r="A47" s="121">
        <v>39</v>
      </c>
      <c r="B47" s="120" t="s">
        <v>162</v>
      </c>
      <c r="C47" s="123"/>
      <c r="D47" s="115">
        <v>1</v>
      </c>
      <c r="E47" s="123"/>
      <c r="F47" s="123"/>
      <c r="G47" s="123"/>
      <c r="H47" s="123"/>
      <c r="I47" s="124">
        <v>0</v>
      </c>
      <c r="J47" s="116">
        <v>43344</v>
      </c>
      <c r="K47" s="117"/>
      <c r="L47" s="117"/>
      <c r="M47" s="117"/>
    </row>
    <row r="48" spans="1:13" ht="14.45" customHeight="1" x14ac:dyDescent="0.3">
      <c r="A48" s="121">
        <v>40</v>
      </c>
      <c r="B48" s="120" t="s">
        <v>163</v>
      </c>
      <c r="C48" s="123"/>
      <c r="D48" s="115">
        <v>1</v>
      </c>
      <c r="E48" s="123"/>
      <c r="F48" s="123"/>
      <c r="G48" s="123"/>
      <c r="H48" s="123"/>
      <c r="I48" s="124">
        <v>0</v>
      </c>
      <c r="J48" s="116">
        <v>43344</v>
      </c>
      <c r="K48" s="117"/>
      <c r="L48" s="117"/>
      <c r="M48" s="117"/>
    </row>
    <row r="49" spans="1:13" ht="14.45" customHeight="1" x14ac:dyDescent="0.3">
      <c r="A49" s="121">
        <v>41</v>
      </c>
      <c r="B49" s="120" t="s">
        <v>164</v>
      </c>
      <c r="C49" s="123"/>
      <c r="D49" s="115">
        <v>1</v>
      </c>
      <c r="E49" s="123"/>
      <c r="F49" s="123"/>
      <c r="G49" s="123"/>
      <c r="H49" s="123"/>
      <c r="I49" s="124">
        <v>0</v>
      </c>
      <c r="J49" s="116">
        <v>43374</v>
      </c>
      <c r="K49" s="117"/>
      <c r="L49" s="117"/>
      <c r="M49" s="117"/>
    </row>
    <row r="50" spans="1:13" ht="14.45" customHeight="1" x14ac:dyDescent="0.3">
      <c r="A50" s="121">
        <v>42</v>
      </c>
      <c r="B50" s="120" t="s">
        <v>165</v>
      </c>
      <c r="C50" s="123"/>
      <c r="D50" s="115">
        <v>1</v>
      </c>
      <c r="E50" s="123"/>
      <c r="F50" s="123"/>
      <c r="G50" s="123"/>
      <c r="H50" s="123"/>
      <c r="I50" s="124">
        <v>0</v>
      </c>
      <c r="J50" s="116">
        <v>43374</v>
      </c>
      <c r="K50" s="117"/>
      <c r="L50" s="117"/>
      <c r="M50" s="117"/>
    </row>
    <row r="51" spans="1:13" ht="14.45" customHeight="1" x14ac:dyDescent="0.3">
      <c r="A51" s="121">
        <v>43</v>
      </c>
      <c r="B51" s="120" t="s">
        <v>166</v>
      </c>
      <c r="C51" s="123"/>
      <c r="D51" s="115">
        <v>1</v>
      </c>
      <c r="E51" s="123"/>
      <c r="F51" s="123"/>
      <c r="G51" s="123"/>
      <c r="H51" s="123"/>
      <c r="I51" s="124">
        <v>0</v>
      </c>
      <c r="J51" s="116">
        <v>43374</v>
      </c>
      <c r="K51" s="117"/>
      <c r="L51" s="117"/>
      <c r="M51" s="117"/>
    </row>
    <row r="52" spans="1:13" ht="14.45" customHeight="1" x14ac:dyDescent="0.3">
      <c r="A52" s="121">
        <v>44</v>
      </c>
      <c r="B52" s="120" t="s">
        <v>167</v>
      </c>
      <c r="C52" s="123"/>
      <c r="D52" s="115">
        <v>1</v>
      </c>
      <c r="E52" s="123"/>
      <c r="F52" s="123"/>
      <c r="G52" s="123"/>
      <c r="H52" s="123"/>
      <c r="I52" s="124">
        <v>0</v>
      </c>
      <c r="J52" s="116">
        <v>43374</v>
      </c>
      <c r="K52" s="117"/>
      <c r="L52" s="117"/>
      <c r="M52" s="117"/>
    </row>
    <row r="53" spans="1:13" ht="14.45" customHeight="1" x14ac:dyDescent="0.3">
      <c r="A53" s="121">
        <v>45</v>
      </c>
      <c r="B53" s="120" t="s">
        <v>168</v>
      </c>
      <c r="C53" s="123"/>
      <c r="D53" s="115">
        <v>1</v>
      </c>
      <c r="E53" s="123"/>
      <c r="F53" s="123"/>
      <c r="G53" s="123"/>
      <c r="H53" s="123"/>
      <c r="I53" s="124">
        <v>0</v>
      </c>
      <c r="J53" s="116">
        <v>43405</v>
      </c>
      <c r="K53" s="117"/>
      <c r="L53" s="117"/>
      <c r="M53" s="117"/>
    </row>
    <row r="54" spans="1:13" ht="14.45" customHeight="1" x14ac:dyDescent="0.3">
      <c r="A54" s="121">
        <v>46</v>
      </c>
      <c r="B54" s="120" t="s">
        <v>169</v>
      </c>
      <c r="C54" s="123"/>
      <c r="D54" s="115">
        <v>1</v>
      </c>
      <c r="E54" s="123"/>
      <c r="F54" s="123"/>
      <c r="G54" s="123"/>
      <c r="H54" s="123"/>
      <c r="I54" s="124">
        <v>0</v>
      </c>
      <c r="J54" s="116">
        <v>43405</v>
      </c>
      <c r="K54" s="117"/>
      <c r="L54" s="117"/>
      <c r="M54" s="117"/>
    </row>
    <row r="55" spans="1:13" ht="14.45" customHeight="1" x14ac:dyDescent="0.3">
      <c r="A55" s="121">
        <v>47</v>
      </c>
      <c r="B55" s="120" t="s">
        <v>170</v>
      </c>
      <c r="C55" s="123"/>
      <c r="D55" s="115">
        <v>1</v>
      </c>
      <c r="E55" s="123"/>
      <c r="F55" s="123"/>
      <c r="G55" s="123"/>
      <c r="H55" s="123"/>
      <c r="I55" s="124">
        <v>0</v>
      </c>
      <c r="J55" s="116">
        <v>43405</v>
      </c>
      <c r="K55" s="117"/>
      <c r="L55" s="117"/>
      <c r="M55" s="117"/>
    </row>
    <row r="56" spans="1:13" ht="14.45" customHeight="1" x14ac:dyDescent="0.3">
      <c r="A56" s="121">
        <v>48</v>
      </c>
      <c r="B56" s="120" t="s">
        <v>171</v>
      </c>
      <c r="C56" s="123"/>
      <c r="D56" s="115">
        <v>1</v>
      </c>
      <c r="E56" s="123"/>
      <c r="F56" s="123"/>
      <c r="G56" s="123"/>
      <c r="H56" s="123"/>
      <c r="I56" s="124">
        <v>0</v>
      </c>
      <c r="J56" s="116">
        <v>43405</v>
      </c>
      <c r="K56" s="117"/>
      <c r="L56" s="117"/>
      <c r="M56" s="117"/>
    </row>
    <row r="57" spans="1:13" ht="15" customHeight="1" x14ac:dyDescent="0.3">
      <c r="A57" s="121">
        <v>49</v>
      </c>
      <c r="B57" s="120" t="s">
        <v>172</v>
      </c>
      <c r="C57" s="123"/>
      <c r="D57" s="115">
        <v>1</v>
      </c>
      <c r="E57" s="123"/>
      <c r="F57" s="123"/>
      <c r="G57" s="123"/>
      <c r="H57" s="123"/>
      <c r="I57" s="124">
        <v>0</v>
      </c>
      <c r="J57" s="116">
        <v>43435</v>
      </c>
      <c r="K57" s="117"/>
      <c r="L57" s="117"/>
      <c r="M57" s="117"/>
    </row>
    <row r="58" spans="1:13" ht="14.45" customHeight="1" x14ac:dyDescent="0.3">
      <c r="A58" s="121">
        <v>50</v>
      </c>
      <c r="B58" s="120" t="s">
        <v>173</v>
      </c>
      <c r="C58" s="123"/>
      <c r="D58" s="115">
        <v>1</v>
      </c>
      <c r="E58" s="123"/>
      <c r="F58" s="123"/>
      <c r="G58" s="123"/>
      <c r="H58" s="123"/>
      <c r="I58" s="124">
        <v>0</v>
      </c>
      <c r="J58" s="116">
        <v>43435</v>
      </c>
      <c r="K58" s="117"/>
      <c r="L58" s="117"/>
      <c r="M58" s="117"/>
    </row>
    <row r="59" spans="1:13" ht="14.45" customHeight="1" x14ac:dyDescent="0.3">
      <c r="A59" s="121">
        <v>51</v>
      </c>
      <c r="B59" s="120" t="s">
        <v>174</v>
      </c>
      <c r="C59" s="123"/>
      <c r="D59" s="115">
        <v>1</v>
      </c>
      <c r="E59" s="123"/>
      <c r="F59" s="123"/>
      <c r="G59" s="123"/>
      <c r="H59" s="123"/>
      <c r="I59" s="124">
        <v>0</v>
      </c>
      <c r="J59" s="116">
        <v>43435</v>
      </c>
      <c r="K59" s="117"/>
      <c r="L59" s="117"/>
      <c r="M59" s="117"/>
    </row>
    <row r="60" spans="1:13" ht="14.45" customHeight="1" x14ac:dyDescent="0.3">
      <c r="A60" s="121">
        <v>52</v>
      </c>
      <c r="B60" s="120" t="s">
        <v>175</v>
      </c>
      <c r="C60" s="123"/>
      <c r="D60" s="115">
        <v>1</v>
      </c>
      <c r="E60" s="123"/>
      <c r="F60" s="123"/>
      <c r="G60" s="123"/>
      <c r="H60" s="123"/>
      <c r="I60" s="124">
        <v>0</v>
      </c>
      <c r="J60" s="116">
        <v>43435</v>
      </c>
      <c r="K60" s="117"/>
      <c r="L60" s="117"/>
      <c r="M60" s="117"/>
    </row>
  </sheetData>
  <sortState ref="A31:M1500">
    <sortCondition ref="A30:A1500"/>
    <sortCondition ref="I30:I1500"/>
    <sortCondition ref="G30:G1500"/>
    <sortCondition ref="H30:H1500"/>
    <sortCondition ref="D30:D1500"/>
    <sortCondition ref="F30:F1500"/>
  </sortState>
  <dataValidations count="2">
    <dataValidation type="list" allowBlank="1" showInputMessage="1" showErrorMessage="1" sqref="I1" xr:uid="{00000000-0002-0000-0200-000000000000}">
      <formula1>#REF!</formula1>
    </dataValidation>
    <dataValidation type="list" allowBlank="1" showInputMessage="1" showErrorMessage="1" sqref="J2" xr:uid="{00000000-0002-0000-0200-000001000000}">
      <formula1>INDIRECT(#REF!)</formula1>
    </dataValidation>
  </dataValidations>
  <pageMargins left="0.7" right="0.7" top="0.75" bottom="0.75" header="0.3" footer="0.3"/>
  <pageSetup paperSize="5" orientation="landscape" horizont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2000000}">
          <x14:formula1>
            <xm:f>Feuil1!$A$1:$A$4</xm:f>
          </x14:formula1>
          <xm:sqref>H7:H26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33"/>
  <sheetViews>
    <sheetView topLeftCell="B1" workbookViewId="0">
      <selection activeCell="C23" sqref="C23"/>
    </sheetView>
  </sheetViews>
  <sheetFormatPr baseColWidth="10" defaultRowHeight="15" x14ac:dyDescent="0.25"/>
  <cols>
    <col min="1" max="1" width="19.5703125" hidden="1" customWidth="1"/>
    <col min="2" max="2" width="17.7109375" customWidth="1"/>
    <col min="3" max="3" width="40" customWidth="1"/>
    <col min="4" max="4" width="24.28515625" bestFit="1" customWidth="1"/>
    <col min="5" max="5" width="25.28515625" bestFit="1" customWidth="1"/>
    <col min="6" max="6" width="28.5703125" bestFit="1" customWidth="1"/>
    <col min="7" max="7" width="26.85546875" bestFit="1" customWidth="1"/>
    <col min="8" max="8" width="29.85546875" bestFit="1" customWidth="1"/>
    <col min="9" max="9" width="30.7109375" bestFit="1" customWidth="1"/>
    <col min="10" max="10" width="24.28515625" bestFit="1" customWidth="1"/>
    <col min="11" max="11" width="30.42578125" bestFit="1" customWidth="1"/>
    <col min="12" max="12" width="24.7109375" bestFit="1" customWidth="1"/>
    <col min="13" max="13" width="25.28515625" bestFit="1" customWidth="1"/>
    <col min="14" max="14" width="28.5703125" bestFit="1" customWidth="1"/>
    <col min="15" max="15" width="26.85546875" bestFit="1" customWidth="1"/>
    <col min="16" max="16" width="29.85546875" bestFit="1" customWidth="1"/>
    <col min="17" max="17" width="30.7109375" bestFit="1" customWidth="1"/>
    <col min="18" max="18" width="24.28515625" bestFit="1" customWidth="1"/>
    <col min="19" max="19" width="30.42578125" bestFit="1" customWidth="1"/>
    <col min="20" max="20" width="25.28515625" bestFit="1" customWidth="1"/>
    <col min="21" max="21" width="38.140625" bestFit="1" customWidth="1"/>
    <col min="22" max="22" width="27.85546875" bestFit="1" customWidth="1"/>
    <col min="23" max="23" width="28.7109375" bestFit="1" customWidth="1"/>
    <col min="24" max="24" width="31.28515625" bestFit="1" customWidth="1"/>
    <col min="25" max="25" width="22.28515625" bestFit="1" customWidth="1"/>
    <col min="26" max="26" width="28.42578125" bestFit="1" customWidth="1"/>
    <col min="27" max="27" width="24.28515625" bestFit="1" customWidth="1"/>
    <col min="28" max="28" width="27.5703125" bestFit="1" customWidth="1"/>
    <col min="29" max="29" width="25.7109375" bestFit="1" customWidth="1"/>
    <col min="30" max="30" width="5.85546875" customWidth="1"/>
    <col min="31" max="31" width="11.85546875" bestFit="1" customWidth="1"/>
  </cols>
  <sheetData>
    <row r="1" spans="1:8" x14ac:dyDescent="0.25">
      <c r="A1" s="153" t="s">
        <v>176</v>
      </c>
      <c r="B1" s="137" t="s">
        <v>2</v>
      </c>
      <c r="C1" s="137" t="s">
        <v>180</v>
      </c>
      <c r="D1" s="138" t="s">
        <v>211</v>
      </c>
      <c r="E1" s="137" t="s">
        <v>142</v>
      </c>
      <c r="F1" s="137" t="s">
        <v>141</v>
      </c>
      <c r="G1" s="137" t="s">
        <v>144</v>
      </c>
      <c r="H1" s="137" t="s">
        <v>143</v>
      </c>
    </row>
    <row r="2" spans="1:8" x14ac:dyDescent="0.25">
      <c r="A2" s="122">
        <v>23</v>
      </c>
      <c r="B2" t="s">
        <v>181</v>
      </c>
      <c r="C2" t="str">
        <f>VLOOKUP(A2,'Suivi de commande'!A29:M593,2,)</f>
        <v>SEMAINE DU 4 AU 8 JUIN</v>
      </c>
      <c r="D2" s="154">
        <f>SUMIF(NOSEMAINE,"23",lot)</f>
        <v>0</v>
      </c>
      <c r="E2" s="154">
        <f>SUMIFS(lot,NOSEMAINE,"23",CATÉ,"S.CORE 1 3/8")</f>
        <v>0</v>
      </c>
      <c r="F2" s="154">
        <f>SUMIFS(lot,NOSEMAINE,"23",CATÉ,"S.CORE 1 3/4")</f>
        <v>0</v>
      </c>
      <c r="G2" s="154">
        <f>SUMIFS(lot,NOSEMAINE,"23",CATÉ,"H.CORE 1 3/8")</f>
        <v>0</v>
      </c>
      <c r="H2" s="154">
        <f>SUMIFS(lot,NOSEMAINE,"23",CATÉ,"H.CORE 1 3/4")</f>
        <v>0</v>
      </c>
    </row>
    <row r="3" spans="1:8" x14ac:dyDescent="0.25">
      <c r="A3" s="122">
        <v>24</v>
      </c>
      <c r="B3" t="s">
        <v>182</v>
      </c>
      <c r="C3" t="str">
        <f>VLOOKUP(A3,'Suivi de commande'!A30:M594,2,)</f>
        <v>SEMAINE DU 11 AU 15 JUIN</v>
      </c>
      <c r="D3" s="154">
        <f>SUMIF(NOSEMAINE,"24",lot)</f>
        <v>0</v>
      </c>
      <c r="E3" s="154">
        <f>SUMIFS(lot,NOSEMAINE,"24",CATÉ,"S.CORE 1 3/8")</f>
        <v>0</v>
      </c>
      <c r="F3" s="154">
        <f>SUMIFS(lot,NOSEMAINE,"24",CATÉ,"S.CORE 1 3/4")</f>
        <v>0</v>
      </c>
      <c r="G3" s="154">
        <f>SUMIFS(lot,NOSEMAINE,"24",CATÉ,"H.CORE 1 3/8")</f>
        <v>0</v>
      </c>
      <c r="H3" s="154">
        <f>SUMIFS(lot,NOSEMAINE,"24",CATÉ,"H.CORE 1 3/4")</f>
        <v>0</v>
      </c>
    </row>
    <row r="4" spans="1:8" x14ac:dyDescent="0.25">
      <c r="A4" s="122">
        <v>25</v>
      </c>
      <c r="B4" t="s">
        <v>183</v>
      </c>
      <c r="C4" t="str">
        <f>VLOOKUP(A4,'Suivi de commande'!A30:M595,2,)</f>
        <v>SEMAINE DU 18 AU 22 JUIN</v>
      </c>
      <c r="D4" s="154">
        <f>SUMIF(NOSEMAINE,"25",lot)</f>
        <v>0</v>
      </c>
      <c r="E4" s="154">
        <f>SUMIFS(lot,NOSEMAINE,"25",CATÉ,"S.CORE 1 3/8")</f>
        <v>0</v>
      </c>
      <c r="F4" s="154">
        <f>SUMIFS(lot,NOSEMAINE,"25",CATÉ,"S.CORE 1 3/4")</f>
        <v>0</v>
      </c>
      <c r="G4" s="154">
        <f>SUMIFS(lot,NOSEMAINE,"25",CATÉ,"H.CORE 1 3/8")</f>
        <v>0</v>
      </c>
      <c r="H4" s="154">
        <f>SUMIFS(lot,NOSEMAINE,"25",CATÉ,"H.CORE 1 3/4")</f>
        <v>0</v>
      </c>
    </row>
    <row r="5" spans="1:8" x14ac:dyDescent="0.25">
      <c r="A5" s="122">
        <v>26</v>
      </c>
      <c r="B5" t="s">
        <v>184</v>
      </c>
      <c r="C5" t="str">
        <f>VLOOKUP(A5,'Suivi de commande'!A30:M596,2,)</f>
        <v>SEMAINE DU 25 AU 29 JUIN</v>
      </c>
      <c r="D5" s="154">
        <f>SUMIF(NOSEMAINE,"26",lot)</f>
        <v>0</v>
      </c>
      <c r="E5" s="154">
        <f>SUMIFS(lot,NOSEMAINE,"26",CATÉ,"S.CORE 1 3/8")</f>
        <v>0</v>
      </c>
      <c r="F5" s="154">
        <f>SUMIFS(lot,NOSEMAINE,"26",CATÉ,"S.CORE 1 3/4")</f>
        <v>0</v>
      </c>
      <c r="G5" s="154">
        <f>SUMIFS(lot,NOSEMAINE,"26",CATÉ,"H.CORE 1 3/8")</f>
        <v>0</v>
      </c>
      <c r="H5" s="154">
        <f>SUMIFS(lot,NOSEMAINE,"26",CATÉ,"H.CORE 1 3/4")</f>
        <v>0</v>
      </c>
    </row>
    <row r="6" spans="1:8" x14ac:dyDescent="0.25">
      <c r="A6" s="122">
        <v>27</v>
      </c>
      <c r="B6" t="s">
        <v>185</v>
      </c>
      <c r="C6" t="str">
        <f>VLOOKUP(A6,'Suivi de commande'!A30:M597,2,)</f>
        <v>SEMAINE DU 2 AU 6 JUILLET</v>
      </c>
      <c r="D6" s="154">
        <f>SUMIF(NOSEMAINE,"27",lot)</f>
        <v>0</v>
      </c>
      <c r="E6" s="154">
        <f>SUMIFS(lot,NOSEMAINE,"27",CATÉ,"S.CORE 1 3/8")</f>
        <v>0</v>
      </c>
      <c r="F6" s="154">
        <f>SUMIFS(lot,NOSEMAINE,"27",CATÉ,"S.CORE 1 3/4")</f>
        <v>0</v>
      </c>
      <c r="G6" s="154">
        <f>SUMIFS(lot,NOSEMAINE,"27",CATÉ,"H.CORE 1 3/8")</f>
        <v>0</v>
      </c>
      <c r="H6" s="154">
        <f>SUMIFS(lot,NOSEMAINE,"27",CATÉ,"H.CORE 1 3/4")</f>
        <v>0</v>
      </c>
    </row>
    <row r="7" spans="1:8" x14ac:dyDescent="0.25">
      <c r="A7" s="122">
        <v>28</v>
      </c>
      <c r="B7" t="s">
        <v>186</v>
      </c>
      <c r="C7" t="str">
        <f>VLOOKUP(A7,'Suivi de commande'!A30:M598,2,)</f>
        <v>SEMAINE DU 9 AU 13 JUILLET</v>
      </c>
      <c r="D7" s="154">
        <f>SUMIF(NOSEMAINE,"28",lot)</f>
        <v>0</v>
      </c>
      <c r="E7" s="154">
        <f>SUMIFS(lot,NOSEMAINE,"28",CATÉ,"S.CORE 1 3/8")</f>
        <v>0</v>
      </c>
      <c r="F7" s="154">
        <f>SUMIFS(lot,NOSEMAINE,"28",CATÉ,"S.CORE 1 3/4")</f>
        <v>0</v>
      </c>
      <c r="G7" s="154">
        <f>SUMIFS(lot,NOSEMAINE,"28",CATÉ,"H.CORE 1 3/8")</f>
        <v>0</v>
      </c>
      <c r="H7" s="154">
        <f>SUMIFS(lot,NOSEMAINE,"28",CATÉ,"H.CORE 1 3/4")</f>
        <v>0</v>
      </c>
    </row>
    <row r="8" spans="1:8" x14ac:dyDescent="0.25">
      <c r="A8" s="122">
        <v>29</v>
      </c>
      <c r="B8" t="s">
        <v>187</v>
      </c>
      <c r="C8" t="str">
        <f>VLOOKUP(A8,'Suivi de commande'!A30:M599,2,)</f>
        <v>SEMAINE DU 16 AU 20 JUILLET</v>
      </c>
      <c r="D8" s="154">
        <f>SUMIF(NOSEMAINE,"29",lot)</f>
        <v>0</v>
      </c>
      <c r="E8" s="154">
        <f>SUMIFS(lot,NOSEMAINE,"29",CATÉ,"S.CORE 1 3/8")</f>
        <v>0</v>
      </c>
      <c r="F8" s="154">
        <f>SUMIFS(lot,NOSEMAINE,"29",CATÉ,"S.CORE 1 3/4")</f>
        <v>0</v>
      </c>
      <c r="G8" s="154">
        <f>SUMIFS(lot,NOSEMAINE,"29",CATÉ,"H.CORE 1 3/8")</f>
        <v>0</v>
      </c>
      <c r="H8" s="154">
        <f>SUMIFS(lot,NOSEMAINE,"29",CATÉ,"H.CORE 1 3/4")</f>
        <v>0</v>
      </c>
    </row>
    <row r="9" spans="1:8" x14ac:dyDescent="0.25">
      <c r="A9" s="122">
        <v>30</v>
      </c>
      <c r="B9" t="s">
        <v>188</v>
      </c>
      <c r="C9" t="str">
        <f>VLOOKUP(A9,'Suivi de commande'!A30:M600,2,)</f>
        <v>SEMAINE DU 23 AU 27 JUILLET</v>
      </c>
      <c r="D9" s="154">
        <f>SUMIF(NOSEMAINE,"30",lot)</f>
        <v>25</v>
      </c>
      <c r="E9" s="154">
        <f>SUMIFS(lot,NOSEMAINE,"30",CATÉ,"S.CORE 1 3/8")</f>
        <v>0</v>
      </c>
      <c r="F9" s="154">
        <f>SUMIFS(lot,NOSEMAINE,"30",CATÉ,"S.CORE 1 3/4")</f>
        <v>25</v>
      </c>
      <c r="G9" s="154">
        <f>SUMIFS(lot,NOSEMAINE,"30",CATÉ,"H.CORE 1 3/8")</f>
        <v>0</v>
      </c>
      <c r="H9" s="154">
        <f>SUMIFS(lot,NOSEMAINE,"30",CATÉ,"H.CORE 1 3/4")</f>
        <v>0</v>
      </c>
    </row>
    <row r="10" spans="1:8" x14ac:dyDescent="0.25">
      <c r="A10" s="122">
        <v>31</v>
      </c>
      <c r="B10" t="s">
        <v>189</v>
      </c>
      <c r="C10" t="str">
        <f>VLOOKUP(A10,'Suivi de commande'!A30:M601,2,)</f>
        <v>SEMAINE DU 30 JUILLET AU 3 AOÛT</v>
      </c>
      <c r="D10" s="154">
        <f>SUMIF(NOSEMAINE,"31",lot)</f>
        <v>0</v>
      </c>
      <c r="E10" s="154">
        <f>SUMIFS(lot,NOSEMAINE,"31",CATÉ,"S.CORE 1 3/8")</f>
        <v>0</v>
      </c>
      <c r="F10" s="154">
        <f>SUMIFS(lot,NOSEMAINE,"31",CATÉ,"S.CORE 1 3/4")</f>
        <v>0</v>
      </c>
      <c r="G10" s="154">
        <f>SUMIFS(lot,NOSEMAINE,"31",CATÉ,"H.CORE 1 3/8")</f>
        <v>0</v>
      </c>
      <c r="H10" s="154">
        <f>SUMIFS(lot,NOSEMAINE,"31",CATÉ,"H.CORE 1 3/4")</f>
        <v>0</v>
      </c>
    </row>
    <row r="11" spans="1:8" x14ac:dyDescent="0.25">
      <c r="A11" s="122">
        <v>32</v>
      </c>
      <c r="B11" t="s">
        <v>190</v>
      </c>
      <c r="C11" t="str">
        <f>VLOOKUP(A11,'Suivi de commande'!A30:M602,2,)</f>
        <v>SEMAINE DU 6 AU 10 AOÛT</v>
      </c>
      <c r="D11" s="154">
        <f>SUMIF(NOSEMAINE,"32",lot)</f>
        <v>0</v>
      </c>
      <c r="E11" s="154">
        <f>SUMIFS(lot,NOSEMAINE,"32",CATÉ,"S.CORE 1 3/8")</f>
        <v>0</v>
      </c>
      <c r="F11" s="154">
        <f>SUMIFS(lot,NOSEMAINE,"32",CATÉ,"S.CORE 1 3/4")</f>
        <v>0</v>
      </c>
      <c r="G11" s="154">
        <f>SUMIFS(lot,NOSEMAINE,"32",CATÉ,"H.CORE 1 3/8")</f>
        <v>0</v>
      </c>
      <c r="H11" s="154">
        <f>SUMIFS(lot,NOSEMAINE,"32",CATÉ,"H.CORE 1 3/4")</f>
        <v>0</v>
      </c>
    </row>
    <row r="12" spans="1:8" x14ac:dyDescent="0.25">
      <c r="A12" s="122">
        <v>33</v>
      </c>
      <c r="B12" t="s">
        <v>191</v>
      </c>
      <c r="C12" t="str">
        <f>VLOOKUP(A12,'Suivi de commande'!A30:M603,2,)</f>
        <v>SEMAINE DU 13 AU 17 AOÛT</v>
      </c>
      <c r="D12" s="154">
        <f>SUMIF(NOSEMAINE,"33",lot)</f>
        <v>0</v>
      </c>
      <c r="E12" s="154">
        <f>SUMIFS(lot,NOSEMAINE,"33",CATÉ,"S.CORE 1 3/8")</f>
        <v>0</v>
      </c>
      <c r="F12" s="154">
        <f>SUMIFS(lot,NOSEMAINE,"33",CATÉ,"S.CORE 1 3/4")</f>
        <v>0</v>
      </c>
      <c r="G12" s="154">
        <f>SUMIFS(lot,NOSEMAINE,"33",CATÉ,"H.CORE 1 3/8")</f>
        <v>0</v>
      </c>
      <c r="H12" s="154">
        <f>SUMIFS(lot,NOSEMAINE,"33",CATÉ,"H.CORE 1 3/4")</f>
        <v>0</v>
      </c>
    </row>
    <row r="13" spans="1:8" x14ac:dyDescent="0.25">
      <c r="A13" s="122">
        <v>34</v>
      </c>
      <c r="B13" t="s">
        <v>192</v>
      </c>
      <c r="C13" t="str">
        <f>VLOOKUP(A13,'Suivi de commande'!A30:M604,2,)</f>
        <v>SEMAINE DU 20 AU 24 AOÛT</v>
      </c>
      <c r="D13" s="154">
        <f>SUMIF(NOSEMAINE,"34",lot)</f>
        <v>0</v>
      </c>
      <c r="E13" s="154">
        <f>SUMIFS(lot,NOSEMAINE,"34",CATÉ,"S.CORE 1 3/8")</f>
        <v>0</v>
      </c>
      <c r="F13" s="154">
        <f>SUMIFS(lot,NOSEMAINE,"34",CATÉ,"S.CORE 1 3/4")</f>
        <v>0</v>
      </c>
      <c r="G13" s="154">
        <f>SUMIFS(lot,NOSEMAINE,"34",CATÉ,"H.CORE 1 3/8")</f>
        <v>0</v>
      </c>
      <c r="H13" s="154">
        <f>SUMIFS(lot,NOSEMAINE,"34",CATÉ,"H.CORE 1 3/4")</f>
        <v>0</v>
      </c>
    </row>
    <row r="14" spans="1:8" x14ac:dyDescent="0.25">
      <c r="A14" s="122">
        <v>35</v>
      </c>
      <c r="B14" t="s">
        <v>193</v>
      </c>
      <c r="C14" t="str">
        <f>VLOOKUP(A14,'Suivi de commande'!A30:M605,2,)</f>
        <v>SEMAINE DU 27 AU 31 AOÛT</v>
      </c>
      <c r="D14" s="154">
        <f>SUMIF(NOSEMAINE,"35",lot)</f>
        <v>0</v>
      </c>
      <c r="E14" s="154">
        <f>SUMIFS(lot,NOSEMAINE,"35",CATÉ,"S.CORE 1 3/8")</f>
        <v>0</v>
      </c>
      <c r="F14" s="154">
        <f>SUMIFS(lot,NOSEMAINE,"35",CATÉ,"S.CORE 1 3/4")</f>
        <v>0</v>
      </c>
      <c r="G14" s="154">
        <f>SUMIFS(lot,NOSEMAINE,"35",CATÉ,"H.CORE 1 3/8")</f>
        <v>0</v>
      </c>
      <c r="H14" s="154">
        <f>SUMIFS(lot,NOSEMAINE,"35",CATÉ,"H.CORE 1 3/4")</f>
        <v>0</v>
      </c>
    </row>
    <row r="15" spans="1:8" x14ac:dyDescent="0.25">
      <c r="A15" s="122">
        <v>36</v>
      </c>
      <c r="B15" t="s">
        <v>194</v>
      </c>
      <c r="C15" t="str">
        <f>VLOOKUP(A15,'Suivi de commande'!A30:M606,2,)</f>
        <v>SEMAINE DU 3 AU 7 SEPTEMBRE</v>
      </c>
      <c r="D15" s="154">
        <f>SUMIF(NOSEMAINE,"36",lot)</f>
        <v>0</v>
      </c>
      <c r="E15" s="154">
        <f>SUMIFS(lot,NOSEMAINE,"36",CATÉ,"S.CORE 1 3/8")</f>
        <v>0</v>
      </c>
      <c r="F15" s="154">
        <f>SUMIFS(lot,NOSEMAINE,"36",CATÉ,"S.CORE 1 3/4")</f>
        <v>0</v>
      </c>
      <c r="G15" s="154">
        <f>SUMIFS(lot,NOSEMAINE,"36",CATÉ,"H.CORE 1 3/8")</f>
        <v>0</v>
      </c>
      <c r="H15" s="154">
        <f>SUMIFS(lot,NOSEMAINE,"36",CATÉ,"H.CORE 1 3/4")</f>
        <v>0</v>
      </c>
    </row>
    <row r="16" spans="1:8" x14ac:dyDescent="0.25">
      <c r="A16" s="122">
        <v>37</v>
      </c>
      <c r="B16" t="s">
        <v>195</v>
      </c>
      <c r="C16" t="str">
        <f>VLOOKUP(A16,'Suivi de commande'!A30:M607,2,)</f>
        <v>SEMAINE DU 10 AU 14 SEPTEMBRE</v>
      </c>
      <c r="D16" s="154">
        <f>SUMIF(NOSEMAINE,"37",lot)</f>
        <v>0</v>
      </c>
      <c r="E16" s="154">
        <f>SUMIFS(lot,NOSEMAINE,"37",CATÉ,"S.CORE 1 3/8")</f>
        <v>0</v>
      </c>
      <c r="F16" s="154">
        <f>SUMIFS(lot,NOSEMAINE,"37",CATÉ,"S.CORE 1 3/4")</f>
        <v>0</v>
      </c>
      <c r="G16" s="154">
        <f>SUMIFS(lot,NOSEMAINE,"37",CATÉ,"H.CORE 1 3/8")</f>
        <v>0</v>
      </c>
      <c r="H16" s="154">
        <f>SUMIFS(lot,NOSEMAINE,"37",CATÉ,"H.CORE 1 3/4")</f>
        <v>0</v>
      </c>
    </row>
    <row r="17" spans="1:8" x14ac:dyDescent="0.25">
      <c r="A17" s="122">
        <v>38</v>
      </c>
      <c r="B17" t="s">
        <v>196</v>
      </c>
      <c r="C17" t="str">
        <f>VLOOKUP(A17,'Suivi de commande'!A30:M608,2,)</f>
        <v>SEMAINE DU 17 AU 21 SEPTEMBRE</v>
      </c>
      <c r="D17" s="154">
        <f>SUMIF(NOSEMAINE,"38",lot)</f>
        <v>0</v>
      </c>
      <c r="E17" s="154">
        <f>SUMIFS(lot,NOSEMAINE,"38",CATÉ,"S.CORE 1 3/8")</f>
        <v>0</v>
      </c>
      <c r="F17" s="154">
        <f>SUMIFS(lot,NOSEMAINE,"38",CATÉ,"S.CORE 1 3/4")</f>
        <v>0</v>
      </c>
      <c r="G17" s="154">
        <f>SUMIFS(lot,NOSEMAINE,"38",CATÉ,"H.CORE 1 3/8")</f>
        <v>0</v>
      </c>
      <c r="H17" s="154">
        <f>SUMIFS(lot,NOSEMAINE,"38",CATÉ,"H.CORE 1 3/4")</f>
        <v>0</v>
      </c>
    </row>
    <row r="18" spans="1:8" x14ac:dyDescent="0.25">
      <c r="A18" s="122">
        <v>39</v>
      </c>
      <c r="B18" t="s">
        <v>197</v>
      </c>
      <c r="C18" t="str">
        <f>VLOOKUP(A18,'Suivi de commande'!A30:M609,2,)</f>
        <v>SEMAINE DU 24 AU 28 SEPTEMBRE</v>
      </c>
      <c r="D18" s="154">
        <f>SUMIF(NOSEMAINE,"39",lot)</f>
        <v>0</v>
      </c>
      <c r="E18" s="154">
        <f>SUMIFS(lot,NOSEMAINE,"39",CATÉ,"S.CORE 1 3/8")</f>
        <v>0</v>
      </c>
      <c r="F18" s="154">
        <f>SUMIFS(lot,NOSEMAINE,"39",CATÉ,"S.CORE 1 3/4")</f>
        <v>0</v>
      </c>
      <c r="G18" s="154">
        <f>SUMIFS(lot,NOSEMAINE,"39",CATÉ,"H.CORE 1 3/8")</f>
        <v>0</v>
      </c>
      <c r="H18" s="154">
        <f>SUMIFS(lot,NOSEMAINE,"39",CATÉ,"H.CORE 1 3/4")</f>
        <v>0</v>
      </c>
    </row>
    <row r="19" spans="1:8" x14ac:dyDescent="0.25">
      <c r="A19" s="122">
        <v>40</v>
      </c>
      <c r="B19" t="s">
        <v>198</v>
      </c>
      <c r="C19" t="str">
        <f>VLOOKUP(A19,'Suivi de commande'!A30:M610,2,)</f>
        <v>SEMAINE DU 1 AU 5 OCTOBRE</v>
      </c>
      <c r="D19" s="154">
        <f>SUMIF(NOSEMAINE,"40",lot)</f>
        <v>0</v>
      </c>
      <c r="E19" s="154">
        <f>SUMIFS(lot,NOSEMAINE,"40",CATÉ,"S.CORE 1 3/8")</f>
        <v>0</v>
      </c>
      <c r="F19" s="154">
        <f>SUMIFS(lot,NOSEMAINE,"40",CATÉ,"S.CORE 1 3/4")</f>
        <v>0</v>
      </c>
      <c r="G19" s="154">
        <f>SUMIFS(lot,NOSEMAINE,"40",CATÉ,"H.CORE 1 3/8")</f>
        <v>0</v>
      </c>
      <c r="H19" s="154">
        <f>SUMIFS(lot,NOSEMAINE,"40",CATÉ,"H.CORE 1 3/4")</f>
        <v>0</v>
      </c>
    </row>
    <row r="20" spans="1:8" x14ac:dyDescent="0.25">
      <c r="A20" s="122">
        <v>41</v>
      </c>
      <c r="B20" t="s">
        <v>199</v>
      </c>
      <c r="C20" t="str">
        <f>VLOOKUP(A20,'Suivi de commande'!A30:M611,2,)</f>
        <v>SEMAINE DU 8 AU 12 OCTOBRE</v>
      </c>
      <c r="D20" s="154">
        <f>SUMIF(NOSEMAINE,"41",lot)</f>
        <v>0</v>
      </c>
      <c r="E20" s="154">
        <f>SUMIFS(lot,NOSEMAINE,"41",CATÉ,"S.CORE 1 3/8")</f>
        <v>0</v>
      </c>
      <c r="F20" s="154">
        <f>SUMIFS(lot,NOSEMAINE,"41",CATÉ,"S.CORE 1 3/4")</f>
        <v>0</v>
      </c>
      <c r="G20" s="154">
        <f>SUMIFS(lot,NOSEMAINE,"41",CATÉ,"H.CORE 1 3/8")</f>
        <v>0</v>
      </c>
      <c r="H20" s="154">
        <f>SUMIFS(lot,NOSEMAINE,"41",CATÉ,"H.CORE 1 3/4")</f>
        <v>0</v>
      </c>
    </row>
    <row r="21" spans="1:8" x14ac:dyDescent="0.25">
      <c r="A21" s="122">
        <v>42</v>
      </c>
      <c r="B21" t="s">
        <v>200</v>
      </c>
      <c r="C21" t="str">
        <f>VLOOKUP(A21,'Suivi de commande'!A30:M612,2,)</f>
        <v>SEMAINE DU 15 AU 19 OCTOBRE</v>
      </c>
      <c r="D21" s="154">
        <f>SUMIF(NOSEMAINE,"42",lot)</f>
        <v>0</v>
      </c>
      <c r="E21" s="154">
        <f>SUMIFS(lot,NOSEMAINE,"42",CATÉ,"S.CORE 1 3/8")</f>
        <v>0</v>
      </c>
      <c r="F21" s="154">
        <f>SUMIFS(lot,NOSEMAINE,"42",CATÉ,"S.CORE 1 3/4")</f>
        <v>0</v>
      </c>
      <c r="G21" s="154">
        <f>SUMIFS(lot,NOSEMAINE,"42",CATÉ,"H.CORE 1 3/8")</f>
        <v>0</v>
      </c>
      <c r="H21" s="154">
        <f>SUMIFS(lot,NOSEMAINE,"42",CATÉ,"H.CORE 1 3/4")</f>
        <v>0</v>
      </c>
    </row>
    <row r="22" spans="1:8" x14ac:dyDescent="0.25">
      <c r="A22" s="122">
        <v>43</v>
      </c>
      <c r="B22" t="s">
        <v>201</v>
      </c>
      <c r="C22" t="str">
        <f>VLOOKUP(A22,'Suivi de commande'!A30:M613,2,)</f>
        <v>SEMAINE DU 22 AU 26 OCTOBRE</v>
      </c>
      <c r="D22" s="154">
        <f>SUMIF(NOSEMAINE,"43",lot)</f>
        <v>0</v>
      </c>
      <c r="E22" s="154">
        <f>SUMIFS(lot,NOSEMAINE,"43",CATÉ,"S.CORE 1 3/8")</f>
        <v>0</v>
      </c>
      <c r="F22" s="154">
        <f>SUMIFS(lot,NOSEMAINE,"43",CATÉ,"S.CORE 1 3/4")</f>
        <v>0</v>
      </c>
      <c r="G22" s="154">
        <f>SUMIFS(lot,NOSEMAINE,"43",CATÉ,"H.CORE 1 3/8")</f>
        <v>0</v>
      </c>
      <c r="H22" s="154">
        <f>SUMIFS(lot,NOSEMAINE,"43",CATÉ,"H.CORE 1 3/4")</f>
        <v>0</v>
      </c>
    </row>
    <row r="23" spans="1:8" x14ac:dyDescent="0.25">
      <c r="A23" s="122">
        <v>44</v>
      </c>
      <c r="B23" t="s">
        <v>202</v>
      </c>
      <c r="C23" t="str">
        <f>VLOOKUP(A23,'Suivi de commande'!A30:M614,2,)</f>
        <v>SEMAINE DU 29 OCTOBRE AU 2 NOVEMBRE</v>
      </c>
      <c r="D23" s="154">
        <f>SUMIF(NOSEMAINE,"44",lot)</f>
        <v>0</v>
      </c>
      <c r="E23" s="154">
        <f>SUMIFS(lot,NOSEMAINE,"44",CATÉ,"S.CORE 1 3/8")</f>
        <v>0</v>
      </c>
      <c r="F23" s="154">
        <f>SUMIFS(lot,NOSEMAINE,"44",CATÉ,"S.CORE 1 3/4")</f>
        <v>0</v>
      </c>
      <c r="G23" s="154">
        <f>SUMIFS(lot,NOSEMAINE,"44",CATÉ,"H.CORE 1 3/8")</f>
        <v>0</v>
      </c>
      <c r="H23" s="154">
        <f>SUMIFS(lot,NOSEMAINE,"44",CATÉ,"H.CORE 1 3/4")</f>
        <v>0</v>
      </c>
    </row>
    <row r="24" spans="1:8" x14ac:dyDescent="0.25">
      <c r="A24" s="122">
        <v>45</v>
      </c>
      <c r="B24" t="s">
        <v>203</v>
      </c>
      <c r="C24" t="str">
        <f>VLOOKUP(A24,'Suivi de commande'!A30:M615,2,)</f>
        <v>SEMAINE DU 5 AU 9 NOVEMBRE</v>
      </c>
      <c r="D24" s="154">
        <f>SUMIF(NOSEMAINE,"45",lot)</f>
        <v>0</v>
      </c>
      <c r="E24" s="154">
        <f>SUMIFS(lot,NOSEMAINE,"45",CATÉ,"S.CORE 1 3/8")</f>
        <v>0</v>
      </c>
      <c r="F24" s="154">
        <f>SUMIFS(lot,NOSEMAINE,"45",CATÉ,"S.CORE 1 3/4")</f>
        <v>0</v>
      </c>
      <c r="G24" s="154">
        <f>SUMIFS(lot,NOSEMAINE,"45",CATÉ,"H.CORE 1 3/8")</f>
        <v>0</v>
      </c>
      <c r="H24" s="154">
        <f>SUMIFS(lot,NOSEMAINE,"45",CATÉ,"H.CORE 1 3/4")</f>
        <v>0</v>
      </c>
    </row>
    <row r="25" spans="1:8" x14ac:dyDescent="0.25">
      <c r="A25" s="122">
        <v>46</v>
      </c>
      <c r="B25" t="s">
        <v>204</v>
      </c>
      <c r="C25" t="str">
        <f>VLOOKUP(A25,'Suivi de commande'!A30:M616,2,)</f>
        <v>SEMAINE DU 12 AU 16 NOVEMBRE</v>
      </c>
      <c r="D25" s="154">
        <f>SUMIF(NOSEMAINE,"46",lot)</f>
        <v>0</v>
      </c>
      <c r="E25" s="154">
        <f>SUMIFS(lot,NOSEMAINE,"46",CATÉ,"S.CORE 1 3/8")</f>
        <v>0</v>
      </c>
      <c r="F25" s="154">
        <f>SUMIFS(lot,NOSEMAINE,"46",CATÉ,"S.CORE 1 3/4")</f>
        <v>0</v>
      </c>
      <c r="G25" s="154">
        <f>SUMIFS(lot,NOSEMAINE,"46",CATÉ,"H.CORE 1 3/8")</f>
        <v>0</v>
      </c>
      <c r="H25" s="154">
        <f>SUMIFS(lot,NOSEMAINE,"46",CATÉ,"H.CORE 1 3/4")</f>
        <v>0</v>
      </c>
    </row>
    <row r="26" spans="1:8" x14ac:dyDescent="0.25">
      <c r="A26" s="122">
        <v>47</v>
      </c>
      <c r="B26" t="s">
        <v>205</v>
      </c>
      <c r="C26" t="str">
        <f>VLOOKUP(A26,'Suivi de commande'!A30:M617,2,)</f>
        <v>SEMAINE DU 19 AU 23 NOVEMBRE</v>
      </c>
      <c r="D26" s="154">
        <f>SUMIF(NOSEMAINE,"47",lot)</f>
        <v>0</v>
      </c>
      <c r="E26" s="154">
        <f>SUMIFS(lot,NOSEMAINE,"47",CATÉ,"S.CORE 1 3/8")</f>
        <v>0</v>
      </c>
      <c r="F26" s="154">
        <f>SUMIFS(lot,NOSEMAINE,"47",CATÉ,"S.CORE 1 3/4")</f>
        <v>0</v>
      </c>
      <c r="G26" s="154">
        <f>SUMIFS(lot,NOSEMAINE,"47",CATÉ,"H.CORE 1 3/8")</f>
        <v>0</v>
      </c>
      <c r="H26" s="154">
        <f>SUMIFS(lot,NOSEMAINE,"47",CATÉ,"H.CORE 1 3/4")</f>
        <v>0</v>
      </c>
    </row>
    <row r="27" spans="1:8" x14ac:dyDescent="0.25">
      <c r="A27" s="122">
        <v>48</v>
      </c>
      <c r="B27" t="s">
        <v>206</v>
      </c>
      <c r="C27" t="str">
        <f>VLOOKUP(A27,'Suivi de commande'!A30:M618,2,)</f>
        <v>SEMAINE DU 26 AU 30 NOVEMBRE</v>
      </c>
      <c r="D27" s="154">
        <f>SUMIF(NOSEMAINE,"48",lot)</f>
        <v>0</v>
      </c>
      <c r="E27" s="154">
        <f>SUMIFS(lot,NOSEMAINE,"48",CATÉ,"S.CORE 1 3/8")</f>
        <v>0</v>
      </c>
      <c r="F27" s="154">
        <f>SUMIFS(lot,NOSEMAINE,"48",CATÉ,"S.CORE 1 3/4")</f>
        <v>0</v>
      </c>
      <c r="G27" s="154">
        <f>SUMIFS(lot,NOSEMAINE,"48",CATÉ,"H.CORE 1 3/8")</f>
        <v>0</v>
      </c>
      <c r="H27" s="154">
        <f>SUMIFS(lot,NOSEMAINE,"48",CATÉ,"H.CORE 1 3/4")</f>
        <v>0</v>
      </c>
    </row>
    <row r="28" spans="1:8" x14ac:dyDescent="0.25">
      <c r="A28" s="122">
        <v>49</v>
      </c>
      <c r="B28" t="s">
        <v>207</v>
      </c>
      <c r="C28" t="str">
        <f>VLOOKUP(A28,'Suivi de commande'!A30:M619,2,)</f>
        <v>SEMAINE DU 3 AU 7 DÉCEMBRE</v>
      </c>
      <c r="D28" s="154">
        <f>SUMIF(NOSEMAINE,"49",lot)</f>
        <v>0</v>
      </c>
      <c r="E28" s="154">
        <f>SUMIFS(lot,NOSEMAINE,"49",CATÉ,"S.CORE 1 3/8")</f>
        <v>0</v>
      </c>
      <c r="F28" s="154">
        <f>SUMIFS(lot,NOSEMAINE,"49",CATÉ,"S.CORE 1 3/4")</f>
        <v>0</v>
      </c>
      <c r="G28" s="154">
        <f>SUMIFS(lot,NOSEMAINE,"49",CATÉ,"H.CORE 1 3/8")</f>
        <v>0</v>
      </c>
      <c r="H28" s="154">
        <f>SUMIFS(lot,NOSEMAINE,"49",CATÉ,"H.CORE 1 3/4")</f>
        <v>0</v>
      </c>
    </row>
    <row r="29" spans="1:8" x14ac:dyDescent="0.25">
      <c r="A29" s="122">
        <v>50</v>
      </c>
      <c r="B29" t="s">
        <v>208</v>
      </c>
      <c r="C29" t="str">
        <f>VLOOKUP(A29,'Suivi de commande'!A30:M620,2,)</f>
        <v>SEMAINE DU 10 AU 14 DÉCEMBRE</v>
      </c>
      <c r="D29" s="154">
        <f>SUMIF(NOSEMAINE,"50",lot)</f>
        <v>0</v>
      </c>
      <c r="E29" s="154">
        <f>SUMIFS(lot,NOSEMAINE,"50",CATÉ,"S.CORE 1 3/8")</f>
        <v>0</v>
      </c>
      <c r="F29" s="154">
        <f>SUMIFS(lot,NOSEMAINE,"50",CATÉ,"S.CORE 1 3/4")</f>
        <v>0</v>
      </c>
      <c r="G29" s="154">
        <f>SUMIFS(lot,NOSEMAINE,"50",CATÉ,"H.CORE 1 3/8")</f>
        <v>0</v>
      </c>
      <c r="H29" s="154">
        <f>SUMIFS(lot,NOSEMAINE,"50",CATÉ,"H.CORE 1 3/4")</f>
        <v>0</v>
      </c>
    </row>
    <row r="30" spans="1:8" x14ac:dyDescent="0.25">
      <c r="A30" s="122">
        <v>51</v>
      </c>
      <c r="B30" t="s">
        <v>209</v>
      </c>
      <c r="C30" t="str">
        <f>VLOOKUP(A30,'Suivi de commande'!A30:M621,2,)</f>
        <v>SEMAINE DU 17 AU 21 DÉCEMBRE</v>
      </c>
      <c r="D30" s="154">
        <f>SUMIF(NOSEMAINE,"51",lot)</f>
        <v>0</v>
      </c>
      <c r="E30" s="154">
        <f>SUMIFS(lot,NOSEMAINE,"51",CATÉ,"S.CORE 1 3/8")</f>
        <v>0</v>
      </c>
      <c r="F30" s="154">
        <f>SUMIFS(lot,NOSEMAINE,"51",CATÉ,"S.CORE 1 3/4")</f>
        <v>0</v>
      </c>
      <c r="G30" s="154">
        <f>SUMIFS(lot,NOSEMAINE,"51",CATÉ,"H.CORE 1 3/8")</f>
        <v>0</v>
      </c>
      <c r="H30" s="154">
        <f>SUMIFS(lot,NOSEMAINE,"51",CATÉ,"H.CORE 1 3/4")</f>
        <v>0</v>
      </c>
    </row>
    <row r="31" spans="1:8" x14ac:dyDescent="0.25">
      <c r="A31" s="122">
        <v>52</v>
      </c>
      <c r="B31" t="s">
        <v>210</v>
      </c>
      <c r="C31" t="str">
        <f>VLOOKUP(A31,'Suivi de commande'!A30:M622,2,)</f>
        <v>SEMAINE DU 24 AU 28 DÉCEMBRE</v>
      </c>
      <c r="D31" s="154">
        <f>SUMIF(NOSEMAINE,"52",lot)</f>
        <v>0</v>
      </c>
      <c r="E31" s="154">
        <f>SUMIFS(lot,NOSEMAINE,"52",CATÉ,"S.CORE 1 3/8")</f>
        <v>0</v>
      </c>
      <c r="F31" s="154">
        <f>SUMIFS(lot,NOSEMAINE,"52",CATÉ,"S.CORE 1 3/4")</f>
        <v>0</v>
      </c>
      <c r="G31" s="154">
        <f>SUMIFS(lot,NOSEMAINE,"52",CATÉ,"H.CORE 1 3/8")</f>
        <v>0</v>
      </c>
      <c r="H31" s="154">
        <f>SUMIFS(lot,NOSEMAINE,"52",CATÉ,"H.CORE 1 3/4")</f>
        <v>0</v>
      </c>
    </row>
    <row r="32" spans="1:8" x14ac:dyDescent="0.25">
      <c r="A32" s="122" t="s">
        <v>178</v>
      </c>
      <c r="B32" s="139"/>
      <c r="C32" s="140" t="s">
        <v>212</v>
      </c>
      <c r="D32" s="155">
        <f>SUM(D2:D31)</f>
        <v>25</v>
      </c>
      <c r="E32" s="155">
        <f>SUM(E2:E31)</f>
        <v>0</v>
      </c>
      <c r="F32" s="155">
        <f>SUM(F2:F31)</f>
        <v>25</v>
      </c>
      <c r="G32" s="155">
        <f>SUM(G2:G31)</f>
        <v>0</v>
      </c>
      <c r="H32" s="155">
        <f>SUM(H2:H31)</f>
        <v>0</v>
      </c>
    </row>
    <row r="33" spans="1:1" x14ac:dyDescent="0.25">
      <c r="A33" s="12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9"/>
  <dimension ref="A1:Q169"/>
  <sheetViews>
    <sheetView topLeftCell="A16" workbookViewId="0">
      <selection activeCell="B32" sqref="B32"/>
    </sheetView>
  </sheetViews>
  <sheetFormatPr baseColWidth="10" defaultRowHeight="15" x14ac:dyDescent="0.25"/>
  <cols>
    <col min="11" max="11" width="11.5703125" customWidth="1"/>
  </cols>
  <sheetData>
    <row r="1" spans="1:17" x14ac:dyDescent="0.25">
      <c r="A1" s="260">
        <v>43252</v>
      </c>
      <c r="B1" s="261"/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2"/>
      <c r="P1" s="159"/>
      <c r="Q1" s="233"/>
    </row>
    <row r="2" spans="1:17" ht="15.75" thickBot="1" x14ac:dyDescent="0.3">
      <c r="A2" s="263"/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5"/>
      <c r="P2" s="159"/>
      <c r="Q2" s="233"/>
    </row>
    <row r="3" spans="1:17" x14ac:dyDescent="0.25">
      <c r="A3" s="160"/>
      <c r="B3" s="161"/>
      <c r="C3" s="266" t="s">
        <v>216</v>
      </c>
      <c r="D3" s="267"/>
      <c r="E3" s="270" t="s">
        <v>217</v>
      </c>
      <c r="F3" s="272" t="s">
        <v>218</v>
      </c>
      <c r="G3" s="273"/>
      <c r="H3" s="270" t="s">
        <v>219</v>
      </c>
      <c r="I3" s="266" t="s">
        <v>220</v>
      </c>
      <c r="J3" s="267"/>
      <c r="K3" s="234"/>
      <c r="L3" s="254" t="s">
        <v>221</v>
      </c>
      <c r="M3" s="270" t="s">
        <v>222</v>
      </c>
      <c r="N3" s="266" t="s">
        <v>223</v>
      </c>
      <c r="O3" s="254" t="s">
        <v>224</v>
      </c>
      <c r="P3" s="257" t="s">
        <v>225</v>
      </c>
      <c r="Q3" s="233"/>
    </row>
    <row r="4" spans="1:17" x14ac:dyDescent="0.25">
      <c r="A4" s="162"/>
      <c r="B4" s="163"/>
      <c r="C4" s="268"/>
      <c r="D4" s="269"/>
      <c r="E4" s="271"/>
      <c r="F4" s="274"/>
      <c r="G4" s="275"/>
      <c r="H4" s="271"/>
      <c r="I4" s="268"/>
      <c r="J4" s="269"/>
      <c r="K4" s="235"/>
      <c r="L4" s="255"/>
      <c r="M4" s="271"/>
      <c r="N4" s="268"/>
      <c r="O4" s="255"/>
      <c r="P4" s="258"/>
      <c r="Q4" s="233"/>
    </row>
    <row r="5" spans="1:17" ht="15.75" thickBot="1" x14ac:dyDescent="0.3">
      <c r="A5" s="162"/>
      <c r="B5" s="163"/>
      <c r="C5" s="164" t="s">
        <v>226</v>
      </c>
      <c r="D5" s="165" t="s">
        <v>227</v>
      </c>
      <c r="E5" s="271"/>
      <c r="F5" s="166" t="s">
        <v>226</v>
      </c>
      <c r="G5" s="167" t="s">
        <v>227</v>
      </c>
      <c r="H5" s="271"/>
      <c r="I5" s="168" t="s">
        <v>226</v>
      </c>
      <c r="J5" s="167" t="s">
        <v>227</v>
      </c>
      <c r="K5" s="167"/>
      <c r="L5" s="255"/>
      <c r="M5" s="271"/>
      <c r="N5" s="268"/>
      <c r="O5" s="256"/>
      <c r="P5" s="259"/>
      <c r="Q5" s="233"/>
    </row>
    <row r="6" spans="1:17" ht="15.75" thickBot="1" x14ac:dyDescent="0.3">
      <c r="A6" s="169">
        <v>43255</v>
      </c>
      <c r="B6" s="170"/>
      <c r="C6" s="171"/>
      <c r="D6" s="171"/>
      <c r="E6" s="171">
        <f>SUM(C6+D6)</f>
        <v>0</v>
      </c>
      <c r="F6" s="171">
        <v>597</v>
      </c>
      <c r="G6" s="171">
        <f>SUMIF(date,A6,qtélot)</f>
        <v>552</v>
      </c>
      <c r="H6" s="171">
        <f>SUM(F6+G6)</f>
        <v>1149</v>
      </c>
      <c r="I6" s="171"/>
      <c r="J6" s="247">
        <f ca="1">G6-K6</f>
        <v>500</v>
      </c>
      <c r="K6" s="247">
        <f ca="1">SOMME_SI_ETCOUL(date,A6,qtélot,Q1)-SOMME_SI_ETCOUL(date,A6,FAIT,Q1)</f>
        <v>52</v>
      </c>
      <c r="L6" s="171">
        <f ca="1">+J6-G6</f>
        <v>-52</v>
      </c>
      <c r="M6" s="171"/>
      <c r="N6" s="172"/>
      <c r="O6" s="173"/>
      <c r="P6" s="174"/>
      <c r="Q6" s="233"/>
    </row>
    <row r="7" spans="1:17" ht="15.75" thickBot="1" x14ac:dyDescent="0.3">
      <c r="A7" s="169">
        <v>43256</v>
      </c>
      <c r="B7" s="175"/>
      <c r="C7" s="176"/>
      <c r="D7" s="176"/>
      <c r="E7" s="176">
        <f>SUM(C7+D7)</f>
        <v>0</v>
      </c>
      <c r="F7" s="176">
        <v>538</v>
      </c>
      <c r="G7" s="171">
        <f>SUMIF(date,A7,qtélot)</f>
        <v>1000</v>
      </c>
      <c r="H7" s="176">
        <f>SUM(F7+G7)</f>
        <v>1538</v>
      </c>
      <c r="I7" s="176"/>
      <c r="J7" s="247">
        <f ca="1">G7-K7</f>
        <v>0</v>
      </c>
      <c r="K7" s="247">
        <f ca="1">SOMME_SI_ETCOUL(date,A7,qtélot,Q2)-SOMME_SI_ETCOUL(date,A7,FAIT,Q2)</f>
        <v>1000</v>
      </c>
      <c r="L7" s="171">
        <f ca="1">+J7-G7</f>
        <v>-1000</v>
      </c>
      <c r="M7" s="176"/>
      <c r="N7" s="177"/>
      <c r="O7" s="178"/>
      <c r="P7" s="179"/>
      <c r="Q7" s="233"/>
    </row>
    <row r="8" spans="1:17" ht="15.75" thickBot="1" x14ac:dyDescent="0.3">
      <c r="A8" s="169">
        <v>43257</v>
      </c>
      <c r="B8" s="175"/>
      <c r="C8" s="176"/>
      <c r="D8" s="176"/>
      <c r="E8" s="176">
        <f>SUM(C8+D8)</f>
        <v>0</v>
      </c>
      <c r="F8" s="176">
        <v>529</v>
      </c>
      <c r="G8" s="171">
        <f>SUMIF(date,A8,qtélot)</f>
        <v>0</v>
      </c>
      <c r="H8" s="176">
        <f>SUM(F8+G8)</f>
        <v>529</v>
      </c>
      <c r="I8" s="176"/>
      <c r="J8" s="247">
        <f ca="1">G8-K8</f>
        <v>0</v>
      </c>
      <c r="K8" s="247">
        <f ca="1">SOMME_SI_ETCOUL(date,A8,qtélot,Q3)-SOMME_SI_ETCOUL(date,A8,FAIT,Q3)</f>
        <v>0</v>
      </c>
      <c r="L8" s="171">
        <f ca="1">+J8-G8</f>
        <v>0</v>
      </c>
      <c r="M8" s="176"/>
      <c r="N8" s="177"/>
      <c r="O8" s="178"/>
      <c r="P8" s="179"/>
      <c r="Q8" s="233"/>
    </row>
    <row r="9" spans="1:17" ht="15.75" thickBot="1" x14ac:dyDescent="0.3">
      <c r="A9" s="169">
        <v>43258</v>
      </c>
      <c r="B9" s="175"/>
      <c r="C9" s="176"/>
      <c r="D9" s="176"/>
      <c r="E9" s="176">
        <f>SUM(C9+D9)</f>
        <v>0</v>
      </c>
      <c r="F9" s="176">
        <v>531</v>
      </c>
      <c r="G9" s="171">
        <f>SUMIF(date,A9,qtélot)</f>
        <v>0</v>
      </c>
      <c r="H9" s="176">
        <f>SUM(F9+G9)</f>
        <v>531</v>
      </c>
      <c r="I9" s="176"/>
      <c r="J9" s="247">
        <f ca="1">G9-K9</f>
        <v>0</v>
      </c>
      <c r="K9" s="247">
        <f ca="1">SOMME_SI_ETCOUL(date,A9,qtélot,Q4)-SOMME_SI_ETCOUL(date,A9,FAIT,Q4)</f>
        <v>0</v>
      </c>
      <c r="L9" s="171">
        <f ca="1">+J9-G9</f>
        <v>0</v>
      </c>
      <c r="M9" s="176"/>
      <c r="N9" s="177"/>
      <c r="O9" s="178"/>
      <c r="P9" s="179"/>
      <c r="Q9" s="233"/>
    </row>
    <row r="10" spans="1:17" x14ac:dyDescent="0.25">
      <c r="A10" s="169">
        <v>43259</v>
      </c>
      <c r="B10" s="175"/>
      <c r="C10" s="176"/>
      <c r="D10" s="176"/>
      <c r="E10" s="176">
        <f>SUM(C10+D10)</f>
        <v>0</v>
      </c>
      <c r="F10" s="176">
        <v>290</v>
      </c>
      <c r="G10" s="171">
        <f>SUMIF(date,A10,qtélot)</f>
        <v>0</v>
      </c>
      <c r="H10" s="176">
        <f>SUM(F10+G10)</f>
        <v>290</v>
      </c>
      <c r="I10" s="176"/>
      <c r="J10" s="247">
        <f ca="1">G10-K10</f>
        <v>0</v>
      </c>
      <c r="K10" s="247">
        <f ca="1">SOMME_SI_ETCOUL(date,A10,qtélot,Q5)-SOMME_SI_ETCOUL(date,A10,FAIT,Q5)</f>
        <v>0</v>
      </c>
      <c r="L10" s="171">
        <f ca="1">+J10-G10</f>
        <v>0</v>
      </c>
      <c r="M10" s="176"/>
      <c r="N10" s="177"/>
      <c r="O10" s="178"/>
      <c r="P10" s="179"/>
      <c r="Q10" s="233"/>
    </row>
    <row r="11" spans="1:17" x14ac:dyDescent="0.25">
      <c r="A11" s="180" t="s">
        <v>228</v>
      </c>
      <c r="B11" s="181"/>
      <c r="C11" s="182">
        <f>SUM(C6:C10)</f>
        <v>0</v>
      </c>
      <c r="D11" s="182">
        <f>SUM(D6:D10)</f>
        <v>0</v>
      </c>
      <c r="E11" s="182">
        <f>SUM(E6:E10)</f>
        <v>0</v>
      </c>
      <c r="F11" s="182">
        <f>SUM(F6:F10)</f>
        <v>2485</v>
      </c>
      <c r="G11" s="182">
        <f>SUM(G6:G10)</f>
        <v>1552</v>
      </c>
      <c r="H11" s="182">
        <f t="shared" ref="H11:P11" si="0">SUM(H6:H10)</f>
        <v>4037</v>
      </c>
      <c r="I11" s="182">
        <f t="shared" si="0"/>
        <v>0</v>
      </c>
      <c r="J11" s="182"/>
      <c r="K11" s="182"/>
      <c r="L11" s="182">
        <f ca="1">SUM(L6:L10)</f>
        <v>-1052</v>
      </c>
      <c r="M11" s="182">
        <f t="shared" si="0"/>
        <v>0</v>
      </c>
      <c r="N11" s="183">
        <f t="shared" si="0"/>
        <v>0</v>
      </c>
      <c r="O11" s="184">
        <f t="shared" si="0"/>
        <v>0</v>
      </c>
      <c r="P11" s="185">
        <f t="shared" si="0"/>
        <v>0</v>
      </c>
      <c r="Q11" s="233"/>
    </row>
    <row r="12" spans="1:17" ht="15.75" thickBot="1" x14ac:dyDescent="0.3">
      <c r="A12" s="186" t="s">
        <v>229</v>
      </c>
      <c r="B12" s="187"/>
      <c r="C12" s="188">
        <f>SUM(C6:C10)/5</f>
        <v>0</v>
      </c>
      <c r="D12" s="188">
        <f t="shared" ref="D12:P12" si="1">SUM(D6:D10)/5</f>
        <v>0</v>
      </c>
      <c r="E12" s="188">
        <f t="shared" si="1"/>
        <v>0</v>
      </c>
      <c r="F12" s="188">
        <f t="shared" si="1"/>
        <v>497</v>
      </c>
      <c r="G12" s="188">
        <f>SUM(G6:G10)/5</f>
        <v>310.39999999999998</v>
      </c>
      <c r="H12" s="188">
        <f t="shared" si="1"/>
        <v>807.4</v>
      </c>
      <c r="I12" s="188">
        <f t="shared" si="1"/>
        <v>0</v>
      </c>
      <c r="J12" s="188">
        <f t="shared" ca="1" si="1"/>
        <v>100</v>
      </c>
      <c r="K12" s="188"/>
      <c r="L12" s="188">
        <f ca="1">SUM(L6:L10)/5</f>
        <v>-210.4</v>
      </c>
      <c r="M12" s="188">
        <f t="shared" si="1"/>
        <v>0</v>
      </c>
      <c r="N12" s="189">
        <f t="shared" si="1"/>
        <v>0</v>
      </c>
      <c r="O12" s="190">
        <f t="shared" si="1"/>
        <v>0</v>
      </c>
      <c r="P12" s="191">
        <f t="shared" si="1"/>
        <v>0</v>
      </c>
      <c r="Q12" s="233"/>
    </row>
    <row r="13" spans="1:17" ht="15.75" thickBot="1" x14ac:dyDescent="0.3">
      <c r="A13" s="192"/>
      <c r="B13" s="193"/>
      <c r="C13" s="194"/>
      <c r="D13" s="194"/>
      <c r="E13" s="194"/>
      <c r="F13" s="194"/>
      <c r="G13" s="194"/>
      <c r="H13" s="194"/>
      <c r="I13" s="194"/>
      <c r="J13" s="194"/>
      <c r="K13" s="194"/>
      <c r="L13" s="194"/>
      <c r="M13" s="194"/>
      <c r="N13" s="195"/>
      <c r="O13" s="196"/>
      <c r="P13" s="197"/>
      <c r="Q13" s="233"/>
    </row>
    <row r="14" spans="1:17" ht="15.75" thickBot="1" x14ac:dyDescent="0.3">
      <c r="A14" s="169">
        <v>43262</v>
      </c>
      <c r="B14" s="170"/>
      <c r="C14" s="171"/>
      <c r="D14" s="171"/>
      <c r="E14" s="171">
        <f>SUM(C14+D14)</f>
        <v>0</v>
      </c>
      <c r="F14" s="171">
        <v>562</v>
      </c>
      <c r="G14" s="171">
        <f>SUMIF(date,A14,qtélot)</f>
        <v>0</v>
      </c>
      <c r="H14" s="176">
        <f>SUM(F14+G14)</f>
        <v>562</v>
      </c>
      <c r="I14" s="171"/>
      <c r="J14" s="247">
        <f ca="1">G14-K14</f>
        <v>0</v>
      </c>
      <c r="K14" s="247">
        <f ca="1">SOMME_SI_ETCOUL(date,A14,qtélot,Q9)-SOMME_SI_ETCOUL(date,A14,FAIT,Q9)</f>
        <v>0</v>
      </c>
      <c r="L14" s="171">
        <f ca="1">+J14-G14</f>
        <v>0</v>
      </c>
      <c r="M14" s="171"/>
      <c r="N14" s="172"/>
      <c r="O14" s="173"/>
      <c r="P14" s="174"/>
      <c r="Q14" s="233"/>
    </row>
    <row r="15" spans="1:17" ht="15.75" thickBot="1" x14ac:dyDescent="0.3">
      <c r="A15" s="169">
        <v>43263</v>
      </c>
      <c r="B15" s="175"/>
      <c r="C15" s="176"/>
      <c r="D15" s="176"/>
      <c r="E15" s="176">
        <f>SUM(C15+D15)</f>
        <v>0</v>
      </c>
      <c r="F15" s="176">
        <v>736</v>
      </c>
      <c r="G15" s="171">
        <f>SUMIF(date,A15,qtélot)</f>
        <v>2</v>
      </c>
      <c r="H15" s="176">
        <f>SUM(F15+G15)</f>
        <v>738</v>
      </c>
      <c r="I15" s="176"/>
      <c r="J15" s="247">
        <f ca="1">G15-K15</f>
        <v>0</v>
      </c>
      <c r="K15" s="247">
        <f ca="1">SOMME_SI_ETCOUL(date,A15,qtélot,Q10)-SOMME_SI_ETCOUL(date,A15,FAIT,Q10)</f>
        <v>2</v>
      </c>
      <c r="L15" s="171">
        <f ca="1">+J15-G15</f>
        <v>-2</v>
      </c>
      <c r="M15" s="176"/>
      <c r="N15" s="177"/>
      <c r="O15" s="178"/>
      <c r="P15" s="179"/>
      <c r="Q15" s="233"/>
    </row>
    <row r="16" spans="1:17" ht="15.75" thickBot="1" x14ac:dyDescent="0.3">
      <c r="A16" s="169">
        <v>43264</v>
      </c>
      <c r="B16" s="175"/>
      <c r="C16" s="176"/>
      <c r="D16" s="176"/>
      <c r="E16" s="176">
        <f>SUM(C16+D16)</f>
        <v>0</v>
      </c>
      <c r="F16" s="176">
        <v>640</v>
      </c>
      <c r="G16" s="171">
        <f>SUMIF(date,A16,qtélot)</f>
        <v>0</v>
      </c>
      <c r="H16" s="176">
        <f>SUM(F16+G16)</f>
        <v>640</v>
      </c>
      <c r="I16" s="176"/>
      <c r="J16" s="247">
        <f ca="1">G16-K16</f>
        <v>0</v>
      </c>
      <c r="K16" s="247">
        <f ca="1">SOMME_SI_ETCOUL(date,A16,qtélot,Q11)-SOMME_SI_ETCOUL(date,A16,FAIT,Q11)</f>
        <v>0</v>
      </c>
      <c r="L16" s="171">
        <f ca="1">+J16-G16</f>
        <v>0</v>
      </c>
      <c r="M16" s="176"/>
      <c r="N16" s="177"/>
      <c r="O16" s="178"/>
      <c r="P16" s="179"/>
      <c r="Q16" s="233"/>
    </row>
    <row r="17" spans="1:17" ht="15.75" thickBot="1" x14ac:dyDescent="0.3">
      <c r="A17" s="169">
        <v>43265</v>
      </c>
      <c r="B17" s="175"/>
      <c r="C17" s="176"/>
      <c r="D17" s="176"/>
      <c r="E17" s="176">
        <f>SUM(C17+D17)</f>
        <v>0</v>
      </c>
      <c r="F17" s="176"/>
      <c r="G17" s="171">
        <f>SUMIF(date,A17,qtélot)</f>
        <v>0</v>
      </c>
      <c r="H17" s="176">
        <f>SUM(F17+G17)</f>
        <v>0</v>
      </c>
      <c r="I17" s="176"/>
      <c r="J17" s="247">
        <f ca="1">G17-K17</f>
        <v>0</v>
      </c>
      <c r="K17" s="247">
        <f ca="1">SOMME_SI_ETCOUL(date,A17,qtélot,Q12)-SOMME_SI_ETCOUL(date,A17,FAIT,Q12)</f>
        <v>0</v>
      </c>
      <c r="L17" s="171">
        <f ca="1">+J17-G17</f>
        <v>0</v>
      </c>
      <c r="M17" s="176"/>
      <c r="N17" s="177"/>
      <c r="O17" s="178"/>
      <c r="P17" s="179"/>
      <c r="Q17" s="233"/>
    </row>
    <row r="18" spans="1:17" x14ac:dyDescent="0.25">
      <c r="A18" s="169">
        <v>43266</v>
      </c>
      <c r="B18" s="175"/>
      <c r="C18" s="176"/>
      <c r="D18" s="176"/>
      <c r="E18" s="176">
        <f>SUM(C18+D18)</f>
        <v>0</v>
      </c>
      <c r="F18" s="176"/>
      <c r="G18" s="171">
        <f>SUMIF(date,A18,qtélot)</f>
        <v>0</v>
      </c>
      <c r="H18" s="176">
        <f>SUM(F18+G18)</f>
        <v>0</v>
      </c>
      <c r="I18" s="176"/>
      <c r="J18" s="247">
        <f ca="1">G18-K18</f>
        <v>0</v>
      </c>
      <c r="K18" s="247">
        <f ca="1">SOMME_SI_ETCOUL(date,A18,qtélot,Q13)-SOMME_SI_ETCOUL(date,A18,FAIT,Q13)</f>
        <v>0</v>
      </c>
      <c r="L18" s="171">
        <f ca="1">+J18-G18</f>
        <v>0</v>
      </c>
      <c r="M18" s="176"/>
      <c r="N18" s="177"/>
      <c r="O18" s="178"/>
      <c r="P18" s="179"/>
      <c r="Q18" s="233"/>
    </row>
    <row r="19" spans="1:17" x14ac:dyDescent="0.25">
      <c r="A19" s="180" t="s">
        <v>228</v>
      </c>
      <c r="B19" s="181"/>
      <c r="C19" s="182">
        <f t="shared" ref="C19:I19" si="2">SUM(C14:C18)</f>
        <v>0</v>
      </c>
      <c r="D19" s="182">
        <f t="shared" si="2"/>
        <v>0</v>
      </c>
      <c r="E19" s="182">
        <f t="shared" si="2"/>
        <v>0</v>
      </c>
      <c r="F19" s="182">
        <f t="shared" si="2"/>
        <v>1938</v>
      </c>
      <c r="G19" s="182">
        <f t="shared" si="2"/>
        <v>2</v>
      </c>
      <c r="H19" s="182">
        <f t="shared" si="2"/>
        <v>1940</v>
      </c>
      <c r="I19" s="182">
        <f t="shared" si="2"/>
        <v>0</v>
      </c>
      <c r="J19" s="182"/>
      <c r="K19" s="182"/>
      <c r="L19" s="182">
        <f ca="1">SUM(L14:L18)</f>
        <v>-2</v>
      </c>
      <c r="M19" s="182">
        <f>SUM(M14:M18)</f>
        <v>0</v>
      </c>
      <c r="N19" s="183">
        <f>SUM(N14:N18)</f>
        <v>0</v>
      </c>
      <c r="O19" s="184">
        <f>SUM(O14:O18)</f>
        <v>0</v>
      </c>
      <c r="P19" s="185">
        <f>SUM(P14:P18)</f>
        <v>0</v>
      </c>
      <c r="Q19" s="233"/>
    </row>
    <row r="20" spans="1:17" ht="15.75" thickBot="1" x14ac:dyDescent="0.3">
      <c r="A20" s="198" t="s">
        <v>229</v>
      </c>
      <c r="B20" s="199"/>
      <c r="C20" s="200">
        <f>SUM(C14:C18)/5</f>
        <v>0</v>
      </c>
      <c r="D20" s="200">
        <f t="shared" ref="D20:P20" si="3">SUM(D14:D18)/5</f>
        <v>0</v>
      </c>
      <c r="E20" s="200">
        <f t="shared" si="3"/>
        <v>0</v>
      </c>
      <c r="F20" s="200">
        <f t="shared" si="3"/>
        <v>387.6</v>
      </c>
      <c r="G20" s="200">
        <f>SUM(G14:G18)/5</f>
        <v>0.4</v>
      </c>
      <c r="H20" s="200">
        <f t="shared" si="3"/>
        <v>388</v>
      </c>
      <c r="I20" s="188">
        <f t="shared" si="3"/>
        <v>0</v>
      </c>
      <c r="J20" s="188">
        <f t="shared" ca="1" si="3"/>
        <v>0</v>
      </c>
      <c r="K20" s="188"/>
      <c r="L20" s="188">
        <f ca="1">SUM(L14:L18)/5</f>
        <v>-0.4</v>
      </c>
      <c r="M20" s="200">
        <f t="shared" si="3"/>
        <v>0</v>
      </c>
      <c r="N20" s="201">
        <f t="shared" si="3"/>
        <v>0</v>
      </c>
      <c r="O20" s="190">
        <f t="shared" si="3"/>
        <v>0</v>
      </c>
      <c r="P20" s="191">
        <f t="shared" si="3"/>
        <v>0</v>
      </c>
      <c r="Q20" s="233"/>
    </row>
    <row r="21" spans="1:17" ht="15.75" thickBot="1" x14ac:dyDescent="0.3">
      <c r="A21" s="202"/>
      <c r="B21" s="203"/>
      <c r="C21" s="204"/>
      <c r="D21" s="204"/>
      <c r="E21" s="204"/>
      <c r="F21" s="204"/>
      <c r="G21" s="204"/>
      <c r="H21" s="204"/>
      <c r="I21" s="204"/>
      <c r="J21" s="204"/>
      <c r="K21" s="204"/>
      <c r="L21" s="204"/>
      <c r="M21" s="204"/>
      <c r="N21" s="205"/>
      <c r="O21" s="196"/>
      <c r="P21" s="197"/>
      <c r="Q21" s="233"/>
    </row>
    <row r="22" spans="1:17" ht="15.75" thickBot="1" x14ac:dyDescent="0.3">
      <c r="A22" s="169">
        <v>43269</v>
      </c>
      <c r="B22" s="206"/>
      <c r="C22" s="207"/>
      <c r="D22" s="207"/>
      <c r="E22" s="207">
        <f>SUM(C22+D22)</f>
        <v>0</v>
      </c>
      <c r="F22" s="207"/>
      <c r="G22" s="171">
        <f>SUMIF(date,A22,qtélot)</f>
        <v>0</v>
      </c>
      <c r="H22" s="207"/>
      <c r="I22" s="171"/>
      <c r="J22" s="247">
        <f ca="1">G22-K22</f>
        <v>0</v>
      </c>
      <c r="K22" s="247">
        <f ca="1">SOMME_SI_ETCOUL(date,A22,qtélot,Q17)-SOMME_SI_ETCOUL(date,A22,FAIT,Q17)</f>
        <v>0</v>
      </c>
      <c r="L22" s="171">
        <f ca="1">+J22-G22</f>
        <v>0</v>
      </c>
      <c r="M22" s="207"/>
      <c r="N22" s="208"/>
      <c r="O22" s="173"/>
      <c r="P22" s="174"/>
      <c r="Q22" s="233"/>
    </row>
    <row r="23" spans="1:17" ht="15.75" thickBot="1" x14ac:dyDescent="0.3">
      <c r="A23" s="169">
        <v>43270</v>
      </c>
      <c r="B23" s="209"/>
      <c r="C23" s="210"/>
      <c r="D23" s="210"/>
      <c r="E23" s="210">
        <f>SUM(C23+D23)</f>
        <v>0</v>
      </c>
      <c r="F23" s="210"/>
      <c r="G23" s="171">
        <f>SUMIF(date,A23,qtélot)</f>
        <v>0</v>
      </c>
      <c r="H23" s="210"/>
      <c r="I23" s="176"/>
      <c r="J23" s="247">
        <f ca="1">G23-K23</f>
        <v>0</v>
      </c>
      <c r="K23" s="247">
        <f ca="1">SOMME_SI_ETCOUL(date,A23,qtélot,Q18)-SOMME_SI_ETCOUL(date,A23,FAIT,Q18)</f>
        <v>0</v>
      </c>
      <c r="L23" s="171">
        <f ca="1">+J23-G23</f>
        <v>0</v>
      </c>
      <c r="M23" s="210"/>
      <c r="N23" s="211"/>
      <c r="O23" s="178"/>
      <c r="P23" s="179"/>
      <c r="Q23" s="233"/>
    </row>
    <row r="24" spans="1:17" ht="15.75" thickBot="1" x14ac:dyDescent="0.3">
      <c r="A24" s="169">
        <v>43271</v>
      </c>
      <c r="B24" s="209"/>
      <c r="C24" s="210"/>
      <c r="D24" s="210"/>
      <c r="E24" s="210">
        <f>SUM(C24+D24)</f>
        <v>0</v>
      </c>
      <c r="F24" s="210"/>
      <c r="G24" s="171">
        <f>SUMIF(date,A24,qtélot)</f>
        <v>1000</v>
      </c>
      <c r="H24" s="210">
        <f>SUM(F24+G24)</f>
        <v>1000</v>
      </c>
      <c r="I24" s="176"/>
      <c r="J24" s="247">
        <f ca="1">G24-K24</f>
        <v>1000</v>
      </c>
      <c r="K24" s="247">
        <f ca="1">SOMME_SI_ETCOUL(date,A24,qtélot,Q19)-SOMME_SI_ETCOUL(date,A24,FAIT,Q19)</f>
        <v>0</v>
      </c>
      <c r="L24" s="171">
        <f ca="1">+J24-G24</f>
        <v>0</v>
      </c>
      <c r="M24" s="210"/>
      <c r="N24" s="211"/>
      <c r="O24" s="178"/>
      <c r="P24" s="179"/>
      <c r="Q24" s="233"/>
    </row>
    <row r="25" spans="1:17" ht="15.75" thickBot="1" x14ac:dyDescent="0.3">
      <c r="A25" s="169">
        <v>43272</v>
      </c>
      <c r="B25" s="209"/>
      <c r="C25" s="210"/>
      <c r="D25" s="210"/>
      <c r="E25" s="210">
        <f>SUM(C25+D25)</f>
        <v>0</v>
      </c>
      <c r="F25" s="210"/>
      <c r="G25" s="171">
        <f>SUMIF(date,A25,qtélot)</f>
        <v>85</v>
      </c>
      <c r="H25" s="210">
        <f>SUM(F25+G25)</f>
        <v>85</v>
      </c>
      <c r="I25" s="176"/>
      <c r="J25" s="247">
        <f ca="1">G25-K25</f>
        <v>60</v>
      </c>
      <c r="K25" s="247">
        <f ca="1">SOMME_SI_ETCOUL(date,A25,qtélot,Q20)-SOMME_SI_ETCOUL(date,A25,FAIT,Q20)</f>
        <v>25</v>
      </c>
      <c r="L25" s="171">
        <f ca="1">+J25-G25</f>
        <v>-25</v>
      </c>
      <c r="M25" s="210"/>
      <c r="N25" s="211"/>
      <c r="O25" s="178"/>
      <c r="P25" s="179"/>
      <c r="Q25" s="233"/>
    </row>
    <row r="26" spans="1:17" x14ac:dyDescent="0.25">
      <c r="A26" s="169">
        <v>43273</v>
      </c>
      <c r="B26" s="209"/>
      <c r="C26" s="210"/>
      <c r="D26" s="210"/>
      <c r="E26" s="210">
        <f>SUM(C26+D26)</f>
        <v>0</v>
      </c>
      <c r="F26" s="210"/>
      <c r="G26" s="171">
        <f>SUMIF(date,A26,qtélot)</f>
        <v>1776</v>
      </c>
      <c r="H26" s="210">
        <f>SUM(F26+G26)</f>
        <v>1776</v>
      </c>
      <c r="I26" s="176"/>
      <c r="J26" s="247">
        <f ca="1">G26-K26</f>
        <v>1776</v>
      </c>
      <c r="K26" s="247">
        <f ca="1">SOMME_SI_ETCOUL(date,A26,qtélot,Q21)-SOMME_SI_ETCOUL(date,A26,FAIT,Q21)</f>
        <v>0</v>
      </c>
      <c r="L26" s="171">
        <f ca="1">+J26-G26</f>
        <v>0</v>
      </c>
      <c r="M26" s="210"/>
      <c r="N26" s="211"/>
      <c r="O26" s="178"/>
      <c r="P26" s="179"/>
      <c r="Q26" s="233"/>
    </row>
    <row r="27" spans="1:17" x14ac:dyDescent="0.25">
      <c r="A27" s="180" t="s">
        <v>228</v>
      </c>
      <c r="B27" s="212"/>
      <c r="C27" s="213">
        <f t="shared" ref="C27:I27" si="4">SUM(C22:C26)</f>
        <v>0</v>
      </c>
      <c r="D27" s="213">
        <f t="shared" si="4"/>
        <v>0</v>
      </c>
      <c r="E27" s="213">
        <f t="shared" si="4"/>
        <v>0</v>
      </c>
      <c r="F27" s="213">
        <f t="shared" si="4"/>
        <v>0</v>
      </c>
      <c r="G27" s="213">
        <f t="shared" si="4"/>
        <v>2861</v>
      </c>
      <c r="H27" s="213">
        <f t="shared" si="4"/>
        <v>2861</v>
      </c>
      <c r="I27" s="182">
        <f t="shared" si="4"/>
        <v>0</v>
      </c>
      <c r="J27" s="182"/>
      <c r="K27" s="182"/>
      <c r="L27" s="182">
        <f ca="1">SUM(L22:L26)</f>
        <v>-25</v>
      </c>
      <c r="M27" s="213">
        <f>SUM(M22:M26)</f>
        <v>0</v>
      </c>
      <c r="N27" s="214">
        <f>SUM(N22:N26)</f>
        <v>0</v>
      </c>
      <c r="O27" s="184">
        <f>SUM(O22:O26)</f>
        <v>0</v>
      </c>
      <c r="P27" s="185">
        <f>SUM(P22:P26)</f>
        <v>0</v>
      </c>
      <c r="Q27" s="233"/>
    </row>
    <row r="28" spans="1:17" ht="15.75" thickBot="1" x14ac:dyDescent="0.3">
      <c r="A28" s="198" t="s">
        <v>229</v>
      </c>
      <c r="B28" s="215"/>
      <c r="C28" s="216">
        <f>SUM(C22:C26)/5</f>
        <v>0</v>
      </c>
      <c r="D28" s="216">
        <f t="shared" ref="D28:P28" si="5">SUM(D22:D26)/5</f>
        <v>0</v>
      </c>
      <c r="E28" s="216">
        <f t="shared" si="5"/>
        <v>0</v>
      </c>
      <c r="F28" s="216">
        <f t="shared" si="5"/>
        <v>0</v>
      </c>
      <c r="G28" s="216">
        <f t="shared" si="5"/>
        <v>572.20000000000005</v>
      </c>
      <c r="H28" s="216">
        <f>SUM(H22:H26)/5</f>
        <v>572.20000000000005</v>
      </c>
      <c r="I28" s="188">
        <f>SUM(I22:I26)/5</f>
        <v>0</v>
      </c>
      <c r="J28" s="188">
        <f ca="1">SUM(J22:J26)/5</f>
        <v>567.20000000000005</v>
      </c>
      <c r="K28" s="188"/>
      <c r="L28" s="188">
        <f ca="1">SUM(L22:L26)/5</f>
        <v>-5</v>
      </c>
      <c r="M28" s="216">
        <f t="shared" si="5"/>
        <v>0</v>
      </c>
      <c r="N28" s="217">
        <f t="shared" si="5"/>
        <v>0</v>
      </c>
      <c r="O28" s="190">
        <f t="shared" si="5"/>
        <v>0</v>
      </c>
      <c r="P28" s="191">
        <f t="shared" si="5"/>
        <v>0</v>
      </c>
      <c r="Q28" s="233"/>
    </row>
    <row r="29" spans="1:17" ht="15.75" thickBot="1" x14ac:dyDescent="0.3">
      <c r="A29" s="202"/>
      <c r="B29" s="203"/>
      <c r="C29" s="204"/>
      <c r="D29" s="204"/>
      <c r="E29" s="204"/>
      <c r="F29" s="204"/>
      <c r="G29" s="204"/>
      <c r="H29" s="204"/>
      <c r="I29" s="204"/>
      <c r="J29" s="204"/>
      <c r="K29" s="204"/>
      <c r="L29" s="204"/>
      <c r="M29" s="204"/>
      <c r="N29" s="205"/>
      <c r="O29" s="196"/>
      <c r="P29" s="197"/>
      <c r="Q29" s="233"/>
    </row>
    <row r="30" spans="1:17" ht="15.75" thickBot="1" x14ac:dyDescent="0.3">
      <c r="A30" s="169">
        <v>43276</v>
      </c>
      <c r="B30" s="206"/>
      <c r="C30" s="207"/>
      <c r="D30" s="207"/>
      <c r="E30" s="207">
        <f>SUM(C30+D30)</f>
        <v>0</v>
      </c>
      <c r="F30" s="207"/>
      <c r="G30" s="171">
        <f>SUMIF(date,A30,qtélot)</f>
        <v>0</v>
      </c>
      <c r="H30" s="210">
        <f>SUM(F30+G30)</f>
        <v>0</v>
      </c>
      <c r="I30" s="171"/>
      <c r="J30" s="247">
        <f ca="1">G30-K30</f>
        <v>0</v>
      </c>
      <c r="K30" s="247">
        <f ca="1">SOMME_SI_ETCOUL(date,A30,qtélot,Q25)-SOMME_SI_ETCOUL(date,A30,FAIT,Q25)</f>
        <v>0</v>
      </c>
      <c r="L30" s="171">
        <f ca="1">+J30-G30</f>
        <v>0</v>
      </c>
      <c r="M30" s="207"/>
      <c r="N30" s="208"/>
      <c r="O30" s="173"/>
      <c r="P30" s="174"/>
      <c r="Q30" s="233"/>
    </row>
    <row r="31" spans="1:17" ht="15.75" thickBot="1" x14ac:dyDescent="0.3">
      <c r="A31" s="169">
        <v>43277</v>
      </c>
      <c r="B31" s="209"/>
      <c r="C31" s="210"/>
      <c r="D31" s="210"/>
      <c r="E31" s="210">
        <f>SUM(C31+D31)</f>
        <v>0</v>
      </c>
      <c r="F31" s="210"/>
      <c r="G31" s="171">
        <f>SUMIF(date,A31,qtélot)</f>
        <v>0</v>
      </c>
      <c r="H31" s="210">
        <f>SUM(F31+G31)</f>
        <v>0</v>
      </c>
      <c r="I31" s="176"/>
      <c r="J31" s="247">
        <f ca="1">G31-K31</f>
        <v>0</v>
      </c>
      <c r="K31" s="247">
        <f ca="1">SOMME_SI_ETCOUL(date,A31,qtélot,Q26)-SOMME_SI_ETCOUL(date,A31,FAIT,Q26)</f>
        <v>0</v>
      </c>
      <c r="L31" s="171">
        <f ca="1">+J31-G31</f>
        <v>0</v>
      </c>
      <c r="M31" s="210"/>
      <c r="N31" s="211"/>
      <c r="O31" s="178"/>
      <c r="P31" s="179"/>
      <c r="Q31" s="233"/>
    </row>
    <row r="32" spans="1:17" ht="15.75" thickBot="1" x14ac:dyDescent="0.3">
      <c r="A32" s="169">
        <v>43278</v>
      </c>
      <c r="B32" s="209"/>
      <c r="C32" s="210"/>
      <c r="D32" s="210"/>
      <c r="E32" s="210">
        <f>SUM(C32+D32)</f>
        <v>0</v>
      </c>
      <c r="F32" s="210"/>
      <c r="G32" s="171">
        <f>SUMIF(date,A32,qtélot)</f>
        <v>0</v>
      </c>
      <c r="H32" s="210">
        <f>SUM(F32+G32)</f>
        <v>0</v>
      </c>
      <c r="I32" s="176"/>
      <c r="J32" s="247">
        <f ca="1">G32-K32</f>
        <v>0</v>
      </c>
      <c r="K32" s="247">
        <f ca="1">SOMME_SI_ETCOUL(date,A32,qtélot,Q27)-SOMME_SI_ETCOUL(date,A32,FAIT,Q27)</f>
        <v>0</v>
      </c>
      <c r="L32" s="171">
        <f ca="1">+J32-G32</f>
        <v>0</v>
      </c>
      <c r="M32" s="210"/>
      <c r="N32" s="211"/>
      <c r="O32" s="178"/>
      <c r="P32" s="179"/>
      <c r="Q32" s="233"/>
    </row>
    <row r="33" spans="1:17" ht="15.75" thickBot="1" x14ac:dyDescent="0.3">
      <c r="A33" s="169">
        <v>43279</v>
      </c>
      <c r="B33" s="209"/>
      <c r="C33" s="210"/>
      <c r="D33" s="210"/>
      <c r="E33" s="210">
        <f>SUM(C33+D33)</f>
        <v>0</v>
      </c>
      <c r="F33" s="210"/>
      <c r="G33" s="171">
        <f>SUMIF(date,A33,qtélot)</f>
        <v>0</v>
      </c>
      <c r="H33" s="210">
        <f>SUM(F33+G33)</f>
        <v>0</v>
      </c>
      <c r="I33" s="176"/>
      <c r="J33" s="247">
        <f ca="1">G33-K33</f>
        <v>0</v>
      </c>
      <c r="K33" s="247">
        <f ca="1">SOMME_SI_ETCOUL(date,A33,qtélot,Q28)-SOMME_SI_ETCOUL(date,A33,FAIT,Q28)</f>
        <v>0</v>
      </c>
      <c r="L33" s="171">
        <f ca="1">+J33-G33</f>
        <v>0</v>
      </c>
      <c r="M33" s="210"/>
      <c r="N33" s="211"/>
      <c r="O33" s="178"/>
      <c r="P33" s="179"/>
      <c r="Q33" s="233"/>
    </row>
    <row r="34" spans="1:17" x14ac:dyDescent="0.25">
      <c r="A34" s="169">
        <v>43280</v>
      </c>
      <c r="B34" s="209"/>
      <c r="C34" s="210"/>
      <c r="D34" s="210"/>
      <c r="E34" s="210">
        <f>SUM(C34+D34)</f>
        <v>0</v>
      </c>
      <c r="F34" s="210"/>
      <c r="G34" s="171">
        <f>SUMIF(date,A34,qtélot)</f>
        <v>0</v>
      </c>
      <c r="H34" s="210">
        <f>SUM(F34+G34)</f>
        <v>0</v>
      </c>
      <c r="I34" s="176"/>
      <c r="J34" s="247">
        <f ca="1">G34-K34</f>
        <v>0</v>
      </c>
      <c r="K34" s="247">
        <f ca="1">SOMME_SI_ETCOUL(date,A34,qtélot,Q29)-SOMME_SI_ETCOUL(date,A34,FAIT,Q29)</f>
        <v>0</v>
      </c>
      <c r="L34" s="171">
        <f ca="1">+J34-G34</f>
        <v>0</v>
      </c>
      <c r="M34" s="210"/>
      <c r="N34" s="211"/>
      <c r="O34" s="178"/>
      <c r="P34" s="179"/>
      <c r="Q34" s="233"/>
    </row>
    <row r="35" spans="1:17" x14ac:dyDescent="0.25">
      <c r="A35" s="180" t="s">
        <v>228</v>
      </c>
      <c r="B35" s="212"/>
      <c r="C35" s="213">
        <f>SUM(C30:C34)</f>
        <v>0</v>
      </c>
      <c r="D35" s="213">
        <f>SUM(D30:D34)</f>
        <v>0</v>
      </c>
      <c r="E35" s="213">
        <f>SUM(E30:E34)</f>
        <v>0</v>
      </c>
      <c r="F35" s="213"/>
      <c r="G35" s="213"/>
      <c r="H35" s="213">
        <f t="shared" ref="H35:P35" si="6">SUM(H30:H34)</f>
        <v>0</v>
      </c>
      <c r="I35" s="182">
        <f t="shared" si="6"/>
        <v>0</v>
      </c>
      <c r="J35" s="182"/>
      <c r="K35" s="182"/>
      <c r="L35" s="182">
        <f ca="1">SUM(L30:L34)</f>
        <v>0</v>
      </c>
      <c r="M35" s="213">
        <f t="shared" si="6"/>
        <v>0</v>
      </c>
      <c r="N35" s="214">
        <f t="shared" si="6"/>
        <v>0</v>
      </c>
      <c r="O35" s="184">
        <f t="shared" si="6"/>
        <v>0</v>
      </c>
      <c r="P35" s="185">
        <f t="shared" si="6"/>
        <v>0</v>
      </c>
      <c r="Q35" s="233"/>
    </row>
    <row r="36" spans="1:17" ht="15.75" thickBot="1" x14ac:dyDescent="0.3">
      <c r="A36" s="198" t="s">
        <v>229</v>
      </c>
      <c r="B36" s="215"/>
      <c r="C36" s="216">
        <f>SUM(C30:C34)/5</f>
        <v>0</v>
      </c>
      <c r="D36" s="216">
        <f t="shared" ref="D36:P36" si="7">SUM(D30:D34)/5</f>
        <v>0</v>
      </c>
      <c r="E36" s="216">
        <f t="shared" si="7"/>
        <v>0</v>
      </c>
      <c r="F36" s="216">
        <f t="shared" si="7"/>
        <v>0</v>
      </c>
      <c r="G36" s="216">
        <f t="shared" si="7"/>
        <v>0</v>
      </c>
      <c r="H36" s="216">
        <f t="shared" si="7"/>
        <v>0</v>
      </c>
      <c r="I36" s="188">
        <f t="shared" si="7"/>
        <v>0</v>
      </c>
      <c r="J36" s="188">
        <f t="shared" ca="1" si="7"/>
        <v>0</v>
      </c>
      <c r="K36" s="188"/>
      <c r="L36" s="188">
        <f ca="1">SUM(L30:L34)/5</f>
        <v>0</v>
      </c>
      <c r="M36" s="216">
        <f t="shared" si="7"/>
        <v>0</v>
      </c>
      <c r="N36" s="217">
        <f t="shared" si="7"/>
        <v>0</v>
      </c>
      <c r="O36" s="190">
        <f t="shared" si="7"/>
        <v>0</v>
      </c>
      <c r="P36" s="191">
        <f t="shared" si="7"/>
        <v>0</v>
      </c>
      <c r="Q36" s="233"/>
    </row>
    <row r="37" spans="1:17" ht="15.75" thickBot="1" x14ac:dyDescent="0.3">
      <c r="A37" s="218" t="s">
        <v>230</v>
      </c>
      <c r="B37" s="219"/>
      <c r="C37" s="220">
        <f>+C11+C19+C27+C35</f>
        <v>0</v>
      </c>
      <c r="D37" s="220">
        <f t="shared" ref="D37:P37" si="8">+D11+D19+D27+D35</f>
        <v>0</v>
      </c>
      <c r="E37" s="220">
        <f t="shared" si="8"/>
        <v>0</v>
      </c>
      <c r="F37" s="220">
        <f t="shared" si="8"/>
        <v>4423</v>
      </c>
      <c r="G37" s="220">
        <f t="shared" si="8"/>
        <v>4415</v>
      </c>
      <c r="H37" s="220">
        <f t="shared" si="8"/>
        <v>8838</v>
      </c>
      <c r="I37" s="220">
        <f t="shared" si="8"/>
        <v>0</v>
      </c>
      <c r="J37" s="220">
        <f t="shared" si="8"/>
        <v>0</v>
      </c>
      <c r="K37" s="220"/>
      <c r="L37" s="220">
        <f t="shared" ca="1" si="8"/>
        <v>-1079</v>
      </c>
      <c r="M37" s="220">
        <f t="shared" si="8"/>
        <v>0</v>
      </c>
      <c r="N37" s="221">
        <f t="shared" si="8"/>
        <v>0</v>
      </c>
      <c r="O37" s="222">
        <f t="shared" si="8"/>
        <v>0</v>
      </c>
      <c r="P37" s="221">
        <f t="shared" si="8"/>
        <v>0</v>
      </c>
      <c r="Q37" s="233"/>
    </row>
    <row r="38" spans="1:17" x14ac:dyDescent="0.25">
      <c r="A38" s="223"/>
      <c r="B38" s="122"/>
      <c r="M38" s="224" t="s">
        <v>231</v>
      </c>
      <c r="N38" s="225"/>
      <c r="O38" s="225"/>
      <c r="P38" s="174"/>
      <c r="Q38" s="233"/>
    </row>
    <row r="39" spans="1:17" x14ac:dyDescent="0.25">
      <c r="A39" s="223"/>
      <c r="B39" s="122"/>
      <c r="M39" s="178" t="s">
        <v>232</v>
      </c>
      <c r="N39" s="210">
        <f>+O11+O19+O27+O35</f>
        <v>0</v>
      </c>
      <c r="O39" s="210"/>
      <c r="P39" s="226">
        <f>+P11+P19+P27+P35</f>
        <v>0</v>
      </c>
      <c r="Q39" s="233"/>
    </row>
    <row r="40" spans="1:17" ht="15.75" thickBot="1" x14ac:dyDescent="0.3">
      <c r="A40" s="223"/>
      <c r="B40" s="122"/>
      <c r="M40" s="227" t="s">
        <v>233</v>
      </c>
      <c r="N40" s="228">
        <f>+N38-N39</f>
        <v>0</v>
      </c>
      <c r="O40" s="228">
        <f>+O38-O39</f>
        <v>0</v>
      </c>
      <c r="P40" s="229">
        <f>+P38-P39</f>
        <v>0</v>
      </c>
      <c r="Q40" s="233"/>
    </row>
    <row r="41" spans="1:17" x14ac:dyDescent="0.25">
      <c r="Q41" s="233"/>
    </row>
    <row r="42" spans="1:17" x14ac:dyDescent="0.25">
      <c r="Q42" s="233"/>
    </row>
    <row r="43" spans="1:17" x14ac:dyDescent="0.25">
      <c r="Q43" s="233"/>
    </row>
    <row r="44" spans="1:17" x14ac:dyDescent="0.25">
      <c r="Q44" s="233"/>
    </row>
    <row r="45" spans="1:17" x14ac:dyDescent="0.25">
      <c r="Q45" s="233"/>
    </row>
    <row r="46" spans="1:17" x14ac:dyDescent="0.25">
      <c r="Q46" s="233"/>
    </row>
    <row r="47" spans="1:17" x14ac:dyDescent="0.25">
      <c r="Q47" s="233"/>
    </row>
    <row r="48" spans="1:17" x14ac:dyDescent="0.25">
      <c r="Q48" s="233"/>
    </row>
    <row r="49" spans="17:17" x14ac:dyDescent="0.25">
      <c r="Q49" s="233"/>
    </row>
    <row r="50" spans="17:17" x14ac:dyDescent="0.25">
      <c r="Q50" s="233"/>
    </row>
    <row r="51" spans="17:17" x14ac:dyDescent="0.25">
      <c r="Q51" s="233"/>
    </row>
    <row r="52" spans="17:17" x14ac:dyDescent="0.25">
      <c r="Q52" s="233"/>
    </row>
    <row r="53" spans="17:17" x14ac:dyDescent="0.25">
      <c r="Q53" s="233"/>
    </row>
    <row r="54" spans="17:17" x14ac:dyDescent="0.25">
      <c r="Q54" s="233"/>
    </row>
    <row r="55" spans="17:17" x14ac:dyDescent="0.25">
      <c r="Q55" s="233"/>
    </row>
    <row r="56" spans="17:17" x14ac:dyDescent="0.25">
      <c r="Q56" s="233"/>
    </row>
    <row r="57" spans="17:17" x14ac:dyDescent="0.25">
      <c r="Q57" s="233"/>
    </row>
    <row r="58" spans="17:17" x14ac:dyDescent="0.25">
      <c r="Q58" s="233"/>
    </row>
    <row r="59" spans="17:17" x14ac:dyDescent="0.25">
      <c r="Q59" s="233"/>
    </row>
    <row r="60" spans="17:17" x14ac:dyDescent="0.25">
      <c r="Q60" s="233"/>
    </row>
    <row r="61" spans="17:17" x14ac:dyDescent="0.25">
      <c r="Q61" s="233"/>
    </row>
    <row r="62" spans="17:17" x14ac:dyDescent="0.25">
      <c r="Q62" s="233"/>
    </row>
    <row r="63" spans="17:17" x14ac:dyDescent="0.25">
      <c r="Q63" s="233"/>
    </row>
    <row r="64" spans="17:17" x14ac:dyDescent="0.25">
      <c r="Q64" s="233"/>
    </row>
    <row r="65" spans="17:17" x14ac:dyDescent="0.25">
      <c r="Q65" s="233"/>
    </row>
    <row r="66" spans="17:17" x14ac:dyDescent="0.25">
      <c r="Q66" s="233"/>
    </row>
    <row r="67" spans="17:17" x14ac:dyDescent="0.25">
      <c r="Q67" s="233"/>
    </row>
    <row r="68" spans="17:17" x14ac:dyDescent="0.25">
      <c r="Q68" s="233"/>
    </row>
    <row r="69" spans="17:17" x14ac:dyDescent="0.25">
      <c r="Q69" s="233"/>
    </row>
    <row r="70" spans="17:17" x14ac:dyDescent="0.25">
      <c r="Q70" s="233"/>
    </row>
    <row r="71" spans="17:17" x14ac:dyDescent="0.25">
      <c r="Q71" s="233"/>
    </row>
    <row r="72" spans="17:17" x14ac:dyDescent="0.25">
      <c r="Q72" s="233"/>
    </row>
    <row r="73" spans="17:17" x14ac:dyDescent="0.25">
      <c r="Q73" s="233"/>
    </row>
    <row r="74" spans="17:17" x14ac:dyDescent="0.25">
      <c r="Q74" s="233"/>
    </row>
    <row r="75" spans="17:17" x14ac:dyDescent="0.25">
      <c r="Q75" s="233"/>
    </row>
    <row r="76" spans="17:17" x14ac:dyDescent="0.25">
      <c r="Q76" s="233"/>
    </row>
    <row r="77" spans="17:17" x14ac:dyDescent="0.25">
      <c r="Q77" s="233"/>
    </row>
    <row r="78" spans="17:17" x14ac:dyDescent="0.25">
      <c r="Q78" s="233"/>
    </row>
    <row r="79" spans="17:17" x14ac:dyDescent="0.25">
      <c r="Q79" s="233"/>
    </row>
    <row r="80" spans="17:17" x14ac:dyDescent="0.25">
      <c r="Q80" s="233"/>
    </row>
    <row r="81" spans="17:17" x14ac:dyDescent="0.25">
      <c r="Q81" s="233"/>
    </row>
    <row r="82" spans="17:17" x14ac:dyDescent="0.25">
      <c r="Q82" s="233"/>
    </row>
    <row r="83" spans="17:17" x14ac:dyDescent="0.25">
      <c r="Q83" s="233"/>
    </row>
    <row r="84" spans="17:17" x14ac:dyDescent="0.25">
      <c r="Q84" s="233"/>
    </row>
    <row r="85" spans="17:17" x14ac:dyDescent="0.25">
      <c r="Q85" s="233"/>
    </row>
    <row r="86" spans="17:17" x14ac:dyDescent="0.25">
      <c r="Q86" s="233"/>
    </row>
    <row r="87" spans="17:17" x14ac:dyDescent="0.25">
      <c r="Q87" s="233"/>
    </row>
    <row r="88" spans="17:17" x14ac:dyDescent="0.25">
      <c r="Q88" s="233"/>
    </row>
    <row r="89" spans="17:17" x14ac:dyDescent="0.25">
      <c r="Q89" s="233"/>
    </row>
    <row r="90" spans="17:17" x14ac:dyDescent="0.25">
      <c r="Q90" s="233"/>
    </row>
    <row r="91" spans="17:17" x14ac:dyDescent="0.25">
      <c r="Q91" s="233"/>
    </row>
    <row r="92" spans="17:17" x14ac:dyDescent="0.25">
      <c r="Q92" s="233"/>
    </row>
    <row r="93" spans="17:17" x14ac:dyDescent="0.25">
      <c r="Q93" s="233"/>
    </row>
    <row r="94" spans="17:17" x14ac:dyDescent="0.25">
      <c r="Q94" s="233"/>
    </row>
    <row r="95" spans="17:17" x14ac:dyDescent="0.25">
      <c r="Q95" s="233"/>
    </row>
    <row r="96" spans="17:17" x14ac:dyDescent="0.25">
      <c r="Q96" s="233"/>
    </row>
    <row r="97" spans="17:17" x14ac:dyDescent="0.25">
      <c r="Q97" s="233"/>
    </row>
    <row r="98" spans="17:17" x14ac:dyDescent="0.25">
      <c r="Q98" s="233"/>
    </row>
    <row r="99" spans="17:17" x14ac:dyDescent="0.25">
      <c r="Q99" s="233"/>
    </row>
    <row r="100" spans="17:17" x14ac:dyDescent="0.25">
      <c r="Q100" s="233"/>
    </row>
    <row r="101" spans="17:17" x14ac:dyDescent="0.25">
      <c r="Q101" s="233"/>
    </row>
    <row r="102" spans="17:17" x14ac:dyDescent="0.25">
      <c r="Q102" s="233"/>
    </row>
    <row r="103" spans="17:17" x14ac:dyDescent="0.25">
      <c r="Q103" s="233"/>
    </row>
    <row r="104" spans="17:17" x14ac:dyDescent="0.25">
      <c r="Q104" s="233"/>
    </row>
    <row r="105" spans="17:17" x14ac:dyDescent="0.25">
      <c r="Q105" s="233"/>
    </row>
    <row r="106" spans="17:17" x14ac:dyDescent="0.25">
      <c r="Q106" s="233"/>
    </row>
    <row r="107" spans="17:17" x14ac:dyDescent="0.25">
      <c r="Q107" s="233"/>
    </row>
    <row r="108" spans="17:17" x14ac:dyDescent="0.25">
      <c r="Q108" s="233"/>
    </row>
    <row r="109" spans="17:17" x14ac:dyDescent="0.25">
      <c r="Q109" s="233"/>
    </row>
    <row r="110" spans="17:17" x14ac:dyDescent="0.25">
      <c r="Q110" s="233"/>
    </row>
    <row r="111" spans="17:17" x14ac:dyDescent="0.25">
      <c r="Q111" s="233"/>
    </row>
    <row r="112" spans="17:17" x14ac:dyDescent="0.25">
      <c r="Q112" s="233"/>
    </row>
    <row r="113" spans="17:17" x14ac:dyDescent="0.25">
      <c r="Q113" s="233"/>
    </row>
    <row r="114" spans="17:17" x14ac:dyDescent="0.25">
      <c r="Q114" s="233"/>
    </row>
    <row r="115" spans="17:17" x14ac:dyDescent="0.25">
      <c r="Q115" s="233"/>
    </row>
    <row r="116" spans="17:17" x14ac:dyDescent="0.25">
      <c r="Q116" s="233"/>
    </row>
    <row r="117" spans="17:17" x14ac:dyDescent="0.25">
      <c r="Q117" s="233"/>
    </row>
    <row r="118" spans="17:17" x14ac:dyDescent="0.25">
      <c r="Q118" s="233"/>
    </row>
    <row r="119" spans="17:17" x14ac:dyDescent="0.25">
      <c r="Q119" s="233"/>
    </row>
    <row r="120" spans="17:17" x14ac:dyDescent="0.25">
      <c r="Q120" s="233"/>
    </row>
    <row r="121" spans="17:17" x14ac:dyDescent="0.25">
      <c r="Q121" s="233"/>
    </row>
    <row r="122" spans="17:17" x14ac:dyDescent="0.25">
      <c r="Q122" s="233"/>
    </row>
    <row r="123" spans="17:17" x14ac:dyDescent="0.25">
      <c r="Q123" s="233"/>
    </row>
    <row r="124" spans="17:17" x14ac:dyDescent="0.25">
      <c r="Q124" s="233"/>
    </row>
    <row r="125" spans="17:17" x14ac:dyDescent="0.25">
      <c r="Q125" s="233"/>
    </row>
    <row r="126" spans="17:17" x14ac:dyDescent="0.25">
      <c r="Q126" s="233"/>
    </row>
    <row r="127" spans="17:17" x14ac:dyDescent="0.25">
      <c r="Q127" s="233"/>
    </row>
    <row r="128" spans="17:17" x14ac:dyDescent="0.25">
      <c r="Q128" s="233"/>
    </row>
    <row r="129" spans="17:17" x14ac:dyDescent="0.25">
      <c r="Q129" s="233"/>
    </row>
    <row r="130" spans="17:17" x14ac:dyDescent="0.25">
      <c r="Q130" s="233"/>
    </row>
    <row r="131" spans="17:17" x14ac:dyDescent="0.25">
      <c r="Q131" s="233"/>
    </row>
    <row r="132" spans="17:17" x14ac:dyDescent="0.25">
      <c r="Q132" s="233"/>
    </row>
    <row r="133" spans="17:17" x14ac:dyDescent="0.25">
      <c r="Q133" s="233"/>
    </row>
    <row r="134" spans="17:17" x14ac:dyDescent="0.25">
      <c r="Q134" s="233"/>
    </row>
    <row r="135" spans="17:17" x14ac:dyDescent="0.25">
      <c r="Q135" s="233"/>
    </row>
    <row r="136" spans="17:17" x14ac:dyDescent="0.25">
      <c r="Q136" s="233"/>
    </row>
    <row r="137" spans="17:17" x14ac:dyDescent="0.25">
      <c r="Q137" s="233"/>
    </row>
    <row r="138" spans="17:17" x14ac:dyDescent="0.25">
      <c r="Q138" s="233"/>
    </row>
    <row r="139" spans="17:17" x14ac:dyDescent="0.25">
      <c r="Q139" s="233"/>
    </row>
    <row r="140" spans="17:17" x14ac:dyDescent="0.25">
      <c r="Q140" s="233"/>
    </row>
    <row r="141" spans="17:17" x14ac:dyDescent="0.25">
      <c r="Q141" s="233"/>
    </row>
    <row r="142" spans="17:17" x14ac:dyDescent="0.25">
      <c r="Q142" s="233"/>
    </row>
    <row r="143" spans="17:17" x14ac:dyDescent="0.25">
      <c r="Q143" s="233"/>
    </row>
    <row r="144" spans="17:17" x14ac:dyDescent="0.25">
      <c r="Q144" s="233"/>
    </row>
    <row r="145" spans="17:17" x14ac:dyDescent="0.25">
      <c r="Q145" s="233"/>
    </row>
    <row r="146" spans="17:17" x14ac:dyDescent="0.25">
      <c r="Q146" s="233"/>
    </row>
    <row r="147" spans="17:17" x14ac:dyDescent="0.25">
      <c r="Q147" s="233"/>
    </row>
    <row r="148" spans="17:17" x14ac:dyDescent="0.25">
      <c r="Q148" s="233"/>
    </row>
    <row r="149" spans="17:17" x14ac:dyDescent="0.25">
      <c r="Q149" s="233"/>
    </row>
    <row r="150" spans="17:17" x14ac:dyDescent="0.25">
      <c r="Q150" s="233"/>
    </row>
    <row r="151" spans="17:17" x14ac:dyDescent="0.25">
      <c r="Q151" s="233"/>
    </row>
    <row r="152" spans="17:17" x14ac:dyDescent="0.25">
      <c r="Q152" s="233"/>
    </row>
    <row r="153" spans="17:17" x14ac:dyDescent="0.25">
      <c r="Q153" s="233"/>
    </row>
    <row r="154" spans="17:17" x14ac:dyDescent="0.25">
      <c r="Q154" s="233"/>
    </row>
    <row r="155" spans="17:17" x14ac:dyDescent="0.25">
      <c r="Q155" s="233"/>
    </row>
    <row r="156" spans="17:17" x14ac:dyDescent="0.25">
      <c r="Q156" s="233"/>
    </row>
    <row r="157" spans="17:17" x14ac:dyDescent="0.25">
      <c r="Q157" s="233"/>
    </row>
    <row r="158" spans="17:17" x14ac:dyDescent="0.25">
      <c r="Q158" s="233"/>
    </row>
    <row r="159" spans="17:17" x14ac:dyDescent="0.25">
      <c r="Q159" s="233"/>
    </row>
    <row r="160" spans="17:17" x14ac:dyDescent="0.25">
      <c r="Q160" s="233"/>
    </row>
    <row r="161" spans="17:17" x14ac:dyDescent="0.25">
      <c r="Q161" s="233"/>
    </row>
    <row r="162" spans="17:17" x14ac:dyDescent="0.25">
      <c r="Q162" s="233"/>
    </row>
    <row r="163" spans="17:17" x14ac:dyDescent="0.25">
      <c r="Q163" s="233"/>
    </row>
    <row r="164" spans="17:17" x14ac:dyDescent="0.25">
      <c r="Q164" s="233"/>
    </row>
    <row r="165" spans="17:17" x14ac:dyDescent="0.25">
      <c r="Q165" s="233"/>
    </row>
    <row r="166" spans="17:17" x14ac:dyDescent="0.25">
      <c r="Q166" s="233"/>
    </row>
    <row r="167" spans="17:17" x14ac:dyDescent="0.25">
      <c r="Q167" s="233"/>
    </row>
    <row r="168" spans="17:17" x14ac:dyDescent="0.25">
      <c r="Q168" s="233"/>
    </row>
    <row r="169" spans="17:17" x14ac:dyDescent="0.25">
      <c r="Q169" s="233"/>
    </row>
  </sheetData>
  <mergeCells count="11">
    <mergeCell ref="O3:O5"/>
    <mergeCell ref="P3:P5"/>
    <mergeCell ref="A1:N2"/>
    <mergeCell ref="C3:D4"/>
    <mergeCell ref="E3:E5"/>
    <mergeCell ref="F3:G4"/>
    <mergeCell ref="H3:H5"/>
    <mergeCell ref="I3:J4"/>
    <mergeCell ref="L3:L5"/>
    <mergeCell ref="M3:M5"/>
    <mergeCell ref="N3:N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A4"/>
  <sheetViews>
    <sheetView workbookViewId="0">
      <selection activeCell="C4" sqref="C4"/>
    </sheetView>
  </sheetViews>
  <sheetFormatPr baseColWidth="10" defaultRowHeight="15" x14ac:dyDescent="0.25"/>
  <cols>
    <col min="1" max="1" width="12.2851562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Inventaire</vt:lpstr>
      <vt:lpstr>Suivi de production</vt:lpstr>
      <vt:lpstr>Suivi de commande</vt:lpstr>
      <vt:lpstr>Total</vt:lpstr>
      <vt:lpstr>Juin 2018</vt:lpstr>
      <vt:lpstr>Feuil1</vt:lpstr>
      <vt:lpstr>CATÉ</vt:lpstr>
      <vt:lpstr>Inventaire!Criteres</vt:lpstr>
      <vt:lpstr>date</vt:lpstr>
      <vt:lpstr>FAIT</vt:lpstr>
      <vt:lpstr>FORMAT</vt:lpstr>
      <vt:lpstr>format5</vt:lpstr>
      <vt:lpstr>Total!lot</vt:lpstr>
      <vt:lpstr>Total!NOSEMAINE</vt:lpstr>
      <vt:lpstr>qtélot</vt:lpstr>
      <vt:lpstr>Total!SEMAINE</vt:lpstr>
      <vt:lpstr>SEMAINE</vt:lpstr>
      <vt:lpstr>xx</vt:lpstr>
      <vt:lpstr>'Suivi de production'!Zone_d_impression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Pier-Luc</dc:creator>
  <cp:lastModifiedBy>Roger</cp:lastModifiedBy>
  <cp:lastPrinted>2018-06-05T20:46:38Z</cp:lastPrinted>
  <dcterms:created xsi:type="dcterms:W3CDTF">2012-07-04T12:41:39Z</dcterms:created>
  <dcterms:modified xsi:type="dcterms:W3CDTF">2018-06-22T14:37:32Z</dcterms:modified>
</cp:coreProperties>
</file>