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drawings/drawing13.xml" ContentType="application/vnd.openxmlformats-officedocument.drawing+xml"/>
  <Override PartName="/xl/tables/table13.xml" ContentType="application/vnd.openxmlformats-officedocument.spreadsheetml.table+xml"/>
  <Override PartName="/xl/drawings/drawing14.xml" ContentType="application/vnd.openxmlformats-officedocument.drawing+xml"/>
  <Override PartName="/xl/tables/table14.xml" ContentType="application/vnd.openxmlformats-officedocument.spreadsheetml.table+xml"/>
  <Override PartName="/xl/drawings/drawing15.xml" ContentType="application/vnd.openxmlformats-officedocument.drawing+xml"/>
  <Override PartName="/xl/tables/table15.xml" ContentType="application/vnd.openxmlformats-officedocument.spreadsheetml.table+xml"/>
  <Override PartName="/xl/drawings/drawing16.xml" ContentType="application/vnd.openxmlformats-officedocument.drawing+xml"/>
  <Override PartName="/xl/tables/table16.xml" ContentType="application/vnd.openxmlformats-officedocument.spreadsheetml.table+xml"/>
  <Override PartName="/xl/drawings/drawing17.xml" ContentType="application/vnd.openxmlformats-officedocument.drawing+xml"/>
  <Override PartName="/xl/tables/table17.xml" ContentType="application/vnd.openxmlformats-officedocument.spreadsheetml.table+xml"/>
  <Override PartName="/xl/drawings/drawing18.xml" ContentType="application/vnd.openxmlformats-officedocument.drawing+xml"/>
  <Override PartName="/xl/tables/table18.xml" ContentType="application/vnd.openxmlformats-officedocument.spreadsheetml.table+xml"/>
  <Override PartName="/xl/drawings/drawing19.xml" ContentType="application/vnd.openxmlformats-officedocument.drawing+xml"/>
  <Override PartName="/xl/tables/table19.xml" ContentType="application/vnd.openxmlformats-officedocument.spreadsheetml.table+xml"/>
  <Override PartName="/xl/drawings/drawing20.xml" ContentType="application/vnd.openxmlformats-officedocument.drawing+xml"/>
  <Override PartName="/xl/tables/table20.xml" ContentType="application/vnd.openxmlformats-officedocument.spreadsheetml.table+xml"/>
  <Override PartName="/xl/drawings/drawing21.xml" ContentType="application/vnd.openxmlformats-officedocument.drawing+xml"/>
  <Override PartName="/xl/tables/table2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featurePropertyBag/featurePropertyBag.xml" ContentType="application/vnd.ms-excel.featurepropertyba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43352192-E6A2-41E2-8457-DE03160B7B60}" xr6:coauthVersionLast="47" xr6:coauthVersionMax="47" xr10:uidLastSave="{00000000-0000-0000-0000-000000000000}"/>
  <bookViews>
    <workbookView xWindow="-120" yWindow="-120" windowWidth="24240" windowHeight="13290" tabRatio="952" xr2:uid="{00000000-000D-0000-FFFF-FFFF00000000}"/>
  </bookViews>
  <sheets>
    <sheet name="Journal" sheetId="13" r:id="rId1"/>
    <sheet name="Param" sheetId="49" r:id="rId2"/>
    <sheet name="Cotisations adhésions APEL" sheetId="60" r:id="rId3"/>
    <sheet name="Projet 2024-2025" sheetId="73" r:id="rId4"/>
    <sheet name="Portes ouvertes" sheetId="72" r:id="rId5"/>
    <sheet name="Olympiades" sheetId="71" r:id="rId6"/>
    <sheet name="Noël" sheetId="70" r:id="rId7"/>
    <sheet name="Mois du livre" sheetId="69" r:id="rId8"/>
    <sheet name="Intérêts bancaires" sheetId="68" r:id="rId9"/>
    <sheet name="Frais de fonctionnement" sheetId="67" r:id="rId10"/>
    <sheet name="Fournitures" sheetId="66" r:id="rId11"/>
    <sheet name="Fête de St Nicolas" sheetId="65" r:id="rId12"/>
    <sheet name="Fête de l'école" sheetId="64" r:id="rId13"/>
    <sheet name="Dotations établissement" sheetId="63" r:id="rId14"/>
    <sheet name="Décoration Noël de l'école" sheetId="62" r:id="rId15"/>
    <sheet name="Cross" sheetId="61" r:id="rId16"/>
    <sheet name="Communion" sheetId="59" r:id="rId17"/>
    <sheet name="Cartes de St Nicolas" sheetId="58" r:id="rId18"/>
    <sheet name="Besoins enseignants du primaire" sheetId="57" r:id="rId19"/>
    <sheet name="Ateliers du midi" sheetId="56" r:id="rId20"/>
    <sheet name="Assemblée générale" sheetId="55" r:id="rId21"/>
    <sheet name="Action Sweat" sheetId="54" r:id="rId22"/>
  </sheets>
  <functionGroups builtInGroupCount="19"/>
  <definedNames>
    <definedName name="_xlnm._FilterDatabase" localSheetId="0" hidden="1">Journal!$A$3:$H$3</definedName>
    <definedName name="ListeF">Param!$A$2:$A$21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54" l="1"/>
  <c r="B3" i="54" s="1"/>
  <c r="D3" i="54"/>
  <c r="E3" i="55"/>
  <c r="B3" i="55" s="1"/>
  <c r="D3" i="55"/>
  <c r="E3" i="56"/>
  <c r="B3" i="56" s="1"/>
  <c r="D3" i="56"/>
  <c r="E3" i="57"/>
  <c r="D3" i="57"/>
  <c r="B3" i="57"/>
  <c r="E3" i="58"/>
  <c r="B3" i="58" s="1"/>
  <c r="D3" i="58"/>
  <c r="E3" i="60"/>
  <c r="B3" i="60" s="1"/>
  <c r="D3" i="60"/>
  <c r="E3" i="73"/>
  <c r="B3" i="73" s="1"/>
  <c r="D3" i="73"/>
  <c r="E3" i="72"/>
  <c r="B3" i="72" s="1"/>
  <c r="D3" i="72"/>
  <c r="E3" i="71"/>
  <c r="B3" i="71" s="1"/>
  <c r="D3" i="71"/>
  <c r="E3" i="70"/>
  <c r="B3" i="70" s="1"/>
  <c r="D3" i="70"/>
  <c r="E3" i="69"/>
  <c r="B3" i="69" s="1"/>
  <c r="D3" i="69"/>
  <c r="E3" i="68"/>
  <c r="B3" i="68" s="1"/>
  <c r="D3" i="68"/>
  <c r="E3" i="67"/>
  <c r="D3" i="67"/>
  <c r="E3" i="66"/>
  <c r="D3" i="66"/>
  <c r="E3" i="65"/>
  <c r="B3" i="65" s="1"/>
  <c r="D3" i="65"/>
  <c r="E3" i="64"/>
  <c r="B3" i="64" s="1"/>
  <c r="D3" i="64"/>
  <c r="E3" i="63"/>
  <c r="B3" i="63" s="1"/>
  <c r="D3" i="63"/>
  <c r="E3" i="62"/>
  <c r="B3" i="62" s="1"/>
  <c r="D3" i="62"/>
  <c r="E3" i="61"/>
  <c r="D3" i="61"/>
  <c r="B3" i="61"/>
  <c r="D3" i="59"/>
  <c r="E3" i="59"/>
  <c r="B3" i="66" l="1"/>
  <c r="B3" i="67"/>
  <c r="B3" i="59"/>
</calcChain>
</file>

<file path=xl/sharedStrings.xml><?xml version="1.0" encoding="utf-8"?>
<sst xmlns="http://schemas.openxmlformats.org/spreadsheetml/2006/main" count="239" uniqueCount="78">
  <si>
    <t>Fournitures</t>
  </si>
  <si>
    <t>Noël</t>
  </si>
  <si>
    <t>Communion</t>
  </si>
  <si>
    <t>Fête de l'école</t>
  </si>
  <si>
    <t>Assemblée générale</t>
  </si>
  <si>
    <t>Ateliers du midi</t>
  </si>
  <si>
    <t>Cross</t>
  </si>
  <si>
    <t>Fête de St Nicolas</t>
  </si>
  <si>
    <t>Portes ouvertes</t>
  </si>
  <si>
    <t>Décoration Noël de l'école</t>
  </si>
  <si>
    <t>Olympiades</t>
  </si>
  <si>
    <t>Mois du livre</t>
  </si>
  <si>
    <t>Besoins enseignants du primaire</t>
  </si>
  <si>
    <t>Frais de fonctionnement</t>
  </si>
  <si>
    <t>Cotisations adhésions APEL</t>
  </si>
  <si>
    <t>Intérêts bancaires</t>
  </si>
  <si>
    <t>Action Sweat</t>
  </si>
  <si>
    <t>Projet 2024-2025</t>
  </si>
  <si>
    <t>JOURNAL DE CAISSE</t>
  </si>
  <si>
    <t>Date d'opération</t>
  </si>
  <si>
    <t>Libellé</t>
  </si>
  <si>
    <t>Débit</t>
  </si>
  <si>
    <t>Crédit</t>
  </si>
  <si>
    <t>Opération concernée</t>
  </si>
  <si>
    <t>Informations</t>
  </si>
  <si>
    <t>Rapprochement bancaire</t>
  </si>
  <si>
    <t>Cartes de St Nicolas</t>
  </si>
  <si>
    <t>Dotations établissement</t>
  </si>
  <si>
    <t>N° Pièce</t>
  </si>
  <si>
    <t>Date Oper</t>
  </si>
  <si>
    <t>COMMUNION</t>
  </si>
  <si>
    <t>ACTION SWEAT</t>
  </si>
  <si>
    <t>ASSEMBLÉE GÉNÉRALE</t>
  </si>
  <si>
    <t>ATELIERS DU MIDI</t>
  </si>
  <si>
    <t>BESOINS ENSEIGNANTS DU PRIMAIRE</t>
  </si>
  <si>
    <t>CARTES DE ST NICOLAS</t>
  </si>
  <si>
    <t>COTISATIONS ADHÉSIONS APEL</t>
  </si>
  <si>
    <t>CROSS</t>
  </si>
  <si>
    <t>DÉCORATION NOËL DE L'ÉCOLE</t>
  </si>
  <si>
    <t>DOTATIONS ÉTABLISSEMENT</t>
  </si>
  <si>
    <t>FÊTE DE L'ÉCOLE</t>
  </si>
  <si>
    <t>FÊTE DE ST NICOLAS</t>
  </si>
  <si>
    <t>FOURNITURES</t>
  </si>
  <si>
    <t>FRAIS DE FONCTIONNEMENT</t>
  </si>
  <si>
    <t>INTÉRÊTS BANCAIRES</t>
  </si>
  <si>
    <t>MOIS DU LIVRE</t>
  </si>
  <si>
    <t>NOËL</t>
  </si>
  <si>
    <t>OLYMPIADES</t>
  </si>
  <si>
    <t>PORTES OUVERTES</t>
  </si>
  <si>
    <t>PROJET 2024-2025</t>
  </si>
  <si>
    <t>Solde</t>
  </si>
  <si>
    <t>Nom des Feuilles</t>
  </si>
  <si>
    <t>TSwe</t>
  </si>
  <si>
    <t>TAss</t>
  </si>
  <si>
    <t>TAte</t>
  </si>
  <si>
    <t>TBes</t>
  </si>
  <si>
    <t>TCar</t>
  </si>
  <si>
    <t>TCom</t>
  </si>
  <si>
    <t>TCot</t>
  </si>
  <si>
    <t>TCro</t>
  </si>
  <si>
    <t>TNoe</t>
  </si>
  <si>
    <t>TDot</t>
  </si>
  <si>
    <t>TEco</t>
  </si>
  <si>
    <t>TStN</t>
  </si>
  <si>
    <t>TFou</t>
  </si>
  <si>
    <t>TFra</t>
  </si>
  <si>
    <t>TInt</t>
  </si>
  <si>
    <t>TMoi</t>
  </si>
  <si>
    <t>TOly</t>
  </si>
  <si>
    <t>TPor</t>
  </si>
  <si>
    <t>TPro</t>
  </si>
  <si>
    <t>Nom Tableaux</t>
  </si>
  <si>
    <t xml:space="preserve">Totaux </t>
  </si>
  <si>
    <t xml:space="preserve">Dépôt 1945 € régularisé 1895 € </t>
  </si>
  <si>
    <t>Chèque impayé pour 136€</t>
  </si>
  <si>
    <t>Projet enseignant</t>
  </si>
  <si>
    <t>Perplexus</t>
  </si>
  <si>
    <t>Cartes de Saint Nicolas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</si>
</sst>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1]_-;\-* #,##0.00\ [$€-1]_-;_-* \-??\ [$€-1]_-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charset val="134"/>
      <scheme val="minor"/>
    </font>
    <font>
      <sz val="10"/>
      <name val="Arial"/>
      <family val="2"/>
    </font>
    <font>
      <u/>
      <sz val="11"/>
      <color theme="10"/>
      <name val="Calibri"/>
      <charset val="13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6" fillId="0" borderId="0" applyNumberFormat="0" applyFill="0" applyBorder="0" applyAlignment="0" applyProtection="0"/>
    <xf numFmtId="0" fontId="4" fillId="0" borderId="0"/>
    <xf numFmtId="0" fontId="3" fillId="0" borderId="0"/>
    <xf numFmtId="0" fontId="8" fillId="0" borderId="0"/>
    <xf numFmtId="164" fontId="8" fillId="0" borderId="0" applyFill="0" applyBorder="0" applyAlignment="0" applyProtection="0"/>
    <xf numFmtId="0" fontId="2" fillId="0" borderId="0"/>
    <xf numFmtId="0" fontId="1" fillId="0" borderId="0"/>
    <xf numFmtId="0" fontId="9" fillId="0" borderId="0" applyNumberFormat="0" applyFill="0" applyBorder="0" applyAlignment="0" applyProtection="0"/>
  </cellStyleXfs>
  <cellXfs count="37">
    <xf numFmtId="0" fontId="0" fillId="0" borderId="0" xfId="0"/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0" fillId="0" borderId="0" xfId="0" applyFont="1" applyAlignment="1">
      <alignment horizontal="left" indent="1"/>
    </xf>
    <xf numFmtId="1" fontId="10" fillId="0" borderId="0" xfId="0" applyNumberFormat="1" applyFont="1"/>
    <xf numFmtId="1" fontId="10" fillId="0" borderId="0" xfId="0" applyNumberFormat="1" applyFont="1" applyAlignment="1">
      <alignment horizontal="center" vertical="center"/>
    </xf>
    <xf numFmtId="44" fontId="10" fillId="0" borderId="0" xfId="0" applyNumberFormat="1" applyFont="1"/>
    <xf numFmtId="44" fontId="10" fillId="0" borderId="0" xfId="0" applyNumberFormat="1" applyFont="1" applyAlignment="1">
      <alignment horizontal="center" vertical="center"/>
    </xf>
    <xf numFmtId="49" fontId="11" fillId="0" borderId="0" xfId="0" applyNumberFormat="1" applyFont="1"/>
    <xf numFmtId="49" fontId="10" fillId="0" borderId="0" xfId="0" applyNumberFormat="1" applyFont="1" applyAlignment="1">
      <alignment horizontal="center" vertical="center"/>
    </xf>
    <xf numFmtId="49" fontId="10" fillId="0" borderId="0" xfId="0" applyNumberFormat="1" applyFont="1"/>
    <xf numFmtId="14" fontId="10" fillId="0" borderId="0" xfId="0" applyNumberFormat="1" applyFont="1"/>
    <xf numFmtId="14" fontId="10" fillId="0" borderId="1" xfId="0" applyNumberFormat="1" applyFont="1" applyBorder="1"/>
    <xf numFmtId="44" fontId="10" fillId="0" borderId="1" xfId="0" applyNumberFormat="1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right"/>
    </xf>
    <xf numFmtId="49" fontId="10" fillId="0" borderId="1" xfId="0" applyNumberFormat="1" applyFont="1" applyBorder="1" applyAlignment="1">
      <alignment horizontal="right" vertical="center"/>
    </xf>
    <xf numFmtId="0" fontId="10" fillId="0" borderId="0" xfId="2" applyFont="1" applyFill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0" borderId="0" xfId="2" applyFont="1" applyFill="1" applyAlignment="1">
      <alignment horizontal="center" vertical="center"/>
    </xf>
    <xf numFmtId="44" fontId="10" fillId="0" borderId="1" xfId="0" applyNumberFormat="1" applyFont="1" applyBorder="1"/>
    <xf numFmtId="44" fontId="10" fillId="0" borderId="1" xfId="0" applyNumberFormat="1" applyFont="1" applyBorder="1" applyAlignment="1">
      <alignment horizontal="left" indent="3"/>
    </xf>
    <xf numFmtId="14" fontId="10" fillId="0" borderId="0" xfId="2" applyNumberFormat="1" applyFont="1" applyFill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44" fontId="10" fillId="0" borderId="0" xfId="2" applyNumberFormat="1" applyFont="1" applyFill="1" applyAlignment="1">
      <alignment horizontal="center" vertical="center"/>
    </xf>
    <xf numFmtId="0" fontId="13" fillId="0" borderId="0" xfId="1" applyFont="1" applyFill="1" applyAlignment="1">
      <alignment horizontal="center" vertical="center"/>
    </xf>
    <xf numFmtId="0" fontId="12" fillId="2" borderId="0" xfId="3" applyFont="1" applyFill="1" applyAlignment="1">
      <alignment horizontal="center" vertical="center" wrapText="1"/>
    </xf>
    <xf numFmtId="14" fontId="14" fillId="0" borderId="0" xfId="2" applyNumberFormat="1" applyFont="1" applyAlignment="1">
      <alignment horizontal="center" vertical="center"/>
    </xf>
    <xf numFmtId="0" fontId="14" fillId="0" borderId="0" xfId="1" applyFont="1" applyFill="1" applyBorder="1" applyAlignment="1">
      <alignment horizontal="center" vertical="center"/>
    </xf>
    <xf numFmtId="8" fontId="14" fillId="0" borderId="0" xfId="2" applyNumberFormat="1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14" fontId="14" fillId="0" borderId="0" xfId="0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4" fontId="14" fillId="0" borderId="0" xfId="0" applyNumberFormat="1" applyFont="1" applyAlignment="1">
      <alignment horizontal="center" vertical="center"/>
    </xf>
  </cellXfs>
  <cellStyles count="9">
    <cellStyle name="Euro" xfId="5" xr:uid="{EB488DFB-A9FD-495D-8CB3-1E68C50E7740}"/>
    <cellStyle name="Hyperlink" xfId="8" xr:uid="{00000000-000B-0000-0000-000008000000}"/>
    <cellStyle name="Lien hypertexte" xfId="1" builtinId="8"/>
    <cellStyle name="Normal" xfId="0" builtinId="0"/>
    <cellStyle name="Normal 2" xfId="2" xr:uid="{965639EC-0A51-4BDE-BE62-ECB70D7FF754}"/>
    <cellStyle name="Normal 3" xfId="3" xr:uid="{E9DBA658-4E2B-40BA-8396-371969F00B89}"/>
    <cellStyle name="Normal 3 2" xfId="7" xr:uid="{32B8D92C-81AA-4FAE-ABAE-4B612FA603C9}"/>
    <cellStyle name="Normal 4" xfId="4" xr:uid="{9C700153-3915-4852-A6B7-5597EE17050D}"/>
    <cellStyle name="Normal 5" xfId="6" xr:uid="{8E7BA785-6415-4F00-A097-1732108908BF}"/>
  </cellStyles>
  <dxfs count="170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22/11/relationships/FeaturePropertyBag" Target="featurePropertyBag/featurePropertyBag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6</xdr:row>
      <xdr:rowOff>152399</xdr:rowOff>
    </xdr:from>
    <xdr:to>
      <xdr:col>5</xdr:col>
      <xdr:colOff>371475</xdr:colOff>
      <xdr:row>11</xdr:row>
      <xdr:rowOff>38099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00B70E36-D068-8F83-C730-C5D8749E9822}"/>
            </a:ext>
          </a:extLst>
        </xdr:cNvPr>
        <xdr:cNvSpPr/>
      </xdr:nvSpPr>
      <xdr:spPr>
        <a:xfrm>
          <a:off x="2971800" y="1352549"/>
          <a:ext cx="1990725" cy="88582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Cliquer le nom d'une feuille pour l'atteindre.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381000</xdr:colOff>
      <xdr:row>1</xdr:row>
      <xdr:rowOff>180975</xdr:rowOff>
    </xdr:to>
    <xdr:pic macro="[0]!Place">
      <xdr:nvPicPr>
        <xdr:cNvPr id="3" name="Image 2">
          <a:extLst>
            <a:ext uri="{FF2B5EF4-FFF2-40B4-BE49-F238E27FC236}">
              <a16:creationId xmlns:a16="http://schemas.microsoft.com/office/drawing/2014/main" id="{3924F400-7CFD-E5E2-4E7F-B64BF2C6F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8100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381000</xdr:colOff>
      <xdr:row>1</xdr:row>
      <xdr:rowOff>180975</xdr:rowOff>
    </xdr:to>
    <xdr:pic macro="[0]!Place">
      <xdr:nvPicPr>
        <xdr:cNvPr id="4" name="Image 3">
          <a:extLst>
            <a:ext uri="{FF2B5EF4-FFF2-40B4-BE49-F238E27FC236}">
              <a16:creationId xmlns:a16="http://schemas.microsoft.com/office/drawing/2014/main" id="{A60AA4A9-AE73-4A3F-9164-CA7DF38988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81000"/>
        </a:xfrm>
        <a:prstGeom prst="rect">
          <a:avLst/>
        </a:prstGeom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381000</xdr:colOff>
      <xdr:row>1</xdr:row>
      <xdr:rowOff>180975</xdr:rowOff>
    </xdr:to>
    <xdr:pic macro="[0]!Place">
      <xdr:nvPicPr>
        <xdr:cNvPr id="3" name="Image 2">
          <a:extLst>
            <a:ext uri="{FF2B5EF4-FFF2-40B4-BE49-F238E27FC236}">
              <a16:creationId xmlns:a16="http://schemas.microsoft.com/office/drawing/2014/main" id="{AFA35B37-2D66-4011-A9D0-7DC7159630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81000"/>
        </a:xfrm>
        <a:prstGeom prst="rect">
          <a:avLst/>
        </a:prstGeom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381000</xdr:colOff>
      <xdr:row>1</xdr:row>
      <xdr:rowOff>180975</xdr:rowOff>
    </xdr:to>
    <xdr:pic macro="[0]!Place">
      <xdr:nvPicPr>
        <xdr:cNvPr id="2" name="Image 1">
          <a:extLst>
            <a:ext uri="{FF2B5EF4-FFF2-40B4-BE49-F238E27FC236}">
              <a16:creationId xmlns:a16="http://schemas.microsoft.com/office/drawing/2014/main" id="{522ED746-3493-42BE-A0DB-7C44EA47F4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81000"/>
        </a:xfrm>
        <a:prstGeom prst="rect">
          <a:avLst/>
        </a:prstGeom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381000</xdr:colOff>
      <xdr:row>1</xdr:row>
      <xdr:rowOff>180975</xdr:rowOff>
    </xdr:to>
    <xdr:pic macro="[0]!Place">
      <xdr:nvPicPr>
        <xdr:cNvPr id="2" name="Image 1">
          <a:extLst>
            <a:ext uri="{FF2B5EF4-FFF2-40B4-BE49-F238E27FC236}">
              <a16:creationId xmlns:a16="http://schemas.microsoft.com/office/drawing/2014/main" id="{FE509F1A-866E-40D2-94B4-8932A7688F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81000"/>
        </a:xfrm>
        <a:prstGeom prst="rect">
          <a:avLst/>
        </a:prstGeom>
      </xdr:spPr>
    </xdr:pic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381000</xdr:colOff>
      <xdr:row>1</xdr:row>
      <xdr:rowOff>180975</xdr:rowOff>
    </xdr:to>
    <xdr:pic macro="[0]!Place">
      <xdr:nvPicPr>
        <xdr:cNvPr id="2" name="Image 1">
          <a:extLst>
            <a:ext uri="{FF2B5EF4-FFF2-40B4-BE49-F238E27FC236}">
              <a16:creationId xmlns:a16="http://schemas.microsoft.com/office/drawing/2014/main" id="{8D51AF07-BF18-4BF6-A401-3A805360A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81000"/>
        </a:xfrm>
        <a:prstGeom prst="rect">
          <a:avLst/>
        </a:prstGeom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381000</xdr:colOff>
      <xdr:row>1</xdr:row>
      <xdr:rowOff>180975</xdr:rowOff>
    </xdr:to>
    <xdr:pic macro="[0]!Place">
      <xdr:nvPicPr>
        <xdr:cNvPr id="2" name="Image 1">
          <a:extLst>
            <a:ext uri="{FF2B5EF4-FFF2-40B4-BE49-F238E27FC236}">
              <a16:creationId xmlns:a16="http://schemas.microsoft.com/office/drawing/2014/main" id="{70538CDD-C691-442E-A1E8-9E6A8B792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81000"/>
        </a:xfrm>
        <a:prstGeom prst="rect">
          <a:avLst/>
        </a:prstGeom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381000</xdr:colOff>
      <xdr:row>1</xdr:row>
      <xdr:rowOff>180975</xdr:rowOff>
    </xdr:to>
    <xdr:pic macro="[0]!Place">
      <xdr:nvPicPr>
        <xdr:cNvPr id="2" name="Image 1">
          <a:extLst>
            <a:ext uri="{FF2B5EF4-FFF2-40B4-BE49-F238E27FC236}">
              <a16:creationId xmlns:a16="http://schemas.microsoft.com/office/drawing/2014/main" id="{D87BC98E-A976-4A8A-AFDF-D8050D960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81000"/>
        </a:xfrm>
        <a:prstGeom prst="rect">
          <a:avLst/>
        </a:prstGeom>
      </xdr:spPr>
    </xdr:pic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381000</xdr:colOff>
      <xdr:row>1</xdr:row>
      <xdr:rowOff>180975</xdr:rowOff>
    </xdr:to>
    <xdr:pic macro="[0]!Place">
      <xdr:nvPicPr>
        <xdr:cNvPr id="2" name="Image 1">
          <a:extLst>
            <a:ext uri="{FF2B5EF4-FFF2-40B4-BE49-F238E27FC236}">
              <a16:creationId xmlns:a16="http://schemas.microsoft.com/office/drawing/2014/main" id="{3F68C618-1841-4F87-8BBA-FE64FA7DAD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81000"/>
        </a:xfrm>
        <a:prstGeom prst="rect">
          <a:avLst/>
        </a:prstGeom>
      </xdr:spPr>
    </xdr:pic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381000</xdr:colOff>
      <xdr:row>1</xdr:row>
      <xdr:rowOff>180975</xdr:rowOff>
    </xdr:to>
    <xdr:pic macro="[0]!Place">
      <xdr:nvPicPr>
        <xdr:cNvPr id="2" name="Image 1">
          <a:extLst>
            <a:ext uri="{FF2B5EF4-FFF2-40B4-BE49-F238E27FC236}">
              <a16:creationId xmlns:a16="http://schemas.microsoft.com/office/drawing/2014/main" id="{7743C131-1C0B-4257-8B6A-DD8BF950EA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81000"/>
        </a:xfrm>
        <a:prstGeom prst="rect">
          <a:avLst/>
        </a:prstGeom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381000</xdr:colOff>
      <xdr:row>1</xdr:row>
      <xdr:rowOff>180975</xdr:rowOff>
    </xdr:to>
    <xdr:pic macro="[0]!Place">
      <xdr:nvPicPr>
        <xdr:cNvPr id="2" name="Image 1">
          <a:extLst>
            <a:ext uri="{FF2B5EF4-FFF2-40B4-BE49-F238E27FC236}">
              <a16:creationId xmlns:a16="http://schemas.microsoft.com/office/drawing/2014/main" id="{2670B7DC-3316-485B-82D1-18114855C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81000"/>
        </a:xfrm>
        <a:prstGeom prst="rect">
          <a:avLst/>
        </a:prstGeom>
      </xdr:spPr>
    </xdr:pic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381000</xdr:colOff>
      <xdr:row>1</xdr:row>
      <xdr:rowOff>180975</xdr:rowOff>
    </xdr:to>
    <xdr:pic macro="[0]!Place">
      <xdr:nvPicPr>
        <xdr:cNvPr id="4" name="Image 3">
          <a:extLst>
            <a:ext uri="{FF2B5EF4-FFF2-40B4-BE49-F238E27FC236}">
              <a16:creationId xmlns:a16="http://schemas.microsoft.com/office/drawing/2014/main" id="{7BE56B50-C636-4266-A0B5-5021A10A82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81000"/>
        </a:xfrm>
        <a:prstGeom prst="rect">
          <a:avLst/>
        </a:prstGeom>
      </xdr:spPr>
    </xdr:pic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381000</xdr:colOff>
      <xdr:row>1</xdr:row>
      <xdr:rowOff>180975</xdr:rowOff>
    </xdr:to>
    <xdr:pic macro="[0]!Place">
      <xdr:nvPicPr>
        <xdr:cNvPr id="2" name="Image 1">
          <a:extLst>
            <a:ext uri="{FF2B5EF4-FFF2-40B4-BE49-F238E27FC236}">
              <a16:creationId xmlns:a16="http://schemas.microsoft.com/office/drawing/2014/main" id="{56B140B7-1807-445F-874D-9AD9705E3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81000"/>
        </a:xfrm>
        <a:prstGeom prst="rect">
          <a:avLst/>
        </a:prstGeom>
      </xdr:spPr>
    </xdr:pic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381000</xdr:colOff>
      <xdr:row>1</xdr:row>
      <xdr:rowOff>180975</xdr:rowOff>
    </xdr:to>
    <xdr:pic macro="[0]!Place">
      <xdr:nvPicPr>
        <xdr:cNvPr id="2" name="Image 1">
          <a:extLst>
            <a:ext uri="{FF2B5EF4-FFF2-40B4-BE49-F238E27FC236}">
              <a16:creationId xmlns:a16="http://schemas.microsoft.com/office/drawing/2014/main" id="{C29E0E74-76FF-4140-98B4-40248AC80C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81000"/>
        </a:xfrm>
        <a:prstGeom prst="rect">
          <a:avLst/>
        </a:prstGeom>
      </xdr:spPr>
    </xdr:pic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381000</xdr:colOff>
      <xdr:row>1</xdr:row>
      <xdr:rowOff>180975</xdr:rowOff>
    </xdr:to>
    <xdr:pic macro="[0]!Place">
      <xdr:nvPicPr>
        <xdr:cNvPr id="2" name="Image 1">
          <a:extLst>
            <a:ext uri="{FF2B5EF4-FFF2-40B4-BE49-F238E27FC236}">
              <a16:creationId xmlns:a16="http://schemas.microsoft.com/office/drawing/2014/main" id="{F0B345FA-2DD8-48ED-AF4D-59303354A1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81000"/>
        </a:xfrm>
        <a:prstGeom prst="rect">
          <a:avLst/>
        </a:prstGeom>
      </xdr:spPr>
    </xdr:pic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381000</xdr:colOff>
      <xdr:row>1</xdr:row>
      <xdr:rowOff>180975</xdr:rowOff>
    </xdr:to>
    <xdr:pic macro="[0]!Place">
      <xdr:nvPicPr>
        <xdr:cNvPr id="2" name="Image 1">
          <a:extLst>
            <a:ext uri="{FF2B5EF4-FFF2-40B4-BE49-F238E27FC236}">
              <a16:creationId xmlns:a16="http://schemas.microsoft.com/office/drawing/2014/main" id="{AE6EF2E6-CCDE-4D01-8E39-EA9D7F33B5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81000"/>
        </a:xfrm>
        <a:prstGeom prst="rect">
          <a:avLst/>
        </a:prstGeom>
      </xdr:spPr>
    </xdr:pic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381000</xdr:colOff>
      <xdr:row>1</xdr:row>
      <xdr:rowOff>180975</xdr:rowOff>
    </xdr:to>
    <xdr:pic macro="[0]!Place">
      <xdr:nvPicPr>
        <xdr:cNvPr id="2" name="Image 1">
          <a:extLst>
            <a:ext uri="{FF2B5EF4-FFF2-40B4-BE49-F238E27FC236}">
              <a16:creationId xmlns:a16="http://schemas.microsoft.com/office/drawing/2014/main" id="{8FD82CB1-29D1-4223-953F-55B78F99A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81000"/>
        </a:xfrm>
        <a:prstGeom prst="rect">
          <a:avLst/>
        </a:prstGeom>
      </xdr:spPr>
    </xdr:pic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381000</xdr:colOff>
      <xdr:row>1</xdr:row>
      <xdr:rowOff>180975</xdr:rowOff>
    </xdr:to>
    <xdr:pic macro="[0]!Place">
      <xdr:nvPicPr>
        <xdr:cNvPr id="2" name="Image 1">
          <a:extLst>
            <a:ext uri="{FF2B5EF4-FFF2-40B4-BE49-F238E27FC236}">
              <a16:creationId xmlns:a16="http://schemas.microsoft.com/office/drawing/2014/main" id="{156A4679-6B0D-45DA-A0D0-E8DC24EE4C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81000"/>
        </a:xfrm>
        <a:prstGeom prst="rect">
          <a:avLst/>
        </a:prstGeom>
      </xdr:spPr>
    </xdr:pic>
    <xdr:clientData fPrint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381000</xdr:colOff>
      <xdr:row>1</xdr:row>
      <xdr:rowOff>180975</xdr:rowOff>
    </xdr:to>
    <xdr:pic macro="[0]!Place">
      <xdr:nvPicPr>
        <xdr:cNvPr id="2" name="Image 1">
          <a:extLst>
            <a:ext uri="{FF2B5EF4-FFF2-40B4-BE49-F238E27FC236}">
              <a16:creationId xmlns:a16="http://schemas.microsoft.com/office/drawing/2014/main" id="{D74491F1-BD20-4408-A921-094BAC0492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81000"/>
        </a:xfrm>
        <a:prstGeom prst="rect">
          <a:avLst/>
        </a:prstGeom>
      </xdr:spPr>
    </xdr:pic>
    <xdr:clientData fPrintsWithSheet="0"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381000</xdr:colOff>
      <xdr:row>1</xdr:row>
      <xdr:rowOff>180975</xdr:rowOff>
    </xdr:to>
    <xdr:pic macro="[0]!Place">
      <xdr:nvPicPr>
        <xdr:cNvPr id="2" name="Image 1">
          <a:extLst>
            <a:ext uri="{FF2B5EF4-FFF2-40B4-BE49-F238E27FC236}">
              <a16:creationId xmlns:a16="http://schemas.microsoft.com/office/drawing/2014/main" id="{7F92FFD5-BC70-416F-A75A-A72292C3A7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81000"/>
        </a:xfrm>
        <a:prstGeom prst="rect">
          <a:avLst/>
        </a:prstGeom>
      </xdr:spPr>
    </xdr:pic>
    <xdr:clientData fPrintsWithSheet="0"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95FC8E-FFFF-4202-9BB8-0B1AFE98EBB1}" name="TJournal" displayName="TJournal" ref="A3:H28" totalsRowShown="0" headerRowDxfId="40" dataDxfId="161" headerRowCellStyle="Normal 2">
  <autoFilter ref="A3:H28" xr:uid="{BD95FC8E-FFFF-4202-9BB8-0B1AFE98EBB1}"/>
  <tableColumns count="8">
    <tableColumn id="1" xr3:uid="{D8E6399D-4D4E-475A-86CC-36DAAD02BDAE}" name="N° Pièce" dataDxfId="169" dataCellStyle="Normal 2"/>
    <tableColumn id="2" xr3:uid="{1EFB8109-2BBF-490C-A105-5690FF8F4E56}" name="Date d'opération" dataDxfId="168" dataCellStyle="Normal 2"/>
    <tableColumn id="3" xr3:uid="{B45CB553-69F4-4724-9448-4DE6BCC31E87}" name="Libellé" dataDxfId="167" dataCellStyle="Lien hypertexte"/>
    <tableColumn id="4" xr3:uid="{FEACF696-E2D9-4432-9C96-ECEA806E8EC5}" name="Débit" dataDxfId="166" dataCellStyle="Normal 2"/>
    <tableColumn id="5" xr3:uid="{F166068A-CB7F-4EDB-97FC-8EB2ECECC1D9}" name="Crédit" dataDxfId="165" dataCellStyle="Normal 2"/>
    <tableColumn id="6" xr3:uid="{4D5F5BBB-B22D-4623-8A5E-235B97748F8D}" name="Opération concernée" dataDxfId="164" dataCellStyle="Normal 2"/>
    <tableColumn id="7" xr3:uid="{E9CBCF2B-D890-4CF8-80F8-8B886095C327}" name="Informations" dataDxfId="163" dataCellStyle="Normal 2"/>
    <tableColumn id="8" xr3:uid="{9D83526A-2418-4F8A-AF10-2F7F243A5C09}" name="Rapprochement bancaire" dataDxfId="162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B46D38F4-5AD7-40BF-A1FA-EEB20725BEBF}" name="TCot" displayName="TCot" ref="A4:E5" insertRow="1" insertRowShift="1" totalsRowShown="0" headerRowDxfId="39" dataDxfId="41">
  <autoFilter ref="A4:E5" xr:uid="{B46D38F4-5AD7-40BF-A1FA-EEB20725BEBF}"/>
  <tableColumns count="5">
    <tableColumn id="1" xr3:uid="{417BF684-0CCC-4482-8027-7799FCB73CA6}" name="N° Pièce" dataDxfId="46"/>
    <tableColumn id="2" xr3:uid="{21796FDF-99CD-4690-9F6D-EAFE817D5D25}" name="Date Oper" dataDxfId="45"/>
    <tableColumn id="3" xr3:uid="{6283B1E1-EAC9-4A51-883E-60B9249A2E74}" name="Libellé" dataDxfId="44"/>
    <tableColumn id="4" xr3:uid="{6D1A749D-D883-482A-A0E4-1312BF25C27F}" name="Débit" dataDxfId="43"/>
    <tableColumn id="5" xr3:uid="{FFB58EC5-7C55-4D1E-B74C-05EE5D3A2120}" name="Crédit" dataDxfId="4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DD6F3152-EE1F-4E32-B90E-9EEF1CDD4F6F}" name="TPro" displayName="TPro" ref="A4:E5" insertRow="1" insertRowShift="1" totalsRowShown="0" headerRowDxfId="20" dataDxfId="47">
  <autoFilter ref="A4:E5" xr:uid="{DD6F3152-EE1F-4E32-B90E-9EEF1CDD4F6F}"/>
  <tableColumns count="5">
    <tableColumn id="1" xr3:uid="{E555545B-C3A8-4DED-B64A-5ED7E0777D6B}" name="N° Pièce" dataDxfId="52"/>
    <tableColumn id="2" xr3:uid="{FA319FC6-CA59-4371-802C-997E4A5A4FC0}" name="Date Oper" dataDxfId="51"/>
    <tableColumn id="3" xr3:uid="{DF8C0259-03F0-4FAD-9C00-DC6EA2988577}" name="Libellé" dataDxfId="50"/>
    <tableColumn id="4" xr3:uid="{E6E43DFF-11DA-498B-959C-6E5C2214788F}" name="Débit" dataDxfId="49"/>
    <tableColumn id="5" xr3:uid="{1B56DE38-B86A-4A88-BD9D-1C100042268A}" name="Crédit" dataDxfId="4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3B6B9A70-1B4C-4D14-A094-4920BA1ED89D}" name="TPor" displayName="TPor" ref="A4:E5" insertRowShift="1" totalsRowShown="0" headerRowDxfId="21" dataDxfId="53">
  <autoFilter ref="A4:E5" xr:uid="{3B6B9A70-1B4C-4D14-A094-4920BA1ED89D}"/>
  <tableColumns count="5">
    <tableColumn id="1" xr3:uid="{6B7BAC59-3DB7-4974-B271-70840D7CB0D4}" name="N° Pièce" dataDxfId="58"/>
    <tableColumn id="2" xr3:uid="{6152B9CC-5CA9-4736-8788-689C7592D011}" name="Date Oper" dataDxfId="57"/>
    <tableColumn id="3" xr3:uid="{21865D55-0CB4-4A88-B11B-C79F77F8F7DE}" name="Libellé" dataDxfId="56"/>
    <tableColumn id="4" xr3:uid="{D79EE4DB-4E42-4BDF-9450-83BA1494B5D7}" name="Débit" dataDxfId="55"/>
    <tableColumn id="5" xr3:uid="{3EEA3F26-EA84-4DD5-82DB-75263EA12044}" name="Crédit" dataDxfId="5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A3CEE22E-2C09-4AF8-A6B4-EF06A3B1D3B4}" name="TOly" displayName="TOly" ref="A4:E5" insertRowShift="1" totalsRowShown="0" headerRowDxfId="22" dataDxfId="59">
  <autoFilter ref="A4:E5" xr:uid="{A3CEE22E-2C09-4AF8-A6B4-EF06A3B1D3B4}"/>
  <tableColumns count="5">
    <tableColumn id="1" xr3:uid="{DB96E78B-990C-46B0-9EAA-329328B64C67}" name="N° Pièce" dataDxfId="64"/>
    <tableColumn id="2" xr3:uid="{47F4196C-8780-4434-9F29-816B1F523700}" name="Date Oper" dataDxfId="63"/>
    <tableColumn id="3" xr3:uid="{E972A8DD-0865-4FE1-9FE4-D3564199FE36}" name="Libellé" dataDxfId="62"/>
    <tableColumn id="4" xr3:uid="{2CDFBA9C-14A0-4EF7-899A-61B8A27BD2DD}" name="Débit" dataDxfId="61"/>
    <tableColumn id="5" xr3:uid="{2488E676-79B0-49D0-935C-EBA17037CBAA}" name="Crédit" dataDxfId="6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DCD7D112-17F8-4EAC-9818-983FF87ADC22}" name="TNoe" displayName="TNoe_1" ref="A4:E5" insertRowShift="1" totalsRowShown="0" headerRowDxfId="23" dataDxfId="65">
  <autoFilter ref="A4:E5" xr:uid="{DCD7D112-17F8-4EAC-9818-983FF87ADC22}"/>
  <tableColumns count="5">
    <tableColumn id="1" xr3:uid="{F762069C-E3F8-4229-BF35-17D5DE7A3926}" name="N° Pièce" dataDxfId="70"/>
    <tableColumn id="2" xr3:uid="{738F4646-6AB0-4930-A907-47F6BB6A1018}" name="Date Oper" dataDxfId="69"/>
    <tableColumn id="3" xr3:uid="{8B304A59-FAEC-400A-9000-55673C4A15F6}" name="Libellé" dataDxfId="68"/>
    <tableColumn id="4" xr3:uid="{69BFEDAF-4720-4FF7-A43D-A75D73797885}" name="Débit" dataDxfId="67"/>
    <tableColumn id="5" xr3:uid="{56146602-9E0D-42D8-851B-1D39AEB08FC1}" name="Crédit" dataDxfId="6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CE06DB9-94FC-4B58-9C5A-B0E2C66D0B6D}" name="TMoi" displayName="TMoi" ref="A4:E5" insertRowShift="1" totalsRowShown="0" headerRowDxfId="24" dataDxfId="71">
  <autoFilter ref="A4:E5" xr:uid="{9CE06DB9-94FC-4B58-9C5A-B0E2C66D0B6D}"/>
  <tableColumns count="5">
    <tableColumn id="1" xr3:uid="{6B397CFA-55BB-425E-8273-0640B2F612A2}" name="N° Pièce" dataDxfId="76"/>
    <tableColumn id="2" xr3:uid="{4E4EDEFD-4983-436B-AE05-FED407431435}" name="Date Oper" dataDxfId="75"/>
    <tableColumn id="3" xr3:uid="{8BBD6927-DCD3-47A1-9215-3A79C11DD880}" name="Libellé" dataDxfId="74"/>
    <tableColumn id="4" xr3:uid="{030FC166-A71A-4EA6-9E77-1C6302D378C3}" name="Débit" dataDxfId="73"/>
    <tableColumn id="5" xr3:uid="{28E6B974-6DEC-4368-A863-F9374A71321B}" name="Crédit" dataDxfId="7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DB18D05-C3AB-416B-B0F8-CA7A6853513C}" name="TInt" displayName="TInt" ref="A4:E5" insertRowShift="1" totalsRowShown="0" headerRowDxfId="25" dataDxfId="77">
  <autoFilter ref="A4:E5" xr:uid="{EDB18D05-C3AB-416B-B0F8-CA7A6853513C}"/>
  <tableColumns count="5">
    <tableColumn id="1" xr3:uid="{76A20A4E-BE94-46C6-9195-5CB44A948B8E}" name="N° Pièce" dataDxfId="82"/>
    <tableColumn id="2" xr3:uid="{46E5CE5E-62BE-41FE-816E-987782C1D011}" name="Date Oper" dataDxfId="81"/>
    <tableColumn id="3" xr3:uid="{2EE13167-FB47-49B7-A366-244629A9D10C}" name="Libellé" dataDxfId="80"/>
    <tableColumn id="4" xr3:uid="{593D48D7-08C8-4630-9A12-8D8DE3E9F330}" name="Débit" dataDxfId="79"/>
    <tableColumn id="5" xr3:uid="{675DBD99-7091-4AD0-BFB0-500CEB24ADFA}" name="Crédit" dataDxfId="78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28C3CAA-EBBF-4494-B15F-13FDF8A4ED32}" name="TFra" displayName="TFra" ref="A4:E7" insertRowShift="1" totalsRowShown="0" headerRowDxfId="26" dataDxfId="83">
  <autoFilter ref="A4:E7" xr:uid="{B28C3CAA-EBBF-4494-B15F-13FDF8A4ED32}"/>
  <tableColumns count="5">
    <tableColumn id="1" xr3:uid="{7287DB22-3604-4636-B3EA-E76812C24D70}" name="N° Pièce" dataDxfId="88"/>
    <tableColumn id="2" xr3:uid="{6B79DB7D-303D-4FF6-81CC-CBE50CA76626}" name="Date Oper" dataDxfId="87"/>
    <tableColumn id="3" xr3:uid="{C5A3CB65-7C5E-4935-AB4C-34F1F2C61CE7}" name="Libellé" dataDxfId="86"/>
    <tableColumn id="4" xr3:uid="{F146E32B-0A6B-4B9E-B735-AA567A54AE5A}" name="Débit" dataDxfId="85"/>
    <tableColumn id="5" xr3:uid="{8E2B57E9-37B4-4BD7-AFBD-BE97E90F5425}" name="Crédit" dataDxfId="84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032AE90-9F6E-4CEA-8B82-33C33F649E18}" name="TFou" displayName="TFou" ref="A4:E22" insertRowShift="1" totalsRowShown="0" headerRowDxfId="27" dataDxfId="89">
  <autoFilter ref="A4:E22" xr:uid="{7032AE90-9F6E-4CEA-8B82-33C33F649E18}"/>
  <tableColumns count="5">
    <tableColumn id="1" xr3:uid="{B1CBECA5-D347-4143-88EF-04210BCDBBFC}" name="N° Pièce" dataDxfId="94"/>
    <tableColumn id="2" xr3:uid="{77711D55-4FB7-4CC5-8C93-58671E0CF5D4}" name="Date Oper" dataDxfId="93"/>
    <tableColumn id="3" xr3:uid="{F995525A-9664-4528-8581-98302C0D6043}" name="Libellé" dataDxfId="92"/>
    <tableColumn id="4" xr3:uid="{B779D1F0-2E77-49EC-A2C2-32EB596AA843}" name="Débit" dataDxfId="91"/>
    <tableColumn id="5" xr3:uid="{7BAB946F-9E94-43EE-91A4-2C958D513271}" name="Crédit" dataDxfId="9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643A825-2313-43A2-A93A-16724F4C5C4F}" name="TStN" displayName="TStN" ref="A4:E5" insertRowShift="1" totalsRowShown="0" headerRowDxfId="28" dataDxfId="95">
  <autoFilter ref="A4:E5" xr:uid="{7643A825-2313-43A2-A93A-16724F4C5C4F}"/>
  <tableColumns count="5">
    <tableColumn id="1" xr3:uid="{B3EDCA1E-4131-4CBE-BBE3-57CEEBF1B474}" name="N° Pièce" dataDxfId="100"/>
    <tableColumn id="2" xr3:uid="{8E485B62-F76B-4AD1-99C5-C7A00873C90C}" name="Date Oper" dataDxfId="99"/>
    <tableColumn id="3" xr3:uid="{9401FE5B-6B06-43E4-AE80-C7E654246E50}" name="Libellé" dataDxfId="98"/>
    <tableColumn id="4" xr3:uid="{7BCE1C64-A77E-4AF8-AB9B-E3ACDA2023F1}" name="Débit" dataDxfId="97"/>
    <tableColumn id="5" xr3:uid="{60FED9E4-6B77-4FE1-A2A7-0EEC6A3B73BD}" name="Crédit" dataDxfId="9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8CA35C0-0237-4A84-A5B9-C69F321A3CF2}" name="TEco" displayName="TEco" ref="A4:E5" insertRowShift="1" totalsRowShown="0" headerRowDxfId="29" dataDxfId="101">
  <autoFilter ref="A4:E5" xr:uid="{D8CA35C0-0237-4A84-A5B9-C69F321A3CF2}"/>
  <tableColumns count="5">
    <tableColumn id="1" xr3:uid="{EC17DBE8-9E93-4321-8682-1A959B00FEE3}" name="N° Pièce" dataDxfId="106"/>
    <tableColumn id="2" xr3:uid="{CD809E3E-4A14-4887-B06B-DCC8A6CCE895}" name="Date Oper" dataDxfId="105"/>
    <tableColumn id="3" xr3:uid="{AF6CD12B-0791-4589-B247-9E2C8CE982D0}" name="Libellé" dataDxfId="104"/>
    <tableColumn id="4" xr3:uid="{19450FF9-BAC1-4A48-A2FF-ADB86BE55273}" name="Débit" dataDxfId="103"/>
    <tableColumn id="5" xr3:uid="{EF76AACD-2792-44FD-B170-FA4CE0074A76}" name="Crédit" dataDxfId="102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A4789ED-1B90-4CC9-A531-FCAAF38B8225}" name="TDot" displayName="TDot" ref="A4:E5" insertRowShift="1" totalsRowShown="0" headerRowDxfId="30" dataDxfId="107">
  <autoFilter ref="A4:E5" xr:uid="{9A4789ED-1B90-4CC9-A531-FCAAF38B8225}"/>
  <tableColumns count="5">
    <tableColumn id="1" xr3:uid="{A1C2FA3D-D3B2-4593-8DAB-1120219D9E3F}" name="N° Pièce" dataDxfId="112"/>
    <tableColumn id="2" xr3:uid="{7EF89CC4-DAFE-4802-92D3-870C93B1ED87}" name="Date Oper" dataDxfId="111"/>
    <tableColumn id="3" xr3:uid="{B6F400CA-2317-4F27-97A7-3D566EF6F3B4}" name="Libellé" dataDxfId="110"/>
    <tableColumn id="4" xr3:uid="{16E30CB0-A944-434F-8DCC-2D35961541B0}" name="Débit" dataDxfId="109"/>
    <tableColumn id="5" xr3:uid="{2C5C0A9D-7A5A-45CB-8A37-0DA74CFB5D6E}" name="Crédit" dataDxfId="108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4E1E024-10FE-4DD6-8E6B-5D03FB6AE0A1}" name="TNoe" displayName="TNoe" ref="A4:E5" insertRowShift="1" totalsRowShown="0" headerRowDxfId="31" dataDxfId="113">
  <autoFilter ref="A4:E5" xr:uid="{44E1E024-10FE-4DD6-8E6B-5D03FB6AE0A1}"/>
  <tableColumns count="5">
    <tableColumn id="1" xr3:uid="{8E37588E-3C51-4160-8968-BB166E31A5CA}" name="N° Pièce" dataDxfId="118"/>
    <tableColumn id="2" xr3:uid="{773DD670-71A0-4724-BDDC-F57474B35BD9}" name="Date Oper" dataDxfId="117"/>
    <tableColumn id="3" xr3:uid="{7AD8AD0F-F1FD-4E8B-92B8-CD13430BE1B1}" name="Libellé" dataDxfId="116"/>
    <tableColumn id="4" xr3:uid="{2AF9B880-97FC-4455-A6DD-563A606A0575}" name="Débit" dataDxfId="115"/>
    <tableColumn id="5" xr3:uid="{443E7B10-7170-424F-9514-788080D4E277}" name="Crédit" dataDxfId="114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7CE223-AC59-48A2-A168-9F14A5D69AC8}" name="TCro" displayName="TCro" ref="A4:E5" insertRowShift="1" totalsRowShown="0" headerRowDxfId="32" dataDxfId="119">
  <autoFilter ref="A4:E5" xr:uid="{4A7CE223-AC59-48A2-A168-9F14A5D69AC8}"/>
  <tableColumns count="5">
    <tableColumn id="1" xr3:uid="{5301A120-6FBB-4F8F-A6D4-38373AB1FF1D}" name="N° Pièce" dataDxfId="124"/>
    <tableColumn id="2" xr3:uid="{AB5A4949-30AA-49A0-9B7A-CA4C0597E59F}" name="Date Oper" dataDxfId="123"/>
    <tableColumn id="3" xr3:uid="{A3D10AB3-8FEE-4F7C-9505-877E67A2C5D9}" name="Libellé" dataDxfId="122"/>
    <tableColumn id="4" xr3:uid="{630134BE-D8C3-432C-9C0B-EECAA010AD95}" name="Débit" dataDxfId="121"/>
    <tableColumn id="5" xr3:uid="{8A3FAC11-459F-4585-9AF6-766CF45BFB5A}" name="Crédit" dataDxfId="120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D4AA20C-172D-4D15-B894-DDC1E99956B8}" name="TCom" displayName="TCom" ref="A4:E5" insertRowShift="1" totalsRowShown="0" headerRowDxfId="33" dataDxfId="125">
  <autoFilter ref="A4:E5" xr:uid="{DD4AA20C-172D-4D15-B894-DDC1E99956B8}"/>
  <tableColumns count="5">
    <tableColumn id="1" xr3:uid="{F8950526-D3ED-4D99-B6B2-69FA5E58B374}" name="N° Pièce" dataDxfId="130"/>
    <tableColumn id="2" xr3:uid="{96C07BAE-155A-4FCA-A666-B332D0B60E78}" name="Date Oper" dataDxfId="129"/>
    <tableColumn id="3" xr3:uid="{FD56A653-0CA5-4822-ACBE-B9EC86F10A42}" name="Libellé" dataDxfId="128"/>
    <tableColumn id="4" xr3:uid="{6C779E84-FBB3-4606-ABB7-8E413B128774}" name="Débit" dataDxfId="127"/>
    <tableColumn id="5" xr3:uid="{86C4054A-3E0B-4627-AEB2-4A8189B123EB}" name="Crédit" dataDxfId="12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C1F9D2A9-4B74-4841-9321-7D3FF9886F71}" name="TCar" displayName="TCar" ref="A4:E5" insertRowShift="1" totalsRowShown="0" headerRowDxfId="34" dataDxfId="131">
  <autoFilter ref="A4:E5" xr:uid="{C1F9D2A9-4B74-4841-9321-7D3FF9886F71}"/>
  <tableColumns count="5">
    <tableColumn id="1" xr3:uid="{F59405C2-5507-4BEE-9A68-0DA7DF5ACFDA}" name="N° Pièce" dataDxfId="136"/>
    <tableColumn id="2" xr3:uid="{36B9D9A5-5A50-48A7-BD7D-38B232A2588E}" name="Date Oper" dataDxfId="135"/>
    <tableColumn id="3" xr3:uid="{31382991-D441-4FE3-9A9B-72A44387D083}" name="Libellé" dataDxfId="134"/>
    <tableColumn id="4" xr3:uid="{F92AEA0B-FA67-4615-A8E9-0D775716BF6E}" name="Débit" dataDxfId="133"/>
    <tableColumn id="5" xr3:uid="{B0659F76-AB0A-42BE-A54C-58A5905B8701}" name="Crédit" dataDxfId="132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2AF5779A-2EBE-4F73-8378-2D91ED363088}" name="TBes" displayName="TBes" ref="A4:E5" insertRowShift="1" totalsRowShown="0" headerRowDxfId="35" dataDxfId="137">
  <autoFilter ref="A4:E5" xr:uid="{2AF5779A-2EBE-4F73-8378-2D91ED363088}"/>
  <tableColumns count="5">
    <tableColumn id="1" xr3:uid="{19C44313-A06D-44FB-B0E6-A0AD12A581D1}" name="N° Pièce" dataDxfId="142"/>
    <tableColumn id="2" xr3:uid="{8C98A751-7BDE-4FE7-AE75-1F1CA7B52D8C}" name="Date Oper" dataDxfId="141"/>
    <tableColumn id="3" xr3:uid="{C7769211-68CB-46F3-8A41-42323D719688}" name="Libellé" dataDxfId="140"/>
    <tableColumn id="4" xr3:uid="{7A8F9409-93F5-4D89-9BCB-061D556F992B}" name="Débit" dataDxfId="139"/>
    <tableColumn id="5" xr3:uid="{4B80CB15-D610-463B-887F-BC1747FFC644}" name="Crédit" dataDxfId="138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9B9C2081-A5A7-487E-92EC-A6A9FC6AD728}" name="TAte" displayName="TAte" ref="A4:E5" insertRowShift="1" totalsRowShown="0" headerRowDxfId="36" dataDxfId="143">
  <autoFilter ref="A4:E5" xr:uid="{9B9C2081-A5A7-487E-92EC-A6A9FC6AD728}"/>
  <tableColumns count="5">
    <tableColumn id="1" xr3:uid="{8AAD6C61-2DCD-4150-8F32-E5E4ECC23B87}" name="N° Pièce" dataDxfId="148"/>
    <tableColumn id="2" xr3:uid="{1B220E1B-B4A2-4F03-87B9-C947831F28D1}" name="Date Oper" dataDxfId="147"/>
    <tableColumn id="3" xr3:uid="{AB6D0533-5CDE-4695-8C15-29B13ECFA83F}" name="Libellé" dataDxfId="146"/>
    <tableColumn id="4" xr3:uid="{E725BEC6-55ED-41CC-83B0-4B9A2F0AEC3D}" name="Débit" dataDxfId="145"/>
    <tableColumn id="5" xr3:uid="{73BF4F96-80CE-4FA8-AFB7-B2C22F44A43F}" name="Crédit" dataDxfId="144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6462FBAA-A763-40FF-9DDA-CD7B9F1A8539}" name="TAss" displayName="TAss" ref="A4:E6" insertRowShift="1" totalsRowShown="0" headerRowDxfId="37" dataDxfId="149">
  <autoFilter ref="A4:E6" xr:uid="{6462FBAA-A763-40FF-9DDA-CD7B9F1A8539}"/>
  <tableColumns count="5">
    <tableColumn id="1" xr3:uid="{0F375FF1-BECF-49DD-A058-BECBBCFBF967}" name="N° Pièce" dataDxfId="154"/>
    <tableColumn id="2" xr3:uid="{92D7BDE5-0CA1-4010-9E7B-D92782B429A1}" name="Date Oper" dataDxfId="153"/>
    <tableColumn id="3" xr3:uid="{8D7B9A33-118B-44C6-ACC4-1BF63CA9A27E}" name="Libellé" dataDxfId="152"/>
    <tableColumn id="4" xr3:uid="{5B448A4D-28E6-4816-9667-229A5D156AD5}" name="Débit" dataDxfId="151"/>
    <tableColumn id="5" xr3:uid="{0FC1882B-9AC7-4EFF-81BB-A1D1A4D9A69F}" name="Crédit" dataDxfId="150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73B306B4-D9E4-41C4-9AB0-3AFE8F91F874}" name="TSwe" displayName="TSwe_1" ref="A4:E5" insertRowShift="1" totalsRowShown="0" headerRowDxfId="38" dataDxfId="155">
  <autoFilter ref="A4:E5" xr:uid="{73B306B4-D9E4-41C4-9AB0-3AFE8F91F874}"/>
  <tableColumns count="5">
    <tableColumn id="1" xr3:uid="{6FD5BB35-51E9-44D9-839F-586EAFBAEA09}" name="N° Pièce" dataDxfId="160"/>
    <tableColumn id="2" xr3:uid="{228988A6-B64C-4258-B6EA-84918554B31D}" name="Date Oper" dataDxfId="159"/>
    <tableColumn id="3" xr3:uid="{29AA7412-E657-4F4B-A764-AB650378C96A}" name="Libellé" dataDxfId="158"/>
    <tableColumn id="4" xr3:uid="{241589BF-BED3-49BC-A870-2E34A3B1FCC3}" name="Débit" dataDxfId="157"/>
    <tableColumn id="5" xr3:uid="{8BA918EE-D6D1-4B72-810A-5C5E21A35D03}" name="Crédit" dataDxfId="15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1.xml"/><Relationship Id="rId1" Type="http://schemas.openxmlformats.org/officeDocument/2006/relationships/drawing" Target="../drawings/drawing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41270-C802-4FE7-9634-888E1A25DA16}">
  <sheetPr codeName="WsJ"/>
  <dimension ref="A1:H28"/>
  <sheetViews>
    <sheetView tabSelected="1" zoomScaleNormal="100" workbookViewId="0">
      <selection activeCell="H3" sqref="A3:H3"/>
    </sheetView>
  </sheetViews>
  <sheetFormatPr baseColWidth="10" defaultColWidth="11" defaultRowHeight="13.5" customHeight="1"/>
  <cols>
    <col min="1" max="1" width="12.7109375" style="1" customWidth="1"/>
    <col min="2" max="2" width="19.85546875" style="1" customWidth="1"/>
    <col min="3" max="3" width="28.85546875" style="1" customWidth="1"/>
    <col min="4" max="4" width="13.28515625" style="1" customWidth="1"/>
    <col min="5" max="5" width="13.28515625" style="1" bestFit="1" customWidth="1"/>
    <col min="6" max="6" width="23.85546875" style="1" customWidth="1"/>
    <col min="7" max="7" width="30.28515625" style="1" customWidth="1"/>
    <col min="8" max="8" width="29.42578125" style="1" customWidth="1"/>
    <col min="9" max="16384" width="11" style="1"/>
  </cols>
  <sheetData>
    <row r="1" spans="1:8" ht="21" customHeight="1">
      <c r="B1" s="3"/>
      <c r="C1" s="3"/>
      <c r="D1" s="3"/>
      <c r="E1" s="4" t="s">
        <v>18</v>
      </c>
      <c r="F1" s="3"/>
      <c r="G1" s="3"/>
      <c r="H1" s="3"/>
    </row>
    <row r="2" spans="1:8" ht="19.149999999999999" customHeight="1"/>
    <row r="3" spans="1:8" s="2" customFormat="1" ht="21.75" customHeight="1">
      <c r="A3" s="29" t="s">
        <v>28</v>
      </c>
      <c r="B3" s="29" t="s">
        <v>19</v>
      </c>
      <c r="C3" s="30" t="s">
        <v>20</v>
      </c>
      <c r="D3" s="31" t="s">
        <v>21</v>
      </c>
      <c r="E3" s="32" t="s">
        <v>22</v>
      </c>
      <c r="F3" s="32" t="s">
        <v>23</v>
      </c>
      <c r="G3" s="32" t="s">
        <v>24</v>
      </c>
      <c r="H3" s="32" t="s">
        <v>25</v>
      </c>
    </row>
    <row r="4" spans="1:8" ht="19.899999999999999" customHeight="1">
      <c r="A4" s="21">
        <v>1</v>
      </c>
      <c r="B4" s="24">
        <v>45505</v>
      </c>
      <c r="C4" s="25"/>
      <c r="D4" s="26"/>
      <c r="E4" s="26">
        <v>2444</v>
      </c>
      <c r="F4" s="21" t="s">
        <v>0</v>
      </c>
      <c r="G4" s="21"/>
      <c r="H4" s="20"/>
    </row>
    <row r="5" spans="1:8" ht="19.899999999999999" customHeight="1">
      <c r="A5" s="21">
        <v>2</v>
      </c>
      <c r="B5" s="24">
        <v>45505</v>
      </c>
      <c r="C5" s="27"/>
      <c r="D5" s="26"/>
      <c r="E5" s="26">
        <v>4031</v>
      </c>
      <c r="F5" s="21" t="s">
        <v>0</v>
      </c>
      <c r="G5" s="21"/>
      <c r="H5" s="21"/>
    </row>
    <row r="6" spans="1:8" ht="19.899999999999999" customHeight="1">
      <c r="A6" s="21">
        <v>3</v>
      </c>
      <c r="B6" s="24">
        <v>45505</v>
      </c>
      <c r="C6" s="27"/>
      <c r="D6" s="26"/>
      <c r="E6" s="26">
        <v>3751</v>
      </c>
      <c r="F6" s="21" t="s">
        <v>0</v>
      </c>
      <c r="G6" s="21"/>
      <c r="H6" s="21"/>
    </row>
    <row r="7" spans="1:8" ht="19.899999999999999" customHeight="1">
      <c r="A7" s="21">
        <v>4</v>
      </c>
      <c r="B7" s="24">
        <v>45505</v>
      </c>
      <c r="C7" s="27"/>
      <c r="D7" s="26"/>
      <c r="E7" s="26">
        <v>10912</v>
      </c>
      <c r="F7" s="21" t="s">
        <v>0</v>
      </c>
      <c r="G7" s="21"/>
      <c r="H7" s="21"/>
    </row>
    <row r="8" spans="1:8" ht="19.899999999999999" customHeight="1">
      <c r="A8" s="21">
        <v>5</v>
      </c>
      <c r="B8" s="24">
        <v>45505</v>
      </c>
      <c r="C8" s="27"/>
      <c r="D8" s="26"/>
      <c r="E8" s="26">
        <v>648</v>
      </c>
      <c r="F8" s="21" t="s">
        <v>0</v>
      </c>
      <c r="G8" s="21"/>
      <c r="H8" s="21"/>
    </row>
    <row r="9" spans="1:8" ht="19.899999999999999" customHeight="1">
      <c r="A9" s="21">
        <v>6</v>
      </c>
      <c r="B9" s="24">
        <v>45505</v>
      </c>
      <c r="C9" s="27"/>
      <c r="D9" s="26"/>
      <c r="E9" s="26">
        <v>1932</v>
      </c>
      <c r="F9" s="21" t="s">
        <v>0</v>
      </c>
      <c r="G9" s="21"/>
      <c r="H9" s="21"/>
    </row>
    <row r="10" spans="1:8" ht="19.899999999999999" customHeight="1">
      <c r="A10" s="21">
        <v>7</v>
      </c>
      <c r="B10" s="24">
        <v>45505</v>
      </c>
      <c r="C10" s="27"/>
      <c r="D10" s="26"/>
      <c r="E10" s="26">
        <v>4834</v>
      </c>
      <c r="F10" s="21" t="s">
        <v>0</v>
      </c>
      <c r="G10" s="21"/>
      <c r="H10" s="21"/>
    </row>
    <row r="11" spans="1:8" ht="19.899999999999999" customHeight="1">
      <c r="A11" s="21">
        <v>8</v>
      </c>
      <c r="B11" s="24">
        <v>45505</v>
      </c>
      <c r="C11" s="27"/>
      <c r="D11" s="26"/>
      <c r="E11" s="26">
        <v>807.5</v>
      </c>
      <c r="F11" s="21" t="s">
        <v>0</v>
      </c>
      <c r="G11" s="21"/>
      <c r="H11" s="21"/>
    </row>
    <row r="12" spans="1:8" ht="19.899999999999999" customHeight="1">
      <c r="A12" s="21">
        <v>9</v>
      </c>
      <c r="B12" s="24">
        <v>45505</v>
      </c>
      <c r="C12" s="27"/>
      <c r="D12" s="26"/>
      <c r="E12" s="26">
        <v>876</v>
      </c>
      <c r="F12" s="21" t="s">
        <v>0</v>
      </c>
      <c r="G12" s="21"/>
      <c r="H12" s="21"/>
    </row>
    <row r="13" spans="1:8" ht="19.899999999999999" customHeight="1">
      <c r="A13" s="21">
        <v>10</v>
      </c>
      <c r="B13" s="24">
        <v>45505</v>
      </c>
      <c r="C13" s="27"/>
      <c r="D13" s="26"/>
      <c r="E13" s="26">
        <v>1895</v>
      </c>
      <c r="F13" s="21" t="s">
        <v>0</v>
      </c>
      <c r="G13" s="21" t="s">
        <v>73</v>
      </c>
      <c r="H13" s="21"/>
    </row>
    <row r="14" spans="1:8" ht="19.899999999999999" customHeight="1">
      <c r="A14" s="21">
        <v>11</v>
      </c>
      <c r="B14" s="24">
        <v>45505</v>
      </c>
      <c r="C14" s="27"/>
      <c r="D14" s="26"/>
      <c r="E14" s="26">
        <v>97.3</v>
      </c>
      <c r="F14" s="21" t="s">
        <v>0</v>
      </c>
      <c r="G14" s="21"/>
      <c r="H14" s="21"/>
    </row>
    <row r="15" spans="1:8" ht="19.899999999999999" customHeight="1">
      <c r="A15" s="21">
        <v>12</v>
      </c>
      <c r="B15" s="24">
        <v>45505</v>
      </c>
      <c r="C15" s="27"/>
      <c r="D15" s="26"/>
      <c r="E15" s="26">
        <v>1395</v>
      </c>
      <c r="F15" s="21" t="s">
        <v>0</v>
      </c>
      <c r="G15" s="21"/>
      <c r="H15" s="21"/>
    </row>
    <row r="16" spans="1:8" ht="19.899999999999999" customHeight="1">
      <c r="A16" s="21">
        <v>13</v>
      </c>
      <c r="B16" s="24">
        <v>45505</v>
      </c>
      <c r="C16" s="27"/>
      <c r="D16" s="26"/>
      <c r="E16" s="26">
        <v>457.5</v>
      </c>
      <c r="F16" s="21" t="s">
        <v>0</v>
      </c>
      <c r="G16" s="21"/>
      <c r="H16" s="21"/>
    </row>
    <row r="17" spans="1:8" ht="19.899999999999999" customHeight="1">
      <c r="A17" s="21">
        <v>14</v>
      </c>
      <c r="B17" s="24">
        <v>45507</v>
      </c>
      <c r="C17" s="27"/>
      <c r="D17" s="26">
        <v>32397.78</v>
      </c>
      <c r="E17" s="26"/>
      <c r="F17" s="21" t="s">
        <v>0</v>
      </c>
      <c r="G17" s="21"/>
      <c r="H17" s="21"/>
    </row>
    <row r="18" spans="1:8" ht="19.899999999999999" customHeight="1">
      <c r="A18" s="21">
        <v>15</v>
      </c>
      <c r="B18" s="24">
        <v>45510</v>
      </c>
      <c r="C18" s="27"/>
      <c r="D18" s="26">
        <v>175.93</v>
      </c>
      <c r="E18" s="26"/>
      <c r="F18" s="21" t="s">
        <v>13</v>
      </c>
      <c r="G18" s="21"/>
      <c r="H18" s="21"/>
    </row>
    <row r="19" spans="1:8" ht="19.899999999999999" customHeight="1">
      <c r="A19" s="21">
        <v>16</v>
      </c>
      <c r="B19" s="24">
        <v>45514</v>
      </c>
      <c r="C19" s="27"/>
      <c r="D19" s="26">
        <v>205</v>
      </c>
      <c r="E19" s="26"/>
      <c r="F19" s="21" t="s">
        <v>0</v>
      </c>
      <c r="G19" s="21" t="s">
        <v>74</v>
      </c>
      <c r="H19" s="21"/>
    </row>
    <row r="20" spans="1:8" ht="19.899999999999999" customHeight="1">
      <c r="A20" s="21">
        <v>17</v>
      </c>
      <c r="B20" s="24">
        <v>45530</v>
      </c>
      <c r="C20" s="27"/>
      <c r="D20" s="26">
        <v>249.89</v>
      </c>
      <c r="E20" s="26"/>
      <c r="F20" s="21" t="s">
        <v>75</v>
      </c>
      <c r="G20" s="21" t="s">
        <v>76</v>
      </c>
      <c r="H20" s="21"/>
    </row>
    <row r="21" spans="1:8" ht="19.899999999999999" customHeight="1">
      <c r="A21" s="21">
        <v>18</v>
      </c>
      <c r="B21" s="24">
        <v>45534</v>
      </c>
      <c r="C21" s="27"/>
      <c r="D21" s="26">
        <v>13.76</v>
      </c>
      <c r="E21" s="26"/>
      <c r="F21" s="21" t="s">
        <v>0</v>
      </c>
      <c r="G21" s="21"/>
      <c r="H21" s="21"/>
    </row>
    <row r="22" spans="1:8" ht="19.899999999999999" customHeight="1">
      <c r="A22" s="21">
        <v>19</v>
      </c>
      <c r="B22" s="24">
        <v>45536</v>
      </c>
      <c r="C22" s="27"/>
      <c r="D22" s="26">
        <v>136</v>
      </c>
      <c r="E22" s="26"/>
      <c r="F22" s="21" t="s">
        <v>0</v>
      </c>
      <c r="G22" s="21"/>
      <c r="H22" s="21"/>
    </row>
    <row r="23" spans="1:8" ht="19.899999999999999" customHeight="1">
      <c r="A23" s="21">
        <v>20</v>
      </c>
      <c r="B23" s="24">
        <v>45536</v>
      </c>
      <c r="C23" s="27"/>
      <c r="D23" s="26"/>
      <c r="E23" s="26">
        <v>136</v>
      </c>
      <c r="F23" s="21" t="s">
        <v>0</v>
      </c>
      <c r="G23" s="21"/>
      <c r="H23" s="21"/>
    </row>
    <row r="24" spans="1:8" ht="19.899999999999999" customHeight="1">
      <c r="A24" s="21">
        <v>21</v>
      </c>
      <c r="B24" s="24">
        <v>45537</v>
      </c>
      <c r="C24" s="27"/>
      <c r="D24" s="26">
        <v>16.989999999999998</v>
      </c>
      <c r="E24" s="26"/>
      <c r="F24" s="21" t="s">
        <v>13</v>
      </c>
      <c r="G24" s="21"/>
      <c r="H24" s="21"/>
    </row>
    <row r="25" spans="1:8" ht="19.899999999999999" customHeight="1">
      <c r="A25" s="21">
        <v>22</v>
      </c>
      <c r="B25" s="24">
        <v>45550</v>
      </c>
      <c r="C25" s="27"/>
      <c r="D25" s="26"/>
      <c r="E25" s="26">
        <v>50</v>
      </c>
      <c r="F25" s="21" t="s">
        <v>4</v>
      </c>
      <c r="G25" s="21"/>
      <c r="H25" s="21"/>
    </row>
    <row r="26" spans="1:8" ht="19.899999999999999" customHeight="1">
      <c r="A26" s="21">
        <v>23</v>
      </c>
      <c r="B26" s="24">
        <v>45558</v>
      </c>
      <c r="C26" s="27"/>
      <c r="D26" s="26"/>
      <c r="E26" s="26">
        <v>54.5</v>
      </c>
      <c r="F26" s="21" t="s">
        <v>13</v>
      </c>
      <c r="G26" s="21"/>
      <c r="H26" s="21"/>
    </row>
    <row r="27" spans="1:8" ht="19.899999999999999" customHeight="1">
      <c r="A27" s="21">
        <v>24</v>
      </c>
      <c r="B27" s="24">
        <v>45560</v>
      </c>
      <c r="C27" s="27"/>
      <c r="D27" s="26"/>
      <c r="E27" s="26">
        <v>393.6</v>
      </c>
      <c r="F27" s="21" t="s">
        <v>77</v>
      </c>
      <c r="G27" s="21"/>
      <c r="H27" s="21"/>
    </row>
    <row r="28" spans="1:8" ht="19.899999999999999" customHeight="1">
      <c r="A28" s="21">
        <v>25</v>
      </c>
      <c r="B28" s="24">
        <v>45560</v>
      </c>
      <c r="C28" s="27"/>
      <c r="D28" s="26"/>
      <c r="E28" s="26">
        <v>262.29000000000002</v>
      </c>
      <c r="F28" s="21" t="s">
        <v>4</v>
      </c>
      <c r="G28" s="21"/>
      <c r="H28" s="21"/>
    </row>
  </sheetData>
  <phoneticPr fontId="7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EEE21F5-A7F6-4306-A97D-A215F40E4128}">
          <x14:formula1>
            <xm:f>Param!$A$2:$A$21</xm:f>
          </x14:formula1>
          <xm:sqref>F4:F28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21C3B-229D-4E7B-8AF7-7BC269C22ECE}">
  <sheetPr codeName="WsP"/>
  <dimension ref="A1:B21"/>
  <sheetViews>
    <sheetView workbookViewId="0"/>
  </sheetViews>
  <sheetFormatPr baseColWidth="10" defaultColWidth="8.85546875" defaultRowHeight="15.75"/>
  <cols>
    <col min="1" max="1" width="27.7109375" style="1" bestFit="1" customWidth="1"/>
    <col min="2" max="2" width="14.5703125" style="1" customWidth="1"/>
    <col min="3" max="16384" width="8.85546875" style="1"/>
  </cols>
  <sheetData>
    <row r="1" spans="1:2">
      <c r="A1" s="2" t="s">
        <v>51</v>
      </c>
      <c r="B1" s="1" t="s">
        <v>71</v>
      </c>
    </row>
    <row r="2" spans="1:2">
      <c r="A2" s="28" t="s">
        <v>16</v>
      </c>
      <c r="B2" s="7" t="s">
        <v>52</v>
      </c>
    </row>
    <row r="3" spans="1:2">
      <c r="A3" s="6" t="s">
        <v>4</v>
      </c>
      <c r="B3" s="7" t="s">
        <v>53</v>
      </c>
    </row>
    <row r="4" spans="1:2">
      <c r="A4" s="6" t="s">
        <v>5</v>
      </c>
      <c r="B4" s="7" t="s">
        <v>54</v>
      </c>
    </row>
    <row r="5" spans="1:2">
      <c r="A5" s="6" t="s">
        <v>12</v>
      </c>
      <c r="B5" s="7" t="s">
        <v>55</v>
      </c>
    </row>
    <row r="6" spans="1:2">
      <c r="A6" s="28" t="s">
        <v>26</v>
      </c>
      <c r="B6" s="7" t="s">
        <v>56</v>
      </c>
    </row>
    <row r="7" spans="1:2">
      <c r="A7" s="28" t="s">
        <v>2</v>
      </c>
      <c r="B7" s="7" t="s">
        <v>57</v>
      </c>
    </row>
    <row r="8" spans="1:2">
      <c r="A8" s="28" t="s">
        <v>14</v>
      </c>
      <c r="B8" s="7" t="s">
        <v>58</v>
      </c>
    </row>
    <row r="9" spans="1:2">
      <c r="A9" s="6" t="s">
        <v>6</v>
      </c>
      <c r="B9" s="7" t="s">
        <v>59</v>
      </c>
    </row>
    <row r="10" spans="1:2">
      <c r="A10" s="6" t="s">
        <v>9</v>
      </c>
      <c r="B10" s="7" t="s">
        <v>60</v>
      </c>
    </row>
    <row r="11" spans="1:2">
      <c r="A11" s="28" t="s">
        <v>27</v>
      </c>
      <c r="B11" s="7" t="s">
        <v>61</v>
      </c>
    </row>
    <row r="12" spans="1:2">
      <c r="A12" s="28" t="s">
        <v>3</v>
      </c>
      <c r="B12" s="7" t="s">
        <v>62</v>
      </c>
    </row>
    <row r="13" spans="1:2">
      <c r="A13" s="6" t="s">
        <v>7</v>
      </c>
      <c r="B13" s="7" t="s">
        <v>63</v>
      </c>
    </row>
    <row r="14" spans="1:2">
      <c r="A14" s="28" t="s">
        <v>0</v>
      </c>
      <c r="B14" s="7" t="s">
        <v>64</v>
      </c>
    </row>
    <row r="15" spans="1:2">
      <c r="A15" s="28" t="s">
        <v>13</v>
      </c>
      <c r="B15" s="7" t="s">
        <v>65</v>
      </c>
    </row>
    <row r="16" spans="1:2">
      <c r="A16" s="28" t="s">
        <v>15</v>
      </c>
      <c r="B16" s="7" t="s">
        <v>66</v>
      </c>
    </row>
    <row r="17" spans="1:2">
      <c r="A17" s="6" t="s">
        <v>11</v>
      </c>
      <c r="B17" s="7" t="s">
        <v>67</v>
      </c>
    </row>
    <row r="18" spans="1:2">
      <c r="A18" s="28" t="s">
        <v>1</v>
      </c>
      <c r="B18" s="7" t="s">
        <v>60</v>
      </c>
    </row>
    <row r="19" spans="1:2">
      <c r="A19" s="6" t="s">
        <v>10</v>
      </c>
      <c r="B19" s="7" t="s">
        <v>68</v>
      </c>
    </row>
    <row r="20" spans="1:2">
      <c r="A20" s="6" t="s">
        <v>8</v>
      </c>
      <c r="B20" s="7" t="s">
        <v>69</v>
      </c>
    </row>
    <row r="21" spans="1:2">
      <c r="A21" s="28" t="s">
        <v>17</v>
      </c>
      <c r="B21" s="7" t="s">
        <v>70</v>
      </c>
    </row>
  </sheetData>
  <sortState xmlns:xlrd2="http://schemas.microsoft.com/office/spreadsheetml/2017/richdata2" ref="A2:A21">
    <sortCondition ref="A2:A21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FBF0A-7510-4545-8A2B-20C09BA70DFF}">
  <sheetPr codeName="Feuil7"/>
  <dimension ref="A1:E5"/>
  <sheetViews>
    <sheetView workbookViewId="0">
      <selection activeCell="A4" sqref="A4:E4"/>
    </sheetView>
  </sheetViews>
  <sheetFormatPr baseColWidth="10" defaultColWidth="17.140625" defaultRowHeight="15.75"/>
  <cols>
    <col min="1" max="1" width="17.140625" style="8"/>
    <col min="2" max="2" width="17.140625" style="15"/>
    <col min="3" max="3" width="37" style="14" customWidth="1"/>
    <col min="4" max="5" width="17.140625" style="10"/>
    <col min="6" max="16384" width="17.140625" style="1"/>
  </cols>
  <sheetData>
    <row r="1" spans="1:5">
      <c r="C1" s="12" t="s">
        <v>36</v>
      </c>
    </row>
    <row r="3" spans="1:5">
      <c r="A3" s="18" t="s">
        <v>50</v>
      </c>
      <c r="B3" s="16">
        <f>E3-D3</f>
        <v>0</v>
      </c>
      <c r="C3" s="19" t="s">
        <v>72</v>
      </c>
      <c r="D3" s="17">
        <f>SUM(TCot[Débit])</f>
        <v>0</v>
      </c>
      <c r="E3" s="17">
        <f>SUM(TCot[Crédit])</f>
        <v>0</v>
      </c>
    </row>
    <row r="4" spans="1:5">
      <c r="A4" s="33" t="s">
        <v>28</v>
      </c>
      <c r="B4" s="34" t="s">
        <v>29</v>
      </c>
      <c r="C4" s="35" t="s">
        <v>20</v>
      </c>
      <c r="D4" s="36" t="s">
        <v>21</v>
      </c>
      <c r="E4" s="36" t="s">
        <v>22</v>
      </c>
    </row>
    <row r="5" spans="1:5">
      <c r="A5" s="9"/>
      <c r="B5" s="5"/>
      <c r="C5" s="13"/>
      <c r="D5" s="11"/>
      <c r="E5" s="11"/>
    </row>
  </sheetData>
  <conditionalFormatting sqref="A3:B3">
    <cfRule type="expression" dxfId="19" priority="1">
      <formula>$E$3=0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0EEEF-7001-41EE-83B8-9D3C1AA812B6}">
  <sheetPr codeName="Feuil20"/>
  <dimension ref="A1:E5"/>
  <sheetViews>
    <sheetView workbookViewId="0">
      <selection activeCell="A4" sqref="A4:E4"/>
    </sheetView>
  </sheetViews>
  <sheetFormatPr baseColWidth="10" defaultColWidth="17.140625" defaultRowHeight="15.75"/>
  <cols>
    <col min="1" max="1" width="17.140625" style="8"/>
    <col min="2" max="2" width="17.140625" style="15"/>
    <col min="3" max="3" width="37" style="14" customWidth="1"/>
    <col min="4" max="5" width="17.140625" style="10"/>
    <col min="6" max="16384" width="17.140625" style="1"/>
  </cols>
  <sheetData>
    <row r="1" spans="1:5">
      <c r="C1" s="12" t="s">
        <v>49</v>
      </c>
    </row>
    <row r="3" spans="1:5">
      <c r="A3" s="18" t="s">
        <v>50</v>
      </c>
      <c r="B3" s="16">
        <f>E3-D3</f>
        <v>0</v>
      </c>
      <c r="C3" s="19" t="s">
        <v>72</v>
      </c>
      <c r="D3" s="17">
        <f>SUM(TPro[Débit])</f>
        <v>0</v>
      </c>
      <c r="E3" s="17">
        <f>SUM(TPro[Crédit])</f>
        <v>0</v>
      </c>
    </row>
    <row r="4" spans="1:5">
      <c r="A4" s="33" t="s">
        <v>28</v>
      </c>
      <c r="B4" s="34" t="s">
        <v>29</v>
      </c>
      <c r="C4" s="35" t="s">
        <v>20</v>
      </c>
      <c r="D4" s="36" t="s">
        <v>21</v>
      </c>
      <c r="E4" s="36" t="s">
        <v>22</v>
      </c>
    </row>
    <row r="5" spans="1:5">
      <c r="A5" s="9"/>
      <c r="B5" s="5"/>
      <c r="C5" s="13"/>
      <c r="D5" s="11"/>
      <c r="E5" s="11"/>
    </row>
  </sheetData>
  <conditionalFormatting sqref="A3:B3">
    <cfRule type="expression" dxfId="18" priority="1">
      <formula>$E$3=0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62642-2474-4490-A359-81DAF70C879F}">
  <sheetPr codeName="Feuil19"/>
  <dimension ref="A1:E5"/>
  <sheetViews>
    <sheetView workbookViewId="0">
      <selection activeCell="A4" sqref="A4:E4"/>
    </sheetView>
  </sheetViews>
  <sheetFormatPr baseColWidth="10" defaultColWidth="17.140625" defaultRowHeight="15.75"/>
  <cols>
    <col min="1" max="1" width="17.140625" style="8"/>
    <col min="2" max="2" width="17.140625" style="15"/>
    <col min="3" max="3" width="37" style="14" customWidth="1"/>
    <col min="4" max="5" width="17.140625" style="10"/>
    <col min="6" max="16384" width="17.140625" style="1"/>
  </cols>
  <sheetData>
    <row r="1" spans="1:5">
      <c r="C1" s="12" t="s">
        <v>48</v>
      </c>
    </row>
    <row r="3" spans="1:5">
      <c r="A3" s="18" t="s">
        <v>50</v>
      </c>
      <c r="B3" s="16">
        <f>E3-D3</f>
        <v>0</v>
      </c>
      <c r="C3" s="19" t="s">
        <v>72</v>
      </c>
      <c r="D3" s="17">
        <f>SUM(TPor[Débit])</f>
        <v>0</v>
      </c>
      <c r="E3" s="17">
        <f>SUM(TPor[Crédit])</f>
        <v>0</v>
      </c>
    </row>
    <row r="4" spans="1:5">
      <c r="A4" s="33" t="s">
        <v>28</v>
      </c>
      <c r="B4" s="34" t="s">
        <v>29</v>
      </c>
      <c r="C4" s="35" t="s">
        <v>20</v>
      </c>
      <c r="D4" s="36" t="s">
        <v>21</v>
      </c>
      <c r="E4" s="36" t="s">
        <v>22</v>
      </c>
    </row>
    <row r="5" spans="1:5">
      <c r="A5" s="9"/>
      <c r="B5" s="5"/>
      <c r="C5" s="13"/>
      <c r="D5" s="11"/>
      <c r="E5" s="11"/>
    </row>
  </sheetData>
  <conditionalFormatting sqref="A3:B3">
    <cfRule type="expression" dxfId="17" priority="1">
      <formula>$E$3=0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F17D3-AEA9-4458-97CC-A26564DEB286}">
  <sheetPr codeName="Feuil18"/>
  <dimension ref="A1:E5"/>
  <sheetViews>
    <sheetView workbookViewId="0">
      <selection activeCell="A4" sqref="A4:E4"/>
    </sheetView>
  </sheetViews>
  <sheetFormatPr baseColWidth="10" defaultColWidth="17.140625" defaultRowHeight="15.75"/>
  <cols>
    <col min="1" max="1" width="17.140625" style="8"/>
    <col min="2" max="2" width="17.140625" style="15"/>
    <col min="3" max="3" width="37" style="14" customWidth="1"/>
    <col min="4" max="5" width="17.140625" style="10"/>
    <col min="6" max="16384" width="17.140625" style="1"/>
  </cols>
  <sheetData>
    <row r="1" spans="1:5">
      <c r="C1" s="12" t="s">
        <v>47</v>
      </c>
    </row>
    <row r="3" spans="1:5">
      <c r="A3" s="18" t="s">
        <v>50</v>
      </c>
      <c r="B3" s="16">
        <f>E3-D3</f>
        <v>0</v>
      </c>
      <c r="C3" s="19" t="s">
        <v>72</v>
      </c>
      <c r="D3" s="17">
        <f>SUM(TOly[Débit])</f>
        <v>0</v>
      </c>
      <c r="E3" s="17">
        <f>SUM(TOly[Crédit])</f>
        <v>0</v>
      </c>
    </row>
    <row r="4" spans="1:5">
      <c r="A4" s="33" t="s">
        <v>28</v>
      </c>
      <c r="B4" s="34" t="s">
        <v>29</v>
      </c>
      <c r="C4" s="35" t="s">
        <v>20</v>
      </c>
      <c r="D4" s="36" t="s">
        <v>21</v>
      </c>
      <c r="E4" s="36" t="s">
        <v>22</v>
      </c>
    </row>
    <row r="5" spans="1:5">
      <c r="A5" s="9"/>
      <c r="B5" s="5"/>
      <c r="C5" s="13"/>
      <c r="D5" s="11"/>
      <c r="E5" s="11"/>
    </row>
  </sheetData>
  <conditionalFormatting sqref="A3:B3">
    <cfRule type="expression" dxfId="16" priority="1">
      <formula>$E$3=0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768AD-9928-4377-9498-A47FD0A39872}">
  <sheetPr codeName="Feuil17"/>
  <dimension ref="A1:E5"/>
  <sheetViews>
    <sheetView workbookViewId="0">
      <selection activeCell="A4" sqref="A4:E4"/>
    </sheetView>
  </sheetViews>
  <sheetFormatPr baseColWidth="10" defaultColWidth="17.140625" defaultRowHeight="15.75"/>
  <cols>
    <col min="1" max="1" width="17.140625" style="8"/>
    <col min="2" max="2" width="17.140625" style="15"/>
    <col min="3" max="3" width="37" style="14" customWidth="1"/>
    <col min="4" max="5" width="17.140625" style="10"/>
    <col min="6" max="16384" width="17.140625" style="1"/>
  </cols>
  <sheetData>
    <row r="1" spans="1:5">
      <c r="C1" s="12" t="s">
        <v>46</v>
      </c>
    </row>
    <row r="3" spans="1:5">
      <c r="A3" s="18" t="s">
        <v>50</v>
      </c>
      <c r="B3" s="16">
        <f>E3-D3</f>
        <v>0</v>
      </c>
      <c r="C3" s="19" t="s">
        <v>72</v>
      </c>
      <c r="D3" s="17">
        <f>SUM(TNoe_1[Débit])</f>
        <v>0</v>
      </c>
      <c r="E3" s="17">
        <f>SUM(TNoe_1[Crédit])</f>
        <v>0</v>
      </c>
    </row>
    <row r="4" spans="1:5">
      <c r="A4" s="33" t="s">
        <v>28</v>
      </c>
      <c r="B4" s="34" t="s">
        <v>29</v>
      </c>
      <c r="C4" s="35" t="s">
        <v>20</v>
      </c>
      <c r="D4" s="36" t="s">
        <v>21</v>
      </c>
      <c r="E4" s="36" t="s">
        <v>22</v>
      </c>
    </row>
    <row r="5" spans="1:5">
      <c r="A5" s="9"/>
      <c r="B5" s="5"/>
      <c r="C5" s="13"/>
      <c r="D5" s="11"/>
      <c r="E5" s="11"/>
    </row>
  </sheetData>
  <conditionalFormatting sqref="A3:B3">
    <cfRule type="expression" dxfId="15" priority="1">
      <formula>$E$3=0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2B73A-6ED8-4080-8BDC-AA58E69DEAA8}">
  <sheetPr codeName="Feuil16"/>
  <dimension ref="A1:E5"/>
  <sheetViews>
    <sheetView workbookViewId="0">
      <selection activeCell="A4" sqref="A4:E4"/>
    </sheetView>
  </sheetViews>
  <sheetFormatPr baseColWidth="10" defaultColWidth="17.140625" defaultRowHeight="15.75"/>
  <cols>
    <col min="1" max="1" width="17.140625" style="8"/>
    <col min="2" max="2" width="17.140625" style="15"/>
    <col min="3" max="3" width="37" style="14" customWidth="1"/>
    <col min="4" max="5" width="17.140625" style="10"/>
    <col min="6" max="16384" width="17.140625" style="1"/>
  </cols>
  <sheetData>
    <row r="1" spans="1:5">
      <c r="C1" s="12" t="s">
        <v>45</v>
      </c>
    </row>
    <row r="3" spans="1:5">
      <c r="A3" s="18" t="s">
        <v>50</v>
      </c>
      <c r="B3" s="16">
        <f>E3-D3</f>
        <v>0</v>
      </c>
      <c r="C3" s="19" t="s">
        <v>72</v>
      </c>
      <c r="D3" s="17">
        <f>SUM(TMoi[Débit])</f>
        <v>0</v>
      </c>
      <c r="E3" s="17">
        <f>SUM(TMoi[Crédit])</f>
        <v>0</v>
      </c>
    </row>
    <row r="4" spans="1:5">
      <c r="A4" s="33" t="s">
        <v>28</v>
      </c>
      <c r="B4" s="34" t="s">
        <v>29</v>
      </c>
      <c r="C4" s="35" t="s">
        <v>20</v>
      </c>
      <c r="D4" s="36" t="s">
        <v>21</v>
      </c>
      <c r="E4" s="36" t="s">
        <v>22</v>
      </c>
    </row>
    <row r="5" spans="1:5">
      <c r="A5" s="9"/>
      <c r="B5" s="5"/>
      <c r="C5" s="13"/>
      <c r="D5" s="11"/>
      <c r="E5" s="11"/>
    </row>
  </sheetData>
  <conditionalFormatting sqref="A3:B3">
    <cfRule type="expression" dxfId="14" priority="1">
      <formula>$E$3=0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12A67-1D5D-4EF2-934B-C986BBDD3273}">
  <sheetPr codeName="Feuil15"/>
  <dimension ref="A1:E5"/>
  <sheetViews>
    <sheetView workbookViewId="0">
      <selection activeCell="A4" sqref="A4:E4"/>
    </sheetView>
  </sheetViews>
  <sheetFormatPr baseColWidth="10" defaultColWidth="17.140625" defaultRowHeight="15.75"/>
  <cols>
    <col min="1" max="1" width="17.140625" style="8"/>
    <col min="2" max="2" width="17.140625" style="15"/>
    <col min="3" max="3" width="37" style="14" customWidth="1"/>
    <col min="4" max="5" width="17.140625" style="10"/>
    <col min="6" max="16384" width="17.140625" style="1"/>
  </cols>
  <sheetData>
    <row r="1" spans="1:5">
      <c r="C1" s="12" t="s">
        <v>44</v>
      </c>
    </row>
    <row r="3" spans="1:5">
      <c r="A3" s="18" t="s">
        <v>50</v>
      </c>
      <c r="B3" s="16">
        <f>E3-D3</f>
        <v>0</v>
      </c>
      <c r="C3" s="19" t="s">
        <v>72</v>
      </c>
      <c r="D3" s="17">
        <f>SUM(TInt[Débit])</f>
        <v>0</v>
      </c>
      <c r="E3" s="17">
        <f>SUM(TInt[Crédit])</f>
        <v>0</v>
      </c>
    </row>
    <row r="4" spans="1:5">
      <c r="A4" s="33" t="s">
        <v>28</v>
      </c>
      <c r="B4" s="34" t="s">
        <v>29</v>
      </c>
      <c r="C4" s="35" t="s">
        <v>20</v>
      </c>
      <c r="D4" s="36" t="s">
        <v>21</v>
      </c>
      <c r="E4" s="36" t="s">
        <v>22</v>
      </c>
    </row>
    <row r="5" spans="1:5">
      <c r="A5" s="9"/>
      <c r="B5" s="5"/>
      <c r="C5" s="13"/>
      <c r="D5" s="11"/>
      <c r="E5" s="11"/>
    </row>
  </sheetData>
  <conditionalFormatting sqref="A3:B3">
    <cfRule type="expression" dxfId="13" priority="1">
      <formula>$E$3=0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F8677-EDB2-45F8-80E5-56915EE2A664}">
  <sheetPr codeName="Feuil14"/>
  <dimension ref="A1:E7"/>
  <sheetViews>
    <sheetView workbookViewId="0">
      <selection activeCell="A4" sqref="A4:E4"/>
    </sheetView>
  </sheetViews>
  <sheetFormatPr baseColWidth="10" defaultColWidth="17.140625" defaultRowHeight="15.75"/>
  <cols>
    <col min="1" max="1" width="17.140625" style="8"/>
    <col min="2" max="2" width="17.140625" style="15"/>
    <col min="3" max="3" width="37" style="14" customWidth="1"/>
    <col min="4" max="5" width="17.140625" style="10"/>
    <col min="6" max="16384" width="17.140625" style="1"/>
  </cols>
  <sheetData>
    <row r="1" spans="1:5">
      <c r="C1" s="12" t="s">
        <v>43</v>
      </c>
    </row>
    <row r="3" spans="1:5">
      <c r="A3" s="18" t="s">
        <v>50</v>
      </c>
      <c r="B3" s="16">
        <f>E3-D3</f>
        <v>-138.42000000000002</v>
      </c>
      <c r="C3" s="19" t="s">
        <v>72</v>
      </c>
      <c r="D3" s="17">
        <f>SUM(TFra[Débit])</f>
        <v>192.92000000000002</v>
      </c>
      <c r="E3" s="17">
        <f>SUM(TFra[Crédit])</f>
        <v>54.5</v>
      </c>
    </row>
    <row r="4" spans="1:5">
      <c r="A4" s="33" t="s">
        <v>28</v>
      </c>
      <c r="B4" s="34" t="s">
        <v>29</v>
      </c>
      <c r="C4" s="35" t="s">
        <v>20</v>
      </c>
      <c r="D4" s="36" t="s">
        <v>21</v>
      </c>
      <c r="E4" s="36" t="s">
        <v>22</v>
      </c>
    </row>
    <row r="5" spans="1:5">
      <c r="A5" s="9">
        <v>15</v>
      </c>
      <c r="B5" s="5">
        <v>45510</v>
      </c>
      <c r="C5" s="13"/>
      <c r="D5" s="11">
        <v>175.93</v>
      </c>
      <c r="E5" s="11"/>
    </row>
    <row r="6" spans="1:5">
      <c r="A6" s="9">
        <v>21</v>
      </c>
      <c r="B6" s="5">
        <v>45537</v>
      </c>
      <c r="C6" s="13"/>
      <c r="D6" s="11">
        <v>16.989999999999998</v>
      </c>
      <c r="E6" s="11"/>
    </row>
    <row r="7" spans="1:5">
      <c r="A7" s="9">
        <v>23</v>
      </c>
      <c r="B7" s="5">
        <v>45558</v>
      </c>
      <c r="C7" s="13"/>
      <c r="D7" s="11"/>
      <c r="E7" s="11">
        <v>54.5</v>
      </c>
    </row>
  </sheetData>
  <conditionalFormatting sqref="A3:B3">
    <cfRule type="expression" dxfId="12" priority="1">
      <formula>$E$3=0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1C064-6D9C-4794-8347-962D9D104D4D}">
  <sheetPr codeName="Feuil13"/>
  <dimension ref="A1:E22"/>
  <sheetViews>
    <sheetView workbookViewId="0"/>
  </sheetViews>
  <sheetFormatPr baseColWidth="10" defaultColWidth="17.140625" defaultRowHeight="15.75"/>
  <cols>
    <col min="1" max="1" width="17.140625" style="8"/>
    <col min="2" max="2" width="17.42578125" style="15" bestFit="1" customWidth="1"/>
    <col min="3" max="3" width="37" style="14" customWidth="1"/>
    <col min="4" max="5" width="17.140625" style="10"/>
    <col min="6" max="16384" width="17.140625" style="1"/>
  </cols>
  <sheetData>
    <row r="1" spans="1:5">
      <c r="C1" s="12" t="s">
        <v>42</v>
      </c>
    </row>
    <row r="3" spans="1:5">
      <c r="A3" s="18" t="s">
        <v>50</v>
      </c>
      <c r="B3" s="23">
        <f>E3-D3</f>
        <v>1463.7600000000057</v>
      </c>
      <c r="C3" s="19" t="s">
        <v>72</v>
      </c>
      <c r="D3" s="17">
        <f>SUM(TFou[Débit])</f>
        <v>32752.539999999997</v>
      </c>
      <c r="E3" s="17">
        <f>SUM(TFou[Crédit])</f>
        <v>34216.300000000003</v>
      </c>
    </row>
    <row r="4" spans="1:5">
      <c r="A4" s="33" t="s">
        <v>28</v>
      </c>
      <c r="B4" s="34" t="s">
        <v>29</v>
      </c>
      <c r="C4" s="35" t="s">
        <v>20</v>
      </c>
      <c r="D4" s="36" t="s">
        <v>21</v>
      </c>
      <c r="E4" s="36" t="s">
        <v>22</v>
      </c>
    </row>
    <row r="5" spans="1:5">
      <c r="A5" s="9">
        <v>1</v>
      </c>
      <c r="B5" s="5">
        <v>45505</v>
      </c>
      <c r="C5" s="13"/>
      <c r="D5" s="11"/>
      <c r="E5" s="11">
        <v>2444</v>
      </c>
    </row>
    <row r="6" spans="1:5">
      <c r="A6" s="9">
        <v>2</v>
      </c>
      <c r="B6" s="5">
        <v>45505</v>
      </c>
      <c r="C6" s="13"/>
      <c r="D6" s="11"/>
      <c r="E6" s="11">
        <v>4031</v>
      </c>
    </row>
    <row r="7" spans="1:5">
      <c r="A7" s="9">
        <v>3</v>
      </c>
      <c r="B7" s="5">
        <v>45505</v>
      </c>
      <c r="C7" s="13"/>
      <c r="D7" s="11"/>
      <c r="E7" s="11">
        <v>3751</v>
      </c>
    </row>
    <row r="8" spans="1:5">
      <c r="A8" s="9">
        <v>4</v>
      </c>
      <c r="B8" s="5">
        <v>45505</v>
      </c>
      <c r="C8" s="13"/>
      <c r="D8" s="11"/>
      <c r="E8" s="11">
        <v>10912</v>
      </c>
    </row>
    <row r="9" spans="1:5">
      <c r="A9" s="9">
        <v>5</v>
      </c>
      <c r="B9" s="5">
        <v>45505</v>
      </c>
      <c r="C9" s="13"/>
      <c r="D9" s="11"/>
      <c r="E9" s="11">
        <v>648</v>
      </c>
    </row>
    <row r="10" spans="1:5">
      <c r="A10" s="9">
        <v>6</v>
      </c>
      <c r="B10" s="5">
        <v>45505</v>
      </c>
      <c r="C10" s="13"/>
      <c r="D10" s="11"/>
      <c r="E10" s="11">
        <v>1932</v>
      </c>
    </row>
    <row r="11" spans="1:5">
      <c r="A11" s="9">
        <v>7</v>
      </c>
      <c r="B11" s="5">
        <v>45505</v>
      </c>
      <c r="C11" s="13"/>
      <c r="D11" s="11"/>
      <c r="E11" s="11">
        <v>4834</v>
      </c>
    </row>
    <row r="12" spans="1:5">
      <c r="A12" s="9">
        <v>8</v>
      </c>
      <c r="B12" s="5">
        <v>45505</v>
      </c>
      <c r="C12" s="13"/>
      <c r="D12" s="11"/>
      <c r="E12" s="11">
        <v>807.5</v>
      </c>
    </row>
    <row r="13" spans="1:5">
      <c r="A13" s="9">
        <v>9</v>
      </c>
      <c r="B13" s="5">
        <v>45505</v>
      </c>
      <c r="C13" s="13"/>
      <c r="D13" s="11"/>
      <c r="E13" s="11">
        <v>876</v>
      </c>
    </row>
    <row r="14" spans="1:5">
      <c r="A14" s="9">
        <v>10</v>
      </c>
      <c r="B14" s="5">
        <v>45505</v>
      </c>
      <c r="C14" s="13"/>
      <c r="D14" s="11"/>
      <c r="E14" s="11">
        <v>1895</v>
      </c>
    </row>
    <row r="15" spans="1:5">
      <c r="A15" s="9">
        <v>11</v>
      </c>
      <c r="B15" s="5">
        <v>45505</v>
      </c>
      <c r="C15" s="13"/>
      <c r="D15" s="11"/>
      <c r="E15" s="11">
        <v>97.3</v>
      </c>
    </row>
    <row r="16" spans="1:5">
      <c r="A16" s="9">
        <v>12</v>
      </c>
      <c r="B16" s="5">
        <v>45505</v>
      </c>
      <c r="C16" s="13"/>
      <c r="D16" s="11"/>
      <c r="E16" s="11">
        <v>1395</v>
      </c>
    </row>
    <row r="17" spans="1:5">
      <c r="A17" s="9">
        <v>13</v>
      </c>
      <c r="B17" s="5">
        <v>45505</v>
      </c>
      <c r="C17" s="13"/>
      <c r="D17" s="11"/>
      <c r="E17" s="11">
        <v>457.5</v>
      </c>
    </row>
    <row r="18" spans="1:5">
      <c r="A18" s="9">
        <v>14</v>
      </c>
      <c r="B18" s="5">
        <v>45507</v>
      </c>
      <c r="C18" s="13"/>
      <c r="D18" s="11">
        <v>32397.78</v>
      </c>
      <c r="E18" s="11"/>
    </row>
    <row r="19" spans="1:5">
      <c r="A19" s="9">
        <v>16</v>
      </c>
      <c r="B19" s="5">
        <v>45514</v>
      </c>
      <c r="C19" s="13"/>
      <c r="D19" s="11">
        <v>205</v>
      </c>
      <c r="E19" s="11"/>
    </row>
    <row r="20" spans="1:5">
      <c r="A20" s="9">
        <v>18</v>
      </c>
      <c r="B20" s="5">
        <v>45534</v>
      </c>
      <c r="C20" s="13"/>
      <c r="D20" s="11">
        <v>13.76</v>
      </c>
      <c r="E20" s="11"/>
    </row>
    <row r="21" spans="1:5">
      <c r="A21" s="9">
        <v>19</v>
      </c>
      <c r="B21" s="5">
        <v>45536</v>
      </c>
      <c r="C21" s="13"/>
      <c r="D21" s="11">
        <v>136</v>
      </c>
      <c r="E21" s="11"/>
    </row>
    <row r="22" spans="1:5">
      <c r="A22" s="9">
        <v>20</v>
      </c>
      <c r="B22" s="5">
        <v>45536</v>
      </c>
      <c r="C22" s="13"/>
      <c r="D22" s="11"/>
      <c r="E22" s="11">
        <v>136</v>
      </c>
    </row>
  </sheetData>
  <conditionalFormatting sqref="A3:B3">
    <cfRule type="expression" dxfId="11" priority="1">
      <formula>$E$3=0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60ACD-A67A-4C01-9C25-FF9AE2AE2E63}">
  <sheetPr codeName="Feuil12"/>
  <dimension ref="A1:E5"/>
  <sheetViews>
    <sheetView workbookViewId="0">
      <selection activeCell="A4" sqref="A4:E4"/>
    </sheetView>
  </sheetViews>
  <sheetFormatPr baseColWidth="10" defaultColWidth="17.140625" defaultRowHeight="15.75"/>
  <cols>
    <col min="1" max="1" width="17.140625" style="8"/>
    <col min="2" max="2" width="17.140625" style="15"/>
    <col min="3" max="3" width="37" style="14" customWidth="1"/>
    <col min="4" max="5" width="17.140625" style="10"/>
    <col min="6" max="16384" width="17.140625" style="1"/>
  </cols>
  <sheetData>
    <row r="1" spans="1:5">
      <c r="C1" s="12" t="s">
        <v>41</v>
      </c>
    </row>
    <row r="3" spans="1:5">
      <c r="A3" s="18" t="s">
        <v>50</v>
      </c>
      <c r="B3" s="16">
        <f>E3-D3</f>
        <v>0</v>
      </c>
      <c r="C3" s="19" t="s">
        <v>72</v>
      </c>
      <c r="D3" s="17">
        <f>SUM(TStN[Débit])</f>
        <v>0</v>
      </c>
      <c r="E3" s="17">
        <f>SUM(TStN[Crédit])</f>
        <v>0</v>
      </c>
    </row>
    <row r="4" spans="1:5">
      <c r="A4" s="33" t="s">
        <v>28</v>
      </c>
      <c r="B4" s="34" t="s">
        <v>29</v>
      </c>
      <c r="C4" s="35" t="s">
        <v>20</v>
      </c>
      <c r="D4" s="36" t="s">
        <v>21</v>
      </c>
      <c r="E4" s="36" t="s">
        <v>22</v>
      </c>
    </row>
    <row r="5" spans="1:5">
      <c r="A5" s="9"/>
      <c r="B5" s="5"/>
      <c r="C5" s="13"/>
      <c r="D5" s="11"/>
      <c r="E5" s="11"/>
    </row>
  </sheetData>
  <conditionalFormatting sqref="A3:B3">
    <cfRule type="expression" dxfId="10" priority="1">
      <formula>$E$3=0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D9C6F-7AD5-4323-BF62-CF1DD342F2C7}">
  <sheetPr codeName="Feuil11"/>
  <dimension ref="A1:E5"/>
  <sheetViews>
    <sheetView workbookViewId="0">
      <selection activeCell="A4" sqref="A4:E4"/>
    </sheetView>
  </sheetViews>
  <sheetFormatPr baseColWidth="10" defaultColWidth="17.140625" defaultRowHeight="15.75"/>
  <cols>
    <col min="1" max="1" width="17.140625" style="8"/>
    <col min="2" max="2" width="17.140625" style="15"/>
    <col min="3" max="3" width="37" style="14" customWidth="1"/>
    <col min="4" max="5" width="17.140625" style="10"/>
    <col min="6" max="16384" width="17.140625" style="1"/>
  </cols>
  <sheetData>
    <row r="1" spans="1:5">
      <c r="C1" s="12" t="s">
        <v>40</v>
      </c>
    </row>
    <row r="3" spans="1:5">
      <c r="A3" s="18" t="s">
        <v>50</v>
      </c>
      <c r="B3" s="16">
        <f>E3-D3</f>
        <v>0</v>
      </c>
      <c r="C3" s="19" t="s">
        <v>72</v>
      </c>
      <c r="D3" s="17">
        <f>SUM(TEco[Débit])</f>
        <v>0</v>
      </c>
      <c r="E3" s="17">
        <f>SUM(TEco[Crédit])</f>
        <v>0</v>
      </c>
    </row>
    <row r="4" spans="1:5">
      <c r="A4" s="33" t="s">
        <v>28</v>
      </c>
      <c r="B4" s="34" t="s">
        <v>29</v>
      </c>
      <c r="C4" s="35" t="s">
        <v>20</v>
      </c>
      <c r="D4" s="36" t="s">
        <v>21</v>
      </c>
      <c r="E4" s="36" t="s">
        <v>22</v>
      </c>
    </row>
    <row r="5" spans="1:5">
      <c r="A5" s="9"/>
      <c r="B5" s="5"/>
      <c r="C5" s="13"/>
      <c r="D5" s="11"/>
      <c r="E5" s="11"/>
    </row>
  </sheetData>
  <conditionalFormatting sqref="A3:B3">
    <cfRule type="expression" dxfId="9" priority="1">
      <formula>$E$3=0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63AAC-FC22-4873-B95A-1E752B549F8F}">
  <sheetPr codeName="Feuil10"/>
  <dimension ref="A1:E5"/>
  <sheetViews>
    <sheetView workbookViewId="0">
      <selection activeCell="A4" sqref="A4:E4"/>
    </sheetView>
  </sheetViews>
  <sheetFormatPr baseColWidth="10" defaultColWidth="17.140625" defaultRowHeight="15.75"/>
  <cols>
    <col min="1" max="1" width="17.140625" style="8"/>
    <col min="2" max="2" width="17.140625" style="15"/>
    <col min="3" max="3" width="37" style="14" customWidth="1"/>
    <col min="4" max="5" width="17.140625" style="10"/>
    <col min="6" max="16384" width="17.140625" style="1"/>
  </cols>
  <sheetData>
    <row r="1" spans="1:5">
      <c r="C1" s="12" t="s">
        <v>39</v>
      </c>
    </row>
    <row r="3" spans="1:5">
      <c r="A3" s="18" t="s">
        <v>50</v>
      </c>
      <c r="B3" s="16">
        <f>E3-D3</f>
        <v>0</v>
      </c>
      <c r="C3" s="19" t="s">
        <v>72</v>
      </c>
      <c r="D3" s="17">
        <f>SUM(TDot[Débit])</f>
        <v>0</v>
      </c>
      <c r="E3" s="17">
        <f>SUM(TDot[Crédit])</f>
        <v>0</v>
      </c>
    </row>
    <row r="4" spans="1:5">
      <c r="A4" s="33" t="s">
        <v>28</v>
      </c>
      <c r="B4" s="34" t="s">
        <v>29</v>
      </c>
      <c r="C4" s="35" t="s">
        <v>20</v>
      </c>
      <c r="D4" s="36" t="s">
        <v>21</v>
      </c>
      <c r="E4" s="36" t="s">
        <v>22</v>
      </c>
    </row>
    <row r="5" spans="1:5">
      <c r="A5" s="9"/>
      <c r="B5" s="5"/>
      <c r="C5" s="13"/>
      <c r="D5" s="11"/>
      <c r="E5" s="11"/>
    </row>
  </sheetData>
  <conditionalFormatting sqref="A3:B3">
    <cfRule type="expression" dxfId="8" priority="1">
      <formula>$E$3=0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03942-6E41-4F7F-B704-ED96297C3A43}">
  <sheetPr codeName="Feuil9"/>
  <dimension ref="A1:E5"/>
  <sheetViews>
    <sheetView workbookViewId="0">
      <selection activeCell="A4" sqref="A4:E4"/>
    </sheetView>
  </sheetViews>
  <sheetFormatPr baseColWidth="10" defaultColWidth="17.140625" defaultRowHeight="15.75"/>
  <cols>
    <col min="1" max="1" width="17.140625" style="8"/>
    <col min="2" max="2" width="17.140625" style="15"/>
    <col min="3" max="3" width="37" style="14" customWidth="1"/>
    <col min="4" max="5" width="17.140625" style="10"/>
    <col min="6" max="16384" width="17.140625" style="1"/>
  </cols>
  <sheetData>
    <row r="1" spans="1:5">
      <c r="C1" s="12" t="s">
        <v>38</v>
      </c>
    </row>
    <row r="3" spans="1:5">
      <c r="A3" s="18" t="s">
        <v>50</v>
      </c>
      <c r="B3" s="16">
        <f>E3-D3</f>
        <v>0</v>
      </c>
      <c r="C3" s="19" t="s">
        <v>72</v>
      </c>
      <c r="D3" s="17">
        <f>SUM(TNoe[Débit])</f>
        <v>0</v>
      </c>
      <c r="E3" s="17">
        <f>SUM(TNoe[Crédit])</f>
        <v>0</v>
      </c>
    </row>
    <row r="4" spans="1:5">
      <c r="A4" s="33" t="s">
        <v>28</v>
      </c>
      <c r="B4" s="34" t="s">
        <v>29</v>
      </c>
      <c r="C4" s="35" t="s">
        <v>20</v>
      </c>
      <c r="D4" s="36" t="s">
        <v>21</v>
      </c>
      <c r="E4" s="36" t="s">
        <v>22</v>
      </c>
    </row>
    <row r="5" spans="1:5">
      <c r="A5" s="9"/>
      <c r="B5" s="5"/>
      <c r="C5" s="13"/>
      <c r="D5" s="11"/>
      <c r="E5" s="11"/>
    </row>
  </sheetData>
  <conditionalFormatting sqref="A3:B3">
    <cfRule type="expression" dxfId="7" priority="1">
      <formula>$E$3=0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81F32-32C8-411C-A913-8514DBF12DE3}">
  <sheetPr codeName="Feuil8"/>
  <dimension ref="A1:E5"/>
  <sheetViews>
    <sheetView workbookViewId="0">
      <selection activeCell="A4" sqref="A4:E4"/>
    </sheetView>
  </sheetViews>
  <sheetFormatPr baseColWidth="10" defaultColWidth="17.140625" defaultRowHeight="15.75"/>
  <cols>
    <col min="1" max="1" width="17.140625" style="8"/>
    <col min="2" max="2" width="17.140625" style="15"/>
    <col min="3" max="3" width="37" style="14" customWidth="1"/>
    <col min="4" max="5" width="17.140625" style="10"/>
    <col min="6" max="16384" width="17.140625" style="1"/>
  </cols>
  <sheetData>
    <row r="1" spans="1:5">
      <c r="C1" s="12" t="s">
        <v>37</v>
      </c>
    </row>
    <row r="3" spans="1:5">
      <c r="A3" s="18" t="s">
        <v>50</v>
      </c>
      <c r="B3" s="16">
        <f>E3-D3</f>
        <v>0</v>
      </c>
      <c r="C3" s="19" t="s">
        <v>72</v>
      </c>
      <c r="D3" s="17">
        <f>SUM(TCro[Débit])</f>
        <v>0</v>
      </c>
      <c r="E3" s="17">
        <f>SUM(TCro[Crédit])</f>
        <v>0</v>
      </c>
    </row>
    <row r="4" spans="1:5">
      <c r="A4" s="33" t="s">
        <v>28</v>
      </c>
      <c r="B4" s="34" t="s">
        <v>29</v>
      </c>
      <c r="C4" s="35" t="s">
        <v>20</v>
      </c>
      <c r="D4" s="36" t="s">
        <v>21</v>
      </c>
      <c r="E4" s="36" t="s">
        <v>22</v>
      </c>
    </row>
    <row r="5" spans="1:5">
      <c r="A5" s="9"/>
      <c r="B5" s="5"/>
      <c r="C5" s="13"/>
      <c r="D5" s="11"/>
      <c r="E5" s="11"/>
    </row>
  </sheetData>
  <conditionalFormatting sqref="A3:B3">
    <cfRule type="expression" dxfId="6" priority="1">
      <formula>$E$3=0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ACAF7-F292-4271-920A-A64B592F7683}">
  <sheetPr codeName="Feuil6"/>
  <dimension ref="A1:F5"/>
  <sheetViews>
    <sheetView workbookViewId="0">
      <selection activeCell="A4" sqref="A4:E4"/>
    </sheetView>
  </sheetViews>
  <sheetFormatPr baseColWidth="10" defaultColWidth="17.140625" defaultRowHeight="15.75"/>
  <cols>
    <col min="1" max="1" width="17.140625" style="8"/>
    <col min="2" max="2" width="17.140625" style="15"/>
    <col min="3" max="3" width="37" style="14" customWidth="1"/>
    <col min="4" max="5" width="17.140625" style="10"/>
    <col min="6" max="16384" width="17.140625" style="1"/>
  </cols>
  <sheetData>
    <row r="1" spans="1:6">
      <c r="C1" s="12" t="s">
        <v>30</v>
      </c>
    </row>
    <row r="3" spans="1:6">
      <c r="A3" s="18" t="s">
        <v>50</v>
      </c>
      <c r="B3" s="16">
        <f>E3-D3</f>
        <v>0</v>
      </c>
      <c r="C3" s="19" t="s">
        <v>72</v>
      </c>
      <c r="D3" s="17">
        <f>SUM(TCom[Débit])</f>
        <v>0</v>
      </c>
      <c r="E3" s="17">
        <f>SUM(TCom[Crédit])</f>
        <v>0</v>
      </c>
    </row>
    <row r="4" spans="1:6">
      <c r="A4" s="33" t="s">
        <v>28</v>
      </c>
      <c r="B4" s="34" t="s">
        <v>29</v>
      </c>
      <c r="C4" s="35" t="s">
        <v>20</v>
      </c>
      <c r="D4" s="36" t="s">
        <v>21</v>
      </c>
      <c r="E4" s="36" t="s">
        <v>22</v>
      </c>
      <c r="F4" s="2"/>
    </row>
    <row r="5" spans="1:6">
      <c r="A5" s="9"/>
      <c r="B5" s="5"/>
      <c r="C5" s="13"/>
      <c r="D5" s="11"/>
      <c r="E5" s="11"/>
      <c r="F5" s="2"/>
    </row>
  </sheetData>
  <conditionalFormatting sqref="A3:B3">
    <cfRule type="expression" dxfId="5" priority="1">
      <formula>$E$3=0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6DA61-0CCF-481F-B685-8205CECB6E82}">
  <sheetPr codeName="Feuil5"/>
  <dimension ref="A1:E5"/>
  <sheetViews>
    <sheetView workbookViewId="0">
      <selection activeCell="A4" sqref="A4:E4"/>
    </sheetView>
  </sheetViews>
  <sheetFormatPr baseColWidth="10" defaultColWidth="17.140625" defaultRowHeight="15.75"/>
  <cols>
    <col min="1" max="1" width="17.140625" style="8"/>
    <col min="2" max="2" width="17.140625" style="15"/>
    <col min="3" max="3" width="37" style="14" customWidth="1"/>
    <col min="4" max="5" width="17.140625" style="10"/>
    <col min="6" max="16384" width="17.140625" style="1"/>
  </cols>
  <sheetData>
    <row r="1" spans="1:5">
      <c r="C1" s="12" t="s">
        <v>35</v>
      </c>
    </row>
    <row r="3" spans="1:5">
      <c r="A3" s="18" t="s">
        <v>50</v>
      </c>
      <c r="B3" s="16">
        <f>E3-D3</f>
        <v>0</v>
      </c>
      <c r="C3" s="19" t="s">
        <v>72</v>
      </c>
      <c r="D3" s="17">
        <f>SUM(TCar[Débit])</f>
        <v>0</v>
      </c>
      <c r="E3" s="17">
        <f>SUM(TCar[Crédit])</f>
        <v>0</v>
      </c>
    </row>
    <row r="4" spans="1:5">
      <c r="A4" s="33" t="s">
        <v>28</v>
      </c>
      <c r="B4" s="34" t="s">
        <v>29</v>
      </c>
      <c r="C4" s="35" t="s">
        <v>20</v>
      </c>
      <c r="D4" s="36" t="s">
        <v>21</v>
      </c>
      <c r="E4" s="36" t="s">
        <v>22</v>
      </c>
    </row>
    <row r="5" spans="1:5">
      <c r="A5" s="9"/>
      <c r="B5" s="5"/>
      <c r="C5" s="13"/>
      <c r="D5" s="11"/>
      <c r="E5" s="11"/>
    </row>
  </sheetData>
  <conditionalFormatting sqref="A3:B3">
    <cfRule type="expression" dxfId="4" priority="1">
      <formula>$E$3=0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D105A-F7A9-4544-9557-BA94A82F0D2B}">
  <sheetPr codeName="Feuil4"/>
  <dimension ref="A1:E5"/>
  <sheetViews>
    <sheetView workbookViewId="0">
      <selection activeCell="A4" sqref="A4:E4"/>
    </sheetView>
  </sheetViews>
  <sheetFormatPr baseColWidth="10" defaultColWidth="17.140625" defaultRowHeight="15.75"/>
  <cols>
    <col min="1" max="1" width="17.140625" style="8"/>
    <col min="2" max="2" width="17.140625" style="15"/>
    <col min="3" max="3" width="37" style="14" customWidth="1"/>
    <col min="4" max="5" width="17.140625" style="10"/>
    <col min="6" max="16384" width="17.140625" style="1"/>
  </cols>
  <sheetData>
    <row r="1" spans="1:5">
      <c r="C1" s="12" t="s">
        <v>34</v>
      </c>
    </row>
    <row r="3" spans="1:5">
      <c r="A3" s="18" t="s">
        <v>50</v>
      </c>
      <c r="B3" s="16">
        <f>E3-D3</f>
        <v>0</v>
      </c>
      <c r="C3" s="19" t="s">
        <v>72</v>
      </c>
      <c r="D3" s="17">
        <f>SUM(TBes[Débit])</f>
        <v>0</v>
      </c>
      <c r="E3" s="17">
        <f>SUM(TBes[Crédit])</f>
        <v>0</v>
      </c>
    </row>
    <row r="4" spans="1:5">
      <c r="A4" s="33" t="s">
        <v>28</v>
      </c>
      <c r="B4" s="34" t="s">
        <v>29</v>
      </c>
      <c r="C4" s="35" t="s">
        <v>20</v>
      </c>
      <c r="D4" s="36" t="s">
        <v>21</v>
      </c>
      <c r="E4" s="36" t="s">
        <v>22</v>
      </c>
    </row>
    <row r="5" spans="1:5">
      <c r="A5" s="9"/>
      <c r="B5" s="5"/>
      <c r="C5" s="13"/>
      <c r="D5" s="11"/>
      <c r="E5" s="11"/>
    </row>
  </sheetData>
  <conditionalFormatting sqref="A3:B3">
    <cfRule type="expression" dxfId="3" priority="1">
      <formula>$E$3=0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8019A-0161-496F-B1C7-DB822752D9F6}">
  <sheetPr codeName="Feuil3"/>
  <dimension ref="A1:E5"/>
  <sheetViews>
    <sheetView workbookViewId="0">
      <selection activeCell="A4" sqref="A4:E4"/>
    </sheetView>
  </sheetViews>
  <sheetFormatPr baseColWidth="10" defaultColWidth="17.140625" defaultRowHeight="15.75"/>
  <cols>
    <col min="1" max="1" width="17.140625" style="8"/>
    <col min="2" max="2" width="17.140625" style="15"/>
    <col min="3" max="3" width="37" style="14" customWidth="1"/>
    <col min="4" max="5" width="17.140625" style="10"/>
    <col min="6" max="16384" width="17.140625" style="1"/>
  </cols>
  <sheetData>
    <row r="1" spans="1:5">
      <c r="C1" s="12" t="s">
        <v>33</v>
      </c>
    </row>
    <row r="3" spans="1:5">
      <c r="A3" s="18" t="s">
        <v>50</v>
      </c>
      <c r="B3" s="16">
        <f>E3-D3</f>
        <v>0</v>
      </c>
      <c r="C3" s="19" t="s">
        <v>72</v>
      </c>
      <c r="D3" s="17">
        <f>SUM(TAte[Débit])</f>
        <v>0</v>
      </c>
      <c r="E3" s="17">
        <f>SUM(TAte[Crédit])</f>
        <v>0</v>
      </c>
    </row>
    <row r="4" spans="1:5">
      <c r="A4" s="33" t="s">
        <v>28</v>
      </c>
      <c r="B4" s="34" t="s">
        <v>29</v>
      </c>
      <c r="C4" s="35" t="s">
        <v>20</v>
      </c>
      <c r="D4" s="36" t="s">
        <v>21</v>
      </c>
      <c r="E4" s="36" t="s">
        <v>22</v>
      </c>
    </row>
    <row r="5" spans="1:5">
      <c r="A5" s="9"/>
      <c r="B5" s="5"/>
      <c r="C5" s="13"/>
      <c r="D5" s="11"/>
      <c r="E5" s="11"/>
    </row>
  </sheetData>
  <conditionalFormatting sqref="A3:B3">
    <cfRule type="expression" dxfId="2" priority="1">
      <formula>$E$3=0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839F8-E38C-4849-8AA0-4C74EE50FB07}">
  <sheetPr codeName="Feuil2"/>
  <dimension ref="A1:E6"/>
  <sheetViews>
    <sheetView workbookViewId="0">
      <selection activeCell="A4" sqref="A4:E4"/>
    </sheetView>
  </sheetViews>
  <sheetFormatPr baseColWidth="10" defaultColWidth="17.140625" defaultRowHeight="15.75"/>
  <cols>
    <col min="1" max="1" width="17.140625" style="8"/>
    <col min="2" max="2" width="17.140625" style="15"/>
    <col min="3" max="3" width="37" style="14" customWidth="1"/>
    <col min="4" max="5" width="17.140625" style="10"/>
    <col min="6" max="16384" width="17.140625" style="1"/>
  </cols>
  <sheetData>
    <row r="1" spans="1:5">
      <c r="C1" s="12" t="s">
        <v>32</v>
      </c>
    </row>
    <row r="3" spans="1:5">
      <c r="A3" s="18" t="s">
        <v>50</v>
      </c>
      <c r="B3" s="16">
        <f>E3-D3</f>
        <v>312.29000000000002</v>
      </c>
      <c r="C3" s="19" t="s">
        <v>72</v>
      </c>
      <c r="D3" s="17">
        <f>SUM(TAss[Débit])</f>
        <v>0</v>
      </c>
      <c r="E3" s="17">
        <f>SUM(TAss[Crédit])</f>
        <v>312.29000000000002</v>
      </c>
    </row>
    <row r="4" spans="1:5">
      <c r="A4" s="33" t="s">
        <v>28</v>
      </c>
      <c r="B4" s="34" t="s">
        <v>29</v>
      </c>
      <c r="C4" s="35" t="s">
        <v>20</v>
      </c>
      <c r="D4" s="36" t="s">
        <v>21</v>
      </c>
      <c r="E4" s="36" t="s">
        <v>22</v>
      </c>
    </row>
    <row r="5" spans="1:5">
      <c r="A5" s="9">
        <v>22</v>
      </c>
      <c r="B5" s="5">
        <v>45550</v>
      </c>
      <c r="C5" s="13"/>
      <c r="D5" s="11"/>
      <c r="E5" s="11">
        <v>50</v>
      </c>
    </row>
    <row r="6" spans="1:5">
      <c r="A6" s="9">
        <v>25</v>
      </c>
      <c r="B6" s="5">
        <v>45560</v>
      </c>
      <c r="C6" s="13"/>
      <c r="D6" s="11"/>
      <c r="E6" s="11">
        <v>262.29000000000002</v>
      </c>
    </row>
  </sheetData>
  <conditionalFormatting sqref="A3:B3">
    <cfRule type="expression" dxfId="1" priority="1">
      <formula>$E$3=0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15DCD-44D1-4AFB-A53F-DDDD77A7D54D}">
  <sheetPr codeName="Feuil1"/>
  <dimension ref="A1:E5"/>
  <sheetViews>
    <sheetView workbookViewId="0">
      <selection activeCell="A4" sqref="A4:E4"/>
    </sheetView>
  </sheetViews>
  <sheetFormatPr baseColWidth="10" defaultColWidth="17.140625" defaultRowHeight="15.75"/>
  <cols>
    <col min="1" max="1" width="17.140625" style="8"/>
    <col min="2" max="2" width="17.140625" style="15"/>
    <col min="3" max="3" width="37" style="14" customWidth="1"/>
    <col min="4" max="5" width="17.140625" style="10"/>
    <col min="6" max="16384" width="17.140625" style="1"/>
  </cols>
  <sheetData>
    <row r="1" spans="1:5">
      <c r="C1" s="12" t="s">
        <v>31</v>
      </c>
    </row>
    <row r="3" spans="1:5">
      <c r="A3" s="18" t="s">
        <v>50</v>
      </c>
      <c r="B3" s="22">
        <f>E3-D3</f>
        <v>0</v>
      </c>
      <c r="C3" s="19" t="s">
        <v>72</v>
      </c>
      <c r="D3" s="17">
        <f>SUM(TSwe_1[Débit])</f>
        <v>0</v>
      </c>
      <c r="E3" s="17">
        <f>SUM(TSwe_1[Crédit])</f>
        <v>0</v>
      </c>
    </row>
    <row r="4" spans="1:5">
      <c r="A4" s="33" t="s">
        <v>28</v>
      </c>
      <c r="B4" s="34" t="s">
        <v>29</v>
      </c>
      <c r="C4" s="35" t="s">
        <v>20</v>
      </c>
      <c r="D4" s="36" t="s">
        <v>21</v>
      </c>
      <c r="E4" s="36" t="s">
        <v>22</v>
      </c>
    </row>
    <row r="5" spans="1:5">
      <c r="A5" s="9"/>
      <c r="B5" s="5"/>
      <c r="C5" s="13"/>
      <c r="D5" s="11"/>
      <c r="E5" s="11"/>
    </row>
  </sheetData>
  <conditionalFormatting sqref="A3:B3">
    <cfRule type="expression" dxfId="0" priority="1">
      <formula>$E$3=0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1</vt:i4>
      </vt:variant>
    </vt:vector>
  </HeadingPairs>
  <TitlesOfParts>
    <vt:vector size="23" baseType="lpstr">
      <vt:lpstr>Journal</vt:lpstr>
      <vt:lpstr>Param</vt:lpstr>
      <vt:lpstr>Cotisations adhésions APEL</vt:lpstr>
      <vt:lpstr>Projet 2024-2025</vt:lpstr>
      <vt:lpstr>Portes ouvertes</vt:lpstr>
      <vt:lpstr>Olympiades</vt:lpstr>
      <vt:lpstr>Noël</vt:lpstr>
      <vt:lpstr>Mois du livre</vt:lpstr>
      <vt:lpstr>Intérêts bancaires</vt:lpstr>
      <vt:lpstr>Frais de fonctionnement</vt:lpstr>
      <vt:lpstr>Fournitures</vt:lpstr>
      <vt:lpstr>Fête de St Nicolas</vt:lpstr>
      <vt:lpstr>Fête de l'école</vt:lpstr>
      <vt:lpstr>Dotations établissement</vt:lpstr>
      <vt:lpstr>Décoration Noël de l'école</vt:lpstr>
      <vt:lpstr>Cross</vt:lpstr>
      <vt:lpstr>Communion</vt:lpstr>
      <vt:lpstr>Cartes de St Nicolas</vt:lpstr>
      <vt:lpstr>Besoins enseignants du primaire</vt:lpstr>
      <vt:lpstr>Ateliers du midi</vt:lpstr>
      <vt:lpstr>Assemblée générale</vt:lpstr>
      <vt:lpstr>Action Sweat</vt:lpstr>
      <vt:lpstr>ListeF</vt:lpstr>
    </vt:vector>
  </TitlesOfParts>
  <Manager/>
  <Company>Credit Agricole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DENDIEVEL Romain</dc:creator>
  <cp:keywords/>
  <dc:description/>
  <cp:lastModifiedBy>roger mazurczak</cp:lastModifiedBy>
  <cp:revision/>
  <dcterms:created xsi:type="dcterms:W3CDTF">2023-11-23T09:11:00Z</dcterms:created>
  <dcterms:modified xsi:type="dcterms:W3CDTF">2024-09-27T12:35:50Z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AFC10063D6CE4C11AD097D0DFA6D59C0_12</vt:lpwstr>
  </property>
  <property fmtid="{D5CDD505-2E9C-101B-9397-08002B2CF9AE}" pid="3" name="KSOProductBuildVer">
    <vt:lpwstr>1036-12.2.0.13412</vt:lpwstr>
  </property>
  <property fmtid="{D5CDD505-2E9C-101B-9397-08002B2CF9AE}" pid="4" name="MSIP_Label_a17e7ec2-4a17-4209-8d02-f9c7099018aa_Enabled">
    <vt:lpwstr>true</vt:lpwstr>
  </property>
  <property fmtid="{D5CDD505-2E9C-101B-9397-08002B2CF9AE}" pid="5" name="MSIP_Label_a17e7ec2-4a17-4209-8d02-f9c7099018aa_SetDate">
    <vt:lpwstr>2024-06-26T07:33:01Z</vt:lpwstr>
  </property>
  <property fmtid="{D5CDD505-2E9C-101B-9397-08002B2CF9AE}" pid="6" name="MSIP_Label_a17e7ec2-4a17-4209-8d02-f9c7099018aa_Method">
    <vt:lpwstr>Privileged</vt:lpwstr>
  </property>
  <property fmtid="{D5CDD505-2E9C-101B-9397-08002B2CF9AE}" pid="7" name="MSIP_Label_a17e7ec2-4a17-4209-8d02-f9c7099018aa_Name">
    <vt:lpwstr>Hautement Confidentiel - C4</vt:lpwstr>
  </property>
  <property fmtid="{D5CDD505-2E9C-101B-9397-08002B2CF9AE}" pid="8" name="MSIP_Label_a17e7ec2-4a17-4209-8d02-f9c7099018aa_SiteId">
    <vt:lpwstr>fb3baf17-c313-474c-8d5d-577a3ec97a32</vt:lpwstr>
  </property>
  <property fmtid="{D5CDD505-2E9C-101B-9397-08002B2CF9AE}" pid="9" name="MSIP_Label_a17e7ec2-4a17-4209-8d02-f9c7099018aa_ActionId">
    <vt:lpwstr>5bf7650a-3f4e-4f72-aa92-55f4b2fb5416</vt:lpwstr>
  </property>
  <property fmtid="{D5CDD505-2E9C-101B-9397-08002B2CF9AE}" pid="10" name="MSIP_Label_a17e7ec2-4a17-4209-8d02-f9c7099018aa_ContentBits">
    <vt:lpwstr>0</vt:lpwstr>
  </property>
</Properties>
</file>