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29"/>
  <workbookPr/>
  <mc:AlternateContent xmlns:mc="http://schemas.openxmlformats.org/markup-compatibility/2006">
    <mc:Choice Requires="x15">
      <x15ac:absPath xmlns:x15ac="http://schemas.microsoft.com/office/spreadsheetml/2010/11/ac" url="D:\Documents\_EXC\Contrib\"/>
    </mc:Choice>
  </mc:AlternateContent>
  <xr:revisionPtr revIDLastSave="0" documentId="8_{C8898E0A-BE44-423E-8232-71C4F1B44FFA}" xr6:coauthVersionLast="46" xr6:coauthVersionMax="46" xr10:uidLastSave="{00000000-0000-0000-0000-000000000000}"/>
  <bookViews>
    <workbookView xWindow="-120" yWindow="-120" windowWidth="24240" windowHeight="13290" tabRatio="686" firstSheet="1" activeTab="1" xr2:uid="{00000000-000D-0000-FFFF-FFFF00000000}"/>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Noms des stagiaires" sheetId="16" r:id="rId13"/>
  </sheets>
  <definedNames>
    <definedName name="AnnéeCalendrier">Janvier!$AH$4</definedName>
    <definedName name="CléMaladie">Janvier!$J$2</definedName>
    <definedName name="CléPersonnalisée1">Janvier!$M$2</definedName>
    <definedName name="CléPersonnalisée2">Janvier!$R$2</definedName>
    <definedName name="CléPersonnel">Janvier!$F$2</definedName>
    <definedName name="CléPrésence" comment="Présence">Janvier!$C$2</definedName>
    <definedName name="ÉtiquetteCléCongé">Janvier!$D$2</definedName>
    <definedName name="ÉtiquetteCléMaladie">Janvier!$K$2</definedName>
    <definedName name="ÉtiquetteCléPersonnalisée1">Janvier!$N$2</definedName>
    <definedName name="ÉtiquetteCléPersonnalisée2">Janvier!$S$2</definedName>
    <definedName name="ÉtiquetteCléPersonnel">Janvier!$G$2</definedName>
    <definedName name="_xlnm.Print_Titles" localSheetId="7">Août!$4:$6</definedName>
    <definedName name="_xlnm.Print_Titles" localSheetId="3">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4">Mai!$4:$6</definedName>
    <definedName name="_xlnm.Print_Titles" localSheetId="2">Mars!$4:$6</definedName>
    <definedName name="_xlnm.Print_Titles" localSheetId="10">Novembre!$4:$6</definedName>
    <definedName name="_xlnm.Print_Titles" localSheetId="9">Octobre!$4:$6</definedName>
    <definedName name="_xlnm.Print_Titles" localSheetId="8">Septembre!$4:$6</definedName>
    <definedName name="Nom_clé">Janvier!$B$2</definedName>
    <definedName name="NomMois" localSheetId="7">Août!$B$4</definedName>
    <definedName name="NomMois" localSheetId="3">Avril!$B$4</definedName>
    <definedName name="NomMois" localSheetId="11">Décembre!$B$4</definedName>
    <definedName name="NomMois" localSheetId="1">Février!$B$4</definedName>
    <definedName name="NomMois" localSheetId="0">Janvier!$B$4</definedName>
    <definedName name="NomMois" localSheetId="6">Juillet!$B$4</definedName>
    <definedName name="NomMois" localSheetId="5">Juin!$B$4</definedName>
    <definedName name="NomMois" localSheetId="4">Mai!$B$4</definedName>
    <definedName name="NomMois" localSheetId="2">Mars!$B$4</definedName>
    <definedName name="NomMois" localSheetId="10">Novembre!$B$4</definedName>
    <definedName name="NomMois" localSheetId="9">Octobre!$B$4</definedName>
    <definedName name="NomMois" localSheetId="8">Septembre!$B$4</definedName>
    <definedName name="Titre_Absence_Employé">Janvier!$B$1</definedName>
    <definedName name="Titre1">Janvier[[#Headers],[Nom du stagiaire ]]</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NomStagiaires[[#Headers],[Noms des stagiaires]]</definedName>
  </definedNames>
  <calcPr calcId="181029"/>
</workbook>
</file>

<file path=xl/calcChain.xml><?xml version="1.0" encoding="utf-8"?>
<calcChain xmlns="http://schemas.openxmlformats.org/spreadsheetml/2006/main">
  <c r="AH8" i="4" l="1"/>
  <c r="AH9" i="4"/>
  <c r="AH10" i="4"/>
  <c r="AH11" i="4"/>
  <c r="AH7" i="4"/>
  <c r="AH8" i="5"/>
  <c r="AH9" i="5"/>
  <c r="AH10" i="5"/>
  <c r="AH11" i="5"/>
  <c r="AH7" i="5"/>
  <c r="AI8" i="5"/>
  <c r="AI9" i="5"/>
  <c r="AI10" i="5"/>
  <c r="AI11" i="5"/>
  <c r="AI7" i="5"/>
  <c r="AI8" i="4"/>
  <c r="AI9" i="4"/>
  <c r="AI10" i="4"/>
  <c r="AI11" i="4"/>
  <c r="AI7" i="4"/>
  <c r="H5" i="16"/>
  <c r="G4" i="16"/>
  <c r="G5" i="16"/>
  <c r="G6" i="16"/>
  <c r="G7" i="16"/>
  <c r="G8" i="16"/>
  <c r="H7" i="16" l="1"/>
  <c r="H6" i="16"/>
  <c r="H8" i="16"/>
  <c r="H4" i="16"/>
  <c r="AI12" i="4"/>
  <c r="AE5" i="5" l="1"/>
  <c r="AD5" i="5"/>
  <c r="AC5" i="5"/>
  <c r="AB5" i="5"/>
  <c r="AA5" i="5"/>
  <c r="Z5" i="5"/>
  <c r="Y5" i="5"/>
  <c r="X5" i="5"/>
  <c r="W5" i="5"/>
  <c r="V5" i="5"/>
  <c r="U5" i="5"/>
  <c r="T5" i="5"/>
  <c r="S5" i="5"/>
  <c r="R5" i="5"/>
  <c r="Q5" i="5"/>
  <c r="P5" i="5"/>
  <c r="O5" i="5"/>
  <c r="N5" i="5"/>
  <c r="M5" i="5"/>
  <c r="L5" i="5"/>
  <c r="K5" i="5"/>
  <c r="J5" i="5"/>
  <c r="I5" i="5"/>
  <c r="H5" i="5"/>
  <c r="G5" i="5"/>
  <c r="F5" i="5"/>
  <c r="E5" i="5"/>
  <c r="D5" i="5"/>
  <c r="C5" i="5"/>
  <c r="AG5" i="17"/>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D12" i="15" l="1"/>
  <c r="AE12" i="15"/>
  <c r="AF12" i="15"/>
  <c r="AG12" i="15"/>
  <c r="AE12" i="25"/>
  <c r="AF12" i="25"/>
  <c r="AG12" i="25"/>
  <c r="AE12" i="24"/>
  <c r="AF12" i="24"/>
  <c r="AG12" i="24"/>
  <c r="AE12" i="23"/>
  <c r="AF12" i="23"/>
  <c r="AG12" i="23"/>
  <c r="AF12" i="22"/>
  <c r="AG12" i="22"/>
  <c r="AF12" i="21"/>
  <c r="AG12" i="21"/>
  <c r="AF12" i="20"/>
  <c r="AG12" i="20"/>
  <c r="AF12" i="19"/>
  <c r="AG12" i="19"/>
  <c r="AG12" i="18"/>
  <c r="AF12" i="18"/>
  <c r="AF12" i="17"/>
  <c r="AG12" i="17"/>
  <c r="B12" i="23" l="1"/>
  <c r="AD12" i="25"/>
  <c r="AC12" i="25"/>
  <c r="AB12" i="25"/>
  <c r="AA12" i="25"/>
  <c r="Z12" i="25"/>
  <c r="Y12" i="25"/>
  <c r="X12" i="25"/>
  <c r="W12" i="25"/>
  <c r="V12" i="25"/>
  <c r="U12" i="25"/>
  <c r="T12" i="25"/>
  <c r="S12" i="25"/>
  <c r="R12" i="25"/>
  <c r="Q12" i="25"/>
  <c r="P12" i="25"/>
  <c r="O12" i="25"/>
  <c r="N12" i="25"/>
  <c r="M12" i="25"/>
  <c r="L12" i="25"/>
  <c r="K12" i="25"/>
  <c r="J12" i="25"/>
  <c r="I12" i="25"/>
  <c r="H12" i="25"/>
  <c r="G12" i="25"/>
  <c r="F12" i="25"/>
  <c r="E12" i="25"/>
  <c r="D12" i="25"/>
  <c r="C12" i="25"/>
  <c r="B12" i="25"/>
  <c r="AH4" i="25"/>
  <c r="B1" i="25"/>
  <c r="AD12" i="24"/>
  <c r="AC12" i="24"/>
  <c r="AB12" i="24"/>
  <c r="AA12" i="24"/>
  <c r="Z12" i="24"/>
  <c r="Y12" i="24"/>
  <c r="X12" i="24"/>
  <c r="W12" i="24"/>
  <c r="V12" i="24"/>
  <c r="U12" i="24"/>
  <c r="T12" i="24"/>
  <c r="S12" i="24"/>
  <c r="R12" i="24"/>
  <c r="Q12" i="24"/>
  <c r="P12" i="24"/>
  <c r="O12" i="24"/>
  <c r="N12" i="24"/>
  <c r="M12" i="24"/>
  <c r="L12" i="24"/>
  <c r="K12" i="24"/>
  <c r="J12" i="24"/>
  <c r="I12" i="24"/>
  <c r="H12" i="24"/>
  <c r="G12" i="24"/>
  <c r="F12" i="24"/>
  <c r="E12" i="24"/>
  <c r="D12" i="24"/>
  <c r="C12" i="24"/>
  <c r="B12" i="24"/>
  <c r="AH4" i="24"/>
  <c r="B1" i="24"/>
  <c r="AD12" i="23"/>
  <c r="AC12" i="23"/>
  <c r="AB12" i="23"/>
  <c r="AA12" i="23"/>
  <c r="Z12" i="23"/>
  <c r="Y12" i="23"/>
  <c r="X12" i="23"/>
  <c r="W12" i="23"/>
  <c r="V12" i="23"/>
  <c r="U12" i="23"/>
  <c r="T12" i="23"/>
  <c r="S12" i="23"/>
  <c r="R12" i="23"/>
  <c r="Q12" i="23"/>
  <c r="P12" i="23"/>
  <c r="O12" i="23"/>
  <c r="N12" i="23"/>
  <c r="M12" i="23"/>
  <c r="L12" i="23"/>
  <c r="K12" i="23"/>
  <c r="J12" i="23"/>
  <c r="I12" i="23"/>
  <c r="H12" i="23"/>
  <c r="G12" i="23"/>
  <c r="F12" i="23"/>
  <c r="E12" i="23"/>
  <c r="D12" i="23"/>
  <c r="C12" i="23"/>
  <c r="AH12" i="23"/>
  <c r="AH4" i="23"/>
  <c r="B1" i="23"/>
  <c r="AE12" i="22"/>
  <c r="AD12" i="22"/>
  <c r="AC12" i="22"/>
  <c r="AB12" i="22"/>
  <c r="AA12" i="22"/>
  <c r="Z12" i="22"/>
  <c r="Y12" i="22"/>
  <c r="X12" i="22"/>
  <c r="W12" i="22"/>
  <c r="V12" i="22"/>
  <c r="U12" i="22"/>
  <c r="T12" i="22"/>
  <c r="S12" i="22"/>
  <c r="R12" i="22"/>
  <c r="Q12" i="22"/>
  <c r="P12" i="22"/>
  <c r="O12" i="22"/>
  <c r="N12" i="22"/>
  <c r="M12" i="22"/>
  <c r="L12" i="22"/>
  <c r="K12" i="22"/>
  <c r="J12" i="22"/>
  <c r="I12" i="22"/>
  <c r="H12" i="22"/>
  <c r="G12" i="22"/>
  <c r="F12" i="22"/>
  <c r="E12" i="22"/>
  <c r="D12" i="22"/>
  <c r="C12" i="22"/>
  <c r="B12" i="22"/>
  <c r="AH4" i="22"/>
  <c r="B1" i="22"/>
  <c r="AE12" i="21"/>
  <c r="AD12" i="21"/>
  <c r="AC12" i="21"/>
  <c r="AB12" i="21"/>
  <c r="AA12" i="21"/>
  <c r="Z12" i="21"/>
  <c r="Y12" i="21"/>
  <c r="X12" i="21"/>
  <c r="W12" i="21"/>
  <c r="V12" i="21"/>
  <c r="U12" i="21"/>
  <c r="T12" i="21"/>
  <c r="S12" i="21"/>
  <c r="R12" i="21"/>
  <c r="Q12" i="21"/>
  <c r="P12" i="21"/>
  <c r="O12" i="21"/>
  <c r="N12" i="21"/>
  <c r="M12" i="21"/>
  <c r="L12" i="21"/>
  <c r="K12" i="21"/>
  <c r="J12" i="21"/>
  <c r="I12" i="21"/>
  <c r="H12" i="21"/>
  <c r="G12" i="21"/>
  <c r="F12" i="21"/>
  <c r="E12" i="21"/>
  <c r="D12" i="21"/>
  <c r="C12" i="21"/>
  <c r="B12" i="21"/>
  <c r="AH4" i="21"/>
  <c r="B1" i="21"/>
  <c r="AE12" i="20"/>
  <c r="AD12" i="20"/>
  <c r="AC12" i="20"/>
  <c r="AB12" i="20"/>
  <c r="AA12" i="20"/>
  <c r="Z12" i="20"/>
  <c r="Y12" i="20"/>
  <c r="X12" i="20"/>
  <c r="W12" i="20"/>
  <c r="V12" i="20"/>
  <c r="U12" i="20"/>
  <c r="T12" i="20"/>
  <c r="S12" i="20"/>
  <c r="R12" i="20"/>
  <c r="Q12" i="20"/>
  <c r="P12" i="20"/>
  <c r="O12" i="20"/>
  <c r="N12" i="20"/>
  <c r="M12" i="20"/>
  <c r="L12" i="20"/>
  <c r="K12" i="20"/>
  <c r="J12" i="20"/>
  <c r="I12" i="20"/>
  <c r="H12" i="20"/>
  <c r="G12" i="20"/>
  <c r="F12" i="20"/>
  <c r="E12" i="20"/>
  <c r="D12" i="20"/>
  <c r="C12" i="20"/>
  <c r="B12" i="20"/>
  <c r="AH4" i="20"/>
  <c r="B1" i="20"/>
  <c r="AE12" i="19"/>
  <c r="AD12" i="19"/>
  <c r="AC12" i="19"/>
  <c r="AB12" i="19"/>
  <c r="AA12" i="19"/>
  <c r="Z12" i="19"/>
  <c r="Y12" i="19"/>
  <c r="X12" i="19"/>
  <c r="W12" i="19"/>
  <c r="V12" i="19"/>
  <c r="U12" i="19"/>
  <c r="T12" i="19"/>
  <c r="S12" i="19"/>
  <c r="R12" i="19"/>
  <c r="Q12" i="19"/>
  <c r="P12" i="19"/>
  <c r="O12" i="19"/>
  <c r="N12" i="19"/>
  <c r="M12" i="19"/>
  <c r="L12" i="19"/>
  <c r="K12" i="19"/>
  <c r="J12" i="19"/>
  <c r="I12" i="19"/>
  <c r="H12" i="19"/>
  <c r="G12" i="19"/>
  <c r="F12" i="19"/>
  <c r="E12" i="19"/>
  <c r="D12" i="19"/>
  <c r="C12" i="19"/>
  <c r="B12" i="19"/>
  <c r="AH4" i="19"/>
  <c r="B1" i="19"/>
  <c r="AE12" i="18"/>
  <c r="AD12" i="18"/>
  <c r="AC12" i="18"/>
  <c r="AB12" i="18"/>
  <c r="AA12" i="18"/>
  <c r="Z12" i="18"/>
  <c r="Y12" i="18"/>
  <c r="X12" i="18"/>
  <c r="W12" i="18"/>
  <c r="V12" i="18"/>
  <c r="U12" i="18"/>
  <c r="T12" i="18"/>
  <c r="S12" i="18"/>
  <c r="R12" i="18"/>
  <c r="Q12" i="18"/>
  <c r="P12" i="18"/>
  <c r="O12" i="18"/>
  <c r="N12" i="18"/>
  <c r="M12" i="18"/>
  <c r="L12" i="18"/>
  <c r="K12" i="18"/>
  <c r="J12" i="18"/>
  <c r="I12" i="18"/>
  <c r="H12" i="18"/>
  <c r="G12" i="18"/>
  <c r="F12" i="18"/>
  <c r="E12" i="18"/>
  <c r="D12" i="18"/>
  <c r="C12" i="18"/>
  <c r="B12" i="18"/>
  <c r="AH12" i="18"/>
  <c r="AH4" i="18"/>
  <c r="B1" i="18"/>
  <c r="AE12" i="17"/>
  <c r="AD12" i="17"/>
  <c r="AC12" i="17"/>
  <c r="AB12" i="17"/>
  <c r="AA12" i="17"/>
  <c r="Z12" i="17"/>
  <c r="Y12" i="17"/>
  <c r="X12" i="17"/>
  <c r="W12" i="17"/>
  <c r="V12" i="17"/>
  <c r="U12" i="17"/>
  <c r="T12" i="17"/>
  <c r="S12" i="17"/>
  <c r="R12" i="17"/>
  <c r="Q12" i="17"/>
  <c r="P12" i="17"/>
  <c r="O12" i="17"/>
  <c r="N12" i="17"/>
  <c r="M12" i="17"/>
  <c r="L12" i="17"/>
  <c r="K12" i="17"/>
  <c r="J12" i="17"/>
  <c r="I12" i="17"/>
  <c r="H12" i="17"/>
  <c r="G12" i="17"/>
  <c r="F12" i="17"/>
  <c r="E12" i="17"/>
  <c r="D12" i="17"/>
  <c r="C12" i="17"/>
  <c r="B12" i="17"/>
  <c r="AH4" i="17"/>
  <c r="B1" i="17"/>
  <c r="B1" i="15"/>
  <c r="B1" i="5"/>
  <c r="AH12" i="17" l="1"/>
  <c r="AH12" i="21"/>
  <c r="AH12" i="22"/>
  <c r="AH12" i="25"/>
  <c r="AH12" i="20"/>
  <c r="AH12" i="19"/>
  <c r="AH12" i="24"/>
  <c r="AH4" i="15" l="1"/>
  <c r="C12" i="4" l="1"/>
  <c r="D12" i="4"/>
  <c r="E12" i="4"/>
  <c r="F12" i="4"/>
  <c r="G12" i="4"/>
  <c r="H12" i="4"/>
  <c r="I12" i="4"/>
  <c r="J12" i="4"/>
  <c r="K12" i="4"/>
  <c r="L12" i="4"/>
  <c r="M12" i="4"/>
  <c r="N12" i="4"/>
  <c r="O12" i="4"/>
  <c r="P12" i="4"/>
  <c r="Q12" i="4"/>
  <c r="R12" i="4"/>
  <c r="S12" i="4"/>
  <c r="T12" i="4"/>
  <c r="U12" i="4"/>
  <c r="V12" i="4"/>
  <c r="W12" i="4"/>
  <c r="X12" i="4"/>
  <c r="Y12" i="4"/>
  <c r="Z12" i="4"/>
  <c r="AA12" i="4"/>
  <c r="AB12" i="4"/>
  <c r="AC12" i="4"/>
  <c r="AD12" i="4"/>
  <c r="AE12" i="4"/>
  <c r="AF12" i="4"/>
  <c r="AG12" i="4"/>
  <c r="AH12" i="15" l="1"/>
  <c r="C12" i="15"/>
  <c r="D12" i="15"/>
  <c r="E12" i="15"/>
  <c r="F12" i="15"/>
  <c r="G12" i="15"/>
  <c r="H12" i="15"/>
  <c r="I12" i="15"/>
  <c r="J12" i="15"/>
  <c r="K12" i="15"/>
  <c r="L12" i="15"/>
  <c r="M12" i="15"/>
  <c r="N12" i="15"/>
  <c r="O12" i="15"/>
  <c r="P12" i="15"/>
  <c r="Q12" i="15"/>
  <c r="R12" i="15"/>
  <c r="S12" i="15"/>
  <c r="T12" i="15"/>
  <c r="U12" i="15"/>
  <c r="V12" i="15"/>
  <c r="W12" i="15"/>
  <c r="X12" i="15"/>
  <c r="Y12" i="15"/>
  <c r="Z12" i="15"/>
  <c r="AA12" i="15"/>
  <c r="AB12" i="15"/>
  <c r="AC12" i="15"/>
  <c r="B12" i="15" l="1"/>
  <c r="B12" i="5"/>
  <c r="B12" i="4"/>
  <c r="AE12" i="5" l="1"/>
  <c r="AD12" i="5"/>
  <c r="AC12" i="5"/>
  <c r="AB12" i="5"/>
  <c r="AA12" i="5"/>
  <c r="Z12" i="5"/>
  <c r="Y12" i="5"/>
  <c r="X12" i="5"/>
  <c r="W12" i="5"/>
  <c r="V12" i="5"/>
  <c r="U12" i="5"/>
  <c r="T12" i="5"/>
  <c r="S12" i="5"/>
  <c r="R12" i="5"/>
  <c r="Q12" i="5"/>
  <c r="P12" i="5"/>
  <c r="O12" i="5"/>
  <c r="N12" i="5"/>
  <c r="M12" i="5"/>
  <c r="L12" i="5"/>
  <c r="K12" i="5"/>
  <c r="J12" i="5"/>
  <c r="I12" i="5"/>
  <c r="H12" i="5"/>
  <c r="G12" i="5"/>
  <c r="F12" i="5"/>
  <c r="E12" i="5"/>
  <c r="D12" i="5"/>
  <c r="C12" i="5"/>
  <c r="AH12" i="5" l="1"/>
  <c r="AH12" i="4" l="1"/>
</calcChain>
</file>

<file path=xl/sharedStrings.xml><?xml version="1.0" encoding="utf-8"?>
<sst xmlns="http://schemas.openxmlformats.org/spreadsheetml/2006/main" count="687" uniqueCount="74">
  <si>
    <t>Janvier</t>
  </si>
  <si>
    <t>Nom de l’employé</t>
  </si>
  <si>
    <t>1</t>
  </si>
  <si>
    <t>2</t>
  </si>
  <si>
    <t>3</t>
  </si>
  <si>
    <t>P</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</si>
  <si>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</si>
  <si>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</si>
  <si>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</si>
  <si>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</si>
  <si>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</si>
  <si>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</si>
  <si>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</si>
  <si>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</si>
  <si>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</si>
  <si>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</si>
  <si>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</si>
  <si>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</si>
  <si>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</si>
  <si>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</si>
  <si>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</si>
  <si>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</si>
  <si>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</si>
  <si>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</si>
  <si>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</si>
  <si>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</si>
  <si>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</si>
  <si>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</si>
  <si>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</si>
  <si>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</si>
  <si>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</si>
  <si>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</si>
  <si>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</si>
  <si>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</si>
  <si>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</si>
  <si>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</si>
  <si>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</si>
  <si>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</si>
  <si>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</si>
  <si>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</si>
  <si>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</si>
  <si>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</si>
  <si>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</si>
  <si>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</si>
  <si>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</si>
  <si>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</si>
  <si>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</si>
  <si>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</si>
  <si>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</si>
  <si>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Calendrier des stagiaires - ESAT JACQUEMART</t>
  </si>
  <si>
    <t>Présent</t>
  </si>
  <si>
    <t>ABS</t>
  </si>
  <si>
    <t xml:space="preserve">Nom du stagiaire </t>
  </si>
  <si>
    <t>Noms des stagiaires</t>
  </si>
  <si>
    <t>Stagiaire 2</t>
  </si>
  <si>
    <t>Stagiaire 3</t>
  </si>
  <si>
    <t>Stagiaire 4</t>
  </si>
  <si>
    <t>Stagiaire 5</t>
  </si>
  <si>
    <t>Dates de présence</t>
  </si>
  <si>
    <t>Clé de motif de présence</t>
  </si>
  <si>
    <t>Stagiaire 1</t>
  </si>
  <si>
    <t>Début de Stage</t>
  </si>
  <si>
    <t>Fin de Stage</t>
  </si>
  <si>
    <t>Adresse Facturation</t>
  </si>
  <si>
    <t>Atelier</t>
  </si>
  <si>
    <t>Période de facturation</t>
  </si>
  <si>
    <t>PR</t>
  </si>
  <si>
    <t>Présence + Repas</t>
  </si>
  <si>
    <t>Absence</t>
  </si>
  <si>
    <t xml:space="preserve">PR </t>
  </si>
  <si>
    <t>Total  Jours P</t>
  </si>
  <si>
    <t>Total Jours PR</t>
  </si>
  <si>
    <t>Total Présence Repas sur l'année</t>
  </si>
  <si>
    <t>Dupont Albert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</si>
</sst>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6">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 numFmtId="167" formatCode="[$-40C]mmm\-yy;@"/>
  </numFmts>
  <fonts count="20"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1"/>
      <color theme="1"/>
      <name val="Calibri"/>
      <scheme val="minor"/>
    </font>
  </fonts>
  <fills count="33">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s>
  <borders count="6">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42">
    <xf numFmtId="0" fontId="0" fillId="0" borderId="0" xfId="0">
      <alignment horizontal="left" vertical="center"/>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6" fontId="2" fillId="9" borderId="0" xfId="8" applyNumberFormat="1" applyFont="1" applyAlignment="1" applyProtection="1">
      <alignment horizontal="center" vertical="center"/>
    </xf>
    <xf numFmtId="166" fontId="2" fillId="14" borderId="0" xfId="24" applyNumberFormat="1" applyFont="1" applyAlignment="1" applyProtection="1">
      <alignment horizontal="center" vertical="center"/>
    </xf>
    <xf numFmtId="0" fontId="1" fillId="0" borderId="0" xfId="26" applyFill="1" applyBorder="1">
      <alignment horizontal="left" vertical="center" wrapText="1" indent="2"/>
    </xf>
    <xf numFmtId="1" fontId="1" fillId="0" borderId="0" xfId="25" applyFill="1" applyBorder="1" applyProtection="1">
      <alignment horizontal="center" vertical="center"/>
    </xf>
    <xf numFmtId="0" fontId="0" fillId="0" borderId="0" xfId="0" applyProtection="1">
      <alignment horizontal="left" vertical="center"/>
    </xf>
    <xf numFmtId="0" fontId="5" fillId="2" borderId="0" xfId="3" applyProtection="1">
      <alignment horizontal="center" vertical="center"/>
    </xf>
    <xf numFmtId="166" fontId="0" fillId="0" borderId="0" xfId="0" applyNumberFormat="1" applyFont="1" applyFill="1" applyBorder="1" applyAlignment="1" applyProtection="1">
      <alignment horizontal="center" vertical="center"/>
    </xf>
    <xf numFmtId="0" fontId="6" fillId="0" borderId="0" xfId="1" applyAlignment="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1" fillId="0" borderId="0" xfId="26" applyFill="1" applyBorder="1" applyProtection="1">
      <alignment horizontal="left" vertical="center" wrapText="1" indent="2"/>
    </xf>
    <xf numFmtId="0" fontId="0" fillId="0" borderId="0" xfId="0" applyAlignment="1" applyProtection="1">
      <alignment horizontal="left" vertical="center" wrapText="1"/>
    </xf>
    <xf numFmtId="0" fontId="2" fillId="20" borderId="0" xfId="4" applyProtection="1">
      <alignment horizontal="right" vertical="center" indent="1"/>
    </xf>
    <xf numFmtId="0" fontId="7" fillId="0" borderId="0" xfId="27" applyProtection="1">
      <alignment horizontal="center"/>
    </xf>
    <xf numFmtId="0" fontId="0" fillId="0" borderId="0" xfId="0" applyFont="1" applyFill="1" applyBorder="1" applyAlignment="1" applyProtection="1">
      <alignment horizontal="left" vertical="center" indent="1"/>
    </xf>
    <xf numFmtId="0" fontId="6" fillId="0" borderId="0" xfId="1">
      <alignment vertical="top"/>
    </xf>
    <xf numFmtId="0" fontId="8" fillId="0" borderId="0" xfId="0" applyFont="1" applyFill="1" applyBorder="1" applyAlignment="1" applyProtection="1">
      <alignment horizontal="center" vertical="center"/>
    </xf>
    <xf numFmtId="0" fontId="0" fillId="2" borderId="0" xfId="21" applyFont="1" applyBorder="1" applyAlignment="1" applyProtection="1">
      <alignment horizontal="left" vertical="center" indent="1"/>
    </xf>
    <xf numFmtId="0" fontId="0" fillId="0" borderId="0" xfId="26" applyFont="1" applyFill="1" applyBorder="1">
      <alignment horizontal="left" vertical="center" wrapText="1" indent="2"/>
    </xf>
    <xf numFmtId="0" fontId="0" fillId="0" borderId="0" xfId="26" applyFont="1">
      <alignment horizontal="left" vertical="center" wrapText="1" indent="2"/>
    </xf>
    <xf numFmtId="0" fontId="5" fillId="2" borderId="0" xfId="3" applyProtection="1">
      <alignment horizontal="center" vertical="center"/>
    </xf>
    <xf numFmtId="0" fontId="1" fillId="0" borderId="0" xfId="26">
      <alignment horizontal="left" vertical="center" wrapText="1" indent="2"/>
    </xf>
    <xf numFmtId="0" fontId="0" fillId="0" borderId="0" xfId="26" applyFont="1" applyAlignment="1">
      <alignment horizontal="center" vertical="center" wrapText="1"/>
    </xf>
    <xf numFmtId="0" fontId="0" fillId="0" borderId="0" xfId="0" applyAlignment="1">
      <alignment horizontal="center" vertical="center"/>
    </xf>
    <xf numFmtId="167" fontId="0" fillId="0" borderId="0" xfId="26" applyNumberFormat="1" applyFont="1" applyAlignment="1">
      <alignment horizontal="center" vertical="center" wrapText="1"/>
    </xf>
    <xf numFmtId="167" fontId="1" fillId="0" borderId="0" xfId="26" applyNumberFormat="1">
      <alignment horizontal="left" vertical="center" wrapText="1" indent="2"/>
    </xf>
    <xf numFmtId="14" fontId="0" fillId="0" borderId="0" xfId="26" applyNumberFormat="1" applyFont="1" applyAlignment="1">
      <alignment horizontal="center" vertical="center" wrapText="1"/>
    </xf>
    <xf numFmtId="49" fontId="0" fillId="0" borderId="0" xfId="26" applyNumberFormat="1" applyFont="1" applyAlignment="1">
      <alignment horizontal="center" vertical="center" wrapText="1"/>
    </xf>
    <xf numFmtId="0" fontId="1" fillId="0" borderId="0" xfId="26" applyAlignment="1">
      <alignment horizontal="left" vertical="center" wrapText="1"/>
    </xf>
    <xf numFmtId="0" fontId="0" fillId="2" borderId="0" xfId="21" applyFont="1" applyBorder="1" applyAlignment="1" applyProtection="1">
      <alignment horizontal="center" vertical="center"/>
    </xf>
    <xf numFmtId="0" fontId="19" fillId="0" borderId="0" xfId="0" applyFont="1" applyFill="1" applyBorder="1" applyAlignment="1" applyProtection="1">
      <alignment horizontal="left" vertical="center" indent="1"/>
    </xf>
    <xf numFmtId="166" fontId="19" fillId="0" borderId="0" xfId="0" applyNumberFormat="1" applyFont="1" applyFill="1" applyBorder="1" applyAlignment="1" applyProtection="1">
      <alignment horizontal="center" vertical="center"/>
    </xf>
    <xf numFmtId="0" fontId="0" fillId="0" borderId="0" xfId="0" applyAlignment="1">
      <alignment horizontal="center" vertical="center" wrapText="1"/>
    </xf>
    <xf numFmtId="0" fontId="5" fillId="2" borderId="0" xfId="3" applyProtection="1">
      <alignment horizontal="center" vertical="center"/>
    </xf>
    <xf numFmtId="0" fontId="0" fillId="2" borderId="0" xfId="21" applyFont="1" applyAlignment="1" applyProtection="1">
      <alignment horizontal="left" vertical="center"/>
    </xf>
    <xf numFmtId="0" fontId="1" fillId="2" borderId="0" xfId="21" applyAlignment="1" applyProtection="1">
      <alignment horizontal="left"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B000000}"/>
    <cellStyle name="Entrée" xfId="36" builtinId="20" customBuiltin="1"/>
    <cellStyle name="Étiquette" xfId="27" xr:uid="{00000000-0005-0000-0000-00001D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17">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1" formatCode="0"/>
      <protection locked="1" hidden="0"/>
    </dxf>
    <dxf>
      <fill>
        <patternFill patternType="none">
          <fgColor indexed="64"/>
          <bgColor indexed="65"/>
        </patternFill>
      </fill>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0" formatCode="General"/>
      <alignment horizontal="center" vertical="center" textRotation="0" wrapText="0" indent="0" justifyLastLine="0" shrinkToFit="0" readingOrder="0"/>
      <protection locked="1" hidden="0"/>
    </dxf>
    <dxf>
      <protection locked="1" hidden="0"/>
    </dxf>
    <dxf>
      <numFmt numFmtId="0" formatCode="General"/>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numFmt numFmtId="167" formatCode="[$-40C]mmm\-yy;@"/>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alignment vertical="center" textRotation="0" wrapText="1" indent="0" justifyLastLine="0" shrinkToFit="0" readingOrder="0"/>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 formatCode="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 formatCode="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 formatCode="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 formatCode="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protection locked="1" hidden="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916"/>
      <tableStyleElement type="headerRow" dxfId="915"/>
      <tableStyleElement type="totalRow" dxfId="914"/>
      <tableStyleElement type="firstColumn" dxfId="913"/>
      <tableStyleElement type="lastColumn" dxfId="912"/>
      <tableStyleElement type="firstRowStripe" dxfId="911"/>
      <tableStyleElement type="secondRowStripe" dxfId="910"/>
      <tableStyleElement type="firstColumnStripe" dxfId="909"/>
      <tableStyleElement type="secondColumnStripe" dxfId="908"/>
      <tableStyleElement type="firstHeaderCell" dxfId="907"/>
      <tableStyleElement type="lastHeaderCell" dxfId="906"/>
      <tableStyleElement type="firstTotalCell" dxfId="905"/>
      <tableStyleElement type="lastTotalCell" dxfId="904"/>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6:AH12" totalsRowCount="1" headerRowDxfId="898" dataDxfId="897" totalsRowDxfId="896">
  <autoFilter ref="B6:AH1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Nom du stagiaire " totalsRowFunction="custom" dataDxfId="895" totalsRowDxfId="395" dataCellStyle="Employé">
      <totalsRowFormula>NomMois&amp;" Total"</totalsRowFormula>
    </tableColumn>
    <tableColumn id="2" xr3:uid="{00000000-0010-0000-0000-000002000000}" name="1" totalsRowFunction="custom" dataDxfId="894" totalsRowDxfId="394">
      <totalsRowFormula>SUBTOTAL(103,Janvier!$C$7:$C$11)</totalsRowFormula>
    </tableColumn>
    <tableColumn id="3" xr3:uid="{00000000-0010-0000-0000-000003000000}" name="2" totalsRowFunction="custom" dataDxfId="893" totalsRowDxfId="393">
      <totalsRowFormula>SUBTOTAL(103,Janvier!$D$7:$D$11)</totalsRowFormula>
    </tableColumn>
    <tableColumn id="4" xr3:uid="{00000000-0010-0000-0000-000004000000}" name="3" totalsRowFunction="custom" dataDxfId="892" totalsRowDxfId="392">
      <totalsRowFormula>SUBTOTAL(103,Janvier!$E$7:$E$11)</totalsRowFormula>
    </tableColumn>
    <tableColumn id="5" xr3:uid="{00000000-0010-0000-0000-000005000000}" name="4" totalsRowFunction="custom" dataDxfId="891" totalsRowDxfId="391">
      <totalsRowFormula>SUBTOTAL(103,Janvier!$F$7:$F$11)</totalsRowFormula>
    </tableColumn>
    <tableColumn id="6" xr3:uid="{00000000-0010-0000-0000-000006000000}" name="5" totalsRowFunction="custom" totalsRowDxfId="390">
      <totalsRowFormula>SUBTOTAL(103,Janvier!$G$7:$G$11)</totalsRowFormula>
    </tableColumn>
    <tableColumn id="7" xr3:uid="{00000000-0010-0000-0000-000007000000}" name="6" totalsRowFunction="custom" dataDxfId="890" totalsRowDxfId="389">
      <totalsRowFormula>SUBTOTAL(103,Janvier!$H$7:$H$11)</totalsRowFormula>
    </tableColumn>
    <tableColumn id="8" xr3:uid="{00000000-0010-0000-0000-000008000000}" name="7" totalsRowFunction="custom" dataDxfId="889" totalsRowDxfId="388">
      <totalsRowFormula>SUBTOTAL(103,Janvier!$I$7:$I$11)</totalsRowFormula>
    </tableColumn>
    <tableColumn id="9" xr3:uid="{00000000-0010-0000-0000-000009000000}" name="8" totalsRowFunction="custom" dataDxfId="888" totalsRowDxfId="387">
      <totalsRowFormula>SUBTOTAL(103,Janvier!$J$7:$J$11)</totalsRowFormula>
    </tableColumn>
    <tableColumn id="10" xr3:uid="{00000000-0010-0000-0000-00000A000000}" name="9" totalsRowFunction="custom" dataDxfId="887" totalsRowDxfId="386">
      <totalsRowFormula>SUBTOTAL(103,Janvier!$K$7:$K$11)</totalsRowFormula>
    </tableColumn>
    <tableColumn id="11" xr3:uid="{00000000-0010-0000-0000-00000B000000}" name="10" totalsRowFunction="custom" dataDxfId="886" totalsRowDxfId="385">
      <totalsRowFormula>SUBTOTAL(103,Janvier!$L$7:$L$11)</totalsRowFormula>
    </tableColumn>
    <tableColumn id="12" xr3:uid="{00000000-0010-0000-0000-00000C000000}" name="11" totalsRowFunction="custom" dataDxfId="885" totalsRowDxfId="384">
      <totalsRowFormula>SUBTOTAL(103,Janvier!$M$7:$M$11)</totalsRowFormula>
    </tableColumn>
    <tableColumn id="13" xr3:uid="{00000000-0010-0000-0000-00000D000000}" name="12" totalsRowFunction="custom" dataDxfId="884" totalsRowDxfId="383">
      <totalsRowFormula>SUBTOTAL(103,Janvier!$N$7:$N$11)</totalsRowFormula>
    </tableColumn>
    <tableColumn id="14" xr3:uid="{00000000-0010-0000-0000-00000E000000}" name="13" totalsRowFunction="custom" dataDxfId="883" totalsRowDxfId="382">
      <totalsRowFormula>SUBTOTAL(103,Janvier!$O$7:$O$11)</totalsRowFormula>
    </tableColumn>
    <tableColumn id="15" xr3:uid="{00000000-0010-0000-0000-00000F000000}" name="14" totalsRowFunction="custom" dataDxfId="882" totalsRowDxfId="381">
      <totalsRowFormula>SUBTOTAL(103,Janvier!$P$7:$P$11)</totalsRowFormula>
    </tableColumn>
    <tableColumn id="16" xr3:uid="{00000000-0010-0000-0000-000010000000}" name="15" totalsRowFunction="custom" dataDxfId="881" totalsRowDxfId="380">
      <totalsRowFormula>SUBTOTAL(103,Janvier!$Q$7:$Q$11)</totalsRowFormula>
    </tableColumn>
    <tableColumn id="17" xr3:uid="{00000000-0010-0000-0000-000011000000}" name="16" totalsRowFunction="custom" dataDxfId="880" totalsRowDxfId="379">
      <totalsRowFormula>SUBTOTAL(103,Janvier!$R$7:$R$11)</totalsRowFormula>
    </tableColumn>
    <tableColumn id="18" xr3:uid="{00000000-0010-0000-0000-000012000000}" name="17" totalsRowFunction="custom" dataDxfId="879" totalsRowDxfId="378">
      <totalsRowFormula>SUBTOTAL(103,Janvier!$S$7:$S$11)</totalsRowFormula>
    </tableColumn>
    <tableColumn id="19" xr3:uid="{00000000-0010-0000-0000-000013000000}" name="18" totalsRowFunction="custom" dataDxfId="878" totalsRowDxfId="377">
      <totalsRowFormula>SUBTOTAL(103,Janvier!$T$7:$T$11)</totalsRowFormula>
    </tableColumn>
    <tableColumn id="20" xr3:uid="{00000000-0010-0000-0000-000014000000}" name="19" totalsRowFunction="custom" dataDxfId="877" totalsRowDxfId="376">
      <totalsRowFormula>SUBTOTAL(103,Janvier!$U$7:$U$11)</totalsRowFormula>
    </tableColumn>
    <tableColumn id="21" xr3:uid="{00000000-0010-0000-0000-000015000000}" name="20" totalsRowFunction="custom" dataDxfId="876" totalsRowDxfId="375">
      <totalsRowFormula>SUBTOTAL(103,Janvier!$V$7:$V$11)</totalsRowFormula>
    </tableColumn>
    <tableColumn id="22" xr3:uid="{00000000-0010-0000-0000-000016000000}" name="21" totalsRowFunction="custom" dataDxfId="875" totalsRowDxfId="374">
      <totalsRowFormula>SUBTOTAL(103,Janvier!$W$7:$W$11)</totalsRowFormula>
    </tableColumn>
    <tableColumn id="23" xr3:uid="{00000000-0010-0000-0000-000017000000}" name="22" totalsRowFunction="custom" dataDxfId="874" totalsRowDxfId="373">
      <totalsRowFormula>SUBTOTAL(103,Janvier!$X$7:$X$11)</totalsRowFormula>
    </tableColumn>
    <tableColumn id="24" xr3:uid="{00000000-0010-0000-0000-000018000000}" name="23" totalsRowFunction="custom" dataDxfId="873" totalsRowDxfId="372">
      <totalsRowFormula>SUBTOTAL(103,Janvier!$Y$7:$Y$11)</totalsRowFormula>
    </tableColumn>
    <tableColumn id="25" xr3:uid="{00000000-0010-0000-0000-000019000000}" name="24" totalsRowFunction="custom" dataDxfId="872" totalsRowDxfId="371">
      <totalsRowFormula>SUBTOTAL(103,Janvier!$Z$7:$Z$11)</totalsRowFormula>
    </tableColumn>
    <tableColumn id="26" xr3:uid="{00000000-0010-0000-0000-00001A000000}" name="25" totalsRowFunction="custom" dataDxfId="871" totalsRowDxfId="370">
      <totalsRowFormula>SUBTOTAL(103,Janvier!$AA$7:$AA$11)</totalsRowFormula>
    </tableColumn>
    <tableColumn id="27" xr3:uid="{00000000-0010-0000-0000-00001B000000}" name="26" totalsRowFunction="custom" dataDxfId="870" totalsRowDxfId="369">
      <totalsRowFormula>SUBTOTAL(103,Janvier!$AB$7:$AB$11)</totalsRowFormula>
    </tableColumn>
    <tableColumn id="28" xr3:uid="{00000000-0010-0000-0000-00001C000000}" name="27" totalsRowFunction="custom" dataDxfId="869" totalsRowDxfId="368">
      <totalsRowFormula>SUBTOTAL(103,Janvier!$AC$7:$AC$11)</totalsRowFormula>
    </tableColumn>
    <tableColumn id="29" xr3:uid="{00000000-0010-0000-0000-00001D000000}" name="28" totalsRowFunction="custom" dataDxfId="868" totalsRowDxfId="367">
      <totalsRowFormula>SUBTOTAL(103,Janvier!$AD$7:$AD$11)</totalsRowFormula>
    </tableColumn>
    <tableColumn id="30" xr3:uid="{00000000-0010-0000-0000-00001E000000}" name="29" totalsRowFunction="custom" dataDxfId="867" totalsRowDxfId="366">
      <totalsRowFormula>SUBTOTAL(103,Janvier!$AE$7:$AE$11)</totalsRowFormula>
    </tableColumn>
    <tableColumn id="31" xr3:uid="{00000000-0010-0000-0000-00001F000000}" name="30" totalsRowFunction="custom" dataDxfId="866" totalsRowDxfId="365">
      <totalsRowFormula>SUBTOTAL(103,Janvier!$AF$7:$AF$11)</totalsRowFormula>
    </tableColumn>
    <tableColumn id="32" xr3:uid="{00000000-0010-0000-0000-000020000000}" name="31" totalsRowFunction="custom" dataDxfId="865" totalsRowDxfId="364">
      <totalsRowFormula>SUBTOTAL(103,Janvier!$AG$7:$AG$11)</totalsRowFormula>
    </tableColumn>
    <tableColumn id="33" xr3:uid="{00000000-0010-0000-0000-000021000000}" name="Total  Jours P" totalsRowFunction="sum" dataDxfId="396" totalsRowDxfId="363">
      <calculatedColumnFormula>COUNTIF(Janvier[[#This Row],[1]:[31]],"P")</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Février" displayName="Février" ref="B6:AH12" totalsRowCount="1" headerRowDxfId="857" dataDxfId="856" totalsRowDxfId="855">
  <tableColumns count="33">
    <tableColumn id="1" xr3:uid="{00000000-0010-0000-0100-000001000000}" name="Nom de l’employé" totalsRowFunction="custom" dataDxfId="854" totalsRowDxfId="32" dataCellStyle="Employé">
      <totalsRowFormula>NomMois&amp;" Total"</totalsRowFormula>
    </tableColumn>
    <tableColumn id="2" xr3:uid="{00000000-0010-0000-0100-000002000000}" name="1" totalsRowFunction="count" dataDxfId="853" totalsRowDxfId="31"/>
    <tableColumn id="3" xr3:uid="{00000000-0010-0000-0100-000003000000}" name="2" totalsRowFunction="count" dataDxfId="852" totalsRowDxfId="30"/>
    <tableColumn id="4" xr3:uid="{00000000-0010-0000-0100-000004000000}" name="3" totalsRowFunction="count" dataDxfId="851" totalsRowDxfId="29"/>
    <tableColumn id="5" xr3:uid="{00000000-0010-0000-0100-000005000000}" name="4" totalsRowFunction="count" dataDxfId="850" totalsRowDxfId="28"/>
    <tableColumn id="6" xr3:uid="{00000000-0010-0000-0100-000006000000}" name="5" totalsRowFunction="count" dataDxfId="849" totalsRowDxfId="27"/>
    <tableColumn id="7" xr3:uid="{00000000-0010-0000-0100-000007000000}" name="6" totalsRowFunction="count" dataDxfId="848" totalsRowDxfId="26"/>
    <tableColumn id="8" xr3:uid="{00000000-0010-0000-0100-000008000000}" name="7" totalsRowFunction="count" dataDxfId="847" totalsRowDxfId="25"/>
    <tableColumn id="9" xr3:uid="{00000000-0010-0000-0100-000009000000}" name="8" totalsRowFunction="count" dataDxfId="846" totalsRowDxfId="24"/>
    <tableColumn id="10" xr3:uid="{00000000-0010-0000-0100-00000A000000}" name="9" totalsRowFunction="count" dataDxfId="845" totalsRowDxfId="23"/>
    <tableColumn id="11" xr3:uid="{00000000-0010-0000-0100-00000B000000}" name="10" totalsRowFunction="count" dataDxfId="844" totalsRowDxfId="22"/>
    <tableColumn id="12" xr3:uid="{00000000-0010-0000-0100-00000C000000}" name="11" totalsRowFunction="count" dataDxfId="843" totalsRowDxfId="21"/>
    <tableColumn id="13" xr3:uid="{00000000-0010-0000-0100-00000D000000}" name="12" totalsRowFunction="count" dataDxfId="842" totalsRowDxfId="20"/>
    <tableColumn id="14" xr3:uid="{00000000-0010-0000-0100-00000E000000}" name="13" totalsRowFunction="count" dataDxfId="841" totalsRowDxfId="19"/>
    <tableColumn id="15" xr3:uid="{00000000-0010-0000-0100-00000F000000}" name="14" totalsRowFunction="count" dataDxfId="840" totalsRowDxfId="18"/>
    <tableColumn id="16" xr3:uid="{00000000-0010-0000-0100-000010000000}" name="15" totalsRowFunction="count" dataDxfId="839" totalsRowDxfId="17"/>
    <tableColumn id="17" xr3:uid="{00000000-0010-0000-0100-000011000000}" name="16" totalsRowFunction="count" dataDxfId="838" totalsRowDxfId="16"/>
    <tableColumn id="18" xr3:uid="{00000000-0010-0000-0100-000012000000}" name="17" totalsRowFunction="count" dataDxfId="837" totalsRowDxfId="15"/>
    <tableColumn id="19" xr3:uid="{00000000-0010-0000-0100-000013000000}" name="18" totalsRowFunction="count" dataDxfId="836" totalsRowDxfId="14"/>
    <tableColumn id="20" xr3:uid="{00000000-0010-0000-0100-000014000000}" name="19" totalsRowFunction="count" dataDxfId="835" totalsRowDxfId="13"/>
    <tableColumn id="21" xr3:uid="{00000000-0010-0000-0100-000015000000}" name="20" totalsRowFunction="count" dataDxfId="834" totalsRowDxfId="12"/>
    <tableColumn id="22" xr3:uid="{00000000-0010-0000-0100-000016000000}" name="21" totalsRowFunction="count" dataDxfId="833" totalsRowDxfId="11"/>
    <tableColumn id="23" xr3:uid="{00000000-0010-0000-0100-000017000000}" name="22" totalsRowFunction="count" dataDxfId="832" totalsRowDxfId="10"/>
    <tableColumn id="24" xr3:uid="{00000000-0010-0000-0100-000018000000}" name="23" totalsRowFunction="count" dataDxfId="831" totalsRowDxfId="9"/>
    <tableColumn id="25" xr3:uid="{00000000-0010-0000-0100-000019000000}" name="24" totalsRowFunction="count" dataDxfId="830" totalsRowDxfId="8"/>
    <tableColumn id="26" xr3:uid="{00000000-0010-0000-0100-00001A000000}" name="25" totalsRowFunction="count" dataDxfId="829" totalsRowDxfId="7"/>
    <tableColumn id="27" xr3:uid="{00000000-0010-0000-0100-00001B000000}" name="26" totalsRowFunction="count" dataDxfId="828" totalsRowDxfId="6"/>
    <tableColumn id="28" xr3:uid="{00000000-0010-0000-0100-00001C000000}" name="27" totalsRowFunction="count" dataDxfId="827" totalsRowDxfId="5"/>
    <tableColumn id="29" xr3:uid="{00000000-0010-0000-0100-00001D000000}" name="28" totalsRowFunction="count" dataDxfId="826" totalsRowDxfId="4"/>
    <tableColumn id="30" xr3:uid="{00000000-0010-0000-0100-00001E000000}" name="29" totalsRowFunction="count" dataDxfId="825" totalsRowDxfId="3"/>
    <tableColumn id="31" xr3:uid="{00000000-0010-0000-0100-00001F000000}" name=" " dataDxfId="824" totalsRowDxfId="2"/>
    <tableColumn id="32" xr3:uid="{00000000-0010-0000-0100-000020000000}" name="  " dataDxfId="404" totalsRowDxfId="1"/>
    <tableColumn id="33" xr3:uid="{00000000-0010-0000-0100-000021000000}" name="Total des jours" totalsRowFunction="sum" dataDxfId="403" totalsRowDxfId="0">
      <calculatedColumnFormula>COUNTIF(Février[[#This Row],[1]:[28]],"P")</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3000000}" name="Mars" displayName="Mars" ref="B6:AH12" totalsRowCount="1" headerRowDxfId="777" dataDxfId="776" totalsRowDxfId="775">
  <tableColumns count="33">
    <tableColumn id="1" xr3:uid="{00000000-0010-0000-0300-000001000000}" name="Nom de l’employé" totalsRowFunction="custom" dataDxfId="774" totalsRowDxfId="362" dataCellStyle="Employé">
      <totalsRowFormula>NomMois&amp;" Total"</totalsRowFormula>
    </tableColumn>
    <tableColumn id="2" xr3:uid="{00000000-0010-0000-0300-000002000000}" name="1" totalsRowFunction="count" dataDxfId="773" totalsRowDxfId="361"/>
    <tableColumn id="3" xr3:uid="{00000000-0010-0000-0300-000003000000}" name="2" totalsRowFunction="count" dataDxfId="772" totalsRowDxfId="360"/>
    <tableColumn id="4" xr3:uid="{00000000-0010-0000-0300-000004000000}" name="3" totalsRowFunction="count" dataDxfId="771" totalsRowDxfId="359"/>
    <tableColumn id="5" xr3:uid="{00000000-0010-0000-0300-000005000000}" name="4" totalsRowFunction="count" dataDxfId="770" totalsRowDxfId="358"/>
    <tableColumn id="6" xr3:uid="{00000000-0010-0000-0300-000006000000}" name="5" totalsRowFunction="count" dataDxfId="769" totalsRowDxfId="357"/>
    <tableColumn id="7" xr3:uid="{00000000-0010-0000-0300-000007000000}" name="6" totalsRowFunction="count" dataDxfId="768" totalsRowDxfId="356"/>
    <tableColumn id="8" xr3:uid="{00000000-0010-0000-0300-000008000000}" name="7" totalsRowFunction="count" dataDxfId="767" totalsRowDxfId="355"/>
    <tableColumn id="9" xr3:uid="{00000000-0010-0000-0300-000009000000}" name="8" totalsRowFunction="count" dataDxfId="766" totalsRowDxfId="354"/>
    <tableColumn id="10" xr3:uid="{00000000-0010-0000-0300-00000A000000}" name="9" totalsRowFunction="count" dataDxfId="765" totalsRowDxfId="353"/>
    <tableColumn id="11" xr3:uid="{00000000-0010-0000-0300-00000B000000}" name="10" totalsRowFunction="count" dataDxfId="764" totalsRowDxfId="352"/>
    <tableColumn id="12" xr3:uid="{00000000-0010-0000-0300-00000C000000}" name="11" totalsRowFunction="count" dataDxfId="763" totalsRowDxfId="351"/>
    <tableColumn id="13" xr3:uid="{00000000-0010-0000-0300-00000D000000}" name="12" totalsRowFunction="count" dataDxfId="762" totalsRowDxfId="350"/>
    <tableColumn id="14" xr3:uid="{00000000-0010-0000-0300-00000E000000}" name="13" totalsRowFunction="count" dataDxfId="761" totalsRowDxfId="349"/>
    <tableColumn id="15" xr3:uid="{00000000-0010-0000-0300-00000F000000}" name="14" totalsRowFunction="count" dataDxfId="760" totalsRowDxfId="348"/>
    <tableColumn id="16" xr3:uid="{00000000-0010-0000-0300-000010000000}" name="15" totalsRowFunction="count" dataDxfId="759" totalsRowDxfId="347"/>
    <tableColumn id="17" xr3:uid="{00000000-0010-0000-0300-000011000000}" name="16" totalsRowFunction="count" dataDxfId="758" totalsRowDxfId="346"/>
    <tableColumn id="18" xr3:uid="{00000000-0010-0000-0300-000012000000}" name="17" totalsRowFunction="count" dataDxfId="757" totalsRowDxfId="345"/>
    <tableColumn id="19" xr3:uid="{00000000-0010-0000-0300-000013000000}" name="18" totalsRowFunction="count" dataDxfId="756" totalsRowDxfId="344"/>
    <tableColumn id="20" xr3:uid="{00000000-0010-0000-0300-000014000000}" name="19" totalsRowFunction="count" dataDxfId="755" totalsRowDxfId="343"/>
    <tableColumn id="21" xr3:uid="{00000000-0010-0000-0300-000015000000}" name="20" totalsRowFunction="count" dataDxfId="754" totalsRowDxfId="342"/>
    <tableColumn id="22" xr3:uid="{00000000-0010-0000-0300-000016000000}" name="21" totalsRowFunction="count" dataDxfId="753" totalsRowDxfId="341"/>
    <tableColumn id="23" xr3:uid="{00000000-0010-0000-0300-000017000000}" name="22" totalsRowFunction="count" dataDxfId="752" totalsRowDxfId="340"/>
    <tableColumn id="24" xr3:uid="{00000000-0010-0000-0300-000018000000}" name="23" totalsRowFunction="count" dataDxfId="751" totalsRowDxfId="339"/>
    <tableColumn id="25" xr3:uid="{00000000-0010-0000-0300-000019000000}" name="24" totalsRowFunction="count" dataDxfId="750" totalsRowDxfId="338"/>
    <tableColumn id="26" xr3:uid="{00000000-0010-0000-0300-00001A000000}" name="25" totalsRowFunction="count" dataDxfId="749" totalsRowDxfId="337"/>
    <tableColumn id="27" xr3:uid="{00000000-0010-0000-0300-00001B000000}" name="26" totalsRowFunction="count" dataDxfId="748" totalsRowDxfId="336"/>
    <tableColumn id="28" xr3:uid="{00000000-0010-0000-0300-00001C000000}" name="27" totalsRowFunction="count" dataDxfId="747" totalsRowDxfId="335"/>
    <tableColumn id="29" xr3:uid="{00000000-0010-0000-0300-00001D000000}" name="28" totalsRowFunction="count" dataDxfId="746" totalsRowDxfId="334"/>
    <tableColumn id="30" xr3:uid="{00000000-0010-0000-0300-00001E000000}" name="29" totalsRowFunction="count" dataDxfId="745" totalsRowDxfId="333"/>
    <tableColumn id="31" xr3:uid="{00000000-0010-0000-0300-00001F000000}" name="30" totalsRowFunction="count" dataDxfId="744" totalsRowDxfId="332"/>
    <tableColumn id="32" xr3:uid="{00000000-0010-0000-0300-000020000000}" name="31" totalsRowFunction="count" dataDxfId="743" totalsRowDxfId="331"/>
    <tableColumn id="33" xr3:uid="{00000000-0010-0000-0300-000021000000}" name="Total des jours" totalsRowFunction="sum" dataDxfId="397" totalsRowDxfId="330" dataCellStyle="Total"/>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4000000}" name="Avril" displayName="Avril" ref="B6:AH12" totalsRowCount="1" headerRowDxfId="737" dataDxfId="736" totalsRowDxfId="735">
  <tableColumns count="33">
    <tableColumn id="1" xr3:uid="{00000000-0010-0000-0400-000001000000}" name="Nom de l’employé" totalsRowFunction="custom" dataDxfId="734" totalsRowDxfId="329" dataCellStyle="Employé">
      <totalsRowFormula>NomMois&amp;" Total"</totalsRowFormula>
    </tableColumn>
    <tableColumn id="2" xr3:uid="{00000000-0010-0000-0400-000002000000}" name="1" totalsRowFunction="count" dataDxfId="733" totalsRowDxfId="328"/>
    <tableColumn id="3" xr3:uid="{00000000-0010-0000-0400-000003000000}" name="2" totalsRowFunction="count" dataDxfId="732" totalsRowDxfId="327"/>
    <tableColumn id="4" xr3:uid="{00000000-0010-0000-0400-000004000000}" name="3" totalsRowFunction="count" dataDxfId="731" totalsRowDxfId="326"/>
    <tableColumn id="5" xr3:uid="{00000000-0010-0000-0400-000005000000}" name="4" totalsRowFunction="count" dataDxfId="730" totalsRowDxfId="325"/>
    <tableColumn id="6" xr3:uid="{00000000-0010-0000-0400-000006000000}" name="5" totalsRowFunction="count" dataDxfId="729" totalsRowDxfId="324"/>
    <tableColumn id="7" xr3:uid="{00000000-0010-0000-0400-000007000000}" name="6" totalsRowFunction="count" dataDxfId="728" totalsRowDxfId="323"/>
    <tableColumn id="8" xr3:uid="{00000000-0010-0000-0400-000008000000}" name="7" totalsRowFunction="count" dataDxfId="727" totalsRowDxfId="322"/>
    <tableColumn id="9" xr3:uid="{00000000-0010-0000-0400-000009000000}" name="8" totalsRowFunction="count" dataDxfId="726" totalsRowDxfId="321"/>
    <tableColumn id="10" xr3:uid="{00000000-0010-0000-0400-00000A000000}" name="9" totalsRowFunction="count" dataDxfId="725" totalsRowDxfId="320"/>
    <tableColumn id="11" xr3:uid="{00000000-0010-0000-0400-00000B000000}" name="10" totalsRowFunction="count" dataDxfId="724" totalsRowDxfId="319"/>
    <tableColumn id="12" xr3:uid="{00000000-0010-0000-0400-00000C000000}" name="11" totalsRowFunction="count" dataDxfId="723" totalsRowDxfId="318"/>
    <tableColumn id="13" xr3:uid="{00000000-0010-0000-0400-00000D000000}" name="12" totalsRowFunction="count" dataDxfId="722" totalsRowDxfId="317"/>
    <tableColumn id="14" xr3:uid="{00000000-0010-0000-0400-00000E000000}" name="13" totalsRowFunction="count" dataDxfId="721" totalsRowDxfId="316"/>
    <tableColumn id="15" xr3:uid="{00000000-0010-0000-0400-00000F000000}" name="14" totalsRowFunction="count" dataDxfId="720" totalsRowDxfId="315"/>
    <tableColumn id="16" xr3:uid="{00000000-0010-0000-0400-000010000000}" name="15" totalsRowFunction="count" dataDxfId="719" totalsRowDxfId="314"/>
    <tableColumn id="17" xr3:uid="{00000000-0010-0000-0400-000011000000}" name="16" totalsRowFunction="count" dataDxfId="718" totalsRowDxfId="313"/>
    <tableColumn id="18" xr3:uid="{00000000-0010-0000-0400-000012000000}" name="17" totalsRowFunction="count" dataDxfId="717" totalsRowDxfId="312"/>
    <tableColumn id="19" xr3:uid="{00000000-0010-0000-0400-000013000000}" name="18" totalsRowFunction="count" dataDxfId="716" totalsRowDxfId="311"/>
    <tableColumn id="20" xr3:uid="{00000000-0010-0000-0400-000014000000}" name="19" totalsRowFunction="count" dataDxfId="715" totalsRowDxfId="310"/>
    <tableColumn id="21" xr3:uid="{00000000-0010-0000-0400-000015000000}" name="20" totalsRowFunction="count" dataDxfId="714" totalsRowDxfId="309"/>
    <tableColumn id="22" xr3:uid="{00000000-0010-0000-0400-000016000000}" name="21" totalsRowFunction="count" dataDxfId="713" totalsRowDxfId="308"/>
    <tableColumn id="23" xr3:uid="{00000000-0010-0000-0400-000017000000}" name="22" totalsRowFunction="count" dataDxfId="712" totalsRowDxfId="307"/>
    <tableColumn id="24" xr3:uid="{00000000-0010-0000-0400-000018000000}" name="23" totalsRowFunction="count" dataDxfId="711" totalsRowDxfId="306"/>
    <tableColumn id="25" xr3:uid="{00000000-0010-0000-0400-000019000000}" name="24" totalsRowFunction="count" dataDxfId="710" totalsRowDxfId="305"/>
    <tableColumn id="26" xr3:uid="{00000000-0010-0000-0400-00001A000000}" name="25" totalsRowFunction="count" dataDxfId="709" totalsRowDxfId="304"/>
    <tableColumn id="27" xr3:uid="{00000000-0010-0000-0400-00001B000000}" name="26" totalsRowFunction="count" dataDxfId="708" totalsRowDxfId="303"/>
    <tableColumn id="28" xr3:uid="{00000000-0010-0000-0400-00001C000000}" name="27" totalsRowFunction="count" dataDxfId="707" totalsRowDxfId="302"/>
    <tableColumn id="29" xr3:uid="{00000000-0010-0000-0400-00001D000000}" name="28" totalsRowFunction="count" dataDxfId="706" totalsRowDxfId="301"/>
    <tableColumn id="30" xr3:uid="{00000000-0010-0000-0400-00001E000000}" name="29" totalsRowFunction="count" dataDxfId="705" totalsRowDxfId="300"/>
    <tableColumn id="31" xr3:uid="{00000000-0010-0000-0400-00001F000000}" name="30" totalsRowFunction="count" dataDxfId="704" totalsRowDxfId="299"/>
    <tableColumn id="32" xr3:uid="{00000000-0010-0000-0400-000020000000}" name=" " totalsRowFunction="custom" dataDxfId="703" totalsRowDxfId="298">
      <totalsRowFormula>SUBTOTAL(103,Avril[30])</totalsRowFormula>
    </tableColumn>
    <tableColumn id="33" xr3:uid="{00000000-0010-0000-0400-000021000000}" name="Total des jours" totalsRowFunction="sum" dataDxfId="702" totalsRowDxfId="297"/>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2000000}" name="Mai" displayName="Mai" ref="B6:AH12" totalsRowCount="1" headerRowDxfId="818" dataDxfId="817" totalsRowDxfId="816">
  <tableColumns count="33">
    <tableColumn id="1" xr3:uid="{00000000-0010-0000-0200-000001000000}" name="Nom de l’employé" totalsRowFunction="custom" dataDxfId="815" totalsRowDxfId="296" dataCellStyle="Employé">
      <totalsRowFormula>NomMois&amp;" Total"</totalsRowFormula>
    </tableColumn>
    <tableColumn id="2" xr3:uid="{00000000-0010-0000-0200-000002000000}" name="1" totalsRowFunction="count" dataDxfId="814" totalsRowDxfId="295"/>
    <tableColumn id="3" xr3:uid="{00000000-0010-0000-0200-000003000000}" name="2" totalsRowFunction="count" dataDxfId="813" totalsRowDxfId="294"/>
    <tableColumn id="4" xr3:uid="{00000000-0010-0000-0200-000004000000}" name="3" totalsRowFunction="count" dataDxfId="812" totalsRowDxfId="293"/>
    <tableColumn id="5" xr3:uid="{00000000-0010-0000-0200-000005000000}" name="4" totalsRowFunction="count" dataDxfId="811" totalsRowDxfId="292"/>
    <tableColumn id="6" xr3:uid="{00000000-0010-0000-0200-000006000000}" name="5" totalsRowFunction="count" dataDxfId="810" totalsRowDxfId="291"/>
    <tableColumn id="7" xr3:uid="{00000000-0010-0000-0200-000007000000}" name="6" totalsRowFunction="count" dataDxfId="809" totalsRowDxfId="290"/>
    <tableColumn id="8" xr3:uid="{00000000-0010-0000-0200-000008000000}" name="7" totalsRowFunction="count" dataDxfId="808" totalsRowDxfId="289"/>
    <tableColumn id="9" xr3:uid="{00000000-0010-0000-0200-000009000000}" name="8" totalsRowFunction="count" dataDxfId="807" totalsRowDxfId="288"/>
    <tableColumn id="10" xr3:uid="{00000000-0010-0000-0200-00000A000000}" name="9" totalsRowFunction="count" dataDxfId="806" totalsRowDxfId="287"/>
    <tableColumn id="11" xr3:uid="{00000000-0010-0000-0200-00000B000000}" name="10" totalsRowFunction="count" dataDxfId="805" totalsRowDxfId="286"/>
    <tableColumn id="12" xr3:uid="{00000000-0010-0000-0200-00000C000000}" name="11" totalsRowFunction="count" dataDxfId="804" totalsRowDxfId="285"/>
    <tableColumn id="13" xr3:uid="{00000000-0010-0000-0200-00000D000000}" name="12" totalsRowFunction="count" dataDxfId="803" totalsRowDxfId="284"/>
    <tableColumn id="14" xr3:uid="{00000000-0010-0000-0200-00000E000000}" name="13" totalsRowFunction="count" dataDxfId="802" totalsRowDxfId="283"/>
    <tableColumn id="15" xr3:uid="{00000000-0010-0000-0200-00000F000000}" name="14" totalsRowFunction="count" dataDxfId="801" totalsRowDxfId="282"/>
    <tableColumn id="16" xr3:uid="{00000000-0010-0000-0200-000010000000}" name="15" totalsRowFunction="count" dataDxfId="800" totalsRowDxfId="281"/>
    <tableColumn id="17" xr3:uid="{00000000-0010-0000-0200-000011000000}" name="16" totalsRowFunction="count" dataDxfId="799" totalsRowDxfId="280"/>
    <tableColumn id="18" xr3:uid="{00000000-0010-0000-0200-000012000000}" name="17" totalsRowFunction="count" dataDxfId="798" totalsRowDxfId="279"/>
    <tableColumn id="19" xr3:uid="{00000000-0010-0000-0200-000013000000}" name="18" totalsRowFunction="count" dataDxfId="797" totalsRowDxfId="278"/>
    <tableColumn id="20" xr3:uid="{00000000-0010-0000-0200-000014000000}" name="19" totalsRowFunction="count" dataDxfId="796" totalsRowDxfId="277"/>
    <tableColumn id="21" xr3:uid="{00000000-0010-0000-0200-000015000000}" name="20" totalsRowFunction="count" dataDxfId="795" totalsRowDxfId="276"/>
    <tableColumn id="22" xr3:uid="{00000000-0010-0000-0200-000016000000}" name="21" totalsRowFunction="count" dataDxfId="794" totalsRowDxfId="275"/>
    <tableColumn id="23" xr3:uid="{00000000-0010-0000-0200-000017000000}" name="22" totalsRowFunction="count" dataDxfId="793" totalsRowDxfId="274"/>
    <tableColumn id="24" xr3:uid="{00000000-0010-0000-0200-000018000000}" name="23" totalsRowFunction="count" dataDxfId="792" totalsRowDxfId="273"/>
    <tableColumn id="25" xr3:uid="{00000000-0010-0000-0200-000019000000}" name="24" totalsRowFunction="count" dataDxfId="791" totalsRowDxfId="272"/>
    <tableColumn id="26" xr3:uid="{00000000-0010-0000-0200-00001A000000}" name="25" totalsRowFunction="count" dataDxfId="790" totalsRowDxfId="271"/>
    <tableColumn id="27" xr3:uid="{00000000-0010-0000-0200-00001B000000}" name="26" totalsRowFunction="count" dataDxfId="789" totalsRowDxfId="270"/>
    <tableColumn id="28" xr3:uid="{00000000-0010-0000-0200-00001C000000}" name="27" totalsRowFunction="count" dataDxfId="788" totalsRowDxfId="269"/>
    <tableColumn id="29" xr3:uid="{00000000-0010-0000-0200-00001D000000}" name="28" totalsRowFunction="count" dataDxfId="787" totalsRowDxfId="268"/>
    <tableColumn id="30" xr3:uid="{00000000-0010-0000-0200-00001E000000}" name="29" totalsRowFunction="count" dataDxfId="786" totalsRowDxfId="267"/>
    <tableColumn id="31" xr3:uid="{00000000-0010-0000-0200-00001F000000}" name="30" totalsRowFunction="count" dataDxfId="785" totalsRowDxfId="266"/>
    <tableColumn id="32" xr3:uid="{00000000-0010-0000-0200-000020000000}" name="31" totalsRowFunction="count" dataDxfId="784" totalsRowDxfId="265"/>
    <tableColumn id="33" xr3:uid="{00000000-0010-0000-0200-000021000000}" name="Total des jours" totalsRowFunction="sum" dataDxfId="783" totalsRowDxfId="264"/>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5000000}" name="Juin" displayName="Juin" ref="B6:AH12" totalsRowCount="1" headerRowDxfId="696" dataDxfId="695" totalsRowDxfId="694">
  <tableColumns count="33">
    <tableColumn id="1" xr3:uid="{00000000-0010-0000-0500-000001000000}" name="Nom de l’employé" totalsRowFunction="custom" dataDxfId="693" totalsRowDxfId="263" dataCellStyle="Employé">
      <totalsRowFormula>NomMois&amp;" Total"</totalsRowFormula>
    </tableColumn>
    <tableColumn id="2" xr3:uid="{00000000-0010-0000-0500-000002000000}" name="1" totalsRowFunction="count" dataDxfId="692" totalsRowDxfId="262"/>
    <tableColumn id="3" xr3:uid="{00000000-0010-0000-0500-000003000000}" name="2" totalsRowFunction="count" dataDxfId="691" totalsRowDxfId="261"/>
    <tableColumn id="4" xr3:uid="{00000000-0010-0000-0500-000004000000}" name="3" totalsRowFunction="count" dataDxfId="690" totalsRowDxfId="260"/>
    <tableColumn id="5" xr3:uid="{00000000-0010-0000-0500-000005000000}" name="4" totalsRowFunction="count" dataDxfId="689" totalsRowDxfId="259"/>
    <tableColumn id="6" xr3:uid="{00000000-0010-0000-0500-000006000000}" name="5" totalsRowFunction="count" dataDxfId="688" totalsRowDxfId="258"/>
    <tableColumn id="7" xr3:uid="{00000000-0010-0000-0500-000007000000}" name="6" totalsRowFunction="count" dataDxfId="687" totalsRowDxfId="257"/>
    <tableColumn id="8" xr3:uid="{00000000-0010-0000-0500-000008000000}" name="7" totalsRowFunction="count" dataDxfId="686" totalsRowDxfId="256"/>
    <tableColumn id="9" xr3:uid="{00000000-0010-0000-0500-000009000000}" name="8" totalsRowFunction="count" dataDxfId="685" totalsRowDxfId="255"/>
    <tableColumn id="10" xr3:uid="{00000000-0010-0000-0500-00000A000000}" name="9" totalsRowFunction="count" dataDxfId="684" totalsRowDxfId="254"/>
    <tableColumn id="11" xr3:uid="{00000000-0010-0000-0500-00000B000000}" name="10" totalsRowFunction="count" dataDxfId="683" totalsRowDxfId="253"/>
    <tableColumn id="12" xr3:uid="{00000000-0010-0000-0500-00000C000000}" name="11" totalsRowFunction="count" dataDxfId="682" totalsRowDxfId="252"/>
    <tableColumn id="13" xr3:uid="{00000000-0010-0000-0500-00000D000000}" name="12" totalsRowFunction="count" dataDxfId="681" totalsRowDxfId="251"/>
    <tableColumn id="14" xr3:uid="{00000000-0010-0000-0500-00000E000000}" name="13" totalsRowFunction="count" dataDxfId="680" totalsRowDxfId="250"/>
    <tableColumn id="15" xr3:uid="{00000000-0010-0000-0500-00000F000000}" name="14" totalsRowFunction="count" dataDxfId="679" totalsRowDxfId="249"/>
    <tableColumn id="16" xr3:uid="{00000000-0010-0000-0500-000010000000}" name="15" totalsRowFunction="count" dataDxfId="678" totalsRowDxfId="248"/>
    <tableColumn id="17" xr3:uid="{00000000-0010-0000-0500-000011000000}" name="16" totalsRowFunction="count" dataDxfId="677" totalsRowDxfId="247"/>
    <tableColumn id="18" xr3:uid="{00000000-0010-0000-0500-000012000000}" name="17" totalsRowFunction="count" dataDxfId="676" totalsRowDxfId="246"/>
    <tableColumn id="19" xr3:uid="{00000000-0010-0000-0500-000013000000}" name="18" totalsRowFunction="count" dataDxfId="675" totalsRowDxfId="245"/>
    <tableColumn id="20" xr3:uid="{00000000-0010-0000-0500-000014000000}" name="19" totalsRowFunction="count" dataDxfId="674" totalsRowDxfId="244"/>
    <tableColumn id="21" xr3:uid="{00000000-0010-0000-0500-000015000000}" name="20" totalsRowFunction="count" dataDxfId="673" totalsRowDxfId="243"/>
    <tableColumn id="22" xr3:uid="{00000000-0010-0000-0500-000016000000}" name="21" totalsRowFunction="count" dataDxfId="672" totalsRowDxfId="242"/>
    <tableColumn id="23" xr3:uid="{00000000-0010-0000-0500-000017000000}" name="22" totalsRowFunction="count" dataDxfId="671" totalsRowDxfId="241"/>
    <tableColumn id="24" xr3:uid="{00000000-0010-0000-0500-000018000000}" name="23" totalsRowFunction="count" dataDxfId="670" totalsRowDxfId="240"/>
    <tableColumn id="25" xr3:uid="{00000000-0010-0000-0500-000019000000}" name="24" totalsRowFunction="count" dataDxfId="669" totalsRowDxfId="239"/>
    <tableColumn id="26" xr3:uid="{00000000-0010-0000-0500-00001A000000}" name="25" totalsRowFunction="count" dataDxfId="668" totalsRowDxfId="238"/>
    <tableColumn id="27" xr3:uid="{00000000-0010-0000-0500-00001B000000}" name="26" totalsRowFunction="count" dataDxfId="667" totalsRowDxfId="237"/>
    <tableColumn id="28" xr3:uid="{00000000-0010-0000-0500-00001C000000}" name="27" totalsRowFunction="count" dataDxfId="666" totalsRowDxfId="236"/>
    <tableColumn id="29" xr3:uid="{00000000-0010-0000-0500-00001D000000}" name="28" totalsRowFunction="count" dataDxfId="665" totalsRowDxfId="235"/>
    <tableColumn id="30" xr3:uid="{00000000-0010-0000-0500-00001E000000}" name="29" totalsRowFunction="count" dataDxfId="664" totalsRowDxfId="234"/>
    <tableColumn id="31" xr3:uid="{00000000-0010-0000-0500-00001F000000}" name="30" totalsRowFunction="count" dataDxfId="663" totalsRowDxfId="233"/>
    <tableColumn id="32" xr3:uid="{00000000-0010-0000-0500-000020000000}" name=" " totalsRowFunction="count" dataDxfId="662" totalsRowDxfId="232"/>
    <tableColumn id="33" xr3:uid="{00000000-0010-0000-0500-000021000000}" name="Total des jours" totalsRowFunction="sum" dataDxfId="661" totalsRowDxfId="231"/>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6:AH12" totalsRowCount="1" headerRowDxfId="655" dataDxfId="654" totalsRowDxfId="653">
  <tableColumns count="33">
    <tableColumn id="1" xr3:uid="{00000000-0010-0000-0600-000001000000}" name="Nom de l’employé" totalsRowFunction="custom" dataDxfId="652" totalsRowDxfId="230" dataCellStyle="Employé">
      <totalsRowFormula>NomMois&amp;" Total"</totalsRowFormula>
    </tableColumn>
    <tableColumn id="2" xr3:uid="{00000000-0010-0000-0600-000002000000}" name="1" totalsRowFunction="count" dataDxfId="651" totalsRowDxfId="229"/>
    <tableColumn id="3" xr3:uid="{00000000-0010-0000-0600-000003000000}" name="2" totalsRowFunction="count" dataDxfId="650" totalsRowDxfId="228"/>
    <tableColumn id="4" xr3:uid="{00000000-0010-0000-0600-000004000000}" name="3" totalsRowFunction="count" dataDxfId="649" totalsRowDxfId="227"/>
    <tableColumn id="5" xr3:uid="{00000000-0010-0000-0600-000005000000}" name="4" totalsRowFunction="count" dataDxfId="648" totalsRowDxfId="226"/>
    <tableColumn id="6" xr3:uid="{00000000-0010-0000-0600-000006000000}" name="5" totalsRowFunction="count" dataDxfId="647" totalsRowDxfId="225"/>
    <tableColumn id="7" xr3:uid="{00000000-0010-0000-0600-000007000000}" name="6" totalsRowFunction="count" dataDxfId="646" totalsRowDxfId="224"/>
    <tableColumn id="8" xr3:uid="{00000000-0010-0000-0600-000008000000}" name="7" totalsRowFunction="count" dataDxfId="645" totalsRowDxfId="223"/>
    <tableColumn id="9" xr3:uid="{00000000-0010-0000-0600-000009000000}" name="8" totalsRowFunction="count" dataDxfId="644" totalsRowDxfId="222"/>
    <tableColumn id="10" xr3:uid="{00000000-0010-0000-0600-00000A000000}" name="9" totalsRowFunction="count" dataDxfId="643" totalsRowDxfId="221"/>
    <tableColumn id="11" xr3:uid="{00000000-0010-0000-0600-00000B000000}" name="10" totalsRowFunction="count" dataDxfId="642" totalsRowDxfId="220"/>
    <tableColumn id="12" xr3:uid="{00000000-0010-0000-0600-00000C000000}" name="11" totalsRowFunction="count" dataDxfId="641" totalsRowDxfId="219"/>
    <tableColumn id="13" xr3:uid="{00000000-0010-0000-0600-00000D000000}" name="12" totalsRowFunction="count" dataDxfId="640" totalsRowDxfId="218"/>
    <tableColumn id="14" xr3:uid="{00000000-0010-0000-0600-00000E000000}" name="13" totalsRowFunction="count" dataDxfId="639" totalsRowDxfId="217"/>
    <tableColumn id="15" xr3:uid="{00000000-0010-0000-0600-00000F000000}" name="14" totalsRowFunction="count" dataDxfId="638" totalsRowDxfId="216"/>
    <tableColumn id="16" xr3:uid="{00000000-0010-0000-0600-000010000000}" name="15" totalsRowFunction="count" dataDxfId="637" totalsRowDxfId="215"/>
    <tableColumn id="17" xr3:uid="{00000000-0010-0000-0600-000011000000}" name="16" totalsRowFunction="count" dataDxfId="636" totalsRowDxfId="214"/>
    <tableColumn id="18" xr3:uid="{00000000-0010-0000-0600-000012000000}" name="17" totalsRowFunction="count" dataDxfId="635" totalsRowDxfId="213"/>
    <tableColumn id="19" xr3:uid="{00000000-0010-0000-0600-000013000000}" name="18" totalsRowFunction="count" dataDxfId="634" totalsRowDxfId="212"/>
    <tableColumn id="20" xr3:uid="{00000000-0010-0000-0600-000014000000}" name="19" totalsRowFunction="count" dataDxfId="633" totalsRowDxfId="211"/>
    <tableColumn id="21" xr3:uid="{00000000-0010-0000-0600-000015000000}" name="20" totalsRowFunction="count" dataDxfId="632" totalsRowDxfId="210"/>
    <tableColumn id="22" xr3:uid="{00000000-0010-0000-0600-000016000000}" name="21" totalsRowFunction="count" dataDxfId="631" totalsRowDxfId="209"/>
    <tableColumn id="23" xr3:uid="{00000000-0010-0000-0600-000017000000}" name="22" totalsRowFunction="count" dataDxfId="630" totalsRowDxfId="208"/>
    <tableColumn id="24" xr3:uid="{00000000-0010-0000-0600-000018000000}" name="23" totalsRowFunction="count" dataDxfId="629" totalsRowDxfId="207"/>
    <tableColumn id="25" xr3:uid="{00000000-0010-0000-0600-000019000000}" name="24" totalsRowFunction="count" dataDxfId="628" totalsRowDxfId="206"/>
    <tableColumn id="26" xr3:uid="{00000000-0010-0000-0600-00001A000000}" name="25" totalsRowFunction="count" dataDxfId="627" totalsRowDxfId="205"/>
    <tableColumn id="27" xr3:uid="{00000000-0010-0000-0600-00001B000000}" name="26" totalsRowFunction="count" dataDxfId="626" totalsRowDxfId="204"/>
    <tableColumn id="28" xr3:uid="{00000000-0010-0000-0600-00001C000000}" name="27" totalsRowFunction="count" dataDxfId="625" totalsRowDxfId="203"/>
    <tableColumn id="29" xr3:uid="{00000000-0010-0000-0600-00001D000000}" name="28" totalsRowFunction="count" dataDxfId="624" totalsRowDxfId="202"/>
    <tableColumn id="30" xr3:uid="{00000000-0010-0000-0600-00001E000000}" name="29" totalsRowFunction="count" dataDxfId="623" totalsRowDxfId="201"/>
    <tableColumn id="31" xr3:uid="{00000000-0010-0000-0600-00001F000000}" name="30" totalsRowFunction="count" dataDxfId="622" totalsRowDxfId="200"/>
    <tableColumn id="32" xr3:uid="{00000000-0010-0000-0600-000020000000}" name="31" totalsRowFunction="count" dataDxfId="621" totalsRowDxfId="199"/>
    <tableColumn id="33" xr3:uid="{00000000-0010-0000-0600-000021000000}" name="Total des jours" totalsRowFunction="sum" dataDxfId="620" totalsRowDxfId="198"/>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7000000}" name="Août" displayName="Août" ref="B6:AH12" totalsRowCount="1" headerRowDxfId="614" dataDxfId="613" totalsRowDxfId="612">
  <tableColumns count="33">
    <tableColumn id="1" xr3:uid="{00000000-0010-0000-0700-000001000000}" name="Nom de l’employé" totalsRowFunction="custom" dataDxfId="611" totalsRowDxfId="197" dataCellStyle="Employé">
      <totalsRowFormula>NomMois&amp;" Total"</totalsRowFormula>
    </tableColumn>
    <tableColumn id="2" xr3:uid="{00000000-0010-0000-0700-000002000000}" name="1" totalsRowFunction="count" dataDxfId="610" totalsRowDxfId="196"/>
    <tableColumn id="3" xr3:uid="{00000000-0010-0000-0700-000003000000}" name="2" totalsRowFunction="count" dataDxfId="609" totalsRowDxfId="195"/>
    <tableColumn id="4" xr3:uid="{00000000-0010-0000-0700-000004000000}" name="3" totalsRowFunction="count" dataDxfId="608" totalsRowDxfId="194"/>
    <tableColumn id="5" xr3:uid="{00000000-0010-0000-0700-000005000000}" name="4" totalsRowFunction="count" dataDxfId="607" totalsRowDxfId="193"/>
    <tableColumn id="6" xr3:uid="{00000000-0010-0000-0700-000006000000}" name="5" totalsRowFunction="count" dataDxfId="606" totalsRowDxfId="192"/>
    <tableColumn id="7" xr3:uid="{00000000-0010-0000-0700-000007000000}" name="6" totalsRowFunction="count" dataDxfId="605" totalsRowDxfId="191"/>
    <tableColumn id="8" xr3:uid="{00000000-0010-0000-0700-000008000000}" name="7" totalsRowFunction="count" dataDxfId="604" totalsRowDxfId="190"/>
    <tableColumn id="9" xr3:uid="{00000000-0010-0000-0700-000009000000}" name="8" totalsRowFunction="count" dataDxfId="603" totalsRowDxfId="189"/>
    <tableColumn id="10" xr3:uid="{00000000-0010-0000-0700-00000A000000}" name="9" totalsRowFunction="count" dataDxfId="602" totalsRowDxfId="188"/>
    <tableColumn id="11" xr3:uid="{00000000-0010-0000-0700-00000B000000}" name="10" totalsRowFunction="count" dataDxfId="601" totalsRowDxfId="187"/>
    <tableColumn id="12" xr3:uid="{00000000-0010-0000-0700-00000C000000}" name="11" totalsRowFunction="count" dataDxfId="600" totalsRowDxfId="186"/>
    <tableColumn id="13" xr3:uid="{00000000-0010-0000-0700-00000D000000}" name="12" totalsRowFunction="count" dataDxfId="599" totalsRowDxfId="185"/>
    <tableColumn id="14" xr3:uid="{00000000-0010-0000-0700-00000E000000}" name="13" totalsRowFunction="count" dataDxfId="598" totalsRowDxfId="184"/>
    <tableColumn id="15" xr3:uid="{00000000-0010-0000-0700-00000F000000}" name="14" totalsRowFunction="count" dataDxfId="597" totalsRowDxfId="183"/>
    <tableColumn id="16" xr3:uid="{00000000-0010-0000-0700-000010000000}" name="15" totalsRowFunction="count" dataDxfId="596" totalsRowDxfId="182"/>
    <tableColumn id="17" xr3:uid="{00000000-0010-0000-0700-000011000000}" name="16" totalsRowFunction="count" dataDxfId="595" totalsRowDxfId="181"/>
    <tableColumn id="18" xr3:uid="{00000000-0010-0000-0700-000012000000}" name="17" totalsRowFunction="count" dataDxfId="594" totalsRowDxfId="180"/>
    <tableColumn id="19" xr3:uid="{00000000-0010-0000-0700-000013000000}" name="18" totalsRowFunction="count" dataDxfId="593" totalsRowDxfId="179"/>
    <tableColumn id="20" xr3:uid="{00000000-0010-0000-0700-000014000000}" name="19" totalsRowFunction="count" dataDxfId="592" totalsRowDxfId="178"/>
    <tableColumn id="21" xr3:uid="{00000000-0010-0000-0700-000015000000}" name="20" totalsRowFunction="count" dataDxfId="591" totalsRowDxfId="177"/>
    <tableColumn id="22" xr3:uid="{00000000-0010-0000-0700-000016000000}" name="21" totalsRowFunction="count" dataDxfId="590" totalsRowDxfId="176"/>
    <tableColumn id="23" xr3:uid="{00000000-0010-0000-0700-000017000000}" name="22" totalsRowFunction="count" dataDxfId="589" totalsRowDxfId="175"/>
    <tableColumn id="24" xr3:uid="{00000000-0010-0000-0700-000018000000}" name="23" totalsRowFunction="count" dataDxfId="588" totalsRowDxfId="174"/>
    <tableColumn id="25" xr3:uid="{00000000-0010-0000-0700-000019000000}" name="24" totalsRowFunction="count" dataDxfId="587" totalsRowDxfId="173"/>
    <tableColumn id="26" xr3:uid="{00000000-0010-0000-0700-00001A000000}" name="25" totalsRowFunction="count" dataDxfId="586" totalsRowDxfId="172"/>
    <tableColumn id="27" xr3:uid="{00000000-0010-0000-0700-00001B000000}" name="26" totalsRowFunction="count" dataDxfId="585" totalsRowDxfId="171"/>
    <tableColumn id="28" xr3:uid="{00000000-0010-0000-0700-00001C000000}" name="27" totalsRowFunction="count" dataDxfId="584" totalsRowDxfId="170"/>
    <tableColumn id="29" xr3:uid="{00000000-0010-0000-0700-00001D000000}" name="28" totalsRowFunction="count" dataDxfId="583" totalsRowDxfId="169"/>
    <tableColumn id="30" xr3:uid="{00000000-0010-0000-0700-00001E000000}" name="29" totalsRowFunction="count" dataDxfId="582" totalsRowDxfId="168"/>
    <tableColumn id="31" xr3:uid="{00000000-0010-0000-0700-00001F000000}" name="30" totalsRowFunction="count" dataDxfId="581" totalsRowDxfId="167"/>
    <tableColumn id="32" xr3:uid="{00000000-0010-0000-0700-000020000000}" name="31" totalsRowFunction="count" dataDxfId="580" totalsRowDxfId="166"/>
    <tableColumn id="33" xr3:uid="{00000000-0010-0000-0700-000021000000}" name="Total des jours" totalsRowFunction="sum" dataDxfId="579" totalsRowDxfId="165"/>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08000000}" name="Septembre" displayName="Septembre" ref="B6:AH12" totalsRowCount="1" headerRowDxfId="573" dataDxfId="572" totalsRowDxfId="571">
  <tableColumns count="33">
    <tableColumn id="1" xr3:uid="{00000000-0010-0000-0800-000001000000}" name="Nom de l’employé" totalsRowFunction="custom" dataDxfId="570" totalsRowDxfId="164" dataCellStyle="Employé">
      <totalsRowFormula>NomMois&amp;" Total"</totalsRowFormula>
    </tableColumn>
    <tableColumn id="2" xr3:uid="{00000000-0010-0000-0800-000002000000}" name="1" totalsRowFunction="count" dataDxfId="569" totalsRowDxfId="163"/>
    <tableColumn id="3" xr3:uid="{00000000-0010-0000-0800-000003000000}" name="2" totalsRowFunction="count" dataDxfId="568" totalsRowDxfId="162"/>
    <tableColumn id="4" xr3:uid="{00000000-0010-0000-0800-000004000000}" name="3" totalsRowFunction="count" dataDxfId="567" totalsRowDxfId="161"/>
    <tableColumn id="5" xr3:uid="{00000000-0010-0000-0800-000005000000}" name="4" totalsRowFunction="count" dataDxfId="566" totalsRowDxfId="160"/>
    <tableColumn id="6" xr3:uid="{00000000-0010-0000-0800-000006000000}" name="5" totalsRowFunction="count" dataDxfId="565" totalsRowDxfId="159"/>
    <tableColumn id="7" xr3:uid="{00000000-0010-0000-0800-000007000000}" name="6" totalsRowFunction="count" dataDxfId="564" totalsRowDxfId="158"/>
    <tableColumn id="8" xr3:uid="{00000000-0010-0000-0800-000008000000}" name="7" totalsRowFunction="count" dataDxfId="563" totalsRowDxfId="157"/>
    <tableColumn id="9" xr3:uid="{00000000-0010-0000-0800-000009000000}" name="8" totalsRowFunction="count" dataDxfId="562" totalsRowDxfId="156"/>
    <tableColumn id="10" xr3:uid="{00000000-0010-0000-0800-00000A000000}" name="9" totalsRowFunction="count" dataDxfId="561" totalsRowDxfId="155"/>
    <tableColumn id="11" xr3:uid="{00000000-0010-0000-0800-00000B000000}" name="10" totalsRowFunction="count" dataDxfId="560" totalsRowDxfId="154"/>
    <tableColumn id="12" xr3:uid="{00000000-0010-0000-0800-00000C000000}" name="11" totalsRowFunction="count" dataDxfId="559" totalsRowDxfId="153"/>
    <tableColumn id="13" xr3:uid="{00000000-0010-0000-0800-00000D000000}" name="12" totalsRowFunction="count" dataDxfId="558" totalsRowDxfId="152"/>
    <tableColumn id="14" xr3:uid="{00000000-0010-0000-0800-00000E000000}" name="13" totalsRowFunction="count" dataDxfId="557" totalsRowDxfId="151"/>
    <tableColumn id="15" xr3:uid="{00000000-0010-0000-0800-00000F000000}" name="14" totalsRowFunction="count" dataDxfId="556" totalsRowDxfId="150"/>
    <tableColumn id="16" xr3:uid="{00000000-0010-0000-0800-000010000000}" name="15" totalsRowFunction="count" dataDxfId="555" totalsRowDxfId="149"/>
    <tableColumn id="17" xr3:uid="{00000000-0010-0000-0800-000011000000}" name="16" totalsRowFunction="count" dataDxfId="554" totalsRowDxfId="148"/>
    <tableColumn id="18" xr3:uid="{00000000-0010-0000-0800-000012000000}" name="17" totalsRowFunction="count" dataDxfId="553" totalsRowDxfId="147"/>
    <tableColumn id="19" xr3:uid="{00000000-0010-0000-0800-000013000000}" name="18" totalsRowFunction="count" dataDxfId="552" totalsRowDxfId="146"/>
    <tableColumn id="20" xr3:uid="{00000000-0010-0000-0800-000014000000}" name="19" totalsRowFunction="count" dataDxfId="551" totalsRowDxfId="145"/>
    <tableColumn id="21" xr3:uid="{00000000-0010-0000-0800-000015000000}" name="20" totalsRowFunction="count" dataDxfId="550" totalsRowDxfId="144"/>
    <tableColumn id="22" xr3:uid="{00000000-0010-0000-0800-000016000000}" name="21" totalsRowFunction="count" dataDxfId="549" totalsRowDxfId="143"/>
    <tableColumn id="23" xr3:uid="{00000000-0010-0000-0800-000017000000}" name="22" totalsRowFunction="count" dataDxfId="548" totalsRowDxfId="142"/>
    <tableColumn id="24" xr3:uid="{00000000-0010-0000-0800-000018000000}" name="23" totalsRowFunction="count" dataDxfId="547" totalsRowDxfId="141"/>
    <tableColumn id="25" xr3:uid="{00000000-0010-0000-0800-000019000000}" name="24" totalsRowFunction="count" dataDxfId="546" totalsRowDxfId="140"/>
    <tableColumn id="26" xr3:uid="{00000000-0010-0000-0800-00001A000000}" name="25" totalsRowFunction="count" dataDxfId="545" totalsRowDxfId="139"/>
    <tableColumn id="27" xr3:uid="{00000000-0010-0000-0800-00001B000000}" name="26" totalsRowFunction="count" dataDxfId="544" totalsRowDxfId="138"/>
    <tableColumn id="28" xr3:uid="{00000000-0010-0000-0800-00001C000000}" name="27" totalsRowFunction="count" dataDxfId="543" totalsRowDxfId="137"/>
    <tableColumn id="29" xr3:uid="{00000000-0010-0000-0800-00001D000000}" name="28" totalsRowFunction="count" dataDxfId="542" totalsRowDxfId="136"/>
    <tableColumn id="30" xr3:uid="{00000000-0010-0000-0800-00001E000000}" name="29" totalsRowFunction="count" dataDxfId="541" totalsRowDxfId="135"/>
    <tableColumn id="31" xr3:uid="{00000000-0010-0000-0800-00001F000000}" name="30" totalsRowFunction="count" dataDxfId="540" totalsRowDxfId="134"/>
    <tableColumn id="32" xr3:uid="{00000000-0010-0000-0800-000020000000}" name=" " totalsRowFunction="count" dataDxfId="539" totalsRowDxfId="133"/>
    <tableColumn id="33" xr3:uid="{00000000-0010-0000-0800-000021000000}" name="Total des jours" totalsRowFunction="sum" dataDxfId="538" totalsRowDxfId="132"/>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09000000}" name="Octobre" displayName="Octobre" ref="B6:AH12" totalsRowCount="1" headerRowDxfId="532" dataDxfId="531" totalsRowDxfId="530">
  <tableColumns count="33">
    <tableColumn id="1" xr3:uid="{00000000-0010-0000-0900-000001000000}" name="Nom de l’employé" totalsRowFunction="custom" dataDxfId="529" totalsRowDxfId="131" dataCellStyle="Employé">
      <totalsRowFormula>NomMois&amp;" Total"</totalsRowFormula>
    </tableColumn>
    <tableColumn id="2" xr3:uid="{00000000-0010-0000-0900-000002000000}" name="1" totalsRowFunction="count" dataDxfId="528" totalsRowDxfId="130"/>
    <tableColumn id="3" xr3:uid="{00000000-0010-0000-0900-000003000000}" name="2" totalsRowFunction="count" dataDxfId="527" totalsRowDxfId="129"/>
    <tableColumn id="4" xr3:uid="{00000000-0010-0000-0900-000004000000}" name="3" totalsRowFunction="count" dataDxfId="526" totalsRowDxfId="128"/>
    <tableColumn id="5" xr3:uid="{00000000-0010-0000-0900-000005000000}" name="4" totalsRowFunction="count" dataDxfId="525" totalsRowDxfId="127"/>
    <tableColumn id="6" xr3:uid="{00000000-0010-0000-0900-000006000000}" name="5" totalsRowFunction="count" dataDxfId="524" totalsRowDxfId="126"/>
    <tableColumn id="7" xr3:uid="{00000000-0010-0000-0900-000007000000}" name="6" totalsRowFunction="count" dataDxfId="523" totalsRowDxfId="125"/>
    <tableColumn id="8" xr3:uid="{00000000-0010-0000-0900-000008000000}" name="7" totalsRowFunction="count" dataDxfId="522" totalsRowDxfId="124"/>
    <tableColumn id="9" xr3:uid="{00000000-0010-0000-0900-000009000000}" name="8" totalsRowFunction="count" dataDxfId="521" totalsRowDxfId="123"/>
    <tableColumn id="10" xr3:uid="{00000000-0010-0000-0900-00000A000000}" name="9" totalsRowFunction="count" dataDxfId="520" totalsRowDxfId="122"/>
    <tableColumn id="11" xr3:uid="{00000000-0010-0000-0900-00000B000000}" name="10" totalsRowFunction="count" dataDxfId="519" totalsRowDxfId="121"/>
    <tableColumn id="12" xr3:uid="{00000000-0010-0000-0900-00000C000000}" name="11" totalsRowFunction="count" dataDxfId="518" totalsRowDxfId="120"/>
    <tableColumn id="13" xr3:uid="{00000000-0010-0000-0900-00000D000000}" name="12" totalsRowFunction="count" dataDxfId="517" totalsRowDxfId="119"/>
    <tableColumn id="14" xr3:uid="{00000000-0010-0000-0900-00000E000000}" name="13" totalsRowFunction="count" dataDxfId="516" totalsRowDxfId="118"/>
    <tableColumn id="15" xr3:uid="{00000000-0010-0000-0900-00000F000000}" name="14" totalsRowFunction="count" dataDxfId="515" totalsRowDxfId="117"/>
    <tableColumn id="16" xr3:uid="{00000000-0010-0000-0900-000010000000}" name="15" totalsRowFunction="count" dataDxfId="514" totalsRowDxfId="116"/>
    <tableColumn id="17" xr3:uid="{00000000-0010-0000-0900-000011000000}" name="16" totalsRowFunction="count" dataDxfId="513" totalsRowDxfId="115"/>
    <tableColumn id="18" xr3:uid="{00000000-0010-0000-0900-000012000000}" name="17" totalsRowFunction="count" dataDxfId="512" totalsRowDxfId="114"/>
    <tableColumn id="19" xr3:uid="{00000000-0010-0000-0900-000013000000}" name="18" totalsRowFunction="count" dataDxfId="511" totalsRowDxfId="113"/>
    <tableColumn id="20" xr3:uid="{00000000-0010-0000-0900-000014000000}" name="19" totalsRowFunction="count" dataDxfId="510" totalsRowDxfId="112"/>
    <tableColumn id="21" xr3:uid="{00000000-0010-0000-0900-000015000000}" name="20" totalsRowFunction="count" dataDxfId="509" totalsRowDxfId="111"/>
    <tableColumn id="22" xr3:uid="{00000000-0010-0000-0900-000016000000}" name="21" totalsRowFunction="count" dataDxfId="508" totalsRowDxfId="110"/>
    <tableColumn id="23" xr3:uid="{00000000-0010-0000-0900-000017000000}" name="22" totalsRowFunction="count" dataDxfId="507" totalsRowDxfId="109"/>
    <tableColumn id="24" xr3:uid="{00000000-0010-0000-0900-000018000000}" name="23" totalsRowFunction="count" dataDxfId="506" totalsRowDxfId="108"/>
    <tableColumn id="25" xr3:uid="{00000000-0010-0000-0900-000019000000}" name="24" totalsRowFunction="count" dataDxfId="505" totalsRowDxfId="107"/>
    <tableColumn id="26" xr3:uid="{00000000-0010-0000-0900-00001A000000}" name="25" totalsRowFunction="count" dataDxfId="504" totalsRowDxfId="106"/>
    <tableColumn id="27" xr3:uid="{00000000-0010-0000-0900-00001B000000}" name="26" totalsRowFunction="count" dataDxfId="503" totalsRowDxfId="105"/>
    <tableColumn id="28" xr3:uid="{00000000-0010-0000-0900-00001C000000}" name="27" totalsRowFunction="count" dataDxfId="502" totalsRowDxfId="104"/>
    <tableColumn id="29" xr3:uid="{00000000-0010-0000-0900-00001D000000}" name="28" totalsRowFunction="count" dataDxfId="501" totalsRowDxfId="103"/>
    <tableColumn id="30" xr3:uid="{00000000-0010-0000-0900-00001E000000}" name="29" totalsRowFunction="count" dataDxfId="500" totalsRowDxfId="102"/>
    <tableColumn id="31" xr3:uid="{00000000-0010-0000-0900-00001F000000}" name="30" totalsRowFunction="count" dataDxfId="499" totalsRowDxfId="101"/>
    <tableColumn id="32" xr3:uid="{00000000-0010-0000-0900-000020000000}" name="31" totalsRowFunction="count" dataDxfId="498" totalsRowDxfId="100"/>
    <tableColumn id="33" xr3:uid="{00000000-0010-0000-0900-000021000000}" name="Total des jours" totalsRowFunction="sum" dataDxfId="497" totalsRowDxfId="99"/>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0A000000}" name="Novembre" displayName="Novembre" ref="B6:AH12" totalsRowCount="1" headerRowDxfId="491" dataDxfId="490" totalsRowDxfId="489">
  <tableColumns count="33">
    <tableColumn id="1" xr3:uid="{00000000-0010-0000-0A00-000001000000}" name="Nom de l’employé" totalsRowFunction="custom" dataDxfId="488" totalsRowDxfId="98" dataCellStyle="Employé">
      <totalsRowFormula>NomMois&amp;" Total"</totalsRowFormula>
    </tableColumn>
    <tableColumn id="2" xr3:uid="{00000000-0010-0000-0A00-000002000000}" name="1" totalsRowFunction="count" dataDxfId="487" totalsRowDxfId="97"/>
    <tableColumn id="3" xr3:uid="{00000000-0010-0000-0A00-000003000000}" name="2" totalsRowFunction="count" dataDxfId="486" totalsRowDxfId="96"/>
    <tableColumn id="4" xr3:uid="{00000000-0010-0000-0A00-000004000000}" name="3" totalsRowFunction="count" dataDxfId="485" totalsRowDxfId="95"/>
    <tableColumn id="5" xr3:uid="{00000000-0010-0000-0A00-000005000000}" name="4" totalsRowFunction="count" dataDxfId="484" totalsRowDxfId="94"/>
    <tableColumn id="6" xr3:uid="{00000000-0010-0000-0A00-000006000000}" name="5" totalsRowFunction="count" dataDxfId="483" totalsRowDxfId="93"/>
    <tableColumn id="7" xr3:uid="{00000000-0010-0000-0A00-000007000000}" name="6" totalsRowFunction="count" dataDxfId="482" totalsRowDxfId="92"/>
    <tableColumn id="8" xr3:uid="{00000000-0010-0000-0A00-000008000000}" name="7" totalsRowFunction="count" dataDxfId="481" totalsRowDxfId="91"/>
    <tableColumn id="9" xr3:uid="{00000000-0010-0000-0A00-000009000000}" name="8" totalsRowFunction="count" dataDxfId="480" totalsRowDxfId="90"/>
    <tableColumn id="10" xr3:uid="{00000000-0010-0000-0A00-00000A000000}" name="9" totalsRowFunction="count" dataDxfId="479" totalsRowDxfId="89"/>
    <tableColumn id="11" xr3:uid="{00000000-0010-0000-0A00-00000B000000}" name="10" totalsRowFunction="count" dataDxfId="478" totalsRowDxfId="88"/>
    <tableColumn id="12" xr3:uid="{00000000-0010-0000-0A00-00000C000000}" name="11" totalsRowFunction="count" dataDxfId="477" totalsRowDxfId="87"/>
    <tableColumn id="13" xr3:uid="{00000000-0010-0000-0A00-00000D000000}" name="12" totalsRowFunction="count" dataDxfId="476" totalsRowDxfId="86"/>
    <tableColumn id="14" xr3:uid="{00000000-0010-0000-0A00-00000E000000}" name="13" totalsRowFunction="count" dataDxfId="475" totalsRowDxfId="85"/>
    <tableColumn id="15" xr3:uid="{00000000-0010-0000-0A00-00000F000000}" name="14" totalsRowFunction="count" dataDxfId="474" totalsRowDxfId="84"/>
    <tableColumn id="16" xr3:uid="{00000000-0010-0000-0A00-000010000000}" name="15" totalsRowFunction="count" dataDxfId="473" totalsRowDxfId="83"/>
    <tableColumn id="17" xr3:uid="{00000000-0010-0000-0A00-000011000000}" name="16" totalsRowFunction="count" dataDxfId="472" totalsRowDxfId="82"/>
    <tableColumn id="18" xr3:uid="{00000000-0010-0000-0A00-000012000000}" name="17" totalsRowFunction="count" dataDxfId="471" totalsRowDxfId="81"/>
    <tableColumn id="19" xr3:uid="{00000000-0010-0000-0A00-000013000000}" name="18" totalsRowFunction="count" dataDxfId="470" totalsRowDxfId="80"/>
    <tableColumn id="20" xr3:uid="{00000000-0010-0000-0A00-000014000000}" name="19" totalsRowFunction="count" dataDxfId="469" totalsRowDxfId="79"/>
    <tableColumn id="21" xr3:uid="{00000000-0010-0000-0A00-000015000000}" name="20" totalsRowFunction="count" dataDxfId="468" totalsRowDxfId="78"/>
    <tableColumn id="22" xr3:uid="{00000000-0010-0000-0A00-000016000000}" name="21" totalsRowFunction="count" dataDxfId="467" totalsRowDxfId="77"/>
    <tableColumn id="23" xr3:uid="{00000000-0010-0000-0A00-000017000000}" name="22" totalsRowFunction="count" dataDxfId="466" totalsRowDxfId="76"/>
    <tableColumn id="24" xr3:uid="{00000000-0010-0000-0A00-000018000000}" name="23" totalsRowFunction="count" dataDxfId="465" totalsRowDxfId="75"/>
    <tableColumn id="25" xr3:uid="{00000000-0010-0000-0A00-000019000000}" name="24" totalsRowFunction="count" dataDxfId="464" totalsRowDxfId="74"/>
    <tableColumn id="26" xr3:uid="{00000000-0010-0000-0A00-00001A000000}" name="25" totalsRowFunction="count" dataDxfId="463" totalsRowDxfId="73"/>
    <tableColumn id="27" xr3:uid="{00000000-0010-0000-0A00-00001B000000}" name="26" totalsRowFunction="count" dataDxfId="462" totalsRowDxfId="72"/>
    <tableColumn id="28" xr3:uid="{00000000-0010-0000-0A00-00001C000000}" name="27" totalsRowFunction="count" dataDxfId="461" totalsRowDxfId="71"/>
    <tableColumn id="29" xr3:uid="{00000000-0010-0000-0A00-00001D000000}" name="28" totalsRowFunction="count" dataDxfId="460" totalsRowDxfId="70"/>
    <tableColumn id="30" xr3:uid="{00000000-0010-0000-0A00-00001E000000}" name="29" totalsRowFunction="count" dataDxfId="459" totalsRowDxfId="69"/>
    <tableColumn id="31" xr3:uid="{00000000-0010-0000-0A00-00001F000000}" name="30" totalsRowFunction="count" dataDxfId="458" totalsRowDxfId="68"/>
    <tableColumn id="32" xr3:uid="{00000000-0010-0000-0A00-000020000000}" name=" " totalsRowFunction="count" dataDxfId="457" totalsRowDxfId="67"/>
    <tableColumn id="33" xr3:uid="{00000000-0010-0000-0A00-000021000000}" name="Total des jours" totalsRowFunction="sum" dataDxfId="456" totalsRowDxfId="66"/>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écembre" displayName="Décembre" ref="B6:AH12" totalsRowCount="1" headerRowDxfId="450" dataDxfId="449" totalsRowDxfId="448">
  <tableColumns count="33">
    <tableColumn id="1" xr3:uid="{00000000-0010-0000-0B00-000001000000}" name="Nom de l’employé" totalsRowFunction="custom" dataDxfId="447" totalsRowDxfId="65" dataCellStyle="Employé">
      <totalsRowFormula>NomMois&amp;" Total"</totalsRowFormula>
    </tableColumn>
    <tableColumn id="2" xr3:uid="{00000000-0010-0000-0B00-000002000000}" name="1" totalsRowFunction="count" dataDxfId="446" totalsRowDxfId="64"/>
    <tableColumn id="3" xr3:uid="{00000000-0010-0000-0B00-000003000000}" name="2" totalsRowFunction="count" dataDxfId="445" totalsRowDxfId="63"/>
    <tableColumn id="4" xr3:uid="{00000000-0010-0000-0B00-000004000000}" name="3" totalsRowFunction="count" dataDxfId="444" totalsRowDxfId="62"/>
    <tableColumn id="5" xr3:uid="{00000000-0010-0000-0B00-000005000000}" name="4" totalsRowFunction="count" dataDxfId="443" totalsRowDxfId="61"/>
    <tableColumn id="6" xr3:uid="{00000000-0010-0000-0B00-000006000000}" name="5" totalsRowFunction="count" dataDxfId="442" totalsRowDxfId="60"/>
    <tableColumn id="7" xr3:uid="{00000000-0010-0000-0B00-000007000000}" name="6" totalsRowFunction="count" dataDxfId="441" totalsRowDxfId="59"/>
    <tableColumn id="8" xr3:uid="{00000000-0010-0000-0B00-000008000000}" name="7" totalsRowFunction="count" dataDxfId="440" totalsRowDxfId="58"/>
    <tableColumn id="9" xr3:uid="{00000000-0010-0000-0B00-000009000000}" name="8" totalsRowFunction="count" dataDxfId="439" totalsRowDxfId="57"/>
    <tableColumn id="10" xr3:uid="{00000000-0010-0000-0B00-00000A000000}" name="9" totalsRowFunction="count" dataDxfId="438" totalsRowDxfId="56"/>
    <tableColumn id="11" xr3:uid="{00000000-0010-0000-0B00-00000B000000}" name="10" totalsRowFunction="count" dataDxfId="437" totalsRowDxfId="55"/>
    <tableColumn id="12" xr3:uid="{00000000-0010-0000-0B00-00000C000000}" name="11" totalsRowFunction="count" dataDxfId="436" totalsRowDxfId="54"/>
    <tableColumn id="13" xr3:uid="{00000000-0010-0000-0B00-00000D000000}" name="12" totalsRowFunction="count" dataDxfId="435" totalsRowDxfId="53"/>
    <tableColumn id="14" xr3:uid="{00000000-0010-0000-0B00-00000E000000}" name="13" totalsRowFunction="count" dataDxfId="434" totalsRowDxfId="52"/>
    <tableColumn id="15" xr3:uid="{00000000-0010-0000-0B00-00000F000000}" name="14" totalsRowFunction="count" dataDxfId="433" totalsRowDxfId="51"/>
    <tableColumn id="16" xr3:uid="{00000000-0010-0000-0B00-000010000000}" name="15" totalsRowFunction="count" dataDxfId="432" totalsRowDxfId="50"/>
    <tableColumn id="17" xr3:uid="{00000000-0010-0000-0B00-000011000000}" name="16" totalsRowFunction="count" dataDxfId="431" totalsRowDxfId="49"/>
    <tableColumn id="18" xr3:uid="{00000000-0010-0000-0B00-000012000000}" name="17" totalsRowFunction="count" dataDxfId="430" totalsRowDxfId="48"/>
    <tableColumn id="19" xr3:uid="{00000000-0010-0000-0B00-000013000000}" name="18" totalsRowFunction="count" dataDxfId="429" totalsRowDxfId="47"/>
    <tableColumn id="20" xr3:uid="{00000000-0010-0000-0B00-000014000000}" name="19" totalsRowFunction="count" dataDxfId="428" totalsRowDxfId="46"/>
    <tableColumn id="21" xr3:uid="{00000000-0010-0000-0B00-000015000000}" name="20" totalsRowFunction="count" dataDxfId="427" totalsRowDxfId="45"/>
    <tableColumn id="22" xr3:uid="{00000000-0010-0000-0B00-000016000000}" name="21" totalsRowFunction="count" dataDxfId="426" totalsRowDxfId="44"/>
    <tableColumn id="23" xr3:uid="{00000000-0010-0000-0B00-000017000000}" name="22" totalsRowFunction="count" dataDxfId="425" totalsRowDxfId="43"/>
    <tableColumn id="24" xr3:uid="{00000000-0010-0000-0B00-000018000000}" name="23" totalsRowFunction="count" dataDxfId="424" totalsRowDxfId="42"/>
    <tableColumn id="25" xr3:uid="{00000000-0010-0000-0B00-000019000000}" name="24" totalsRowFunction="count" dataDxfId="423" totalsRowDxfId="41"/>
    <tableColumn id="26" xr3:uid="{00000000-0010-0000-0B00-00001A000000}" name="25" totalsRowFunction="count" dataDxfId="422" totalsRowDxfId="40"/>
    <tableColumn id="27" xr3:uid="{00000000-0010-0000-0B00-00001B000000}" name="26" totalsRowFunction="count" dataDxfId="421" totalsRowDxfId="39"/>
    <tableColumn id="28" xr3:uid="{00000000-0010-0000-0B00-00001C000000}" name="27" totalsRowFunction="count" dataDxfId="420" totalsRowDxfId="38"/>
    <tableColumn id="29" xr3:uid="{00000000-0010-0000-0B00-00001D000000}" name="28" totalsRowFunction="count" dataDxfId="419" totalsRowDxfId="37"/>
    <tableColumn id="30" xr3:uid="{00000000-0010-0000-0B00-00001E000000}" name="29" totalsRowFunction="count" dataDxfId="418" totalsRowDxfId="36"/>
    <tableColumn id="31" xr3:uid="{00000000-0010-0000-0B00-00001F000000}" name="30" totalsRowFunction="count" dataDxfId="417" totalsRowDxfId="35"/>
    <tableColumn id="32" xr3:uid="{00000000-0010-0000-0B00-000020000000}" name="31" totalsRowFunction="count" dataDxfId="416" totalsRowDxfId="34"/>
    <tableColumn id="33" xr3:uid="{00000000-0010-0000-0B00-000021000000}" name="Total des jours" totalsRowFunction="sum" dataDxfId="415" totalsRowDxfId="33"/>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NomStagiaires" displayName="NomStagiaires" ref="B3:H8">
  <autoFilter ref="B3:H8" xr:uid="{00000000-0009-0000-0100-00000D000000}"/>
  <tableColumns count="7">
    <tableColumn id="1" xr3:uid="{00000000-0010-0000-0C00-000001000000}" name="Noms des stagiaires" totalsRowFunction="count" totalsRowDxfId="414" dataCellStyle="Employé"/>
    <tableColumn id="2" xr3:uid="{00000000-0010-0000-0C00-000002000000}" name="Début de Stage" totalsRowDxfId="413" dataCellStyle="Employé"/>
    <tableColumn id="4" xr3:uid="{00000000-0010-0000-0C00-000004000000}" name="Fin de Stage" totalsRowDxfId="412" dataCellStyle="Employé"/>
    <tableColumn id="6" xr3:uid="{00000000-0010-0000-0C00-000006000000}" name="Atelier" totalsRowDxfId="411" dataCellStyle="Employé"/>
    <tableColumn id="5" xr3:uid="{00000000-0010-0000-0C00-000005000000}" name="Adresse Facturation" dataDxfId="410" totalsRowDxfId="409" dataCellStyle="Employé"/>
    <tableColumn id="7" xr3:uid="{00000000-0010-0000-0C00-000007000000}" name="Période de facturation" dataDxfId="408" totalsRowDxfId="407" dataCellStyle="Employé">
      <calculatedColumnFormula>NomStagiaires[[#This Row],[Fin de Stage]]</calculatedColumnFormula>
    </tableColumn>
    <tableColumn id="3" xr3:uid="{00000000-0010-0000-0C00-000003000000}" name="Total Présence Repas sur l'année" dataDxfId="405" totalsRowDxfId="406" dataCellStyle="Employé">
      <calculatedColumnFormula>SUM(Janvier:Décembre!AI7)</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2" tint="-0.89999084444715716"/>
  </sheetPr>
  <dimension ref="A1:AI12"/>
  <sheetViews>
    <sheetView showGridLines="0" zoomScaleNormal="100" workbookViewId="0">
      <selection activeCell="AI11" sqref="AI11"/>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7.28515625" style="10" customWidth="1"/>
    <col min="10" max="11" width="4.7109375" style="10" customWidth="1"/>
    <col min="12" max="12" width="4.42578125" style="10" bestFit="1" customWidth="1"/>
    <col min="13" max="33" width="4.7109375" style="10" customWidth="1"/>
    <col min="34" max="34" width="13.5703125" style="10" customWidth="1"/>
    <col min="35" max="35" width="13.85546875" bestFit="1" customWidth="1"/>
  </cols>
  <sheetData>
    <row r="1" spans="1:35" ht="50.1" customHeight="1" x14ac:dyDescent="0.25">
      <c r="A1" s="17"/>
      <c r="B1" s="13" t="s">
        <v>49</v>
      </c>
    </row>
    <row r="2" spans="1:35" ht="15" customHeight="1" x14ac:dyDescent="0.25">
      <c r="B2" s="18" t="s">
        <v>59</v>
      </c>
      <c r="C2" s="3" t="s">
        <v>5</v>
      </c>
      <c r="D2" s="40" t="s">
        <v>50</v>
      </c>
      <c r="E2" s="41"/>
      <c r="F2" s="4" t="s">
        <v>66</v>
      </c>
      <c r="G2" s="40" t="s">
        <v>67</v>
      </c>
      <c r="H2" s="41"/>
      <c r="I2" s="41"/>
      <c r="J2" s="5" t="s">
        <v>51</v>
      </c>
      <c r="K2" s="40" t="s">
        <v>68</v>
      </c>
      <c r="L2" s="41"/>
      <c r="M2" s="6"/>
      <c r="N2" s="40"/>
      <c r="O2" s="41"/>
      <c r="P2" s="41"/>
      <c r="Q2" s="41"/>
      <c r="R2" s="7"/>
      <c r="S2" s="41"/>
      <c r="T2" s="41"/>
      <c r="U2" s="41"/>
      <c r="V2" s="41"/>
    </row>
    <row r="3" spans="1:35" ht="15" customHeight="1" x14ac:dyDescent="0.25">
      <c r="AH3" s="19" t="s">
        <v>34</v>
      </c>
    </row>
    <row r="4" spans="1:35" ht="30" customHeight="1" x14ac:dyDescent="0.25">
      <c r="B4" s="11" t="s">
        <v>0</v>
      </c>
      <c r="C4" s="39" t="s">
        <v>58</v>
      </c>
      <c r="D4" s="39"/>
      <c r="E4" s="39"/>
      <c r="F4" s="39"/>
      <c r="G4" s="39"/>
      <c r="H4" s="39"/>
      <c r="I4" s="39"/>
      <c r="J4" s="39"/>
      <c r="K4" s="39"/>
      <c r="L4" s="39"/>
      <c r="M4" s="39"/>
      <c r="N4" s="39"/>
      <c r="O4" s="39"/>
      <c r="P4" s="39"/>
      <c r="Q4" s="39"/>
      <c r="R4" s="39"/>
      <c r="S4" s="39"/>
      <c r="T4" s="39"/>
      <c r="U4" s="39"/>
      <c r="V4" s="39"/>
      <c r="W4" s="39"/>
      <c r="X4" s="39"/>
      <c r="Y4" s="39"/>
      <c r="Z4" s="39"/>
      <c r="AA4" s="39"/>
      <c r="AB4" s="39"/>
      <c r="AC4" s="39"/>
      <c r="AD4" s="39"/>
      <c r="AE4" s="39"/>
      <c r="AF4" s="39"/>
      <c r="AG4" s="39"/>
      <c r="AH4" s="11">
        <v>2021</v>
      </c>
    </row>
    <row r="5" spans="1:35" ht="15" customHeight="1" x14ac:dyDescent="0.25">
      <c r="B5" s="11"/>
      <c r="C5" s="1" t="str">
        <f>TEXT(WEEKDAY(DATE(AnnéeCalendrier,1,1),1),"jjj")</f>
        <v>ven</v>
      </c>
      <c r="D5" s="1" t="str">
        <f>TEXT(WEEKDAY(DATE(AnnéeCalendrier,1,2),1),"jjj")</f>
        <v>sam</v>
      </c>
      <c r="E5" s="1" t="str">
        <f>TEXT(WEEKDAY(DATE(AnnéeCalendrier,1,3),1),"jjj")</f>
        <v>dim</v>
      </c>
      <c r="F5" s="1" t="str">
        <f>TEXT(WEEKDAY(DATE(AnnéeCalendrier,1,4),1),"jjj")</f>
        <v>lun</v>
      </c>
      <c r="G5" s="1" t="str">
        <f>TEXT(WEEKDAY(DATE(AnnéeCalendrier,1,5),1),"jjj")</f>
        <v>mar</v>
      </c>
      <c r="H5" s="1" t="str">
        <f>TEXT(WEEKDAY(DATE(AnnéeCalendrier,1,6),1),"jjj")</f>
        <v>mer</v>
      </c>
      <c r="I5" s="1" t="str">
        <f>TEXT(WEEKDAY(DATE(AnnéeCalendrier,1,7),1),"jjj")</f>
        <v>jeu</v>
      </c>
      <c r="J5" s="1" t="str">
        <f>TEXT(WEEKDAY(DATE(AnnéeCalendrier,1,8),1),"jjj")</f>
        <v>ven</v>
      </c>
      <c r="K5" s="1" t="str">
        <f>TEXT(WEEKDAY(DATE(AnnéeCalendrier,1,9),1),"jjj")</f>
        <v>sam</v>
      </c>
      <c r="L5" s="1" t="str">
        <f>TEXT(WEEKDAY(DATE(AnnéeCalendrier,1,10),1),"jjj")</f>
        <v>dim</v>
      </c>
      <c r="M5" s="1" t="str">
        <f>TEXT(WEEKDAY(DATE(AnnéeCalendrier,1,11),1),"jjj")</f>
        <v>lun</v>
      </c>
      <c r="N5" s="1" t="str">
        <f>TEXT(WEEKDAY(DATE(AnnéeCalendrier,1,12),1),"jjj")</f>
        <v>mar</v>
      </c>
      <c r="O5" s="1" t="str">
        <f>TEXT(WEEKDAY(DATE(AnnéeCalendrier,1,13),1),"jjj")</f>
        <v>mer</v>
      </c>
      <c r="P5" s="1" t="str">
        <f>TEXT(WEEKDAY(DATE(AnnéeCalendrier,1,14),1),"jjj")</f>
        <v>jeu</v>
      </c>
      <c r="Q5" s="1" t="str">
        <f>TEXT(WEEKDAY(DATE(AnnéeCalendrier,1,15),1),"jjj")</f>
        <v>ven</v>
      </c>
      <c r="R5" s="1" t="str">
        <f>TEXT(WEEKDAY(DATE(AnnéeCalendrier,1,16),1),"jjj")</f>
        <v>sam</v>
      </c>
      <c r="S5" s="1" t="str">
        <f>TEXT(WEEKDAY(DATE(AnnéeCalendrier,1,17),1),"jjj")</f>
        <v>dim</v>
      </c>
      <c r="T5" s="1" t="str">
        <f>TEXT(WEEKDAY(DATE(AnnéeCalendrier,1,18),1),"jjj")</f>
        <v>lun</v>
      </c>
      <c r="U5" s="1" t="str">
        <f>TEXT(WEEKDAY(DATE(AnnéeCalendrier,1,19),1),"jjj")</f>
        <v>mar</v>
      </c>
      <c r="V5" s="1" t="str">
        <f>TEXT(WEEKDAY(DATE(AnnéeCalendrier,1,20),1),"jjj")</f>
        <v>mer</v>
      </c>
      <c r="W5" s="1" t="str">
        <f>TEXT(WEEKDAY(DATE(AnnéeCalendrier,1,21),1),"jjj")</f>
        <v>jeu</v>
      </c>
      <c r="X5" s="1" t="str">
        <f>TEXT(WEEKDAY(DATE(AnnéeCalendrier,1,22),1),"jjj")</f>
        <v>ven</v>
      </c>
      <c r="Y5" s="1" t="str">
        <f>TEXT(WEEKDAY(DATE(AnnéeCalendrier,1,23),1),"jjj")</f>
        <v>sam</v>
      </c>
      <c r="Z5" s="1" t="str">
        <f>TEXT(WEEKDAY(DATE(AnnéeCalendrier,1,24),1),"jjj")</f>
        <v>dim</v>
      </c>
      <c r="AA5" s="1" t="str">
        <f>TEXT(WEEKDAY(DATE(AnnéeCalendrier,1,25),1),"jjj")</f>
        <v>lun</v>
      </c>
      <c r="AB5" s="1" t="str">
        <f>TEXT(WEEKDAY(DATE(AnnéeCalendrier,1,26),1),"jjj")</f>
        <v>mar</v>
      </c>
      <c r="AC5" s="1" t="str">
        <f>TEXT(WEEKDAY(DATE(AnnéeCalendrier,1,27),1),"jjj")</f>
        <v>mer</v>
      </c>
      <c r="AD5" s="1" t="str">
        <f>TEXT(WEEKDAY(DATE(AnnéeCalendrier,1,28),1),"jjj")</f>
        <v>jeu</v>
      </c>
      <c r="AE5" s="1" t="str">
        <f>TEXT(WEEKDAY(DATE(AnnéeCalendrier,1,29),1),"jjj")</f>
        <v>ven</v>
      </c>
      <c r="AF5" s="1" t="str">
        <f>TEXT(WEEKDAY(DATE(AnnéeCalendrier,1,30),1),"jjj")</f>
        <v>sam</v>
      </c>
      <c r="AG5" s="1" t="str">
        <f>TEXT(WEEKDAY(DATE(AnnéeCalendrier,1,31),1),"jjj")</f>
        <v>dim</v>
      </c>
      <c r="AH5" s="11"/>
      <c r="AI5" s="26"/>
    </row>
    <row r="6" spans="1:35" ht="15" customHeight="1" x14ac:dyDescent="0.25">
      <c r="B6" s="23" t="s">
        <v>52</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33</v>
      </c>
      <c r="AH6" s="15" t="s">
        <v>70</v>
      </c>
      <c r="AI6" s="35" t="s">
        <v>71</v>
      </c>
    </row>
    <row r="7" spans="1:35" ht="30" customHeight="1" x14ac:dyDescent="0.25">
      <c r="B7" s="24" t="s">
        <v>73</v>
      </c>
      <c r="C7" s="2"/>
      <c r="D7" s="2"/>
      <c r="E7" s="2"/>
      <c r="F7" s="2"/>
      <c r="G7" s="2"/>
      <c r="H7" s="2"/>
      <c r="I7" s="2"/>
      <c r="J7" s="2" t="s">
        <v>5</v>
      </c>
      <c r="K7" s="2" t="s">
        <v>5</v>
      </c>
      <c r="L7" s="2" t="s">
        <v>5</v>
      </c>
      <c r="M7" s="2" t="s">
        <v>5</v>
      </c>
      <c r="N7" s="2" t="s">
        <v>5</v>
      </c>
      <c r="O7" s="2" t="s">
        <v>66</v>
      </c>
      <c r="P7" s="2" t="s">
        <v>66</v>
      </c>
      <c r="Q7" s="2" t="s">
        <v>66</v>
      </c>
      <c r="R7" s="2" t="s">
        <v>66</v>
      </c>
      <c r="S7" s="2" t="s">
        <v>66</v>
      </c>
      <c r="T7" s="2" t="s">
        <v>66</v>
      </c>
      <c r="U7" s="2" t="s">
        <v>66</v>
      </c>
      <c r="V7" s="2" t="s">
        <v>66</v>
      </c>
      <c r="W7" s="2"/>
      <c r="X7" s="2"/>
      <c r="Y7" s="2"/>
      <c r="Z7" s="2"/>
      <c r="AA7" s="2"/>
      <c r="AB7" s="2"/>
      <c r="AC7" s="2"/>
      <c r="AD7" s="2"/>
      <c r="AE7" s="2"/>
      <c r="AF7" s="2"/>
      <c r="AG7" s="2"/>
      <c r="AH7" s="9">
        <f>COUNTIF(Janvier[[#This Row],[1]:[31]],"P")</f>
        <v>5</v>
      </c>
      <c r="AI7" s="9">
        <f>COUNTIF(Janvier[[#This Row],[1]:[31]],"PR")</f>
        <v>8</v>
      </c>
    </row>
    <row r="8" spans="1:35" ht="30" customHeight="1" x14ac:dyDescent="0.25">
      <c r="B8" s="8" t="s">
        <v>54</v>
      </c>
      <c r="C8" s="2"/>
      <c r="D8" s="2"/>
      <c r="E8" s="2"/>
      <c r="F8" s="2" t="s">
        <v>5</v>
      </c>
      <c r="G8" s="2" t="s">
        <v>5</v>
      </c>
      <c r="H8" s="2" t="s">
        <v>5</v>
      </c>
      <c r="I8" s="2" t="s">
        <v>5</v>
      </c>
      <c r="J8" s="2" t="s">
        <v>5</v>
      </c>
      <c r="K8" s="2"/>
      <c r="L8" s="2"/>
      <c r="M8" s="2"/>
      <c r="N8" s="2"/>
      <c r="O8" s="2" t="s">
        <v>66</v>
      </c>
      <c r="P8" s="2" t="s">
        <v>66</v>
      </c>
      <c r="Q8" s="2" t="s">
        <v>66</v>
      </c>
      <c r="R8" s="2" t="s">
        <v>66</v>
      </c>
      <c r="S8" s="2" t="s">
        <v>66</v>
      </c>
      <c r="T8" s="2"/>
      <c r="U8" s="2"/>
      <c r="V8" s="2"/>
      <c r="W8" s="2"/>
      <c r="X8" s="2" t="s">
        <v>66</v>
      </c>
      <c r="Y8" s="2" t="s">
        <v>66</v>
      </c>
      <c r="Z8" s="2" t="s">
        <v>66</v>
      </c>
      <c r="AA8" s="2"/>
      <c r="AB8" s="2"/>
      <c r="AC8" s="2"/>
      <c r="AD8" s="2"/>
      <c r="AE8" s="2"/>
      <c r="AF8" s="2"/>
      <c r="AG8" s="2"/>
      <c r="AH8" s="9">
        <f>COUNTIF(Janvier[[#This Row],[1]:[31]],"P")</f>
        <v>5</v>
      </c>
      <c r="AI8" s="9">
        <f>COUNTIF(Janvier[[#This Row],[1]:[31]],"PR")</f>
        <v>8</v>
      </c>
    </row>
    <row r="9" spans="1:35" ht="30" customHeight="1" x14ac:dyDescent="0.25">
      <c r="B9" s="8" t="s">
        <v>55</v>
      </c>
      <c r="C9" s="2"/>
      <c r="D9" s="2"/>
      <c r="E9" s="2"/>
      <c r="F9" s="2"/>
      <c r="G9" s="2"/>
      <c r="H9" s="2"/>
      <c r="I9" s="2" t="s">
        <v>5</v>
      </c>
      <c r="J9" s="2" t="s">
        <v>5</v>
      </c>
      <c r="K9" s="2" t="s">
        <v>5</v>
      </c>
      <c r="L9" s="2" t="s">
        <v>5</v>
      </c>
      <c r="M9" s="2" t="s">
        <v>5</v>
      </c>
      <c r="N9" s="2"/>
      <c r="O9" s="2"/>
      <c r="P9" s="2"/>
      <c r="Q9" s="2" t="s">
        <v>66</v>
      </c>
      <c r="R9" s="2" t="s">
        <v>66</v>
      </c>
      <c r="S9" s="2" t="s">
        <v>66</v>
      </c>
      <c r="T9" s="2" t="s">
        <v>66</v>
      </c>
      <c r="U9" s="2" t="s">
        <v>66</v>
      </c>
      <c r="V9" s="2" t="s">
        <v>66</v>
      </c>
      <c r="W9" s="2" t="s">
        <v>66</v>
      </c>
      <c r="X9" s="2"/>
      <c r="Y9" s="2"/>
      <c r="Z9" s="2"/>
      <c r="AA9" s="2"/>
      <c r="AB9" s="2"/>
      <c r="AC9" s="2"/>
      <c r="AD9" s="2"/>
      <c r="AE9" s="2"/>
      <c r="AF9" s="2"/>
      <c r="AG9" s="2"/>
      <c r="AH9" s="9">
        <f>COUNTIF(Janvier[[#This Row],[1]:[31]],"P")</f>
        <v>5</v>
      </c>
      <c r="AI9" s="9">
        <f>COUNTIF(Janvier[[#This Row],[1]:[31]],"PR")</f>
        <v>7</v>
      </c>
    </row>
    <row r="10" spans="1:35" ht="30" customHeight="1" x14ac:dyDescent="0.25">
      <c r="B10" s="8" t="s">
        <v>56</v>
      </c>
      <c r="C10" s="2"/>
      <c r="D10" s="2"/>
      <c r="E10" s="2" t="s">
        <v>5</v>
      </c>
      <c r="F10" s="2" t="s">
        <v>5</v>
      </c>
      <c r="G10" s="2" t="s">
        <v>5</v>
      </c>
      <c r="H10" s="2"/>
      <c r="I10" s="2"/>
      <c r="J10" s="2" t="s">
        <v>5</v>
      </c>
      <c r="K10" s="2" t="s">
        <v>5</v>
      </c>
      <c r="L10" s="2" t="s">
        <v>5</v>
      </c>
      <c r="M10" s="2"/>
      <c r="N10" s="2"/>
      <c r="O10" s="2"/>
      <c r="P10" s="2" t="s">
        <v>66</v>
      </c>
      <c r="Q10" s="2" t="s">
        <v>66</v>
      </c>
      <c r="R10" s="2" t="s">
        <v>66</v>
      </c>
      <c r="S10" s="2" t="s">
        <v>66</v>
      </c>
      <c r="T10" s="2" t="s">
        <v>66</v>
      </c>
      <c r="U10" s="2" t="s">
        <v>66</v>
      </c>
      <c r="V10" s="2"/>
      <c r="W10" s="2"/>
      <c r="X10" s="2"/>
      <c r="Y10" s="2"/>
      <c r="Z10" s="2"/>
      <c r="AA10" s="2"/>
      <c r="AB10" s="2"/>
      <c r="AC10" s="2"/>
      <c r="AD10" s="2"/>
      <c r="AE10" s="2"/>
      <c r="AF10" s="2"/>
      <c r="AG10" s="2"/>
      <c r="AH10" s="9">
        <f>COUNTIF(Janvier[[#This Row],[1]:[31]],"P")</f>
        <v>6</v>
      </c>
      <c r="AI10" s="9">
        <f>COUNTIF(Janvier[[#This Row],[1]:[31]],"PR")</f>
        <v>6</v>
      </c>
    </row>
    <row r="11" spans="1:35" ht="30" customHeight="1" x14ac:dyDescent="0.25">
      <c r="B11" s="8"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COUNTIF(Janvier[[#This Row],[1]:[31]],"P")</f>
        <v>0</v>
      </c>
      <c r="AI11" s="9">
        <f>COUNTIF(Janvier[[#This Row],[1]:[31]],"PR")</f>
        <v>0</v>
      </c>
    </row>
    <row r="12" spans="1:35" ht="30" customHeight="1" x14ac:dyDescent="0.25">
      <c r="B12" s="36" t="str">
        <f>NomMois&amp;" Total"</f>
        <v>Janvier Total</v>
      </c>
      <c r="C12" s="37">
        <f>SUBTOTAL(103,Janvier!$C$7:$C$11)</f>
        <v>0</v>
      </c>
      <c r="D12" s="37">
        <f>SUBTOTAL(103,Janvier!$D$7:$D$11)</f>
        <v>0</v>
      </c>
      <c r="E12" s="37">
        <f>SUBTOTAL(103,Janvier!$E$7:$E$11)</f>
        <v>1</v>
      </c>
      <c r="F12" s="37">
        <f>SUBTOTAL(103,Janvier!$F$7:$F$11)</f>
        <v>2</v>
      </c>
      <c r="G12" s="37">
        <f>SUBTOTAL(103,Janvier!$G$7:$G$11)</f>
        <v>2</v>
      </c>
      <c r="H12" s="37">
        <f>SUBTOTAL(103,Janvier!$H$7:$H$11)</f>
        <v>1</v>
      </c>
      <c r="I12" s="37">
        <f>SUBTOTAL(103,Janvier!$I$7:$I$11)</f>
        <v>2</v>
      </c>
      <c r="J12" s="37">
        <f>SUBTOTAL(103,Janvier!$J$7:$J$11)</f>
        <v>4</v>
      </c>
      <c r="K12" s="37">
        <f>SUBTOTAL(103,Janvier!$K$7:$K$11)</f>
        <v>3</v>
      </c>
      <c r="L12" s="37">
        <f>SUBTOTAL(103,Janvier!$L$7:$L$11)</f>
        <v>3</v>
      </c>
      <c r="M12" s="37">
        <f>SUBTOTAL(103,Janvier!$M$7:$M$11)</f>
        <v>2</v>
      </c>
      <c r="N12" s="37">
        <f>SUBTOTAL(103,Janvier!$N$7:$N$11)</f>
        <v>1</v>
      </c>
      <c r="O12" s="37">
        <f>SUBTOTAL(103,Janvier!$O$7:$O$11)</f>
        <v>2</v>
      </c>
      <c r="P12" s="37">
        <f>SUBTOTAL(103,Janvier!$P$7:$P$11)</f>
        <v>3</v>
      </c>
      <c r="Q12" s="37">
        <f>SUBTOTAL(103,Janvier!$Q$7:$Q$11)</f>
        <v>4</v>
      </c>
      <c r="R12" s="37">
        <f>SUBTOTAL(103,Janvier!$R$7:$R$11)</f>
        <v>4</v>
      </c>
      <c r="S12" s="37">
        <f>SUBTOTAL(103,Janvier!$S$7:$S$11)</f>
        <v>4</v>
      </c>
      <c r="T12" s="37">
        <f>SUBTOTAL(103,Janvier!$T$7:$T$11)</f>
        <v>3</v>
      </c>
      <c r="U12" s="37">
        <f>SUBTOTAL(103,Janvier!$U$7:$U$11)</f>
        <v>3</v>
      </c>
      <c r="V12" s="37">
        <f>SUBTOTAL(103,Janvier!$V$7:$V$11)</f>
        <v>2</v>
      </c>
      <c r="W12" s="37">
        <f>SUBTOTAL(103,Janvier!$W$7:$W$11)</f>
        <v>1</v>
      </c>
      <c r="X12" s="37">
        <f>SUBTOTAL(103,Janvier!$X$7:$X$11)</f>
        <v>1</v>
      </c>
      <c r="Y12" s="37">
        <f>SUBTOTAL(103,Janvier!$Y$7:$Y$11)</f>
        <v>1</v>
      </c>
      <c r="Z12" s="37">
        <f>SUBTOTAL(103,Janvier!$Z$7:$Z$11)</f>
        <v>1</v>
      </c>
      <c r="AA12" s="37">
        <f>SUBTOTAL(103,Janvier!$AA$7:$AA$11)</f>
        <v>0</v>
      </c>
      <c r="AB12" s="37">
        <f>SUBTOTAL(103,Janvier!$AB$7:$AB$11)</f>
        <v>0</v>
      </c>
      <c r="AC12" s="37">
        <f>SUBTOTAL(103,Janvier!$AC$7:$AC$11)</f>
        <v>0</v>
      </c>
      <c r="AD12" s="37">
        <f>SUBTOTAL(103,Janvier!$AD$7:$AD$11)</f>
        <v>0</v>
      </c>
      <c r="AE12" s="37">
        <f>SUBTOTAL(103,Janvier!$AE$7:$AE$11)</f>
        <v>0</v>
      </c>
      <c r="AF12" s="37">
        <f>SUBTOTAL(103,Janvier!$AF$7:$AF$11)</f>
        <v>0</v>
      </c>
      <c r="AG12" s="37">
        <f>SUBTOTAL(103,Janvier!$AG$7:$AG$11)</f>
        <v>0</v>
      </c>
      <c r="AH12" s="37">
        <f>SUBTOTAL(109,Janvier[Total  Jours P])</f>
        <v>21</v>
      </c>
      <c r="AI12" s="12">
        <f>SUBTOTAL(109,Janvier[[Nom du stagiaire ]])</f>
        <v>0</v>
      </c>
    </row>
  </sheetData>
  <mergeCells count="6">
    <mergeCell ref="C4:AG4"/>
    <mergeCell ref="D2:E2"/>
    <mergeCell ref="G2:I2"/>
    <mergeCell ref="K2:L2"/>
    <mergeCell ref="N2:Q2"/>
    <mergeCell ref="S2:V2"/>
  </mergeCells>
  <conditionalFormatting sqref="C7:AG11">
    <cfRule type="expression" priority="1" stopIfTrue="1">
      <formula>C7=""</formula>
    </cfRule>
    <cfRule type="expression" dxfId="903" priority="6" stopIfTrue="1">
      <formula>C7=CléPersonnalisée2</formula>
    </cfRule>
    <cfRule type="expression" dxfId="902" priority="7" stopIfTrue="1">
      <formula>C7=CléPersonnalisée1</formula>
    </cfRule>
    <cfRule type="expression" dxfId="901" priority="8" stopIfTrue="1">
      <formula>C7=CléMaladie</formula>
    </cfRule>
    <cfRule type="expression" dxfId="900" priority="9" stopIfTrue="1">
      <formula>C7=CléPersonnel</formula>
    </cfRule>
    <cfRule type="expression" dxfId="899" priority="10" stopIfTrue="1">
      <formula>C7=CléPrésence</formula>
    </cfRule>
  </conditionalFormatting>
  <conditionalFormatting sqref="AH7:AI11">
    <cfRule type="dataBar" priority="168">
      <dataBar>
        <cfvo type="num" val="0"/>
        <cfvo type="num" val="31"/>
        <color theme="2" tint="-0.249977111117893"/>
      </dataBar>
      <extLst>
        <ext xmlns:x14="http://schemas.microsoft.com/office/spreadsheetml/2009/9/main" uri="{B025F937-C7B1-47D3-B67F-A62EFF666E3E}">
          <x14:id>{ECCE2C3C-1B01-4700-B60E-DAAAB19A9C1A}</x14:id>
        </ext>
      </extLst>
    </cfRule>
  </conditionalFormatting>
  <dataValidations count="15">
    <dataValidation allowBlank="1" showInputMessage="1" showErrorMessage="1" prompt="Entrez l’année dans cette cellule." sqref="AH4"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000-000003000000}"/>
    <dataValidation allowBlank="1" showInputMessage="1" showErrorMessage="1" prompt="Calcule automatiquement le nombre total de jours d’absence d’un employé durant ce mois" sqref="AH6:AI6" xr:uid="{00000000-0002-0000-00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0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000-000006000000}"/>
    <dataValidation allowBlank="1" showInputMessage="1" showErrorMessage="1" prompt="Cette ligne définit les clés utilisées dans le tableau : Congé en C2, Personnel en F2 et Congé maladie en J2. Les cellules M2 et R2 sont personnalisables" sqref="B2" xr:uid="{00000000-0002-0000-0000-000007000000}"/>
    <dataValidation allowBlank="1" showInputMessage="1" showErrorMessage="1" prompt="La lettre « C » indique une absence pour cause de congé" sqref="C2" xr:uid="{00000000-0002-0000-0000-000008000000}"/>
    <dataValidation allowBlank="1" showInputMessage="1" showErrorMessage="1" prompt="La lettre « P » indique une absence pour motifs personnels" sqref="F2" xr:uid="{00000000-0002-0000-0000-000009000000}"/>
    <dataValidation allowBlank="1" showInputMessage="1" showErrorMessage="1" prompt="La lettre « M » indique une absence pour cause de maladie" sqref="J2" xr:uid="{00000000-0002-0000-0000-00000A000000}"/>
    <dataValidation allowBlank="1" showInputMessage="1" showErrorMessage="1" prompt="Entrez une lettre et personnalisez l’étiquette à droite pour ajouter un élément de clé" sqref="M2 R2" xr:uid="{00000000-0002-0000-0000-00000B000000}"/>
    <dataValidation allowBlank="1" showInputMessage="1" showErrorMessage="1" prompt="Entrez une étiquette pour décrire la clé personnalisée à gauche" sqref="N2 S2" xr:uid="{00000000-0002-0000-0000-00000C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H3" xr:uid="{00000000-0002-0000-0000-00000E000000}"/>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AH7:AI11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F000000}">
          <x14:formula1>
            <xm:f>'Noms des stagiaires'!$B$4:$B$8</xm:f>
          </x14:formula1>
          <xm:sqref>B7:B11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2" tint="-0.749992370372631"/>
  </sheetPr>
  <dimension ref="A1:AJ12"/>
  <sheetViews>
    <sheetView showGridLines="0" tabSelected="1" zoomScaleNormal="100" workbookViewId="0">
      <selection activeCell="AA13" sqref="AA13"/>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6.5703125" style="10" customWidth="1"/>
    <col min="10" max="33" width="4.7109375" style="10" customWidth="1"/>
    <col min="34" max="34" width="13.5703125" style="10" customWidth="1"/>
    <col min="35" max="35" width="2.7109375" customWidth="1"/>
  </cols>
  <sheetData>
    <row r="1" spans="2:36" ht="50.1" customHeight="1" x14ac:dyDescent="0.25">
      <c r="B1" s="13" t="str">
        <f>Titre_Absence_Employé</f>
        <v>Calendrier des stagiaires - ESAT JACQUEMART</v>
      </c>
    </row>
    <row r="2" spans="2:36" ht="15" customHeight="1" x14ac:dyDescent="0.25">
      <c r="B2" s="18" t="s">
        <v>59</v>
      </c>
      <c r="C2" s="3" t="s">
        <v>5</v>
      </c>
      <c r="D2" s="40" t="s">
        <v>50</v>
      </c>
      <c r="E2" s="41"/>
      <c r="F2" s="4" t="s">
        <v>69</v>
      </c>
      <c r="G2" s="40" t="s">
        <v>67</v>
      </c>
      <c r="H2" s="41"/>
      <c r="I2" s="41"/>
      <c r="J2" s="5" t="s">
        <v>51</v>
      </c>
      <c r="K2" s="40" t="s">
        <v>68</v>
      </c>
      <c r="L2" s="41"/>
      <c r="M2" s="6"/>
      <c r="N2" s="40"/>
      <c r="O2" s="41"/>
      <c r="P2" s="41"/>
      <c r="Q2" s="41"/>
      <c r="R2" s="7"/>
      <c r="S2" s="41"/>
      <c r="T2" s="41"/>
      <c r="U2" s="41"/>
      <c r="V2" s="41"/>
    </row>
    <row r="3" spans="2:36" ht="15" customHeight="1" x14ac:dyDescent="0.25">
      <c r="B3"/>
    </row>
    <row r="4" spans="2:36" ht="30" customHeight="1" x14ac:dyDescent="0.25">
      <c r="B4" s="11" t="s">
        <v>36</v>
      </c>
      <c r="C4" s="39" t="s">
        <v>58</v>
      </c>
      <c r="D4" s="39"/>
      <c r="E4" s="39"/>
      <c r="F4" s="39"/>
      <c r="G4" s="39"/>
      <c r="H4" s="39"/>
      <c r="I4" s="39"/>
      <c r="J4" s="39"/>
      <c r="K4" s="39"/>
      <c r="L4" s="39"/>
      <c r="M4" s="39"/>
      <c r="N4" s="39"/>
      <c r="O4" s="39"/>
      <c r="P4" s="39"/>
      <c r="Q4" s="39"/>
      <c r="R4" s="39"/>
      <c r="S4" s="39"/>
      <c r="T4" s="39"/>
      <c r="U4" s="39"/>
      <c r="V4" s="39"/>
      <c r="W4" s="39"/>
      <c r="X4" s="39"/>
      <c r="Y4" s="39"/>
      <c r="Z4" s="39"/>
      <c r="AA4" s="39"/>
      <c r="AB4" s="39"/>
      <c r="AC4" s="39"/>
      <c r="AD4" s="39"/>
      <c r="AE4" s="39"/>
      <c r="AF4" s="39"/>
      <c r="AG4" s="39"/>
      <c r="AH4" s="11">
        <v>2021</v>
      </c>
    </row>
    <row r="5" spans="2:36" ht="15" customHeight="1" x14ac:dyDescent="0.25">
      <c r="B5" s="11"/>
      <c r="C5" s="1" t="str">
        <f>TEXT(WEEKDAY(DATE(AnnéeCalendrier,2,1),1),"jjj")</f>
        <v>lun</v>
      </c>
      <c r="D5" s="1" t="str">
        <f>TEXT(WEEKDAY(DATE(AnnéeCalendrier,2,2),1),"jjj")</f>
        <v>mar</v>
      </c>
      <c r="E5" s="1" t="str">
        <f>TEXT(WEEKDAY(DATE(AnnéeCalendrier,2,3),1),"jjj")</f>
        <v>mer</v>
      </c>
      <c r="F5" s="1" t="str">
        <f>TEXT(WEEKDAY(DATE(AnnéeCalendrier,2,4),1),"jjj")</f>
        <v>jeu</v>
      </c>
      <c r="G5" s="1" t="str">
        <f>TEXT(WEEKDAY(DATE(AnnéeCalendrier,2,5),1),"jjj")</f>
        <v>ven</v>
      </c>
      <c r="H5" s="1" t="str">
        <f>TEXT(WEEKDAY(DATE(AnnéeCalendrier,2,6),1),"jjj")</f>
        <v>sam</v>
      </c>
      <c r="I5" s="1" t="str">
        <f>TEXT(WEEKDAY(DATE(AnnéeCalendrier,2,7),1),"jjj")</f>
        <v>dim</v>
      </c>
      <c r="J5" s="1" t="str">
        <f>TEXT(WEEKDAY(DATE(AnnéeCalendrier,2,8),1),"jjj")</f>
        <v>lun</v>
      </c>
      <c r="K5" s="1" t="str">
        <f>TEXT(WEEKDAY(DATE(AnnéeCalendrier,2,9),1),"jjj")</f>
        <v>mar</v>
      </c>
      <c r="L5" s="1" t="str">
        <f>TEXT(WEEKDAY(DATE(AnnéeCalendrier,2,10),1),"jjj")</f>
        <v>mer</v>
      </c>
      <c r="M5" s="1" t="str">
        <f>TEXT(WEEKDAY(DATE(AnnéeCalendrier,2,11),1),"jjj")</f>
        <v>jeu</v>
      </c>
      <c r="N5" s="1" t="str">
        <f>TEXT(WEEKDAY(DATE(AnnéeCalendrier,2,12),1),"jjj")</f>
        <v>ven</v>
      </c>
      <c r="O5" s="1" t="str">
        <f>TEXT(WEEKDAY(DATE(AnnéeCalendrier,2,13),1),"jjj")</f>
        <v>sam</v>
      </c>
      <c r="P5" s="1" t="str">
        <f>TEXT(WEEKDAY(DATE(AnnéeCalendrier,2,14),1),"jjj")</f>
        <v>dim</v>
      </c>
      <c r="Q5" s="1" t="str">
        <f>TEXT(WEEKDAY(DATE(AnnéeCalendrier,2,15),1),"jjj")</f>
        <v>lun</v>
      </c>
      <c r="R5" s="1" t="str">
        <f>TEXT(WEEKDAY(DATE(AnnéeCalendrier,2,16),1),"jjj")</f>
        <v>mar</v>
      </c>
      <c r="S5" s="1" t="str">
        <f>TEXT(WEEKDAY(DATE(AnnéeCalendrier,2,17),1),"jjj")</f>
        <v>mer</v>
      </c>
      <c r="T5" s="1" t="str">
        <f>TEXT(WEEKDAY(DATE(AnnéeCalendrier,2,18),1),"jjj")</f>
        <v>jeu</v>
      </c>
      <c r="U5" s="1" t="str">
        <f>TEXT(WEEKDAY(DATE(AnnéeCalendrier,2,19),1),"jjj")</f>
        <v>ven</v>
      </c>
      <c r="V5" s="1" t="str">
        <f>TEXT(WEEKDAY(DATE(AnnéeCalendrier,2,20),1),"jjj")</f>
        <v>sam</v>
      </c>
      <c r="W5" s="1" t="str">
        <f>TEXT(WEEKDAY(DATE(AnnéeCalendrier,2,21),1),"jjj")</f>
        <v>dim</v>
      </c>
      <c r="X5" s="1" t="str">
        <f>TEXT(WEEKDAY(DATE(AnnéeCalendrier,2,22),1),"jjj")</f>
        <v>lun</v>
      </c>
      <c r="Y5" s="1" t="str">
        <f>TEXT(WEEKDAY(DATE(AnnéeCalendrier,2,23),1),"jjj")</f>
        <v>mar</v>
      </c>
      <c r="Z5" s="1" t="str">
        <f>TEXT(WEEKDAY(DATE(AnnéeCalendrier,2,24),1),"jjj")</f>
        <v>mer</v>
      </c>
      <c r="AA5" s="1" t="str">
        <f>TEXT(WEEKDAY(DATE(AnnéeCalendrier,2,25),1),"jjj")</f>
        <v>jeu</v>
      </c>
      <c r="AB5" s="1" t="str">
        <f>TEXT(WEEKDAY(DATE(AnnéeCalendrier,2,26),1),"jjj")</f>
        <v>ven</v>
      </c>
      <c r="AC5" s="1" t="str">
        <f>TEXT(WEEKDAY(DATE(AnnéeCalendrier,2,27),1),"jjj")</f>
        <v>sam</v>
      </c>
      <c r="AD5" s="1" t="str">
        <f>TEXT(WEEKDAY(DATE(AnnéeCalendrier,2,28),1),"jjj")</f>
        <v>dim</v>
      </c>
      <c r="AE5" s="1" t="str">
        <f>TEXT(WEEKDAY(DATE(AnnéeCalendrier,2,29),1),"jjj")</f>
        <v>lun</v>
      </c>
      <c r="AF5" s="1"/>
      <c r="AG5" s="1"/>
      <c r="AH5" s="11"/>
    </row>
    <row r="6" spans="2:36"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37</v>
      </c>
      <c r="AG6" s="2" t="s">
        <v>38</v>
      </c>
      <c r="AH6" s="15" t="s">
        <v>35</v>
      </c>
      <c r="AI6" t="s">
        <v>71</v>
      </c>
    </row>
    <row r="7" spans="2:36" ht="30" customHeight="1" x14ac:dyDescent="0.25">
      <c r="B7" s="16" t="s">
        <v>60</v>
      </c>
      <c r="C7" s="2"/>
      <c r="D7" s="2"/>
      <c r="E7" s="2"/>
      <c r="F7" s="2"/>
      <c r="G7" s="2"/>
      <c r="H7" s="2"/>
      <c r="I7" s="2"/>
      <c r="J7" s="2"/>
      <c r="K7" s="2"/>
      <c r="L7" s="2"/>
      <c r="M7" s="2"/>
      <c r="N7" s="2" t="s">
        <v>5</v>
      </c>
      <c r="O7" s="2" t="s">
        <v>5</v>
      </c>
      <c r="P7" s="2" t="s">
        <v>5</v>
      </c>
      <c r="Q7" s="2" t="s">
        <v>5</v>
      </c>
      <c r="R7" s="2" t="s">
        <v>5</v>
      </c>
      <c r="S7" s="2" t="s">
        <v>66</v>
      </c>
      <c r="T7" s="2" t="s">
        <v>66</v>
      </c>
      <c r="U7" s="2" t="s">
        <v>66</v>
      </c>
      <c r="V7" s="2" t="s">
        <v>66</v>
      </c>
      <c r="W7" s="2"/>
      <c r="X7" s="2"/>
      <c r="Y7" s="2"/>
      <c r="Z7" s="2"/>
      <c r="AA7" s="2"/>
      <c r="AB7" s="2"/>
      <c r="AC7" s="2"/>
      <c r="AD7" s="2"/>
      <c r="AE7" s="2"/>
      <c r="AF7" s="2"/>
      <c r="AG7" s="2"/>
      <c r="AH7" s="29">
        <f>COUNTIF(Février[[#This Row],[1]:[28]],"P")</f>
        <v>5</v>
      </c>
      <c r="AI7" s="29">
        <f>COUNTIF(Février[[#This Row],[1]:[28]],"PR")</f>
        <v>4</v>
      </c>
      <c r="AJ7" s="29"/>
    </row>
    <row r="8" spans="2:36" ht="30" customHeight="1" x14ac:dyDescent="0.25">
      <c r="B8" s="16" t="s">
        <v>54</v>
      </c>
      <c r="C8" s="2"/>
      <c r="D8" s="2"/>
      <c r="E8" s="2"/>
      <c r="F8" s="2"/>
      <c r="G8" s="2"/>
      <c r="H8" s="2"/>
      <c r="I8" s="2"/>
      <c r="J8" s="2" t="s">
        <v>5</v>
      </c>
      <c r="K8" s="2" t="s">
        <v>5</v>
      </c>
      <c r="L8" s="2" t="s">
        <v>5</v>
      </c>
      <c r="M8" s="2" t="s">
        <v>5</v>
      </c>
      <c r="N8" s="2" t="s">
        <v>5</v>
      </c>
      <c r="O8" s="2"/>
      <c r="P8" s="2"/>
      <c r="Q8" s="2"/>
      <c r="R8" s="2"/>
      <c r="S8" s="2" t="s">
        <v>66</v>
      </c>
      <c r="T8" s="2" t="s">
        <v>66</v>
      </c>
      <c r="U8" s="2" t="s">
        <v>66</v>
      </c>
      <c r="V8" s="2" t="s">
        <v>66</v>
      </c>
      <c r="W8" s="2"/>
      <c r="X8" s="2"/>
      <c r="Y8" s="2"/>
      <c r="Z8" s="2"/>
      <c r="AA8" s="2"/>
      <c r="AB8" s="2"/>
      <c r="AC8" s="2"/>
      <c r="AD8" s="2"/>
      <c r="AE8" s="2"/>
      <c r="AF8" s="2"/>
      <c r="AG8" s="2"/>
      <c r="AH8" s="29">
        <f>COUNTIF(Février[[#This Row],[1]:[28]],"P")</f>
        <v>5</v>
      </c>
      <c r="AI8" s="29">
        <f>COUNTIF(Février[[#This Row],[1]:[28]],"PR")</f>
        <v>4</v>
      </c>
      <c r="AJ8" s="29"/>
    </row>
    <row r="9" spans="2:36" ht="30" customHeight="1" x14ac:dyDescent="0.25">
      <c r="B9" s="16" t="s">
        <v>55</v>
      </c>
      <c r="C9" s="2"/>
      <c r="D9" s="2"/>
      <c r="E9" s="2"/>
      <c r="F9" s="2"/>
      <c r="G9" s="2"/>
      <c r="H9" s="2"/>
      <c r="I9" s="2"/>
      <c r="J9" s="2"/>
      <c r="K9" s="2"/>
      <c r="L9" s="2"/>
      <c r="M9" s="2" t="s">
        <v>5</v>
      </c>
      <c r="N9" s="2" t="s">
        <v>5</v>
      </c>
      <c r="O9" s="2" t="s">
        <v>5</v>
      </c>
      <c r="P9" s="2" t="s">
        <v>5</v>
      </c>
      <c r="Q9" s="2" t="s">
        <v>5</v>
      </c>
      <c r="R9" s="2"/>
      <c r="S9" s="2"/>
      <c r="T9" s="2"/>
      <c r="U9" s="2" t="s">
        <v>66</v>
      </c>
      <c r="V9" s="2" t="s">
        <v>66</v>
      </c>
      <c r="W9" s="2"/>
      <c r="X9" s="2"/>
      <c r="Y9" s="2"/>
      <c r="Z9" s="2"/>
      <c r="AA9" s="2"/>
      <c r="AB9" s="2"/>
      <c r="AC9" s="2"/>
      <c r="AD9" s="2"/>
      <c r="AE9" s="2"/>
      <c r="AF9" s="2"/>
      <c r="AG9" s="2"/>
      <c r="AH9" s="29">
        <f>COUNTIF(Février[[#This Row],[1]:[28]],"P")</f>
        <v>5</v>
      </c>
      <c r="AI9" s="29">
        <f>COUNTIF(Février[[#This Row],[1]:[28]],"PR")</f>
        <v>2</v>
      </c>
      <c r="AJ9" s="29"/>
    </row>
    <row r="10" spans="2:36" ht="30" customHeight="1" x14ac:dyDescent="0.25">
      <c r="B10" s="16" t="s">
        <v>56</v>
      </c>
      <c r="C10" s="2"/>
      <c r="D10" s="2"/>
      <c r="E10" s="2"/>
      <c r="F10" s="2"/>
      <c r="G10" s="2"/>
      <c r="H10" s="2"/>
      <c r="I10" s="2" t="s">
        <v>5</v>
      </c>
      <c r="J10" s="2" t="s">
        <v>5</v>
      </c>
      <c r="K10" s="2" t="s">
        <v>5</v>
      </c>
      <c r="L10" s="2"/>
      <c r="M10" s="2"/>
      <c r="N10" s="2" t="s">
        <v>5</v>
      </c>
      <c r="O10" s="2" t="s">
        <v>5</v>
      </c>
      <c r="P10" s="2" t="s">
        <v>5</v>
      </c>
      <c r="Q10" s="2"/>
      <c r="R10" s="2"/>
      <c r="S10" s="2"/>
      <c r="T10" s="2" t="s">
        <v>66</v>
      </c>
      <c r="U10" s="2" t="s">
        <v>66</v>
      </c>
      <c r="V10" s="2" t="s">
        <v>66</v>
      </c>
      <c r="W10" s="2"/>
      <c r="X10" s="2"/>
      <c r="Y10" s="2"/>
      <c r="Z10" s="2"/>
      <c r="AA10" s="2"/>
      <c r="AB10" s="2"/>
      <c r="AC10" s="2"/>
      <c r="AD10" s="2"/>
      <c r="AE10" s="2"/>
      <c r="AF10" s="2"/>
      <c r="AG10" s="2"/>
      <c r="AH10" s="29">
        <f>COUNTIF(Février[[#This Row],[1]:[28]],"P")</f>
        <v>6</v>
      </c>
      <c r="AI10" s="29">
        <f>COUNTIF(Février[[#This Row],[1]:[28]],"PR")</f>
        <v>3</v>
      </c>
      <c r="AJ10" s="29"/>
    </row>
    <row r="11" spans="2:36" ht="30" customHeight="1" x14ac:dyDescent="0.25">
      <c r="B11" s="16" t="s">
        <v>57</v>
      </c>
      <c r="C11" s="2"/>
      <c r="D11" s="2"/>
      <c r="E11" s="2"/>
      <c r="F11" s="2"/>
      <c r="G11" s="2"/>
      <c r="H11" s="2"/>
      <c r="I11" s="2"/>
      <c r="J11" s="2"/>
      <c r="K11" s="2"/>
      <c r="L11" s="2"/>
      <c r="M11" s="2"/>
      <c r="N11" s="2" t="s">
        <v>5</v>
      </c>
      <c r="O11" s="2"/>
      <c r="P11" s="2"/>
      <c r="Q11" s="2"/>
      <c r="R11" s="2"/>
      <c r="S11" s="2"/>
      <c r="T11" s="2"/>
      <c r="U11" s="2"/>
      <c r="V11" s="2" t="s">
        <v>66</v>
      </c>
      <c r="W11" s="2"/>
      <c r="X11" s="2"/>
      <c r="Y11" s="2"/>
      <c r="Z11" s="2"/>
      <c r="AA11" s="2"/>
      <c r="AB11" s="2"/>
      <c r="AC11" s="2"/>
      <c r="AD11" s="2"/>
      <c r="AE11" s="2"/>
      <c r="AF11" s="2"/>
      <c r="AG11" s="2"/>
      <c r="AH11" s="29">
        <f>COUNTIF(Février[[#This Row],[1]:[28]],"P")</f>
        <v>1</v>
      </c>
      <c r="AI11" s="29">
        <f>COUNTIF(Février[[#This Row],[1]:[28]],"PR")</f>
        <v>1</v>
      </c>
      <c r="AJ11" s="29"/>
    </row>
    <row r="12" spans="2:36" ht="30" customHeight="1" x14ac:dyDescent="0.25">
      <c r="B12" s="20" t="str">
        <f>NomMois&amp;" Total"</f>
        <v>Février Total</v>
      </c>
      <c r="C12" s="12">
        <f>SUBTOTAL(103,Février[1])</f>
        <v>0</v>
      </c>
      <c r="D12" s="12">
        <f>SUBTOTAL(103,Février[2])</f>
        <v>0</v>
      </c>
      <c r="E12" s="12">
        <f>SUBTOTAL(103,Février[3])</f>
        <v>0</v>
      </c>
      <c r="F12" s="12">
        <f>SUBTOTAL(103,Février[4])</f>
        <v>0</v>
      </c>
      <c r="G12" s="12">
        <f>SUBTOTAL(103,Février[5])</f>
        <v>0</v>
      </c>
      <c r="H12" s="12">
        <f>SUBTOTAL(103,Février[6])</f>
        <v>0</v>
      </c>
      <c r="I12" s="12">
        <f>SUBTOTAL(103,Février[7])</f>
        <v>1</v>
      </c>
      <c r="J12" s="12">
        <f>SUBTOTAL(103,Février[8])</f>
        <v>2</v>
      </c>
      <c r="K12" s="12">
        <f>SUBTOTAL(103,Février[9])</f>
        <v>2</v>
      </c>
      <c r="L12" s="12">
        <f>SUBTOTAL(103,Février[10])</f>
        <v>1</v>
      </c>
      <c r="M12" s="12">
        <f>SUBTOTAL(103,Février[11])</f>
        <v>2</v>
      </c>
      <c r="N12" s="12">
        <f>SUBTOTAL(103,Février[12])</f>
        <v>5</v>
      </c>
      <c r="O12" s="12">
        <f>SUBTOTAL(103,Février[13])</f>
        <v>3</v>
      </c>
      <c r="P12" s="12">
        <f>SUBTOTAL(103,Février[14])</f>
        <v>3</v>
      </c>
      <c r="Q12" s="12">
        <f>SUBTOTAL(103,Février[15])</f>
        <v>2</v>
      </c>
      <c r="R12" s="12">
        <f>SUBTOTAL(103,Février[16])</f>
        <v>1</v>
      </c>
      <c r="S12" s="12">
        <f>SUBTOTAL(103,Février[17])</f>
        <v>2</v>
      </c>
      <c r="T12" s="12">
        <f>SUBTOTAL(103,Février[18])</f>
        <v>3</v>
      </c>
      <c r="U12" s="12">
        <f>SUBTOTAL(103,Février[19])</f>
        <v>4</v>
      </c>
      <c r="V12" s="12">
        <f>SUBTOTAL(103,Février[20])</f>
        <v>5</v>
      </c>
      <c r="W12" s="12">
        <f>SUBTOTAL(103,Février[21])</f>
        <v>0</v>
      </c>
      <c r="X12" s="12">
        <f>SUBTOTAL(103,Février[22])</f>
        <v>0</v>
      </c>
      <c r="Y12" s="12">
        <f>SUBTOTAL(103,Février[23])</f>
        <v>0</v>
      </c>
      <c r="Z12" s="12">
        <f>SUBTOTAL(103,Février[24])</f>
        <v>0</v>
      </c>
      <c r="AA12" s="12">
        <f>SUBTOTAL(103,Février[25])</f>
        <v>0</v>
      </c>
      <c r="AB12" s="12">
        <f>SUBTOTAL(103,Février[26])</f>
        <v>0</v>
      </c>
      <c r="AC12" s="12">
        <f>SUBTOTAL(103,Février[27])</f>
        <v>0</v>
      </c>
      <c r="AD12" s="12">
        <f>SUBTOTAL(103,Février[28])</f>
        <v>0</v>
      </c>
      <c r="AE12" s="12">
        <f>SUBTOTAL(103,Février[29])</f>
        <v>0</v>
      </c>
      <c r="AF12" s="12"/>
      <c r="AG12" s="12"/>
      <c r="AH12" s="12">
        <f>SUBTOTAL(109,Février[Total des jours])</f>
        <v>22</v>
      </c>
    </row>
  </sheetData>
  <mergeCells count="6">
    <mergeCell ref="C4:AG4"/>
    <mergeCell ref="D2:E2"/>
    <mergeCell ref="G2:I2"/>
    <mergeCell ref="K2:L2"/>
    <mergeCell ref="N2:Q2"/>
    <mergeCell ref="S2:V2"/>
  </mergeCells>
  <conditionalFormatting sqref="AE6">
    <cfRule type="expression" dxfId="864" priority="22">
      <formula>MONTH(DATE(AnnéeCalendrier,2,29))&lt;&gt;2</formula>
    </cfRule>
  </conditionalFormatting>
  <conditionalFormatting sqref="AE5">
    <cfRule type="expression" dxfId="863" priority="21">
      <formula>MONTH(DATE(AnnéeCalendrier,2,29))&lt;&gt;2</formula>
    </cfRule>
  </conditionalFormatting>
  <conditionalFormatting sqref="C11:AG11 C7:H10 W7:AG10">
    <cfRule type="expression" priority="8" stopIfTrue="1">
      <formula>C7=""</formula>
    </cfRule>
    <cfRule type="expression" dxfId="862" priority="9" stopIfTrue="1">
      <formula>C7=CléPersonnalisée2</formula>
    </cfRule>
  </conditionalFormatting>
  <conditionalFormatting sqref="C11:AG11 C7:H10 W7:AG10">
    <cfRule type="expression" dxfId="861" priority="11" stopIfTrue="1">
      <formula>C7=CléPersonnalisée1</formula>
    </cfRule>
    <cfRule type="expression" dxfId="860" priority="12" stopIfTrue="1">
      <formula>C7=CléMaladie</formula>
    </cfRule>
    <cfRule type="expression" dxfId="859" priority="13" stopIfTrue="1">
      <formula>C7=CléPersonnel</formula>
    </cfRule>
    <cfRule type="expression" dxfId="858" priority="14" stopIfTrue="1">
      <formula>C7=CléPrésence</formula>
    </cfRule>
  </conditionalFormatting>
  <conditionalFormatting sqref="I7:V10">
    <cfRule type="expression" priority="1" stopIfTrue="1">
      <formula>I7=""</formula>
    </cfRule>
    <cfRule type="expression" dxfId="402" priority="2" stopIfTrue="1">
      <formula>I7=CléPersonnalisée2</formula>
    </cfRule>
    <cfRule type="expression" dxfId="401" priority="3" stopIfTrue="1">
      <formula>I7=CléPersonnalisée1</formula>
    </cfRule>
    <cfRule type="expression" dxfId="400" priority="4" stopIfTrue="1">
      <formula>I7=CléMaladie</formula>
    </cfRule>
    <cfRule type="expression" dxfId="399" priority="5" stopIfTrue="1">
      <formula>I7=CléPersonnel</formula>
    </cfRule>
    <cfRule type="expression" dxfId="398" priority="6" stopIfTrue="1">
      <formula>I7=CléPrésence</formula>
    </cfRule>
  </conditionalFormatting>
  <dataValidations xWindow="232" yWindow="365" count="14">
    <dataValidation allowBlank="1" showInputMessage="1" showErrorMessage="1" prompt="Année mise à jour automatiquement en fonction de l’année entrée dans la feuille de calcul Janvier" sqref="AH4" xr:uid="{00000000-0002-0000-0100-000000000000}"/>
    <dataValidation allowBlank="1" showInputMessage="1" showErrorMessage="1" prompt="Suivez les absences du mois de février dans cette feuille de calcul" sqref="A1" xr:uid="{00000000-0002-0000-0100-000001000000}"/>
    <dataValidation allowBlank="1" showInputMessage="1" showErrorMessage="1" prompt="Calcule automatiquement le nombre total de jours d’absence d’un employé durant ce mois dans cette colonne" sqref="AH6" xr:uid="{00000000-0002-0000-0100-000002000000}"/>
    <dataValidation allowBlank="1" showInputMessage="1" showErrorMessage="1" prompt="Le titre mis à jour automatiquement figure dans cette cellule. Pour modifier le titre, mettez à jour la cellule B1 de la feuille de calcul Janvier" sqref="B1" xr:uid="{00000000-0002-0000-0100-000003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1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100-000005000000}"/>
    <dataValidation allowBlank="1" showInputMessage="1" showErrorMessage="1" prompt="Cette ligne définit les clés utilisées dans le tableau : Congé en C2, Personnel en F2 et Congé maladie en J2. Les cellules M2 et R2 sont personnalisables" sqref="B2" xr:uid="{00000000-0002-0000-0100-000006000000}"/>
    <dataValidation allowBlank="1" showInputMessage="1" showErrorMessage="1" prompt="Entrez une étiquette pour décrire la clé personnalisée à gauche" sqref="N2 S2" xr:uid="{00000000-0002-0000-0100-000007000000}"/>
    <dataValidation allowBlank="1" showInputMessage="1" showErrorMessage="1" prompt="Entrez une lettre et personnalisez l’étiquette à droite pour ajouter un élément de clé" sqref="M2 R2" xr:uid="{00000000-0002-0000-0100-000008000000}"/>
    <dataValidation allowBlank="1" showInputMessage="1" showErrorMessage="1" prompt="La lettre « M » indique une absence pour cause de maladie" sqref="J2" xr:uid="{00000000-0002-0000-0100-000009000000}"/>
    <dataValidation allowBlank="1" showInputMessage="1" showErrorMessage="1" prompt="La lettre « P » indique une absence pour motifs personnels" sqref="F2" xr:uid="{00000000-0002-0000-0100-00000A000000}"/>
    <dataValidation allowBlank="1" showInputMessage="1" showErrorMessage="1" prompt="La lettre « C » indique une absence pour cause de congé" sqref="C2" xr:uid="{00000000-0002-0000-01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1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1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CCE6A557-97BC-4b89-ADB6-D9C93CAAB3DF}">
      <x14:dataValidations xmlns:xm="http://schemas.microsoft.com/office/excel/2006/main" xWindow="232" yWindow="365" count="1">
        <x14:dataValidation type="list" allowBlank="1" showInputMessage="1" showErrorMessage="1" xr:uid="{00000000-0002-0000-0100-00000E000000}">
          <x14:formula1>
            <xm:f>'Noms des stagiaires'!$B$4:$B$8</xm:f>
          </x14:formula1>
          <xm:sqref>B7:B11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2" tint="-0.499984740745262"/>
  </sheetPr>
  <dimension ref="A1:AI12"/>
  <sheetViews>
    <sheetView showGridLines="0" zoomScaleNormal="100" workbookViewId="0">
      <selection activeCell="AH7" sqref="AH7:AJ11"/>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6.5703125" style="10" customWidth="1"/>
    <col min="10" max="33" width="4.7109375" style="10" customWidth="1"/>
    <col min="34" max="34" width="13.5703125" style="10" customWidth="1"/>
    <col min="35" max="35" width="2.7109375" customWidth="1"/>
  </cols>
  <sheetData>
    <row r="1" spans="2:35" ht="50.1" customHeight="1" x14ac:dyDescent="0.25">
      <c r="B1" s="13" t="str">
        <f>Titre_Absence_Employé</f>
        <v>Calendrier des stagiaires - ESAT JACQUEMART</v>
      </c>
    </row>
    <row r="2" spans="2:35" ht="15" customHeight="1" x14ac:dyDescent="0.25">
      <c r="B2" s="18" t="s">
        <v>59</v>
      </c>
      <c r="C2" s="3" t="s">
        <v>5</v>
      </c>
      <c r="D2" s="40" t="s">
        <v>50</v>
      </c>
      <c r="E2" s="41"/>
      <c r="F2" s="4" t="s">
        <v>69</v>
      </c>
      <c r="G2" s="40" t="s">
        <v>67</v>
      </c>
      <c r="H2" s="41"/>
      <c r="I2" s="41"/>
      <c r="J2" s="5" t="s">
        <v>51</v>
      </c>
      <c r="K2" s="40" t="s">
        <v>68</v>
      </c>
      <c r="L2" s="41"/>
      <c r="M2" s="6"/>
      <c r="N2" s="40"/>
      <c r="O2" s="41"/>
      <c r="P2" s="41"/>
      <c r="Q2" s="41"/>
      <c r="R2" s="7"/>
      <c r="S2" s="41"/>
      <c r="T2" s="41"/>
      <c r="U2" s="41"/>
      <c r="V2" s="41"/>
    </row>
    <row r="3" spans="2:35" ht="15" customHeight="1" x14ac:dyDescent="0.25">
      <c r="B3" s="13"/>
    </row>
    <row r="4" spans="2:35" ht="30" customHeight="1" x14ac:dyDescent="0.25">
      <c r="B4" s="11" t="s">
        <v>39</v>
      </c>
      <c r="C4" s="39" t="s">
        <v>58</v>
      </c>
      <c r="D4" s="39"/>
      <c r="E4" s="39"/>
      <c r="F4" s="39"/>
      <c r="G4" s="39"/>
      <c r="H4" s="39"/>
      <c r="I4" s="39"/>
      <c r="J4" s="39"/>
      <c r="K4" s="39"/>
      <c r="L4" s="39"/>
      <c r="M4" s="39"/>
      <c r="N4" s="39"/>
      <c r="O4" s="39"/>
      <c r="P4" s="39"/>
      <c r="Q4" s="39"/>
      <c r="R4" s="39"/>
      <c r="S4" s="39"/>
      <c r="T4" s="39"/>
      <c r="U4" s="39"/>
      <c r="V4" s="39"/>
      <c r="W4" s="39"/>
      <c r="X4" s="39"/>
      <c r="Y4" s="39"/>
      <c r="Z4" s="39"/>
      <c r="AA4" s="39"/>
      <c r="AB4" s="39"/>
      <c r="AC4" s="39"/>
      <c r="AD4" s="39"/>
      <c r="AE4" s="39"/>
      <c r="AF4" s="39"/>
      <c r="AG4" s="39"/>
      <c r="AH4" s="11">
        <f>AnnéeCalendrier</f>
        <v>2021</v>
      </c>
    </row>
    <row r="5" spans="2:35" ht="15" customHeight="1" x14ac:dyDescent="0.25">
      <c r="B5" s="11"/>
      <c r="C5" s="1" t="str">
        <f>TEXT(WEEKDAY(DATE(AnnéeCalendrier,3,1),1),"jjj")</f>
        <v>lun</v>
      </c>
      <c r="D5" s="1" t="str">
        <f>TEXT(WEEKDAY(DATE(AnnéeCalendrier,3,2),1),"jjj")</f>
        <v>mar</v>
      </c>
      <c r="E5" s="1" t="str">
        <f>TEXT(WEEKDAY(DATE(AnnéeCalendrier,3,3),1),"jjj")</f>
        <v>mer</v>
      </c>
      <c r="F5" s="1" t="str">
        <f>TEXT(WEEKDAY(DATE(AnnéeCalendrier,3,4),1),"jjj")</f>
        <v>jeu</v>
      </c>
      <c r="G5" s="1" t="str">
        <f>TEXT(WEEKDAY(DATE(AnnéeCalendrier,3,5),1),"jjj")</f>
        <v>ven</v>
      </c>
      <c r="H5" s="1" t="str">
        <f>TEXT(WEEKDAY(DATE(AnnéeCalendrier,3,6),1),"jjj")</f>
        <v>sam</v>
      </c>
      <c r="I5" s="1" t="str">
        <f>TEXT(WEEKDAY(DATE(AnnéeCalendrier,3,7),1),"jjj")</f>
        <v>dim</v>
      </c>
      <c r="J5" s="1" t="str">
        <f>TEXT(WEEKDAY(DATE(AnnéeCalendrier,3,8),1),"jjj")</f>
        <v>lun</v>
      </c>
      <c r="K5" s="1" t="str">
        <f>TEXT(WEEKDAY(DATE(AnnéeCalendrier,3,9),1),"jjj")</f>
        <v>mar</v>
      </c>
      <c r="L5" s="1" t="str">
        <f>TEXT(WEEKDAY(DATE(AnnéeCalendrier,3,10),1),"jjj")</f>
        <v>mer</v>
      </c>
      <c r="M5" s="1" t="str">
        <f>TEXT(WEEKDAY(DATE(AnnéeCalendrier,3,11),1),"jjj")</f>
        <v>jeu</v>
      </c>
      <c r="N5" s="1" t="str">
        <f>TEXT(WEEKDAY(DATE(AnnéeCalendrier,3,12),1),"jjj")</f>
        <v>ven</v>
      </c>
      <c r="O5" s="1" t="str">
        <f>TEXT(WEEKDAY(DATE(AnnéeCalendrier,3,13),1),"jjj")</f>
        <v>sam</v>
      </c>
      <c r="P5" s="1" t="str">
        <f>TEXT(WEEKDAY(DATE(AnnéeCalendrier,3,14),1),"jjj")</f>
        <v>dim</v>
      </c>
      <c r="Q5" s="1" t="str">
        <f>TEXT(WEEKDAY(DATE(AnnéeCalendrier,3,15),1),"jjj")</f>
        <v>lun</v>
      </c>
      <c r="R5" s="1" t="str">
        <f>TEXT(WEEKDAY(DATE(AnnéeCalendrier,3,16),1),"jjj")</f>
        <v>mar</v>
      </c>
      <c r="S5" s="1" t="str">
        <f>TEXT(WEEKDAY(DATE(AnnéeCalendrier,3,17),1),"jjj")</f>
        <v>mer</v>
      </c>
      <c r="T5" s="1" t="str">
        <f>TEXT(WEEKDAY(DATE(AnnéeCalendrier,3,18),1),"jjj")</f>
        <v>jeu</v>
      </c>
      <c r="U5" s="1" t="str">
        <f>TEXT(WEEKDAY(DATE(AnnéeCalendrier,3,19),1),"jjj")</f>
        <v>ven</v>
      </c>
      <c r="V5" s="1" t="str">
        <f>TEXT(WEEKDAY(DATE(AnnéeCalendrier,3,20),1),"jjj")</f>
        <v>sam</v>
      </c>
      <c r="W5" s="1" t="str">
        <f>TEXT(WEEKDAY(DATE(AnnéeCalendrier,3,21),1),"jjj")</f>
        <v>dim</v>
      </c>
      <c r="X5" s="1" t="str">
        <f>TEXT(WEEKDAY(DATE(AnnéeCalendrier,3,22),1),"jjj")</f>
        <v>lun</v>
      </c>
      <c r="Y5" s="1" t="str">
        <f>TEXT(WEEKDAY(DATE(AnnéeCalendrier,3,23),1),"jjj")</f>
        <v>mar</v>
      </c>
      <c r="Z5" s="1" t="str">
        <f>TEXT(WEEKDAY(DATE(AnnéeCalendrier,3,24),1),"jjj")</f>
        <v>mer</v>
      </c>
      <c r="AA5" s="1" t="str">
        <f>TEXT(WEEKDAY(DATE(AnnéeCalendrier,3,25),1),"jjj")</f>
        <v>jeu</v>
      </c>
      <c r="AB5" s="1" t="str">
        <f>TEXT(WEEKDAY(DATE(AnnéeCalendrier,3,26),1),"jjj")</f>
        <v>ven</v>
      </c>
      <c r="AC5" s="1" t="str">
        <f>TEXT(WEEKDAY(DATE(AnnéeCalendrier,3,27),1),"jjj")</f>
        <v>sam</v>
      </c>
      <c r="AD5" s="1" t="str">
        <f>TEXT(WEEKDAY(DATE(AnnéeCalendrier,3,28),1),"jjj")</f>
        <v>dim</v>
      </c>
      <c r="AE5" s="1" t="str">
        <f>TEXT(WEEKDAY(DATE(AnnéeCalendrier,3,29),1),"jjj")</f>
        <v>lun</v>
      </c>
      <c r="AF5" s="1" t="str">
        <f>TEXT(WEEKDAY(DATE(AnnéeCalendrier,3,30),1),"jjj")</f>
        <v>mar</v>
      </c>
      <c r="AG5" s="1" t="str">
        <f>TEXT(WEEKDAY(DATE(AnnéeCalendrier,3,31),1),"jjj")</f>
        <v>mer</v>
      </c>
      <c r="AH5" s="11"/>
    </row>
    <row r="6" spans="2:35"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33</v>
      </c>
      <c r="AH6" s="15" t="s">
        <v>35</v>
      </c>
      <c r="AI6" t="s">
        <v>71</v>
      </c>
    </row>
    <row r="7" spans="2:35" ht="30" customHeight="1" x14ac:dyDescent="0.25">
      <c r="B7" s="16" t="s">
        <v>60</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c r="AI7" s="9"/>
    </row>
    <row r="8" spans="2:35"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c r="AI8" s="9"/>
    </row>
    <row r="9" spans="2:35"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c r="AI9" s="9"/>
    </row>
    <row r="10" spans="2:35"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c r="AI10" s="9"/>
    </row>
    <row r="11" spans="2:35"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c r="AI11" s="9"/>
    </row>
    <row r="12" spans="2:35" ht="30" customHeight="1" x14ac:dyDescent="0.25">
      <c r="B12" s="20" t="str">
        <f>NomMois&amp;" Total"</f>
        <v>Mars Total</v>
      </c>
      <c r="C12" s="12">
        <f>SUBTOTAL(103,Mars[1])</f>
        <v>0</v>
      </c>
      <c r="D12" s="12">
        <f>SUBTOTAL(103,Mars[2])</f>
        <v>0</v>
      </c>
      <c r="E12" s="12">
        <f>SUBTOTAL(103,Mars[3])</f>
        <v>0</v>
      </c>
      <c r="F12" s="12">
        <f>SUBTOTAL(103,Mars[4])</f>
        <v>0</v>
      </c>
      <c r="G12" s="12">
        <f>SUBTOTAL(103,Mars[5])</f>
        <v>0</v>
      </c>
      <c r="H12" s="12">
        <f>SUBTOTAL(103,Mars[6])</f>
        <v>0</v>
      </c>
      <c r="I12" s="12">
        <f>SUBTOTAL(103,Mars[7])</f>
        <v>0</v>
      </c>
      <c r="J12" s="12">
        <f>SUBTOTAL(103,Mars[8])</f>
        <v>0</v>
      </c>
      <c r="K12" s="12">
        <f>SUBTOTAL(103,Mars[9])</f>
        <v>0</v>
      </c>
      <c r="L12" s="12">
        <f>SUBTOTAL(103,Mars[10])</f>
        <v>0</v>
      </c>
      <c r="M12" s="12">
        <f>SUBTOTAL(103,Mars[11])</f>
        <v>0</v>
      </c>
      <c r="N12" s="12">
        <f>SUBTOTAL(103,Mars[12])</f>
        <v>0</v>
      </c>
      <c r="O12" s="12">
        <f>SUBTOTAL(103,Mars[13])</f>
        <v>0</v>
      </c>
      <c r="P12" s="12">
        <f>SUBTOTAL(103,Mars[14])</f>
        <v>0</v>
      </c>
      <c r="Q12" s="12">
        <f>SUBTOTAL(103,Mars[15])</f>
        <v>0</v>
      </c>
      <c r="R12" s="12">
        <f>SUBTOTAL(103,Mars[16])</f>
        <v>0</v>
      </c>
      <c r="S12" s="12">
        <f>SUBTOTAL(103,Mars[17])</f>
        <v>0</v>
      </c>
      <c r="T12" s="12">
        <f>SUBTOTAL(103,Mars[18])</f>
        <v>0</v>
      </c>
      <c r="U12" s="12">
        <f>SUBTOTAL(103,Mars[19])</f>
        <v>0</v>
      </c>
      <c r="V12" s="12">
        <f>SUBTOTAL(103,Mars[20])</f>
        <v>0</v>
      </c>
      <c r="W12" s="12">
        <f>SUBTOTAL(103,Mars[21])</f>
        <v>0</v>
      </c>
      <c r="X12" s="12">
        <f>SUBTOTAL(103,Mars[22])</f>
        <v>0</v>
      </c>
      <c r="Y12" s="12">
        <f>SUBTOTAL(103,Mars[23])</f>
        <v>0</v>
      </c>
      <c r="Z12" s="12">
        <f>SUBTOTAL(103,Mars[24])</f>
        <v>0</v>
      </c>
      <c r="AA12" s="12">
        <f>SUBTOTAL(103,Mars[25])</f>
        <v>0</v>
      </c>
      <c r="AB12" s="12">
        <f>SUBTOTAL(103,Mars[26])</f>
        <v>0</v>
      </c>
      <c r="AC12" s="12">
        <f>SUBTOTAL(103,Mars[27])</f>
        <v>0</v>
      </c>
      <c r="AD12" s="12">
        <f>SUBTOTAL(103,Mars[28])</f>
        <v>0</v>
      </c>
      <c r="AE12" s="12">
        <f>SUBTOTAL(103,Mars[29])</f>
        <v>0</v>
      </c>
      <c r="AF12" s="12">
        <f>SUBTOTAL(103,Mars[30])</f>
        <v>0</v>
      </c>
      <c r="AG12" s="12">
        <f>SUBTOTAL(103,Mars[31])</f>
        <v>0</v>
      </c>
      <c r="AH12" s="12">
        <f>SUBTOTAL(109,Mars[Total des jours])</f>
        <v>0</v>
      </c>
    </row>
  </sheetData>
  <mergeCells count="6">
    <mergeCell ref="C4:AG4"/>
    <mergeCell ref="D2:E2"/>
    <mergeCell ref="G2:I2"/>
    <mergeCell ref="K2:L2"/>
    <mergeCell ref="N2:Q2"/>
    <mergeCell ref="S2:V2"/>
  </mergeCells>
  <conditionalFormatting sqref="C7:AG11">
    <cfRule type="expression" priority="2" stopIfTrue="1">
      <formula>C7=""</formula>
    </cfRule>
  </conditionalFormatting>
  <conditionalFormatting sqref="C7:AG11">
    <cfRule type="expression" dxfId="782" priority="3" stopIfTrue="1">
      <formula>C7=CléPersonnalisée2</formula>
    </cfRule>
    <cfRule type="expression" dxfId="781" priority="4" stopIfTrue="1">
      <formula>C7=CléPersonnalisée1</formula>
    </cfRule>
    <cfRule type="expression" dxfId="780" priority="5" stopIfTrue="1">
      <formula>C7=CléMaladie</formula>
    </cfRule>
    <cfRule type="expression" dxfId="779" priority="6" stopIfTrue="1">
      <formula>C7=CléPersonnel</formula>
    </cfRule>
    <cfRule type="expression" dxfId="778" priority="7" stopIfTrue="1">
      <formula>C7=CléPrésence</formula>
    </cfRule>
  </conditionalFormatting>
  <conditionalFormatting sqref="AH7:AI11">
    <cfRule type="dataBar" priority="1">
      <dataBar>
        <cfvo type="num" val="0"/>
        <cfvo type="num" val="31"/>
        <color theme="2" tint="-0.249977111117893"/>
      </dataBar>
      <extLst>
        <ext xmlns:x14="http://schemas.microsoft.com/office/spreadsheetml/2009/9/main" uri="{B025F937-C7B1-47D3-B67F-A62EFF666E3E}">
          <x14:id>{E4E67DCC-3B18-4253-8796-C54C331B3A55}</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300-000000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3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300-000002000000}"/>
    <dataValidation allowBlank="1" showInputMessage="1" showErrorMessage="1" prompt="Cette ligne définit les clés utilisées dans le tableau : Congé en C2, Personnel en F2 et Congé maladie en J2. Les cellules M2 et R2 sont personnalisables" sqref="B2" xr:uid="{00000000-0002-0000-0300-000003000000}"/>
    <dataValidation allowBlank="1" showInputMessage="1" showErrorMessage="1" prompt="Entrez une étiquette pour décrire la clé personnalisée à gauche" sqref="N2 S2" xr:uid="{00000000-0002-0000-0300-000004000000}"/>
    <dataValidation allowBlank="1" showInputMessage="1" showErrorMessage="1" prompt="Entrez une lettre et personnalisez l’étiquette à droite pour ajouter un élément de clé" sqref="M2 R2" xr:uid="{00000000-0002-0000-0300-000005000000}"/>
    <dataValidation allowBlank="1" showInputMessage="1" showErrorMessage="1" prompt="La lettre « M » indique une absence pour cause de maladie" sqref="J2" xr:uid="{00000000-0002-0000-0300-000006000000}"/>
    <dataValidation allowBlank="1" showInputMessage="1" showErrorMessage="1" prompt="La lettre « P » indique une absence pour motifs personnels" sqref="F2" xr:uid="{00000000-0002-0000-0300-000007000000}"/>
    <dataValidation allowBlank="1" showInputMessage="1" showErrorMessage="1" prompt="La lettre « C » indique une absence pour cause de congé" sqref="C2" xr:uid="{00000000-0002-0000-0300-000008000000}"/>
    <dataValidation allowBlank="1" showInputMessage="1" showErrorMessage="1" prompt="Le titre mis à jour automatiquement figure dans cette cellule. Pour modifier le titre, mettez à jour la cellule B1 de la feuille de calcul Janvier" sqref="B1" xr:uid="{00000000-0002-0000-0300-000009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300-00000A000000}"/>
    <dataValidation allowBlank="1" showInputMessage="1" showErrorMessage="1" prompt="Suivez les absences du mois de mars dans cette feuille de calcul" sqref="A1" xr:uid="{00000000-0002-0000-0300-00000B000000}"/>
    <dataValidation allowBlank="1" showInputMessage="1" showErrorMessage="1" prompt="Calcule automatiquement le nombre total de jours d’absence d’un employé durant ce mois dans cette colonne" sqref="AH6" xr:uid="{00000000-0002-0000-0300-00000C000000}"/>
    <dataValidation allowBlank="1" showInputMessage="1" showErrorMessage="1" prompt="Année mise à jour automatiquement en fonction de l’année entrée dans la feuille de calcul Janvier" sqref="AH4" xr:uid="{00000000-0002-0000-03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4E67DCC-3B18-4253-8796-C54C331B3A55}">
            <x14:dataBar minLength="0" maxLength="100">
              <x14:cfvo type="num">
                <xm:f>0</xm:f>
              </x14:cfvo>
              <x14:cfvo type="num">
                <xm:f>31</xm:f>
              </x14:cfvo>
              <x14:negativeFillColor rgb="FFFF0000"/>
              <x14:axisColor rgb="FF000000"/>
            </x14:dataBar>
          </x14:cfRule>
          <xm:sqref>AH7:AI11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300-00000E000000}">
          <x14:formula1>
            <xm:f>'Noms des stagiaires'!$B$4:$B$8</xm:f>
          </x14:formula1>
          <xm:sqref>B7:B11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2" tint="-0.249977111117893"/>
  </sheetPr>
  <dimension ref="A1:AI12"/>
  <sheetViews>
    <sheetView showGridLines="0" zoomScaleNormal="100" workbookViewId="0">
      <selection activeCell="AH7" sqref="AH7:AI11"/>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7" style="10" customWidth="1"/>
    <col min="10" max="33" width="4.7109375" style="10" customWidth="1"/>
    <col min="34" max="34" width="13.5703125" style="10" customWidth="1"/>
    <col min="35" max="35" width="2.7109375" customWidth="1"/>
  </cols>
  <sheetData>
    <row r="1" spans="2:35" ht="50.1" customHeight="1" x14ac:dyDescent="0.25">
      <c r="B1" s="13" t="str">
        <f>Titre_Absence_Employé</f>
        <v>Calendrier des stagiaires - ESAT JACQUEMART</v>
      </c>
    </row>
    <row r="2" spans="2:35" ht="15" customHeight="1" x14ac:dyDescent="0.25">
      <c r="B2" s="18" t="s">
        <v>59</v>
      </c>
      <c r="C2" s="3" t="s">
        <v>5</v>
      </c>
      <c r="D2" s="40" t="s">
        <v>50</v>
      </c>
      <c r="E2" s="41"/>
      <c r="F2" s="4" t="s">
        <v>69</v>
      </c>
      <c r="G2" s="40" t="s">
        <v>67</v>
      </c>
      <c r="H2" s="41"/>
      <c r="I2" s="41"/>
      <c r="J2" s="5" t="s">
        <v>51</v>
      </c>
      <c r="K2" s="40" t="s">
        <v>68</v>
      </c>
      <c r="L2" s="41"/>
      <c r="M2" s="6"/>
      <c r="N2" s="40"/>
      <c r="O2" s="41"/>
      <c r="P2" s="41"/>
      <c r="Q2" s="41"/>
      <c r="R2" s="7"/>
      <c r="S2" s="41"/>
      <c r="T2" s="41"/>
      <c r="U2" s="41"/>
      <c r="V2" s="41"/>
    </row>
    <row r="3" spans="2:35" ht="15" customHeight="1" x14ac:dyDescent="0.25">
      <c r="B3" s="13"/>
    </row>
    <row r="4" spans="2:35" ht="30" customHeight="1" x14ac:dyDescent="0.25">
      <c r="B4" s="11" t="s">
        <v>40</v>
      </c>
      <c r="C4" s="39" t="s">
        <v>58</v>
      </c>
      <c r="D4" s="39"/>
      <c r="E4" s="39"/>
      <c r="F4" s="39"/>
      <c r="G4" s="39"/>
      <c r="H4" s="39"/>
      <c r="I4" s="39"/>
      <c r="J4" s="39"/>
      <c r="K4" s="39"/>
      <c r="L4" s="39"/>
      <c r="M4" s="39"/>
      <c r="N4" s="39"/>
      <c r="O4" s="39"/>
      <c r="P4" s="39"/>
      <c r="Q4" s="39"/>
      <c r="R4" s="39"/>
      <c r="S4" s="39"/>
      <c r="T4" s="39"/>
      <c r="U4" s="39"/>
      <c r="V4" s="39"/>
      <c r="W4" s="39"/>
      <c r="X4" s="39"/>
      <c r="Y4" s="39"/>
      <c r="Z4" s="39"/>
      <c r="AA4" s="39"/>
      <c r="AB4" s="39"/>
      <c r="AC4" s="39"/>
      <c r="AD4" s="39"/>
      <c r="AE4" s="39"/>
      <c r="AF4" s="39"/>
      <c r="AG4" s="39"/>
      <c r="AH4" s="11">
        <f>AnnéeCalendrier</f>
        <v>2021</v>
      </c>
    </row>
    <row r="5" spans="2:35" ht="15" customHeight="1" x14ac:dyDescent="0.25">
      <c r="B5" s="11"/>
      <c r="C5" s="1" t="str">
        <f>TEXT(WEEKDAY(DATE(AnnéeCalendrier,4,1),1),"jjj")</f>
        <v>jeu</v>
      </c>
      <c r="D5" s="1" t="str">
        <f>TEXT(WEEKDAY(DATE(AnnéeCalendrier,4,2),1),"jjj")</f>
        <v>ven</v>
      </c>
      <c r="E5" s="1" t="str">
        <f>TEXT(WEEKDAY(DATE(AnnéeCalendrier,4,3),1),"jjj")</f>
        <v>sam</v>
      </c>
      <c r="F5" s="1" t="str">
        <f>TEXT(WEEKDAY(DATE(AnnéeCalendrier,4,4),1),"jjj")</f>
        <v>dim</v>
      </c>
      <c r="G5" s="1" t="str">
        <f>TEXT(WEEKDAY(DATE(AnnéeCalendrier,4,5),1),"jjj")</f>
        <v>lun</v>
      </c>
      <c r="H5" s="1" t="str">
        <f>TEXT(WEEKDAY(DATE(AnnéeCalendrier,4,6),1),"jjj")</f>
        <v>mar</v>
      </c>
      <c r="I5" s="1" t="str">
        <f>TEXT(WEEKDAY(DATE(AnnéeCalendrier,4,7),1),"jjj")</f>
        <v>mer</v>
      </c>
      <c r="J5" s="1" t="str">
        <f>TEXT(WEEKDAY(DATE(AnnéeCalendrier,4,8),1),"jjj")</f>
        <v>jeu</v>
      </c>
      <c r="K5" s="1" t="str">
        <f>TEXT(WEEKDAY(DATE(AnnéeCalendrier,4,9),1),"jjj")</f>
        <v>ven</v>
      </c>
      <c r="L5" s="1" t="str">
        <f>TEXT(WEEKDAY(DATE(AnnéeCalendrier,4,10),1),"jjj")</f>
        <v>sam</v>
      </c>
      <c r="M5" s="1" t="str">
        <f>TEXT(WEEKDAY(DATE(AnnéeCalendrier,4,11),1),"jjj")</f>
        <v>dim</v>
      </c>
      <c r="N5" s="1" t="str">
        <f>TEXT(WEEKDAY(DATE(AnnéeCalendrier,4,12),1),"jjj")</f>
        <v>lun</v>
      </c>
      <c r="O5" s="1" t="str">
        <f>TEXT(WEEKDAY(DATE(AnnéeCalendrier,4,13),1),"jjj")</f>
        <v>mar</v>
      </c>
      <c r="P5" s="1" t="str">
        <f>TEXT(WEEKDAY(DATE(AnnéeCalendrier,4,14),1),"jjj")</f>
        <v>mer</v>
      </c>
      <c r="Q5" s="1" t="str">
        <f>TEXT(WEEKDAY(DATE(AnnéeCalendrier,4,15),1),"jjj")</f>
        <v>jeu</v>
      </c>
      <c r="R5" s="1" t="str">
        <f>TEXT(WEEKDAY(DATE(AnnéeCalendrier,4,16),1),"jjj")</f>
        <v>ven</v>
      </c>
      <c r="S5" s="1" t="str">
        <f>TEXT(WEEKDAY(DATE(AnnéeCalendrier,4,17),1),"jjj")</f>
        <v>sam</v>
      </c>
      <c r="T5" s="1" t="str">
        <f>TEXT(WEEKDAY(DATE(AnnéeCalendrier,4,18),1),"jjj")</f>
        <v>dim</v>
      </c>
      <c r="U5" s="1" t="str">
        <f>TEXT(WEEKDAY(DATE(AnnéeCalendrier,4,19),1),"jjj")</f>
        <v>lun</v>
      </c>
      <c r="V5" s="1" t="str">
        <f>TEXT(WEEKDAY(DATE(AnnéeCalendrier,4,20),1),"jjj")</f>
        <v>mar</v>
      </c>
      <c r="W5" s="1" t="str">
        <f>TEXT(WEEKDAY(DATE(AnnéeCalendrier,4,21),1),"jjj")</f>
        <v>mer</v>
      </c>
      <c r="X5" s="1" t="str">
        <f>TEXT(WEEKDAY(DATE(AnnéeCalendrier,4,22),1),"jjj")</f>
        <v>jeu</v>
      </c>
      <c r="Y5" s="1" t="str">
        <f>TEXT(WEEKDAY(DATE(AnnéeCalendrier,4,23),1),"jjj")</f>
        <v>ven</v>
      </c>
      <c r="Z5" s="1" t="str">
        <f>TEXT(WEEKDAY(DATE(AnnéeCalendrier,4,24),1),"jjj")</f>
        <v>sam</v>
      </c>
      <c r="AA5" s="1" t="str">
        <f>TEXT(WEEKDAY(DATE(AnnéeCalendrier,4,25),1),"jjj")</f>
        <v>dim</v>
      </c>
      <c r="AB5" s="1" t="str">
        <f>TEXT(WEEKDAY(DATE(AnnéeCalendrier,4,26),1),"jjj")</f>
        <v>lun</v>
      </c>
      <c r="AC5" s="1" t="str">
        <f>TEXT(WEEKDAY(DATE(AnnéeCalendrier,4,27),1),"jjj")</f>
        <v>mar</v>
      </c>
      <c r="AD5" s="1" t="str">
        <f>TEXT(WEEKDAY(DATE(AnnéeCalendrier,4,28),1),"jjj")</f>
        <v>mer</v>
      </c>
      <c r="AE5" s="1" t="str">
        <f>TEXT(WEEKDAY(DATE(AnnéeCalendrier,4,29),1),"jjj")</f>
        <v>jeu</v>
      </c>
      <c r="AF5" s="1" t="str">
        <f>TEXT(WEEKDAY(DATE(AnnéeCalendrier,4,30),1),"jjj")</f>
        <v>ven</v>
      </c>
      <c r="AG5" s="1"/>
      <c r="AH5" s="11"/>
    </row>
    <row r="6" spans="2:35"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2" t="s">
        <v>37</v>
      </c>
      <c r="AH6" s="15" t="s">
        <v>35</v>
      </c>
      <c r="AI6" t="s">
        <v>71</v>
      </c>
    </row>
    <row r="7" spans="2:35" ht="30" customHeight="1" x14ac:dyDescent="0.25">
      <c r="B7" s="16" t="s">
        <v>60</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row>
    <row r="8" spans="2:35"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row>
    <row r="9" spans="2:35"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row>
    <row r="10" spans="2:35"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row>
    <row r="11" spans="2:35"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row>
    <row r="12" spans="2:35" ht="30" customHeight="1" x14ac:dyDescent="0.25">
      <c r="B12" s="20" t="str">
        <f>NomMois&amp;" Total"</f>
        <v>Avril Total</v>
      </c>
      <c r="C12" s="12">
        <f>SUBTOTAL(103,Avril[1])</f>
        <v>0</v>
      </c>
      <c r="D12" s="12">
        <f>SUBTOTAL(103,Avril[2])</f>
        <v>0</v>
      </c>
      <c r="E12" s="12">
        <f>SUBTOTAL(103,Avril[3])</f>
        <v>0</v>
      </c>
      <c r="F12" s="12">
        <f>SUBTOTAL(103,Avril[4])</f>
        <v>0</v>
      </c>
      <c r="G12" s="12">
        <f>SUBTOTAL(103,Avril[5])</f>
        <v>0</v>
      </c>
      <c r="H12" s="12">
        <f>SUBTOTAL(103,Avril[6])</f>
        <v>0</v>
      </c>
      <c r="I12" s="12">
        <f>SUBTOTAL(103,Avril[7])</f>
        <v>0</v>
      </c>
      <c r="J12" s="12">
        <f>SUBTOTAL(103,Avril[8])</f>
        <v>0</v>
      </c>
      <c r="K12" s="12">
        <f>SUBTOTAL(103,Avril[9])</f>
        <v>0</v>
      </c>
      <c r="L12" s="12">
        <f>SUBTOTAL(103,Avril[10])</f>
        <v>0</v>
      </c>
      <c r="M12" s="12">
        <f>SUBTOTAL(103,Avril[11])</f>
        <v>0</v>
      </c>
      <c r="N12" s="12">
        <f>SUBTOTAL(103,Avril[12])</f>
        <v>0</v>
      </c>
      <c r="O12" s="12">
        <f>SUBTOTAL(103,Avril[13])</f>
        <v>0</v>
      </c>
      <c r="P12" s="12">
        <f>SUBTOTAL(103,Avril[14])</f>
        <v>0</v>
      </c>
      <c r="Q12" s="12">
        <f>SUBTOTAL(103,Avril[15])</f>
        <v>0</v>
      </c>
      <c r="R12" s="12">
        <f>SUBTOTAL(103,Avril[16])</f>
        <v>0</v>
      </c>
      <c r="S12" s="12">
        <f>SUBTOTAL(103,Avril[17])</f>
        <v>0</v>
      </c>
      <c r="T12" s="12">
        <f>SUBTOTAL(103,Avril[18])</f>
        <v>0</v>
      </c>
      <c r="U12" s="12">
        <f>SUBTOTAL(103,Avril[19])</f>
        <v>0</v>
      </c>
      <c r="V12" s="12">
        <f>SUBTOTAL(103,Avril[20])</f>
        <v>0</v>
      </c>
      <c r="W12" s="12">
        <f>SUBTOTAL(103,Avril[21])</f>
        <v>0</v>
      </c>
      <c r="X12" s="12">
        <f>SUBTOTAL(103,Avril[22])</f>
        <v>0</v>
      </c>
      <c r="Y12" s="12">
        <f>SUBTOTAL(103,Avril[23])</f>
        <v>0</v>
      </c>
      <c r="Z12" s="12">
        <f>SUBTOTAL(103,Avril[24])</f>
        <v>0</v>
      </c>
      <c r="AA12" s="12">
        <f>SUBTOTAL(103,Avril[25])</f>
        <v>0</v>
      </c>
      <c r="AB12" s="12">
        <f>SUBTOTAL(103,Avril[26])</f>
        <v>0</v>
      </c>
      <c r="AC12" s="12">
        <f>SUBTOTAL(103,Avril[27])</f>
        <v>0</v>
      </c>
      <c r="AD12" s="12">
        <f>SUBTOTAL(103,Avril[28])</f>
        <v>0</v>
      </c>
      <c r="AE12" s="12">
        <f>SUBTOTAL(103,Avril[29])</f>
        <v>0</v>
      </c>
      <c r="AF12" s="12">
        <f>SUBTOTAL(103,Avril[30])</f>
        <v>0</v>
      </c>
      <c r="AG12" s="12">
        <f>SUBTOTAL(103,Avril[30])</f>
        <v>0</v>
      </c>
      <c r="AH12" s="12">
        <f>SUBTOTAL(109,Avril[Total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742" priority="2" stopIfTrue="1">
      <formula>C7=CléPersonnalisée2</formula>
    </cfRule>
    <cfRule type="expression" dxfId="741" priority="3" stopIfTrue="1">
      <formula>C7=CléPersonnalisée1</formula>
    </cfRule>
    <cfRule type="expression" dxfId="740" priority="4" stopIfTrue="1">
      <formula>C7=CléMaladie</formula>
    </cfRule>
    <cfRule type="expression" dxfId="739" priority="5" stopIfTrue="1">
      <formula>C7=CléPersonnel</formula>
    </cfRule>
    <cfRule type="expression" dxfId="738" priority="6" stopIfTrue="1">
      <formula>C7=CléPrésence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{0C86709F-D813-4066-A3F1-C30F11214F4B}</x14:id>
        </ext>
      </extLst>
    </cfRule>
  </conditionalFormatting>
  <dataValidations count="14">
    <dataValidation allowBlank="1" showInputMessage="1" showErrorMessage="1" prompt="Année mise à jour automatiquement en fonction de l’année entrée dans la feuille de calcul Janvier" sqref="AH4" xr:uid="{00000000-0002-0000-0400-000000000000}"/>
    <dataValidation allowBlank="1" showInputMessage="1" showErrorMessage="1" prompt="Calcule automatiquement le nombre total de jours d’absence d’un employé durant ce mois dans cette colonne" sqref="AH6" xr:uid="{00000000-0002-0000-0400-000001000000}"/>
    <dataValidation allowBlank="1" showInputMessage="1" showErrorMessage="1" prompt="Suivez les absences du mois d’avril dans cette feuille de calcul" sqref="A1" xr:uid="{00000000-0002-0000-04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400-000003000000}"/>
    <dataValidation allowBlank="1" showInputMessage="1" showErrorMessage="1" prompt="Le titre mis à jour automatiquement figure dans cette cellule. Pour modifier le titre, mettez à jour la cellule B1 de la feuille de calcul Janvier" sqref="B1" xr:uid="{00000000-0002-0000-0400-000004000000}"/>
    <dataValidation allowBlank="1" showInputMessage="1" showErrorMessage="1" prompt="La lettre « C » indique une absence pour cause de congé" sqref="C2" xr:uid="{00000000-0002-0000-0400-000005000000}"/>
    <dataValidation allowBlank="1" showInputMessage="1" showErrorMessage="1" prompt="La lettre « P » indique une absence pour motifs personnels" sqref="F2" xr:uid="{00000000-0002-0000-0400-000006000000}"/>
    <dataValidation allowBlank="1" showInputMessage="1" showErrorMessage="1" prompt="La lettre « M » indique une absence pour cause de maladie" sqref="J2" xr:uid="{00000000-0002-0000-0400-000007000000}"/>
    <dataValidation allowBlank="1" showInputMessage="1" showErrorMessage="1" prompt="Entrez une lettre et personnalisez l’étiquette à droite pour ajouter un élément de clé" sqref="M2 R2" xr:uid="{00000000-0002-0000-0400-000008000000}"/>
    <dataValidation allowBlank="1" showInputMessage="1" showErrorMessage="1" prompt="Entrez une étiquette pour décrire la clé personnalisée à gauche" sqref="N2 S2" xr:uid="{00000000-0002-0000-0400-000009000000}"/>
    <dataValidation allowBlank="1" showInputMessage="1" showErrorMessage="1" prompt="Cette ligne définit les clés utilisées dans le tableau : Congé en C2, Personnel en F2 et Congé maladie en J2. Les cellules M2 et R2 sont personnalisables" sqref="B2" xr:uid="{00000000-0002-0000-04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400-00000B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4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4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400-00000E000000}">
          <x14:formula1>
            <xm:f>'Noms des stagiaires'!$B$4:$B$8</xm:f>
          </x14:formula1>
          <xm:sqref>B7:B11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2" tint="-9.9978637043366805E-2"/>
  </sheetPr>
  <dimension ref="A1:AI12"/>
  <sheetViews>
    <sheetView showGridLines="0" zoomScaleNormal="100" workbookViewId="0">
      <selection activeCell="AH7" sqref="AH7:AI11"/>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6.85546875" style="10" customWidth="1"/>
    <col min="10" max="33" width="4.7109375" style="10" customWidth="1"/>
    <col min="34" max="34" width="13.5703125" style="10" customWidth="1"/>
    <col min="35" max="35" width="2.7109375" customWidth="1"/>
  </cols>
  <sheetData>
    <row r="1" spans="2:35" ht="50.1" customHeight="1" x14ac:dyDescent="0.25">
      <c r="B1" s="13" t="str">
        <f>Titre_Absence_Employé</f>
        <v>Calendrier des stagiaires - ESAT JACQUEMART</v>
      </c>
    </row>
    <row r="2" spans="2:35" ht="15" customHeight="1" x14ac:dyDescent="0.25">
      <c r="B2" s="18" t="s">
        <v>59</v>
      </c>
      <c r="C2" s="3" t="s">
        <v>5</v>
      </c>
      <c r="D2" s="40" t="s">
        <v>50</v>
      </c>
      <c r="E2" s="41"/>
      <c r="F2" s="4" t="s">
        <v>69</v>
      </c>
      <c r="G2" s="40" t="s">
        <v>67</v>
      </c>
      <c r="H2" s="41"/>
      <c r="I2" s="41"/>
      <c r="J2" s="5" t="s">
        <v>51</v>
      </c>
      <c r="K2" s="40" t="s">
        <v>68</v>
      </c>
      <c r="L2" s="41"/>
      <c r="M2" s="6"/>
      <c r="N2" s="40"/>
      <c r="O2" s="41"/>
      <c r="P2" s="41"/>
      <c r="Q2" s="41"/>
      <c r="R2" s="7"/>
      <c r="S2" s="41"/>
      <c r="T2" s="41"/>
      <c r="U2" s="41"/>
      <c r="V2" s="41"/>
    </row>
    <row r="3" spans="2:35" ht="15" customHeight="1" x14ac:dyDescent="0.25">
      <c r="B3" s="13"/>
    </row>
    <row r="4" spans="2:35" ht="30" customHeight="1" x14ac:dyDescent="0.25">
      <c r="B4" s="11" t="s">
        <v>41</v>
      </c>
      <c r="C4" s="39" t="s">
        <v>58</v>
      </c>
      <c r="D4" s="39"/>
      <c r="E4" s="39"/>
      <c r="F4" s="39"/>
      <c r="G4" s="39"/>
      <c r="H4" s="39"/>
      <c r="I4" s="39"/>
      <c r="J4" s="39"/>
      <c r="K4" s="39"/>
      <c r="L4" s="39"/>
      <c r="M4" s="39"/>
      <c r="N4" s="39"/>
      <c r="O4" s="39"/>
      <c r="P4" s="39"/>
      <c r="Q4" s="39"/>
      <c r="R4" s="39"/>
      <c r="S4" s="39"/>
      <c r="T4" s="39"/>
      <c r="U4" s="39"/>
      <c r="V4" s="39"/>
      <c r="W4" s="39"/>
      <c r="X4" s="39"/>
      <c r="Y4" s="39"/>
      <c r="Z4" s="39"/>
      <c r="AA4" s="39"/>
      <c r="AB4" s="39"/>
      <c r="AC4" s="39"/>
      <c r="AD4" s="39"/>
      <c r="AE4" s="39"/>
      <c r="AF4" s="39"/>
      <c r="AG4" s="39"/>
      <c r="AH4" s="11">
        <f>AnnéeCalendrier</f>
        <v>2021</v>
      </c>
    </row>
    <row r="5" spans="2:35" ht="15" customHeight="1" x14ac:dyDescent="0.25">
      <c r="B5" s="11"/>
      <c r="C5" s="1" t="str">
        <f>TEXT(WEEKDAY(DATE(AnnéeCalendrier,5,1),1),"jjj")</f>
        <v>sam</v>
      </c>
      <c r="D5" s="1" t="str">
        <f>TEXT(WEEKDAY(DATE(AnnéeCalendrier,5,2),1),"jjj")</f>
        <v>dim</v>
      </c>
      <c r="E5" s="1" t="str">
        <f>TEXT(WEEKDAY(DATE(AnnéeCalendrier,5,3),1),"jjj")</f>
        <v>lun</v>
      </c>
      <c r="F5" s="1" t="str">
        <f>TEXT(WEEKDAY(DATE(AnnéeCalendrier,5,4),1),"jjj")</f>
        <v>mar</v>
      </c>
      <c r="G5" s="1" t="str">
        <f>TEXT(WEEKDAY(DATE(AnnéeCalendrier,5,5),1),"jjj")</f>
        <v>mer</v>
      </c>
      <c r="H5" s="1" t="str">
        <f>TEXT(WEEKDAY(DATE(AnnéeCalendrier,5,6),1),"jjj")</f>
        <v>jeu</v>
      </c>
      <c r="I5" s="1" t="str">
        <f>TEXT(WEEKDAY(DATE(AnnéeCalendrier,5,7),1),"jjj")</f>
        <v>ven</v>
      </c>
      <c r="J5" s="1" t="str">
        <f>TEXT(WEEKDAY(DATE(AnnéeCalendrier,5,8),1),"jjj")</f>
        <v>sam</v>
      </c>
      <c r="K5" s="1" t="str">
        <f>TEXT(WEEKDAY(DATE(AnnéeCalendrier,5,9),1),"jjj")</f>
        <v>dim</v>
      </c>
      <c r="L5" s="1" t="str">
        <f>TEXT(WEEKDAY(DATE(AnnéeCalendrier,5,10),1),"jjj")</f>
        <v>lun</v>
      </c>
      <c r="M5" s="1" t="str">
        <f>TEXT(WEEKDAY(DATE(AnnéeCalendrier,5,11),1),"jjj")</f>
        <v>mar</v>
      </c>
      <c r="N5" s="1" t="str">
        <f>TEXT(WEEKDAY(DATE(AnnéeCalendrier,5,12),1),"jjj")</f>
        <v>mer</v>
      </c>
      <c r="O5" s="1" t="str">
        <f>TEXT(WEEKDAY(DATE(AnnéeCalendrier,5,13),1),"jjj")</f>
        <v>jeu</v>
      </c>
      <c r="P5" s="1" t="str">
        <f>TEXT(WEEKDAY(DATE(AnnéeCalendrier,5,14),1),"jjj")</f>
        <v>ven</v>
      </c>
      <c r="Q5" s="1" t="str">
        <f>TEXT(WEEKDAY(DATE(AnnéeCalendrier,5,15),1),"jjj")</f>
        <v>sam</v>
      </c>
      <c r="R5" s="1" t="str">
        <f>TEXT(WEEKDAY(DATE(AnnéeCalendrier,5,16),1),"jjj")</f>
        <v>dim</v>
      </c>
      <c r="S5" s="1" t="str">
        <f>TEXT(WEEKDAY(DATE(AnnéeCalendrier,5,17),1),"jjj")</f>
        <v>lun</v>
      </c>
      <c r="T5" s="1" t="str">
        <f>TEXT(WEEKDAY(DATE(AnnéeCalendrier,5,18),1),"jjj")</f>
        <v>mar</v>
      </c>
      <c r="U5" s="1" t="str">
        <f>TEXT(WEEKDAY(DATE(AnnéeCalendrier,5,19),1),"jjj")</f>
        <v>mer</v>
      </c>
      <c r="V5" s="1" t="str">
        <f>TEXT(WEEKDAY(DATE(AnnéeCalendrier,5,20),1),"jjj")</f>
        <v>jeu</v>
      </c>
      <c r="W5" s="1" t="str">
        <f>TEXT(WEEKDAY(DATE(AnnéeCalendrier,5,21),1),"jjj")</f>
        <v>ven</v>
      </c>
      <c r="X5" s="1" t="str">
        <f>TEXT(WEEKDAY(DATE(AnnéeCalendrier,5,22),1),"jjj")</f>
        <v>sam</v>
      </c>
      <c r="Y5" s="1" t="str">
        <f>TEXT(WEEKDAY(DATE(AnnéeCalendrier,5,23),1),"jjj")</f>
        <v>dim</v>
      </c>
      <c r="Z5" s="1" t="str">
        <f>TEXT(WEEKDAY(DATE(AnnéeCalendrier,5,24),1),"jjj")</f>
        <v>lun</v>
      </c>
      <c r="AA5" s="1" t="str">
        <f>TEXT(WEEKDAY(DATE(AnnéeCalendrier,5,25),1),"jjj")</f>
        <v>mar</v>
      </c>
      <c r="AB5" s="1" t="str">
        <f>TEXT(WEEKDAY(DATE(AnnéeCalendrier,5,26),1),"jjj")</f>
        <v>mer</v>
      </c>
      <c r="AC5" s="1" t="str">
        <f>TEXT(WEEKDAY(DATE(AnnéeCalendrier,5,27),1),"jjj")</f>
        <v>jeu</v>
      </c>
      <c r="AD5" s="1" t="str">
        <f>TEXT(WEEKDAY(DATE(AnnéeCalendrier,5,28),1),"jjj")</f>
        <v>ven</v>
      </c>
      <c r="AE5" s="1" t="str">
        <f>TEXT(WEEKDAY(DATE(AnnéeCalendrier,5,29),1),"jjj")</f>
        <v>sam</v>
      </c>
      <c r="AF5" s="1" t="str">
        <f>TEXT(WEEKDAY(DATE(AnnéeCalendrier,5,30),1),"jjj")</f>
        <v>dim</v>
      </c>
      <c r="AG5" s="1" t="str">
        <f>TEXT(WEEKDAY(DATE(AnnéeCalendrier,5,31),1),"jjj")</f>
        <v>lun</v>
      </c>
      <c r="AH5" s="11"/>
    </row>
    <row r="6" spans="2:35"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33</v>
      </c>
      <c r="AH6" s="15" t="s">
        <v>35</v>
      </c>
      <c r="AI6" t="s">
        <v>71</v>
      </c>
    </row>
    <row r="7" spans="2:35" ht="30" customHeight="1" x14ac:dyDescent="0.25">
      <c r="B7" s="16" t="s">
        <v>60</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row>
    <row r="8" spans="2:35"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row>
    <row r="9" spans="2:35"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row>
    <row r="10" spans="2:35"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row>
    <row r="11" spans="2:35"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row>
    <row r="12" spans="2:35" ht="30" customHeight="1" x14ac:dyDescent="0.25">
      <c r="B12" s="20" t="str">
        <f>NomMois&amp;" Total"</f>
        <v>Mai Total</v>
      </c>
      <c r="C12" s="12">
        <f>SUBTOTAL(103,Mai[1])</f>
        <v>0</v>
      </c>
      <c r="D12" s="12">
        <f>SUBTOTAL(103,Mai[2])</f>
        <v>0</v>
      </c>
      <c r="E12" s="12">
        <f>SUBTOTAL(103,Mai[3])</f>
        <v>0</v>
      </c>
      <c r="F12" s="12">
        <f>SUBTOTAL(103,Mai[4])</f>
        <v>0</v>
      </c>
      <c r="G12" s="12">
        <f>SUBTOTAL(103,Mai[5])</f>
        <v>0</v>
      </c>
      <c r="H12" s="12">
        <f>SUBTOTAL(103,Mai[6])</f>
        <v>0</v>
      </c>
      <c r="I12" s="12">
        <f>SUBTOTAL(103,Mai[7])</f>
        <v>0</v>
      </c>
      <c r="J12" s="12">
        <f>SUBTOTAL(103,Mai[8])</f>
        <v>0</v>
      </c>
      <c r="K12" s="12">
        <f>SUBTOTAL(103,Mai[9])</f>
        <v>0</v>
      </c>
      <c r="L12" s="12">
        <f>SUBTOTAL(103,Mai[10])</f>
        <v>0</v>
      </c>
      <c r="M12" s="12">
        <f>SUBTOTAL(103,Mai[11])</f>
        <v>0</v>
      </c>
      <c r="N12" s="12">
        <f>SUBTOTAL(103,Mai[12])</f>
        <v>0</v>
      </c>
      <c r="O12" s="12">
        <f>SUBTOTAL(103,Mai[13])</f>
        <v>0</v>
      </c>
      <c r="P12" s="12">
        <f>SUBTOTAL(103,Mai[14])</f>
        <v>0</v>
      </c>
      <c r="Q12" s="12">
        <f>SUBTOTAL(103,Mai[15])</f>
        <v>0</v>
      </c>
      <c r="R12" s="12">
        <f>SUBTOTAL(103,Mai[16])</f>
        <v>0</v>
      </c>
      <c r="S12" s="12">
        <f>SUBTOTAL(103,Mai[17])</f>
        <v>0</v>
      </c>
      <c r="T12" s="12">
        <f>SUBTOTAL(103,Mai[18])</f>
        <v>0</v>
      </c>
      <c r="U12" s="12">
        <f>SUBTOTAL(103,Mai[19])</f>
        <v>0</v>
      </c>
      <c r="V12" s="12">
        <f>SUBTOTAL(103,Mai[20])</f>
        <v>0</v>
      </c>
      <c r="W12" s="12">
        <f>SUBTOTAL(103,Mai[21])</f>
        <v>0</v>
      </c>
      <c r="X12" s="12">
        <f>SUBTOTAL(103,Mai[22])</f>
        <v>0</v>
      </c>
      <c r="Y12" s="12">
        <f>SUBTOTAL(103,Mai[23])</f>
        <v>0</v>
      </c>
      <c r="Z12" s="12">
        <f>SUBTOTAL(103,Mai[24])</f>
        <v>0</v>
      </c>
      <c r="AA12" s="12">
        <f>SUBTOTAL(103,Mai[25])</f>
        <v>0</v>
      </c>
      <c r="AB12" s="12">
        <f>SUBTOTAL(103,Mai[26])</f>
        <v>0</v>
      </c>
      <c r="AC12" s="12">
        <f>SUBTOTAL(103,Mai[27])</f>
        <v>0</v>
      </c>
      <c r="AD12" s="12">
        <f>SUBTOTAL(103,Mai[28])</f>
        <v>0</v>
      </c>
      <c r="AE12" s="12">
        <f>SUBTOTAL(103,Mai[29])</f>
        <v>0</v>
      </c>
      <c r="AF12" s="12">
        <f>SUBTOTAL(103,Mai[30])</f>
        <v>0</v>
      </c>
      <c r="AG12" s="12">
        <f>SUBTOTAL(103,Mai[31])</f>
        <v>0</v>
      </c>
      <c r="AH12" s="12">
        <f>SUBTOTAL(109,Mai[Total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823" priority="2" stopIfTrue="1">
      <formula>C7=CléPersonnalisée2</formula>
    </cfRule>
    <cfRule type="expression" dxfId="822" priority="3" stopIfTrue="1">
      <formula>C7=CléPersonnalisée1</formula>
    </cfRule>
    <cfRule type="expression" dxfId="821" priority="4" stopIfTrue="1">
      <formula>C7=CléMaladie</formula>
    </cfRule>
    <cfRule type="expression" dxfId="820" priority="5" stopIfTrue="1">
      <formula>C7=CléPersonnel</formula>
    </cfRule>
    <cfRule type="expression" dxfId="819" priority="6" stopIfTrue="1">
      <formula>C7=CléPrésence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{5670947F-8B3C-4A6C-A280-4F5E10811DCE}</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2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200-000001000000}"/>
    <dataValidation allowBlank="1" showInputMessage="1" showErrorMessage="1" prompt="Cette ligne définit les clés utilisées dans le tableau : Congé en C2, Personnel en F2 et Congé maladie en J2. Les cellules M2 et R2 sont personnalisables" sqref="B2" xr:uid="{00000000-0002-0000-0200-000002000000}"/>
    <dataValidation allowBlank="1" showInputMessage="1" showErrorMessage="1" prompt="Entrez une étiquette pour décrire la clé personnalisée à gauche" sqref="N2 S2" xr:uid="{00000000-0002-0000-0200-000003000000}"/>
    <dataValidation allowBlank="1" showInputMessage="1" showErrorMessage="1" prompt="Entrez une lettre et personnalisez l’étiquette à droite pour ajouter un élément de clé" sqref="M2 R2" xr:uid="{00000000-0002-0000-0200-000004000000}"/>
    <dataValidation allowBlank="1" showInputMessage="1" showErrorMessage="1" prompt="La lettre « M » indique une absence pour cause de maladie" sqref="J2" xr:uid="{00000000-0002-0000-0200-000005000000}"/>
    <dataValidation allowBlank="1" showInputMessage="1" showErrorMessage="1" prompt="La lettre « P » indique une absence pour motifs personnels" sqref="F2" xr:uid="{00000000-0002-0000-0200-000006000000}"/>
    <dataValidation allowBlank="1" showInputMessage="1" showErrorMessage="1" prompt="La lettre « C » indique une absence pour cause de congé" sqref="C2" xr:uid="{00000000-0002-0000-0200-000007000000}"/>
    <dataValidation allowBlank="1" showInputMessage="1" showErrorMessage="1" prompt="Le titre mis à jour automatiquement figure dans cette cellule. Pour modifier le titre, mettez à jour la cellule B1 de la feuille de calcul Janvier" sqref="B1" xr:uid="{00000000-0002-0000-02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200-000009000000}"/>
    <dataValidation allowBlank="1" showInputMessage="1" showErrorMessage="1" prompt="Suivez les absences du mois de mai dans cette feuille de calcul" sqref="A1" xr:uid="{00000000-0002-0000-0200-00000A000000}"/>
    <dataValidation allowBlank="1" showInputMessage="1" showErrorMessage="1" prompt="Calcule automatiquement le nombre total de jours d’absence d’un employé durant ce mois dans cette colonne" sqref="AH6" xr:uid="{00000000-0002-0000-0200-00000B000000}"/>
    <dataValidation allowBlank="1" showInputMessage="1" showErrorMessage="1" prompt="Année mise à jour automatiquement en fonction de l’année entrée dans la feuille de calcul Janvier" sqref="AH4" xr:uid="{00000000-0002-0000-02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2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200-00000E000000}">
          <x14:formula1>
            <xm:f>'Noms des stagiaires'!$B$4:$B$8</xm:f>
          </x14:formula1>
          <xm:sqref>B7:B11</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theme="2"/>
  </sheetPr>
  <dimension ref="A1:AI12"/>
  <sheetViews>
    <sheetView showGridLines="0" zoomScaleNormal="100" workbookViewId="0">
      <selection activeCell="AH7" sqref="AH7:AI11"/>
    </sheetView>
  </sheetViews>
  <sheetFormatPr baseColWidth="10" defaultColWidth="9.140625" defaultRowHeight="30" customHeight="1" x14ac:dyDescent="0.25"/>
  <cols>
    <col min="1" max="1" width="2.7109375" style="10" customWidth="1"/>
    <col min="2" max="2" width="25.7109375" style="10" customWidth="1"/>
    <col min="3" max="5" width="4.7109375" style="10" customWidth="1"/>
    <col min="6" max="6" width="4.85546875" style="10" bestFit="1" customWidth="1"/>
    <col min="7" max="7" width="4.5703125" style="10" bestFit="1" customWidth="1"/>
    <col min="8" max="8" width="4.7109375" style="10" customWidth="1"/>
    <col min="9" max="9" width="7.28515625" style="10" customWidth="1"/>
    <col min="10" max="33" width="4.7109375" style="10" customWidth="1"/>
    <col min="34" max="34" width="13.5703125" style="10" customWidth="1"/>
    <col min="35" max="35" width="2.7109375" customWidth="1"/>
  </cols>
  <sheetData>
    <row r="1" spans="2:35" ht="50.1" customHeight="1" x14ac:dyDescent="0.25">
      <c r="B1" s="13" t="str">
        <f>Titre_Absence_Employé</f>
        <v>Calendrier des stagiaires - ESAT JACQUEMART</v>
      </c>
    </row>
    <row r="2" spans="2:35" ht="15" customHeight="1" x14ac:dyDescent="0.25">
      <c r="B2" s="18" t="s">
        <v>59</v>
      </c>
      <c r="C2" s="3" t="s">
        <v>5</v>
      </c>
      <c r="D2" s="40" t="s">
        <v>50</v>
      </c>
      <c r="E2" s="41"/>
      <c r="F2" s="4" t="s">
        <v>69</v>
      </c>
      <c r="G2" s="40" t="s">
        <v>67</v>
      </c>
      <c r="H2" s="41"/>
      <c r="I2" s="41"/>
      <c r="J2" s="5" t="s">
        <v>51</v>
      </c>
      <c r="K2" s="40" t="s">
        <v>68</v>
      </c>
      <c r="L2" s="41"/>
      <c r="M2" s="6"/>
      <c r="N2" s="40"/>
      <c r="O2" s="41"/>
      <c r="P2" s="41"/>
      <c r="Q2" s="41"/>
      <c r="R2" s="7"/>
      <c r="S2" s="41"/>
      <c r="T2" s="41"/>
      <c r="U2" s="41"/>
      <c r="V2" s="41"/>
    </row>
    <row r="3" spans="2:35" ht="15" customHeight="1" x14ac:dyDescent="0.25">
      <c r="B3" s="13"/>
    </row>
    <row r="4" spans="2:35" ht="30" customHeight="1" x14ac:dyDescent="0.25">
      <c r="B4" s="11" t="s">
        <v>42</v>
      </c>
      <c r="C4" s="39" t="s">
        <v>58</v>
      </c>
      <c r="D4" s="39"/>
      <c r="E4" s="39"/>
      <c r="F4" s="39"/>
      <c r="G4" s="39"/>
      <c r="H4" s="39"/>
      <c r="I4" s="39"/>
      <c r="J4" s="39"/>
      <c r="K4" s="39"/>
      <c r="L4" s="39"/>
      <c r="M4" s="39"/>
      <c r="N4" s="39"/>
      <c r="O4" s="39"/>
      <c r="P4" s="39"/>
      <c r="Q4" s="39"/>
      <c r="R4" s="39"/>
      <c r="S4" s="39"/>
      <c r="T4" s="39"/>
      <c r="U4" s="39"/>
      <c r="V4" s="39"/>
      <c r="W4" s="39"/>
      <c r="X4" s="39"/>
      <c r="Y4" s="39"/>
      <c r="Z4" s="39"/>
      <c r="AA4" s="39"/>
      <c r="AB4" s="39"/>
      <c r="AC4" s="39"/>
      <c r="AD4" s="39"/>
      <c r="AE4" s="39"/>
      <c r="AF4" s="39"/>
      <c r="AG4" s="39"/>
      <c r="AH4" s="11">
        <f>AnnéeCalendrier</f>
        <v>2021</v>
      </c>
    </row>
    <row r="5" spans="2:35" ht="15" customHeight="1" x14ac:dyDescent="0.25">
      <c r="B5" s="11"/>
      <c r="C5" s="1" t="str">
        <f>TEXT(WEEKDAY(DATE(AnnéeCalendrier,6,1),1),"jjj")</f>
        <v>mar</v>
      </c>
      <c r="D5" s="1" t="str">
        <f>TEXT(WEEKDAY(DATE(AnnéeCalendrier,6,2),1),"jjj")</f>
        <v>mer</v>
      </c>
      <c r="E5" s="1" t="str">
        <f>TEXT(WEEKDAY(DATE(AnnéeCalendrier,6,3),1),"jjj")</f>
        <v>jeu</v>
      </c>
      <c r="F5" s="1" t="str">
        <f>TEXT(WEEKDAY(DATE(AnnéeCalendrier,6,4),1),"jjj")</f>
        <v>ven</v>
      </c>
      <c r="G5" s="1" t="str">
        <f>TEXT(WEEKDAY(DATE(AnnéeCalendrier,6,5),1),"jjj")</f>
        <v>sam</v>
      </c>
      <c r="H5" s="1" t="str">
        <f>TEXT(WEEKDAY(DATE(AnnéeCalendrier,6,6),1),"jjj")</f>
        <v>dim</v>
      </c>
      <c r="I5" s="1" t="str">
        <f>TEXT(WEEKDAY(DATE(AnnéeCalendrier,6,7),1),"jjj")</f>
        <v>lun</v>
      </c>
      <c r="J5" s="1" t="str">
        <f>TEXT(WEEKDAY(DATE(AnnéeCalendrier,6,8),1),"jjj")</f>
        <v>mar</v>
      </c>
      <c r="K5" s="1" t="str">
        <f>TEXT(WEEKDAY(DATE(AnnéeCalendrier,6,9),1),"jjj")</f>
        <v>mer</v>
      </c>
      <c r="L5" s="1" t="str">
        <f>TEXT(WEEKDAY(DATE(AnnéeCalendrier,6,10),1),"jjj")</f>
        <v>jeu</v>
      </c>
      <c r="M5" s="1" t="str">
        <f>TEXT(WEEKDAY(DATE(AnnéeCalendrier,6,11),1),"jjj")</f>
        <v>ven</v>
      </c>
      <c r="N5" s="1" t="str">
        <f>TEXT(WEEKDAY(DATE(AnnéeCalendrier,6,12),1),"jjj")</f>
        <v>sam</v>
      </c>
      <c r="O5" s="1" t="str">
        <f>TEXT(WEEKDAY(DATE(AnnéeCalendrier,6,13),1),"jjj")</f>
        <v>dim</v>
      </c>
      <c r="P5" s="1" t="str">
        <f>TEXT(WEEKDAY(DATE(AnnéeCalendrier,6,14),1),"jjj")</f>
        <v>lun</v>
      </c>
      <c r="Q5" s="1" t="str">
        <f>TEXT(WEEKDAY(DATE(AnnéeCalendrier,6,15),1),"jjj")</f>
        <v>mar</v>
      </c>
      <c r="R5" s="1" t="str">
        <f>TEXT(WEEKDAY(DATE(AnnéeCalendrier,6,16),1),"jjj")</f>
        <v>mer</v>
      </c>
      <c r="S5" s="1" t="str">
        <f>TEXT(WEEKDAY(DATE(AnnéeCalendrier,6,17),1),"jjj")</f>
        <v>jeu</v>
      </c>
      <c r="T5" s="1" t="str">
        <f>TEXT(WEEKDAY(DATE(AnnéeCalendrier,6,18),1),"jjj")</f>
        <v>ven</v>
      </c>
      <c r="U5" s="1" t="str">
        <f>TEXT(WEEKDAY(DATE(AnnéeCalendrier,6,19),1),"jjj")</f>
        <v>sam</v>
      </c>
      <c r="V5" s="1" t="str">
        <f>TEXT(WEEKDAY(DATE(AnnéeCalendrier,6,20),1),"jjj")</f>
        <v>dim</v>
      </c>
      <c r="W5" s="1" t="str">
        <f>TEXT(WEEKDAY(DATE(AnnéeCalendrier,6,21),1),"jjj")</f>
        <v>lun</v>
      </c>
      <c r="X5" s="1" t="str">
        <f>TEXT(WEEKDAY(DATE(AnnéeCalendrier,6,22),1),"jjj")</f>
        <v>mar</v>
      </c>
      <c r="Y5" s="1" t="str">
        <f>TEXT(WEEKDAY(DATE(AnnéeCalendrier,6,23),1),"jjj")</f>
        <v>mer</v>
      </c>
      <c r="Z5" s="1" t="str">
        <f>TEXT(WEEKDAY(DATE(AnnéeCalendrier,6,24),1),"jjj")</f>
        <v>jeu</v>
      </c>
      <c r="AA5" s="1" t="str">
        <f>TEXT(WEEKDAY(DATE(AnnéeCalendrier,6,25),1),"jjj")</f>
        <v>ven</v>
      </c>
      <c r="AB5" s="1" t="str">
        <f>TEXT(WEEKDAY(DATE(AnnéeCalendrier,6,26),1),"jjj")</f>
        <v>sam</v>
      </c>
      <c r="AC5" s="1" t="str">
        <f>TEXT(WEEKDAY(DATE(AnnéeCalendrier,6,27),1),"jjj")</f>
        <v>dim</v>
      </c>
      <c r="AD5" s="1" t="str">
        <f>TEXT(WEEKDAY(DATE(AnnéeCalendrier,6,28),1),"jjj")</f>
        <v>lun</v>
      </c>
      <c r="AE5" s="1" t="str">
        <f>TEXT(WEEKDAY(DATE(AnnéeCalendrier,6,29),1),"jjj")</f>
        <v>mar</v>
      </c>
      <c r="AF5" s="1" t="str">
        <f>TEXT(WEEKDAY(DATE(AnnéeCalendrier,6,30),1),"jjj")</f>
        <v>mer</v>
      </c>
      <c r="AG5" s="1"/>
      <c r="AH5" s="11"/>
    </row>
    <row r="6" spans="2:35"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37</v>
      </c>
      <c r="AH6" s="15" t="s">
        <v>35</v>
      </c>
      <c r="AI6" t="s">
        <v>71</v>
      </c>
    </row>
    <row r="7" spans="2:35" ht="30" customHeight="1" x14ac:dyDescent="0.25">
      <c r="B7" s="16" t="s">
        <v>73</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row>
    <row r="8" spans="2:35"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row>
    <row r="9" spans="2:35"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row>
    <row r="10" spans="2:35"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row>
    <row r="11" spans="2:35"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row>
    <row r="12" spans="2:35" ht="30" customHeight="1" x14ac:dyDescent="0.25">
      <c r="B12" s="20" t="str">
        <f>NomMois&amp;" Total"</f>
        <v>Juin Total</v>
      </c>
      <c r="C12" s="12">
        <f>SUBTOTAL(103,Juin[1])</f>
        <v>0</v>
      </c>
      <c r="D12" s="12">
        <f>SUBTOTAL(103,Juin[2])</f>
        <v>0</v>
      </c>
      <c r="E12" s="12">
        <f>SUBTOTAL(103,Juin[3])</f>
        <v>0</v>
      </c>
      <c r="F12" s="12">
        <f>SUBTOTAL(103,Juin[4])</f>
        <v>0</v>
      </c>
      <c r="G12" s="12">
        <f>SUBTOTAL(103,Juin[5])</f>
        <v>0</v>
      </c>
      <c r="H12" s="12">
        <f>SUBTOTAL(103,Juin[6])</f>
        <v>0</v>
      </c>
      <c r="I12" s="12">
        <f>SUBTOTAL(103,Juin[7])</f>
        <v>0</v>
      </c>
      <c r="J12" s="12">
        <f>SUBTOTAL(103,Juin[8])</f>
        <v>0</v>
      </c>
      <c r="K12" s="12">
        <f>SUBTOTAL(103,Juin[9])</f>
        <v>0</v>
      </c>
      <c r="L12" s="12">
        <f>SUBTOTAL(103,Juin[10])</f>
        <v>0</v>
      </c>
      <c r="M12" s="12">
        <f>SUBTOTAL(103,Juin[11])</f>
        <v>0</v>
      </c>
      <c r="N12" s="12">
        <f>SUBTOTAL(103,Juin[12])</f>
        <v>0</v>
      </c>
      <c r="O12" s="12">
        <f>SUBTOTAL(103,Juin[13])</f>
        <v>0</v>
      </c>
      <c r="P12" s="12">
        <f>SUBTOTAL(103,Juin[14])</f>
        <v>0</v>
      </c>
      <c r="Q12" s="12">
        <f>SUBTOTAL(103,Juin[15])</f>
        <v>0</v>
      </c>
      <c r="R12" s="12">
        <f>SUBTOTAL(103,Juin[16])</f>
        <v>0</v>
      </c>
      <c r="S12" s="12">
        <f>SUBTOTAL(103,Juin[17])</f>
        <v>0</v>
      </c>
      <c r="T12" s="12">
        <f>SUBTOTAL(103,Juin[18])</f>
        <v>0</v>
      </c>
      <c r="U12" s="12">
        <f>SUBTOTAL(103,Juin[19])</f>
        <v>0</v>
      </c>
      <c r="V12" s="12">
        <f>SUBTOTAL(103,Juin[20])</f>
        <v>0</v>
      </c>
      <c r="W12" s="12">
        <f>SUBTOTAL(103,Juin[21])</f>
        <v>0</v>
      </c>
      <c r="X12" s="12">
        <f>SUBTOTAL(103,Juin[22])</f>
        <v>0</v>
      </c>
      <c r="Y12" s="12">
        <f>SUBTOTAL(103,Juin[23])</f>
        <v>0</v>
      </c>
      <c r="Z12" s="12">
        <f>SUBTOTAL(103,Juin[24])</f>
        <v>0</v>
      </c>
      <c r="AA12" s="12">
        <f>SUBTOTAL(103,Juin[25])</f>
        <v>0</v>
      </c>
      <c r="AB12" s="12">
        <f>SUBTOTAL(103,Juin[26])</f>
        <v>0</v>
      </c>
      <c r="AC12" s="12">
        <f>SUBTOTAL(103,Juin[27])</f>
        <v>0</v>
      </c>
      <c r="AD12" s="12">
        <f>SUBTOTAL(103,Juin[28])</f>
        <v>0</v>
      </c>
      <c r="AE12" s="12">
        <f>SUBTOTAL(103,Juin[29])</f>
        <v>0</v>
      </c>
      <c r="AF12" s="12">
        <f>SUBTOTAL(103,Juin[30])</f>
        <v>0</v>
      </c>
      <c r="AG12" s="12">
        <f>SUBTOTAL(103,Juin[[ ]])</f>
        <v>0</v>
      </c>
      <c r="AH12" s="12">
        <f>SUBTOTAL(109,Juin[Total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701" priority="2" stopIfTrue="1">
      <formula>C7=CléPersonnalisée2</formula>
    </cfRule>
    <cfRule type="expression" dxfId="700" priority="3" stopIfTrue="1">
      <formula>C7=CléPersonnalisée1</formula>
    </cfRule>
    <cfRule type="expression" dxfId="699" priority="4" stopIfTrue="1">
      <formula>C7=CléMaladie</formula>
    </cfRule>
    <cfRule type="expression" dxfId="698" priority="5" stopIfTrue="1">
      <formula>C7=CléPersonnel</formula>
    </cfRule>
    <cfRule type="expression" dxfId="697" priority="6" stopIfTrue="1">
      <formula>C7=CléPrésence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{5E94D469-7B22-408B-924D-8DC8A136AD3B}</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500-000000000000}"/>
    <dataValidation allowBlank="1" showInputMessage="1" showErrorMessage="1" prompt="Année mise à jour automatiquement en fonction de l’année entrée dans la feuille de calcul Janvier" sqref="AH4" xr:uid="{00000000-0002-0000-0500-000001000000}"/>
    <dataValidation allowBlank="1" showInputMessage="1" showErrorMessage="1" prompt="Calcule automatiquement le nombre total de jours d’absence d’un employé durant ce mois dans cette colonne" sqref="AH6" xr:uid="{00000000-0002-0000-0500-000002000000}"/>
    <dataValidation allowBlank="1" showInputMessage="1" showErrorMessage="1" prompt="Suivez les absences du mois de juin dans cette feuille de calcul" sqref="A1" xr:uid="{00000000-0002-0000-05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500-000004000000}"/>
    <dataValidation allowBlank="1" showInputMessage="1" showErrorMessage="1" prompt="Le titre mis à jour automatiquement figure dans cette cellule. Pour modifier le titre, mettez à jour la cellule B1 de la feuille de calcul Janvier" sqref="B1" xr:uid="{00000000-0002-0000-0500-000005000000}"/>
    <dataValidation allowBlank="1" showInputMessage="1" showErrorMessage="1" prompt="La lettre « C » indique une absence pour cause de congé" sqref="C2" xr:uid="{00000000-0002-0000-0500-000006000000}"/>
    <dataValidation allowBlank="1" showInputMessage="1" showErrorMessage="1" prompt="La lettre « P » indique une absence pour motifs personnels" sqref="F2" xr:uid="{00000000-0002-0000-0500-000007000000}"/>
    <dataValidation allowBlank="1" showInputMessage="1" showErrorMessage="1" prompt="La lettre « M » indique une absence pour cause de maladie" sqref="J2" xr:uid="{00000000-0002-0000-0500-000008000000}"/>
    <dataValidation allowBlank="1" showInputMessage="1" showErrorMessage="1" prompt="Entrez une lettre et personnalisez l’étiquette à droite pour ajouter un élément de clé" sqref="M2 R2" xr:uid="{00000000-0002-0000-0500-000009000000}"/>
    <dataValidation allowBlank="1" showInputMessage="1" showErrorMessage="1" prompt="Entrez une étiquette pour décrire la clé personnalisée à gauche" sqref="N2 S2" xr:uid="{00000000-0002-0000-0500-00000A000000}"/>
    <dataValidation allowBlank="1" showInputMessage="1" showErrorMessage="1" prompt="Cette ligne définit les clés utilisées dans le tableau : Congé en C2, Personnel en F2 et Congé maladie en J2. Les cellules M2 et R2 sont personnalisables" sqref="B2" xr:uid="{00000000-0002-0000-05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5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5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500-00000E000000}">
          <x14:formula1>
            <xm:f>'Noms des stagiaires'!$B$4:$B$8</xm:f>
          </x14:formula1>
          <xm:sqref>B7:B11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theme="1"/>
  </sheetPr>
  <dimension ref="A1:AI12"/>
  <sheetViews>
    <sheetView showGridLines="0" zoomScaleNormal="100" workbookViewId="0">
      <selection activeCell="AH7" sqref="AH7:AI11"/>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7" style="10" customWidth="1"/>
    <col min="10" max="33" width="4.7109375" style="10" customWidth="1"/>
    <col min="34" max="34" width="13.5703125" style="10" customWidth="1"/>
    <col min="35" max="35" width="2.7109375" customWidth="1"/>
  </cols>
  <sheetData>
    <row r="1" spans="2:35" ht="50.1" customHeight="1" x14ac:dyDescent="0.25">
      <c r="B1" s="13" t="str">
        <f>Titre_Absence_Employé</f>
        <v>Calendrier des stagiaires - ESAT JACQUEMART</v>
      </c>
    </row>
    <row r="2" spans="2:35" ht="15" customHeight="1" x14ac:dyDescent="0.25">
      <c r="B2" s="18" t="s">
        <v>59</v>
      </c>
      <c r="C2" s="3" t="s">
        <v>5</v>
      </c>
      <c r="D2" s="40" t="s">
        <v>50</v>
      </c>
      <c r="E2" s="41"/>
      <c r="F2" s="4" t="s">
        <v>69</v>
      </c>
      <c r="G2" s="40" t="s">
        <v>67</v>
      </c>
      <c r="H2" s="41"/>
      <c r="I2" s="41"/>
      <c r="J2" s="5" t="s">
        <v>51</v>
      </c>
      <c r="K2" s="40" t="s">
        <v>68</v>
      </c>
      <c r="L2" s="41"/>
      <c r="M2" s="6"/>
      <c r="N2" s="40"/>
      <c r="O2" s="41"/>
      <c r="P2" s="41"/>
      <c r="Q2" s="41"/>
      <c r="R2" s="7"/>
      <c r="S2" s="41"/>
      <c r="T2" s="41"/>
      <c r="U2" s="41"/>
      <c r="V2" s="41"/>
    </row>
    <row r="3" spans="2:35" ht="15" customHeight="1" x14ac:dyDescent="0.25">
      <c r="B3" s="13"/>
    </row>
    <row r="4" spans="2:35" ht="30" customHeight="1" x14ac:dyDescent="0.25">
      <c r="B4" s="11" t="s">
        <v>43</v>
      </c>
      <c r="C4" s="39" t="s">
        <v>58</v>
      </c>
      <c r="D4" s="39"/>
      <c r="E4" s="39"/>
      <c r="F4" s="39"/>
      <c r="G4" s="39"/>
      <c r="H4" s="39"/>
      <c r="I4" s="39"/>
      <c r="J4" s="39"/>
      <c r="K4" s="39"/>
      <c r="L4" s="39"/>
      <c r="M4" s="39"/>
      <c r="N4" s="39"/>
      <c r="O4" s="39"/>
      <c r="P4" s="39"/>
      <c r="Q4" s="39"/>
      <c r="R4" s="39"/>
      <c r="S4" s="39"/>
      <c r="T4" s="39"/>
      <c r="U4" s="39"/>
      <c r="V4" s="39"/>
      <c r="W4" s="39"/>
      <c r="X4" s="39"/>
      <c r="Y4" s="39"/>
      <c r="Z4" s="39"/>
      <c r="AA4" s="39"/>
      <c r="AB4" s="39"/>
      <c r="AC4" s="39"/>
      <c r="AD4" s="39"/>
      <c r="AE4" s="39"/>
      <c r="AF4" s="39"/>
      <c r="AG4" s="39"/>
      <c r="AH4" s="11">
        <f>AnnéeCalendrier</f>
        <v>2021</v>
      </c>
    </row>
    <row r="5" spans="2:35" ht="15" customHeight="1" x14ac:dyDescent="0.25">
      <c r="B5" s="11"/>
      <c r="C5" s="1" t="str">
        <f>TEXT(WEEKDAY(DATE(AnnéeCalendrier,7,1),1),"jjj")</f>
        <v>jeu</v>
      </c>
      <c r="D5" s="1" t="str">
        <f>TEXT(WEEKDAY(DATE(AnnéeCalendrier,7,2),1),"jjj")</f>
        <v>ven</v>
      </c>
      <c r="E5" s="1" t="str">
        <f>TEXT(WEEKDAY(DATE(AnnéeCalendrier,7,3),1),"jjj")</f>
        <v>sam</v>
      </c>
      <c r="F5" s="1" t="str">
        <f>TEXT(WEEKDAY(DATE(AnnéeCalendrier,7,4),1),"jjj")</f>
        <v>dim</v>
      </c>
      <c r="G5" s="1" t="str">
        <f>TEXT(WEEKDAY(DATE(AnnéeCalendrier,7,5),1),"jjj")</f>
        <v>lun</v>
      </c>
      <c r="H5" s="1" t="str">
        <f>TEXT(WEEKDAY(DATE(AnnéeCalendrier,7,6),1),"jjj")</f>
        <v>mar</v>
      </c>
      <c r="I5" s="1" t="str">
        <f>TEXT(WEEKDAY(DATE(AnnéeCalendrier,7,7),1),"jjj")</f>
        <v>mer</v>
      </c>
      <c r="J5" s="1" t="str">
        <f>TEXT(WEEKDAY(DATE(AnnéeCalendrier,7,8),1),"jjj")</f>
        <v>jeu</v>
      </c>
      <c r="K5" s="1" t="str">
        <f>TEXT(WEEKDAY(DATE(AnnéeCalendrier,7,9),1),"jjj")</f>
        <v>ven</v>
      </c>
      <c r="L5" s="1" t="str">
        <f>TEXT(WEEKDAY(DATE(AnnéeCalendrier,7,10),1),"jjj")</f>
        <v>sam</v>
      </c>
      <c r="M5" s="1" t="str">
        <f>TEXT(WEEKDAY(DATE(AnnéeCalendrier,7,11),1),"jjj")</f>
        <v>dim</v>
      </c>
      <c r="N5" s="1" t="str">
        <f>TEXT(WEEKDAY(DATE(AnnéeCalendrier,7,12),1),"jjj")</f>
        <v>lun</v>
      </c>
      <c r="O5" s="1" t="str">
        <f>TEXT(WEEKDAY(DATE(AnnéeCalendrier,7,13),1),"jjj")</f>
        <v>mar</v>
      </c>
      <c r="P5" s="1" t="str">
        <f>TEXT(WEEKDAY(DATE(AnnéeCalendrier,7,14),1),"jjj")</f>
        <v>mer</v>
      </c>
      <c r="Q5" s="1" t="str">
        <f>TEXT(WEEKDAY(DATE(AnnéeCalendrier,7,15),1),"jjj")</f>
        <v>jeu</v>
      </c>
      <c r="R5" s="1" t="str">
        <f>TEXT(WEEKDAY(DATE(AnnéeCalendrier,7,16),1),"jjj")</f>
        <v>ven</v>
      </c>
      <c r="S5" s="1" t="str">
        <f>TEXT(WEEKDAY(DATE(AnnéeCalendrier,7,17),1),"jjj")</f>
        <v>sam</v>
      </c>
      <c r="T5" s="1" t="str">
        <f>TEXT(WEEKDAY(DATE(AnnéeCalendrier,7,18),1),"jjj")</f>
        <v>dim</v>
      </c>
      <c r="U5" s="1" t="str">
        <f>TEXT(WEEKDAY(DATE(AnnéeCalendrier,7,19),1),"jjj")</f>
        <v>lun</v>
      </c>
      <c r="V5" s="1" t="str">
        <f>TEXT(WEEKDAY(DATE(AnnéeCalendrier,7,20),1),"jjj")</f>
        <v>mar</v>
      </c>
      <c r="W5" s="1" t="str">
        <f>TEXT(WEEKDAY(DATE(AnnéeCalendrier,7,21),1),"jjj")</f>
        <v>mer</v>
      </c>
      <c r="X5" s="1" t="str">
        <f>TEXT(WEEKDAY(DATE(AnnéeCalendrier,7,22),1),"jjj")</f>
        <v>jeu</v>
      </c>
      <c r="Y5" s="1" t="str">
        <f>TEXT(WEEKDAY(DATE(AnnéeCalendrier,7,23),1),"jjj")</f>
        <v>ven</v>
      </c>
      <c r="Z5" s="1" t="str">
        <f>TEXT(WEEKDAY(DATE(AnnéeCalendrier,7,24),1),"jjj")</f>
        <v>sam</v>
      </c>
      <c r="AA5" s="1" t="str">
        <f>TEXT(WEEKDAY(DATE(AnnéeCalendrier,7,25),1),"jjj")</f>
        <v>dim</v>
      </c>
      <c r="AB5" s="1" t="str">
        <f>TEXT(WEEKDAY(DATE(AnnéeCalendrier,7,26),1),"jjj")</f>
        <v>lun</v>
      </c>
      <c r="AC5" s="1" t="str">
        <f>TEXT(WEEKDAY(DATE(AnnéeCalendrier,7,27),1),"jjj")</f>
        <v>mar</v>
      </c>
      <c r="AD5" s="1" t="str">
        <f>TEXT(WEEKDAY(DATE(AnnéeCalendrier,7,28),1),"jjj")</f>
        <v>mer</v>
      </c>
      <c r="AE5" s="1" t="str">
        <f>TEXT(WEEKDAY(DATE(AnnéeCalendrier,7,29),1),"jjj")</f>
        <v>jeu</v>
      </c>
      <c r="AF5" s="1" t="str">
        <f>TEXT(WEEKDAY(DATE(AnnéeCalendrier,7,30),1),"jjj")</f>
        <v>ven</v>
      </c>
      <c r="AG5" s="1" t="str">
        <f>TEXT(WEEKDAY(DATE(AnnéeCalendrier,7,31),1),"jjj")</f>
        <v>sam</v>
      </c>
      <c r="AH5" s="11"/>
    </row>
    <row r="6" spans="2:35"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33</v>
      </c>
      <c r="AH6" s="15" t="s">
        <v>35</v>
      </c>
      <c r="AI6" t="s">
        <v>71</v>
      </c>
    </row>
    <row r="7" spans="2:35" ht="30" customHeight="1" x14ac:dyDescent="0.25">
      <c r="B7" s="16" t="s">
        <v>60</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row>
    <row r="8" spans="2:35"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row>
    <row r="9" spans="2:35"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row>
    <row r="10" spans="2:35"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row>
    <row r="11" spans="2:35"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row>
    <row r="12" spans="2:35" ht="30" customHeight="1" x14ac:dyDescent="0.25">
      <c r="B12" s="20" t="str">
        <f>NomMois&amp;" Total"</f>
        <v>Juillet Total</v>
      </c>
      <c r="C12" s="12">
        <f>SUBTOTAL(103,Juillet[1])</f>
        <v>0</v>
      </c>
      <c r="D12" s="12">
        <f>SUBTOTAL(103,Juillet[2])</f>
        <v>0</v>
      </c>
      <c r="E12" s="12">
        <f>SUBTOTAL(103,Juillet[3])</f>
        <v>0</v>
      </c>
      <c r="F12" s="12">
        <f>SUBTOTAL(103,Juillet[4])</f>
        <v>0</v>
      </c>
      <c r="G12" s="12">
        <f>SUBTOTAL(103,Juillet[5])</f>
        <v>0</v>
      </c>
      <c r="H12" s="12">
        <f>SUBTOTAL(103,Juillet[6])</f>
        <v>0</v>
      </c>
      <c r="I12" s="12">
        <f>SUBTOTAL(103,Juillet[7])</f>
        <v>0</v>
      </c>
      <c r="J12" s="12">
        <f>SUBTOTAL(103,Juillet[8])</f>
        <v>0</v>
      </c>
      <c r="K12" s="12">
        <f>SUBTOTAL(103,Juillet[9])</f>
        <v>0</v>
      </c>
      <c r="L12" s="12">
        <f>SUBTOTAL(103,Juillet[10])</f>
        <v>0</v>
      </c>
      <c r="M12" s="12">
        <f>SUBTOTAL(103,Juillet[11])</f>
        <v>0</v>
      </c>
      <c r="N12" s="12">
        <f>SUBTOTAL(103,Juillet[12])</f>
        <v>0</v>
      </c>
      <c r="O12" s="12">
        <f>SUBTOTAL(103,Juillet[13])</f>
        <v>0</v>
      </c>
      <c r="P12" s="12">
        <f>SUBTOTAL(103,Juillet[14])</f>
        <v>0</v>
      </c>
      <c r="Q12" s="12">
        <f>SUBTOTAL(103,Juillet[15])</f>
        <v>0</v>
      </c>
      <c r="R12" s="12">
        <f>SUBTOTAL(103,Juillet[16])</f>
        <v>0</v>
      </c>
      <c r="S12" s="12">
        <f>SUBTOTAL(103,Juillet[17])</f>
        <v>0</v>
      </c>
      <c r="T12" s="12">
        <f>SUBTOTAL(103,Juillet[18])</f>
        <v>0</v>
      </c>
      <c r="U12" s="12">
        <f>SUBTOTAL(103,Juillet[19])</f>
        <v>0</v>
      </c>
      <c r="V12" s="12">
        <f>SUBTOTAL(103,Juillet[20])</f>
        <v>0</v>
      </c>
      <c r="W12" s="12">
        <f>SUBTOTAL(103,Juillet[21])</f>
        <v>0</v>
      </c>
      <c r="X12" s="12">
        <f>SUBTOTAL(103,Juillet[22])</f>
        <v>0</v>
      </c>
      <c r="Y12" s="12">
        <f>SUBTOTAL(103,Juillet[23])</f>
        <v>0</v>
      </c>
      <c r="Z12" s="12">
        <f>SUBTOTAL(103,Juillet[24])</f>
        <v>0</v>
      </c>
      <c r="AA12" s="12">
        <f>SUBTOTAL(103,Juillet[25])</f>
        <v>0</v>
      </c>
      <c r="AB12" s="12">
        <f>SUBTOTAL(103,Juillet[26])</f>
        <v>0</v>
      </c>
      <c r="AC12" s="12">
        <f>SUBTOTAL(103,Juillet[27])</f>
        <v>0</v>
      </c>
      <c r="AD12" s="12">
        <f>SUBTOTAL(103,Juillet[28])</f>
        <v>0</v>
      </c>
      <c r="AE12" s="12">
        <f>SUBTOTAL(103,Juillet[29])</f>
        <v>0</v>
      </c>
      <c r="AF12" s="12">
        <f>SUBTOTAL(103,Juillet[30])</f>
        <v>0</v>
      </c>
      <c r="AG12" s="12">
        <f>SUBTOTAL(103,Juillet[31])</f>
        <v>0</v>
      </c>
      <c r="AH12" s="12">
        <f>SUBTOTAL(109,Juillet[Total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660" priority="2" stopIfTrue="1">
      <formula>C7=CléPersonnalisée2</formula>
    </cfRule>
    <cfRule type="expression" dxfId="659" priority="3" stopIfTrue="1">
      <formula>C7=CléPersonnalisée1</formula>
    </cfRule>
    <cfRule type="expression" dxfId="658" priority="4" stopIfTrue="1">
      <formula>C7=CléMaladie</formula>
    </cfRule>
    <cfRule type="expression" dxfId="657" priority="5" stopIfTrue="1">
      <formula>C7=CléPersonnel</formula>
    </cfRule>
    <cfRule type="expression" dxfId="656" priority="6" stopIfTrue="1">
      <formula>C7=CléPrésence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{E0DCF129-9B2A-4CEB-9E56-27607F4BED20}</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6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600-000001000000}"/>
    <dataValidation allowBlank="1" showInputMessage="1" showErrorMessage="1" prompt="Cette ligne définit les clés utilisées dans le tableau : Congé en C2, Personnel en F2 et Congé maladie en J2. Les cellules M2 et R2 sont personnalisables" sqref="B2" xr:uid="{00000000-0002-0000-0600-000002000000}"/>
    <dataValidation allowBlank="1" showInputMessage="1" showErrorMessage="1" prompt="Entrez une étiquette pour décrire la clé personnalisée à gauche" sqref="N2 S2" xr:uid="{00000000-0002-0000-0600-000003000000}"/>
    <dataValidation allowBlank="1" showInputMessage="1" showErrorMessage="1" prompt="Entrez une lettre et personnalisez l’étiquette à droite pour ajouter un élément de clé" sqref="M2 R2" xr:uid="{00000000-0002-0000-0600-000004000000}"/>
    <dataValidation allowBlank="1" showInputMessage="1" showErrorMessage="1" prompt="La lettre « M » indique une absence pour cause de maladie" sqref="J2" xr:uid="{00000000-0002-0000-0600-000005000000}"/>
    <dataValidation allowBlank="1" showInputMessage="1" showErrorMessage="1" prompt="La lettre « P » indique une absence pour motifs personnels" sqref="F2" xr:uid="{00000000-0002-0000-0600-000006000000}"/>
    <dataValidation allowBlank="1" showInputMessage="1" showErrorMessage="1" prompt="La lettre « C » indique une absence pour cause de congé" sqref="C2" xr:uid="{00000000-0002-0000-0600-000007000000}"/>
    <dataValidation allowBlank="1" showInputMessage="1" showErrorMessage="1" prompt="Le titre mis à jour automatiquement figure dans cette cellule. Pour modifier le titre, mettez à jour la cellule B1 de la feuille de calcul Janvier" sqref="B1" xr:uid="{00000000-0002-0000-06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600-000009000000}"/>
    <dataValidation allowBlank="1" showInputMessage="1" showErrorMessage="1" prompt="Suivez les absences du mois de juillet dans cette feuille de calcul" sqref="A1" xr:uid="{00000000-0002-0000-0600-00000A000000}"/>
    <dataValidation allowBlank="1" showInputMessage="1" showErrorMessage="1" prompt="Calcule automatiquement le nombre total de jours d’absence d’un employé durant ce mois dans cette colonne" sqref="AH6" xr:uid="{00000000-0002-0000-0600-00000B000000}"/>
    <dataValidation allowBlank="1" showInputMessage="1" showErrorMessage="1" prompt="Année mise à jour automatiquement en fonction de l’année entrée dans la feuille de calcul Janvier" sqref="AH4" xr:uid="{00000000-0002-0000-06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6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600-00000E000000}">
          <x14:formula1>
            <xm:f>'Noms des stagiaires'!$B$4:$B$8</xm:f>
          </x14:formula1>
          <xm:sqref>B7:B11</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theme="2" tint="-0.749992370372631"/>
  </sheetPr>
  <dimension ref="A1:AI12"/>
  <sheetViews>
    <sheetView showGridLines="0" zoomScaleNormal="100" workbookViewId="0">
      <selection activeCell="AH7" sqref="AH7:AI11"/>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6.7109375" style="10" customWidth="1"/>
    <col min="10" max="33" width="4.7109375" style="10" customWidth="1"/>
    <col min="34" max="34" width="13.5703125" style="10" customWidth="1"/>
    <col min="35" max="35" width="2.7109375" customWidth="1"/>
  </cols>
  <sheetData>
    <row r="1" spans="2:35" ht="50.1" customHeight="1" x14ac:dyDescent="0.25">
      <c r="B1" s="13" t="str">
        <f>Titre_Absence_Employé</f>
        <v>Calendrier des stagiaires - ESAT JACQUEMART</v>
      </c>
    </row>
    <row r="2" spans="2:35" ht="15" customHeight="1" x14ac:dyDescent="0.25">
      <c r="B2" s="18" t="s">
        <v>59</v>
      </c>
      <c r="C2" s="3" t="s">
        <v>5</v>
      </c>
      <c r="D2" s="40" t="s">
        <v>50</v>
      </c>
      <c r="E2" s="41"/>
      <c r="F2" s="4" t="s">
        <v>69</v>
      </c>
      <c r="G2" s="40" t="s">
        <v>67</v>
      </c>
      <c r="H2" s="41"/>
      <c r="I2" s="41"/>
      <c r="J2" s="5" t="s">
        <v>51</v>
      </c>
      <c r="K2" s="40" t="s">
        <v>68</v>
      </c>
      <c r="L2" s="41"/>
      <c r="M2" s="6"/>
      <c r="N2" s="40"/>
      <c r="O2" s="41"/>
      <c r="P2" s="41"/>
      <c r="Q2" s="41"/>
      <c r="R2" s="7"/>
      <c r="S2" s="41"/>
      <c r="T2" s="41"/>
      <c r="U2" s="41"/>
      <c r="V2" s="41"/>
    </row>
    <row r="3" spans="2:35" ht="15" customHeight="1" x14ac:dyDescent="0.25">
      <c r="B3" s="13"/>
    </row>
    <row r="4" spans="2:35" ht="30" customHeight="1" x14ac:dyDescent="0.25">
      <c r="B4" s="11" t="s">
        <v>44</v>
      </c>
      <c r="C4" s="39" t="s">
        <v>58</v>
      </c>
      <c r="D4" s="39"/>
      <c r="E4" s="39"/>
      <c r="F4" s="39"/>
      <c r="G4" s="39"/>
      <c r="H4" s="39"/>
      <c r="I4" s="39"/>
      <c r="J4" s="39"/>
      <c r="K4" s="39"/>
      <c r="L4" s="39"/>
      <c r="M4" s="39"/>
      <c r="N4" s="39"/>
      <c r="O4" s="39"/>
      <c r="P4" s="39"/>
      <c r="Q4" s="39"/>
      <c r="R4" s="39"/>
      <c r="S4" s="39"/>
      <c r="T4" s="39"/>
      <c r="U4" s="39"/>
      <c r="V4" s="39"/>
      <c r="W4" s="39"/>
      <c r="X4" s="39"/>
      <c r="Y4" s="39"/>
      <c r="Z4" s="39"/>
      <c r="AA4" s="39"/>
      <c r="AB4" s="39"/>
      <c r="AC4" s="39"/>
      <c r="AD4" s="39"/>
      <c r="AE4" s="39"/>
      <c r="AF4" s="39"/>
      <c r="AG4" s="39"/>
      <c r="AH4" s="11">
        <f>AnnéeCalendrier</f>
        <v>2021</v>
      </c>
    </row>
    <row r="5" spans="2:35" ht="15" customHeight="1" x14ac:dyDescent="0.25">
      <c r="B5" s="11"/>
      <c r="C5" s="1" t="str">
        <f>TEXT(WEEKDAY(DATE(AnnéeCalendrier,8,1),1),"jjj")</f>
        <v>dim</v>
      </c>
      <c r="D5" s="1" t="str">
        <f>TEXT(WEEKDAY(DATE(AnnéeCalendrier,8,2),1),"jjj")</f>
        <v>lun</v>
      </c>
      <c r="E5" s="1" t="str">
        <f>TEXT(WEEKDAY(DATE(AnnéeCalendrier,8,3),1),"jjj")</f>
        <v>mar</v>
      </c>
      <c r="F5" s="1" t="str">
        <f>TEXT(WEEKDAY(DATE(AnnéeCalendrier,8,4),1),"jjj")</f>
        <v>mer</v>
      </c>
      <c r="G5" s="1" t="str">
        <f>TEXT(WEEKDAY(DATE(AnnéeCalendrier,8,5),1),"jjj")</f>
        <v>jeu</v>
      </c>
      <c r="H5" s="1" t="str">
        <f>TEXT(WEEKDAY(DATE(AnnéeCalendrier,8,6),1),"jjj")</f>
        <v>ven</v>
      </c>
      <c r="I5" s="1" t="str">
        <f>TEXT(WEEKDAY(DATE(AnnéeCalendrier,8,7),1),"jjj")</f>
        <v>sam</v>
      </c>
      <c r="J5" s="1" t="str">
        <f>TEXT(WEEKDAY(DATE(AnnéeCalendrier,8,8),1),"jjj")</f>
        <v>dim</v>
      </c>
      <c r="K5" s="1" t="str">
        <f>TEXT(WEEKDAY(DATE(AnnéeCalendrier,8,9),1),"jjj")</f>
        <v>lun</v>
      </c>
      <c r="L5" s="1" t="str">
        <f>TEXT(WEEKDAY(DATE(AnnéeCalendrier,8,10),1),"jjj")</f>
        <v>mar</v>
      </c>
      <c r="M5" s="1" t="str">
        <f>TEXT(WEEKDAY(DATE(AnnéeCalendrier,8,11),1),"jjj")</f>
        <v>mer</v>
      </c>
      <c r="N5" s="1" t="str">
        <f>TEXT(WEEKDAY(DATE(AnnéeCalendrier,8,12),1),"jjj")</f>
        <v>jeu</v>
      </c>
      <c r="O5" s="1" t="str">
        <f>TEXT(WEEKDAY(DATE(AnnéeCalendrier,8,13),1),"jjj")</f>
        <v>ven</v>
      </c>
      <c r="P5" s="1" t="str">
        <f>TEXT(WEEKDAY(DATE(AnnéeCalendrier,8,14),1),"jjj")</f>
        <v>sam</v>
      </c>
      <c r="Q5" s="1" t="str">
        <f>TEXT(WEEKDAY(DATE(AnnéeCalendrier,8,15),1),"jjj")</f>
        <v>dim</v>
      </c>
      <c r="R5" s="1" t="str">
        <f>TEXT(WEEKDAY(DATE(AnnéeCalendrier,8,16),1),"jjj")</f>
        <v>lun</v>
      </c>
      <c r="S5" s="1" t="str">
        <f>TEXT(WEEKDAY(DATE(AnnéeCalendrier,8,17),1),"jjj")</f>
        <v>mar</v>
      </c>
      <c r="T5" s="1" t="str">
        <f>TEXT(WEEKDAY(DATE(AnnéeCalendrier,8,18),1),"jjj")</f>
        <v>mer</v>
      </c>
      <c r="U5" s="1" t="str">
        <f>TEXT(WEEKDAY(DATE(AnnéeCalendrier,8,19),1),"jjj")</f>
        <v>jeu</v>
      </c>
      <c r="V5" s="1" t="str">
        <f>TEXT(WEEKDAY(DATE(AnnéeCalendrier,8,20),1),"jjj")</f>
        <v>ven</v>
      </c>
      <c r="W5" s="1" t="str">
        <f>TEXT(WEEKDAY(DATE(AnnéeCalendrier,8,21),1),"jjj")</f>
        <v>sam</v>
      </c>
      <c r="X5" s="1" t="str">
        <f>TEXT(WEEKDAY(DATE(AnnéeCalendrier,8,22),1),"jjj")</f>
        <v>dim</v>
      </c>
      <c r="Y5" s="1" t="str">
        <f>TEXT(WEEKDAY(DATE(AnnéeCalendrier,8,23),1),"jjj")</f>
        <v>lun</v>
      </c>
      <c r="Z5" s="1" t="str">
        <f>TEXT(WEEKDAY(DATE(AnnéeCalendrier,8,24),1),"jjj")</f>
        <v>mar</v>
      </c>
      <c r="AA5" s="1" t="str">
        <f>TEXT(WEEKDAY(DATE(AnnéeCalendrier,8,25),1),"jjj")</f>
        <v>mer</v>
      </c>
      <c r="AB5" s="1" t="str">
        <f>TEXT(WEEKDAY(DATE(AnnéeCalendrier,8,26),1),"jjj")</f>
        <v>jeu</v>
      </c>
      <c r="AC5" s="1" t="str">
        <f>TEXT(WEEKDAY(DATE(AnnéeCalendrier,8,27),1),"jjj")</f>
        <v>ven</v>
      </c>
      <c r="AD5" s="1" t="str">
        <f>TEXT(WEEKDAY(DATE(AnnéeCalendrier,8,28),1),"jjj")</f>
        <v>sam</v>
      </c>
      <c r="AE5" s="1" t="str">
        <f>TEXT(WEEKDAY(DATE(AnnéeCalendrier,8,29),1),"jjj")</f>
        <v>dim</v>
      </c>
      <c r="AF5" s="1" t="str">
        <f>TEXT(WEEKDAY(DATE(AnnéeCalendrier,8,30),1),"jjj")</f>
        <v>lun</v>
      </c>
      <c r="AG5" s="1" t="str">
        <f>TEXT(WEEKDAY(DATE(AnnéeCalendrier,8,31),1),"jjj")</f>
        <v>mar</v>
      </c>
      <c r="AH5" s="11"/>
    </row>
    <row r="6" spans="2:35"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33</v>
      </c>
      <c r="AH6" s="15" t="s">
        <v>35</v>
      </c>
      <c r="AI6" t="s">
        <v>71</v>
      </c>
    </row>
    <row r="7" spans="2:35" ht="30" customHeight="1" x14ac:dyDescent="0.25">
      <c r="B7" s="16" t="s">
        <v>73</v>
      </c>
      <c r="C7" s="2"/>
      <c r="D7" s="2"/>
      <c r="E7" s="2"/>
      <c r="F7" s="2"/>
      <c r="G7" s="2"/>
      <c r="H7" s="2"/>
      <c r="I7" s="2"/>
      <c r="J7" s="2"/>
      <c r="K7" s="2" t="s">
        <v>66</v>
      </c>
      <c r="L7" s="2" t="s">
        <v>66</v>
      </c>
      <c r="M7" s="2" t="s">
        <v>66</v>
      </c>
      <c r="N7" s="2" t="s">
        <v>66</v>
      </c>
      <c r="O7" s="2" t="s">
        <v>66</v>
      </c>
      <c r="P7" s="2"/>
      <c r="Q7" s="2"/>
      <c r="R7" s="2"/>
      <c r="S7" s="2"/>
      <c r="T7" s="2"/>
      <c r="U7" s="2"/>
      <c r="V7" s="2"/>
      <c r="W7" s="2"/>
      <c r="X7" s="2"/>
      <c r="Y7" s="2"/>
      <c r="Z7" s="2"/>
      <c r="AA7" s="2"/>
      <c r="AB7" s="2"/>
      <c r="AC7" s="2"/>
      <c r="AD7" s="2"/>
      <c r="AE7" s="2"/>
      <c r="AF7" s="2"/>
      <c r="AG7" s="2"/>
      <c r="AH7" s="9"/>
    </row>
    <row r="8" spans="2:35"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row>
    <row r="9" spans="2:35"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row>
    <row r="10" spans="2:35"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row>
    <row r="11" spans="2:35"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row>
    <row r="12" spans="2:35" ht="30" customHeight="1" x14ac:dyDescent="0.25">
      <c r="B12" s="20" t="str">
        <f>NomMois&amp;" Total"</f>
        <v>Août Total</v>
      </c>
      <c r="C12" s="12">
        <f>SUBTOTAL(103,Août[1])</f>
        <v>0</v>
      </c>
      <c r="D12" s="12">
        <f>SUBTOTAL(103,Août[2])</f>
        <v>0</v>
      </c>
      <c r="E12" s="12">
        <f>SUBTOTAL(103,Août[3])</f>
        <v>0</v>
      </c>
      <c r="F12" s="12">
        <f>SUBTOTAL(103,Août[4])</f>
        <v>0</v>
      </c>
      <c r="G12" s="12">
        <f>SUBTOTAL(103,Août[5])</f>
        <v>0</v>
      </c>
      <c r="H12" s="12">
        <f>SUBTOTAL(103,Août[6])</f>
        <v>0</v>
      </c>
      <c r="I12" s="12">
        <f>SUBTOTAL(103,Août[7])</f>
        <v>0</v>
      </c>
      <c r="J12" s="12">
        <f>SUBTOTAL(103,Août[8])</f>
        <v>0</v>
      </c>
      <c r="K12" s="12">
        <f>SUBTOTAL(103,Août[9])</f>
        <v>1</v>
      </c>
      <c r="L12" s="12">
        <f>SUBTOTAL(103,Août[10])</f>
        <v>1</v>
      </c>
      <c r="M12" s="12">
        <f>SUBTOTAL(103,Août[11])</f>
        <v>1</v>
      </c>
      <c r="N12" s="12">
        <f>SUBTOTAL(103,Août[12])</f>
        <v>1</v>
      </c>
      <c r="O12" s="12">
        <f>SUBTOTAL(103,Août[13])</f>
        <v>1</v>
      </c>
      <c r="P12" s="12">
        <f>SUBTOTAL(103,Août[14])</f>
        <v>0</v>
      </c>
      <c r="Q12" s="12">
        <f>SUBTOTAL(103,Août[15])</f>
        <v>0</v>
      </c>
      <c r="R12" s="12">
        <f>SUBTOTAL(103,Août[16])</f>
        <v>0</v>
      </c>
      <c r="S12" s="12">
        <f>SUBTOTAL(103,Août[17])</f>
        <v>0</v>
      </c>
      <c r="T12" s="12">
        <f>SUBTOTAL(103,Août[18])</f>
        <v>0</v>
      </c>
      <c r="U12" s="12">
        <f>SUBTOTAL(103,Août[19])</f>
        <v>0</v>
      </c>
      <c r="V12" s="12">
        <f>SUBTOTAL(103,Août[20])</f>
        <v>0</v>
      </c>
      <c r="W12" s="12">
        <f>SUBTOTAL(103,Août[21])</f>
        <v>0</v>
      </c>
      <c r="X12" s="12">
        <f>SUBTOTAL(103,Août[22])</f>
        <v>0</v>
      </c>
      <c r="Y12" s="12">
        <f>SUBTOTAL(103,Août[23])</f>
        <v>0</v>
      </c>
      <c r="Z12" s="12">
        <f>SUBTOTAL(103,Août[24])</f>
        <v>0</v>
      </c>
      <c r="AA12" s="12">
        <f>SUBTOTAL(103,Août[25])</f>
        <v>0</v>
      </c>
      <c r="AB12" s="12">
        <f>SUBTOTAL(103,Août[26])</f>
        <v>0</v>
      </c>
      <c r="AC12" s="12">
        <f>SUBTOTAL(103,Août[27])</f>
        <v>0</v>
      </c>
      <c r="AD12" s="12">
        <f>SUBTOTAL(103,Août[28])</f>
        <v>0</v>
      </c>
      <c r="AE12" s="12">
        <f>SUBTOTAL(103,Août[29])</f>
        <v>0</v>
      </c>
      <c r="AF12" s="12">
        <f>SUBTOTAL(103,Août[30])</f>
        <v>0</v>
      </c>
      <c r="AG12" s="12">
        <f>SUBTOTAL(103,Août[31])</f>
        <v>0</v>
      </c>
      <c r="AH12" s="12">
        <f>SUBTOTAL(109,Août[Total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619" priority="2" stopIfTrue="1">
      <formula>C7=CléPersonnalisée2</formula>
    </cfRule>
    <cfRule type="expression" dxfId="618" priority="3" stopIfTrue="1">
      <formula>C7=CléPersonnalisée1</formula>
    </cfRule>
    <cfRule type="expression" dxfId="617" priority="4" stopIfTrue="1">
      <formula>C7=CléMaladie</formula>
    </cfRule>
    <cfRule type="expression" dxfId="616" priority="5" stopIfTrue="1">
      <formula>C7=CléPersonnel</formula>
    </cfRule>
    <cfRule type="expression" dxfId="615" priority="6" stopIfTrue="1">
      <formula>C7=CléPrésence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{09900229-9536-43AB-AAE0-FC121BDECD61}</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700-000000000000}"/>
    <dataValidation allowBlank="1" showInputMessage="1" showErrorMessage="1" prompt="Année mise à jour automatiquement en fonction de l’année entrée dans la feuille de calcul Janvier" sqref="AH4" xr:uid="{00000000-0002-0000-0700-000001000000}"/>
    <dataValidation allowBlank="1" showInputMessage="1" showErrorMessage="1" prompt="Calcule automatiquement le nombre total de jours d’absence d’un employé durant ce mois dans cette colonne" sqref="AH6" xr:uid="{00000000-0002-0000-0700-000002000000}"/>
    <dataValidation allowBlank="1" showInputMessage="1" showErrorMessage="1" prompt="Suivez les absences du mois d’août dans cette feuille de calcul" sqref="A1" xr:uid="{00000000-0002-0000-07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700-000004000000}"/>
    <dataValidation allowBlank="1" showInputMessage="1" showErrorMessage="1" prompt="Le titre mis à jour automatiquement figure dans cette cellule. Pour modifier le titre, mettez à jour la cellule B1 de la feuille de calcul Janvier" sqref="B1" xr:uid="{00000000-0002-0000-0700-000005000000}"/>
    <dataValidation allowBlank="1" showInputMessage="1" showErrorMessage="1" prompt="La lettre « C » indique une absence pour cause de congé" sqref="C2" xr:uid="{00000000-0002-0000-0700-000006000000}"/>
    <dataValidation allowBlank="1" showInputMessage="1" showErrorMessage="1" prompt="La lettre « P » indique une absence pour motifs personnels" sqref="F2" xr:uid="{00000000-0002-0000-0700-000007000000}"/>
    <dataValidation allowBlank="1" showInputMessage="1" showErrorMessage="1" prompt="La lettre « M » indique une absence pour cause de maladie" sqref="J2" xr:uid="{00000000-0002-0000-0700-000008000000}"/>
    <dataValidation allowBlank="1" showInputMessage="1" showErrorMessage="1" prompt="Entrez une lettre et personnalisez l’étiquette à droite pour ajouter un élément de clé" sqref="M2 R2" xr:uid="{00000000-0002-0000-0700-000009000000}"/>
    <dataValidation allowBlank="1" showInputMessage="1" showErrorMessage="1" prompt="Entrez une étiquette pour décrire la clé personnalisée à gauche" sqref="N2 S2" xr:uid="{00000000-0002-0000-0700-00000A000000}"/>
    <dataValidation allowBlank="1" showInputMessage="1" showErrorMessage="1" prompt="Cette ligne définit les clés utilisées dans le tableau : Congé en C2, Personnel en F2 et Congé maladie en J2. Les cellules M2 et R2 sont personnalisables" sqref="B2" xr:uid="{00000000-0002-0000-07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7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7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700-00000E000000}">
          <x14:formula1>
            <xm:f>'Noms des stagiaires'!$B$4:$B$8</xm:f>
          </x14:formula1>
          <xm:sqref>B7:B11</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theme="2" tint="-0.499984740745262"/>
  </sheetPr>
  <dimension ref="A1:AI12"/>
  <sheetViews>
    <sheetView showGridLines="0" zoomScaleNormal="100" workbookViewId="0">
      <selection activeCell="AH7" sqref="AH7:AI11"/>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6.85546875" style="10" customWidth="1"/>
    <col min="10" max="33" width="4.7109375" style="10" customWidth="1"/>
    <col min="34" max="34" width="13.5703125" style="10" customWidth="1"/>
    <col min="35" max="35" width="2.7109375" customWidth="1"/>
  </cols>
  <sheetData>
    <row r="1" spans="2:35" ht="50.1" customHeight="1" x14ac:dyDescent="0.25">
      <c r="B1" s="13" t="str">
        <f>Titre_Absence_Employé</f>
        <v>Calendrier des stagiaires - ESAT JACQUEMART</v>
      </c>
    </row>
    <row r="2" spans="2:35" ht="15" customHeight="1" x14ac:dyDescent="0.25">
      <c r="B2" s="18" t="s">
        <v>59</v>
      </c>
      <c r="C2" s="3" t="s">
        <v>5</v>
      </c>
      <c r="D2" s="40" t="s">
        <v>50</v>
      </c>
      <c r="E2" s="41"/>
      <c r="F2" s="4" t="s">
        <v>69</v>
      </c>
      <c r="G2" s="40" t="s">
        <v>67</v>
      </c>
      <c r="H2" s="41"/>
      <c r="I2" s="41"/>
      <c r="J2" s="5" t="s">
        <v>51</v>
      </c>
      <c r="K2" s="40" t="s">
        <v>68</v>
      </c>
      <c r="L2" s="41"/>
      <c r="M2" s="6"/>
      <c r="N2" s="40"/>
      <c r="O2" s="41"/>
      <c r="P2" s="41"/>
      <c r="Q2" s="41"/>
      <c r="R2" s="7"/>
      <c r="S2" s="41"/>
      <c r="T2" s="41"/>
      <c r="U2" s="41"/>
      <c r="V2" s="41"/>
    </row>
    <row r="3" spans="2:35" ht="15" customHeight="1" x14ac:dyDescent="0.25">
      <c r="B3" s="13"/>
    </row>
    <row r="4" spans="2:35" ht="30" customHeight="1" x14ac:dyDescent="0.25">
      <c r="B4" s="11" t="s">
        <v>45</v>
      </c>
      <c r="C4" s="39" t="s">
        <v>58</v>
      </c>
      <c r="D4" s="39"/>
      <c r="E4" s="39"/>
      <c r="F4" s="39"/>
      <c r="G4" s="39"/>
      <c r="H4" s="39"/>
      <c r="I4" s="39"/>
      <c r="J4" s="39"/>
      <c r="K4" s="39"/>
      <c r="L4" s="39"/>
      <c r="M4" s="39"/>
      <c r="N4" s="39"/>
      <c r="O4" s="39"/>
      <c r="P4" s="39"/>
      <c r="Q4" s="39"/>
      <c r="R4" s="39"/>
      <c r="S4" s="39"/>
      <c r="T4" s="39"/>
      <c r="U4" s="39"/>
      <c r="V4" s="39"/>
      <c r="W4" s="39"/>
      <c r="X4" s="39"/>
      <c r="Y4" s="39"/>
      <c r="Z4" s="39"/>
      <c r="AA4" s="39"/>
      <c r="AB4" s="39"/>
      <c r="AC4" s="39"/>
      <c r="AD4" s="39"/>
      <c r="AE4" s="39"/>
      <c r="AF4" s="39"/>
      <c r="AG4" s="39"/>
      <c r="AH4" s="11">
        <f>AnnéeCalendrier</f>
        <v>2021</v>
      </c>
    </row>
    <row r="5" spans="2:35" ht="15" customHeight="1" x14ac:dyDescent="0.25">
      <c r="B5" s="11"/>
      <c r="C5" s="1" t="str">
        <f>TEXT(WEEKDAY(DATE(AnnéeCalendrier,9,1),1),"jjj")</f>
        <v>mer</v>
      </c>
      <c r="D5" s="1" t="str">
        <f>TEXT(WEEKDAY(DATE(AnnéeCalendrier,9,2),1),"jjj")</f>
        <v>jeu</v>
      </c>
      <c r="E5" s="1" t="str">
        <f>TEXT(WEEKDAY(DATE(AnnéeCalendrier,9,3),1),"jjj")</f>
        <v>ven</v>
      </c>
      <c r="F5" s="1" t="str">
        <f>TEXT(WEEKDAY(DATE(AnnéeCalendrier,9,4),1),"jjj")</f>
        <v>sam</v>
      </c>
      <c r="G5" s="1" t="str">
        <f>TEXT(WEEKDAY(DATE(AnnéeCalendrier,9,5),1),"jjj")</f>
        <v>dim</v>
      </c>
      <c r="H5" s="1" t="str">
        <f>TEXT(WEEKDAY(DATE(AnnéeCalendrier,9,6),1),"jjj")</f>
        <v>lun</v>
      </c>
      <c r="I5" s="1" t="str">
        <f>TEXT(WEEKDAY(DATE(AnnéeCalendrier,9,7),1),"jjj")</f>
        <v>mar</v>
      </c>
      <c r="J5" s="1" t="str">
        <f>TEXT(WEEKDAY(DATE(AnnéeCalendrier,9,8),1),"jjj")</f>
        <v>mer</v>
      </c>
      <c r="K5" s="1" t="str">
        <f>TEXT(WEEKDAY(DATE(AnnéeCalendrier,9,9),1),"jjj")</f>
        <v>jeu</v>
      </c>
      <c r="L5" s="1" t="str">
        <f>TEXT(WEEKDAY(DATE(AnnéeCalendrier,9,10),1),"jjj")</f>
        <v>ven</v>
      </c>
      <c r="M5" s="1" t="str">
        <f>TEXT(WEEKDAY(DATE(AnnéeCalendrier,9,11),1),"jjj")</f>
        <v>sam</v>
      </c>
      <c r="N5" s="1" t="str">
        <f>TEXT(WEEKDAY(DATE(AnnéeCalendrier,9,12),1),"jjj")</f>
        <v>dim</v>
      </c>
      <c r="O5" s="1" t="str">
        <f>TEXT(WEEKDAY(DATE(AnnéeCalendrier,9,13),1),"jjj")</f>
        <v>lun</v>
      </c>
      <c r="P5" s="1" t="str">
        <f>TEXT(WEEKDAY(DATE(AnnéeCalendrier,9,14),1),"jjj")</f>
        <v>mar</v>
      </c>
      <c r="Q5" s="1" t="str">
        <f>TEXT(WEEKDAY(DATE(AnnéeCalendrier,9,15),1),"jjj")</f>
        <v>mer</v>
      </c>
      <c r="R5" s="1" t="str">
        <f>TEXT(WEEKDAY(DATE(AnnéeCalendrier,9,16),1),"jjj")</f>
        <v>jeu</v>
      </c>
      <c r="S5" s="1" t="str">
        <f>TEXT(WEEKDAY(DATE(AnnéeCalendrier,9,17),1),"jjj")</f>
        <v>ven</v>
      </c>
      <c r="T5" s="1" t="str">
        <f>TEXT(WEEKDAY(DATE(AnnéeCalendrier,9,18),1),"jjj")</f>
        <v>sam</v>
      </c>
      <c r="U5" s="1" t="str">
        <f>TEXT(WEEKDAY(DATE(AnnéeCalendrier,9,19),1),"jjj")</f>
        <v>dim</v>
      </c>
      <c r="V5" s="1" t="str">
        <f>TEXT(WEEKDAY(DATE(AnnéeCalendrier,9,20),1),"jjj")</f>
        <v>lun</v>
      </c>
      <c r="W5" s="1" t="str">
        <f>TEXT(WEEKDAY(DATE(AnnéeCalendrier,9,21),1),"jjj")</f>
        <v>mar</v>
      </c>
      <c r="X5" s="1" t="str">
        <f>TEXT(WEEKDAY(DATE(AnnéeCalendrier,9,22),1),"jjj")</f>
        <v>mer</v>
      </c>
      <c r="Y5" s="1" t="str">
        <f>TEXT(WEEKDAY(DATE(AnnéeCalendrier,9,23),1),"jjj")</f>
        <v>jeu</v>
      </c>
      <c r="Z5" s="1" t="str">
        <f>TEXT(WEEKDAY(DATE(AnnéeCalendrier,9,24),1),"jjj")</f>
        <v>ven</v>
      </c>
      <c r="AA5" s="1" t="str">
        <f>TEXT(WEEKDAY(DATE(AnnéeCalendrier,9,25),1),"jjj")</f>
        <v>sam</v>
      </c>
      <c r="AB5" s="1" t="str">
        <f>TEXT(WEEKDAY(DATE(AnnéeCalendrier,9,26),1),"jjj")</f>
        <v>dim</v>
      </c>
      <c r="AC5" s="1" t="str">
        <f>TEXT(WEEKDAY(DATE(AnnéeCalendrier,9,27),1),"jjj")</f>
        <v>lun</v>
      </c>
      <c r="AD5" s="1" t="str">
        <f>TEXT(WEEKDAY(DATE(AnnéeCalendrier,9,28),1),"jjj")</f>
        <v>mar</v>
      </c>
      <c r="AE5" s="1" t="str">
        <f>TEXT(WEEKDAY(DATE(AnnéeCalendrier,9,29),1),"jjj")</f>
        <v>mer</v>
      </c>
      <c r="AF5" s="1" t="str">
        <f>TEXT(WEEKDAY(DATE(AnnéeCalendrier,9,30),1),"jjj")</f>
        <v>jeu</v>
      </c>
      <c r="AG5" s="1"/>
      <c r="AH5" s="11"/>
    </row>
    <row r="6" spans="2:35"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37</v>
      </c>
      <c r="AH6" s="15" t="s">
        <v>35</v>
      </c>
      <c r="AI6" t="s">
        <v>71</v>
      </c>
    </row>
    <row r="7" spans="2:35" ht="30" customHeight="1" x14ac:dyDescent="0.25">
      <c r="B7" s="16" t="s">
        <v>60</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row>
    <row r="8" spans="2:35"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row>
    <row r="9" spans="2:35"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row>
    <row r="10" spans="2:35"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row>
    <row r="11" spans="2:35"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row>
    <row r="12" spans="2:35" ht="30" customHeight="1" x14ac:dyDescent="0.25">
      <c r="B12" s="20" t="str">
        <f>NomMois&amp;" Total"</f>
        <v>Septembre Total</v>
      </c>
      <c r="C12" s="12">
        <f>SUBTOTAL(103,Septembre[1])</f>
        <v>0</v>
      </c>
      <c r="D12" s="12">
        <f>SUBTOTAL(103,Septembre[2])</f>
        <v>0</v>
      </c>
      <c r="E12" s="12">
        <f>SUBTOTAL(103,Septembre[3])</f>
        <v>0</v>
      </c>
      <c r="F12" s="12">
        <f>SUBTOTAL(103,Septembre[4])</f>
        <v>0</v>
      </c>
      <c r="G12" s="12">
        <f>SUBTOTAL(103,Septembre[5])</f>
        <v>0</v>
      </c>
      <c r="H12" s="12">
        <f>SUBTOTAL(103,Septembre[6])</f>
        <v>0</v>
      </c>
      <c r="I12" s="12">
        <f>SUBTOTAL(103,Septembre[7])</f>
        <v>0</v>
      </c>
      <c r="J12" s="12">
        <f>SUBTOTAL(103,Septembre[8])</f>
        <v>0</v>
      </c>
      <c r="K12" s="12">
        <f>SUBTOTAL(103,Septembre[9])</f>
        <v>0</v>
      </c>
      <c r="L12" s="12">
        <f>SUBTOTAL(103,Septembre[10])</f>
        <v>0</v>
      </c>
      <c r="M12" s="12">
        <f>SUBTOTAL(103,Septembre[11])</f>
        <v>0</v>
      </c>
      <c r="N12" s="12">
        <f>SUBTOTAL(103,Septembre[12])</f>
        <v>0</v>
      </c>
      <c r="O12" s="12">
        <f>SUBTOTAL(103,Septembre[13])</f>
        <v>0</v>
      </c>
      <c r="P12" s="12">
        <f>SUBTOTAL(103,Septembre[14])</f>
        <v>0</v>
      </c>
      <c r="Q12" s="12">
        <f>SUBTOTAL(103,Septembre[15])</f>
        <v>0</v>
      </c>
      <c r="R12" s="12">
        <f>SUBTOTAL(103,Septembre[16])</f>
        <v>0</v>
      </c>
      <c r="S12" s="12">
        <f>SUBTOTAL(103,Septembre[17])</f>
        <v>0</v>
      </c>
      <c r="T12" s="12">
        <f>SUBTOTAL(103,Septembre[18])</f>
        <v>0</v>
      </c>
      <c r="U12" s="12">
        <f>SUBTOTAL(103,Septembre[19])</f>
        <v>0</v>
      </c>
      <c r="V12" s="12">
        <f>SUBTOTAL(103,Septembre[20])</f>
        <v>0</v>
      </c>
      <c r="W12" s="12">
        <f>SUBTOTAL(103,Septembre[21])</f>
        <v>0</v>
      </c>
      <c r="X12" s="12">
        <f>SUBTOTAL(103,Septembre[22])</f>
        <v>0</v>
      </c>
      <c r="Y12" s="12">
        <f>SUBTOTAL(103,Septembre[23])</f>
        <v>0</v>
      </c>
      <c r="Z12" s="12">
        <f>SUBTOTAL(103,Septembre[24])</f>
        <v>0</v>
      </c>
      <c r="AA12" s="12">
        <f>SUBTOTAL(103,Septembre[25])</f>
        <v>0</v>
      </c>
      <c r="AB12" s="12">
        <f>SUBTOTAL(103,Septembre[26])</f>
        <v>0</v>
      </c>
      <c r="AC12" s="12">
        <f>SUBTOTAL(103,Septembre[27])</f>
        <v>0</v>
      </c>
      <c r="AD12" s="12">
        <f>SUBTOTAL(103,Septembre[28])</f>
        <v>0</v>
      </c>
      <c r="AE12" s="12">
        <f>SUBTOTAL(103,Septembre[29])</f>
        <v>0</v>
      </c>
      <c r="AF12" s="12">
        <f>SUBTOTAL(103,Septembre[30])</f>
        <v>0</v>
      </c>
      <c r="AG12" s="12">
        <f>SUBTOTAL(103,Septembre[[ ]])</f>
        <v>0</v>
      </c>
      <c r="AH12" s="12">
        <f>SUBTOTAL(109,Septembre[Total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578" priority="2" stopIfTrue="1">
      <formula>C7=CléPersonnalisée2</formula>
    </cfRule>
    <cfRule type="expression" dxfId="577" priority="3" stopIfTrue="1">
      <formula>C7=CléPersonnalisée1</formula>
    </cfRule>
    <cfRule type="expression" dxfId="576" priority="4" stopIfTrue="1">
      <formula>C7=CléMaladie</formula>
    </cfRule>
    <cfRule type="expression" dxfId="575" priority="5" stopIfTrue="1">
      <formula>C7=CléPersonnel</formula>
    </cfRule>
    <cfRule type="expression" dxfId="574" priority="6" stopIfTrue="1">
      <formula>C7=CléPrésence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{1A021984-06A1-41D9-90D2-8C16E885020B}</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8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800-000001000000}"/>
    <dataValidation allowBlank="1" showInputMessage="1" showErrorMessage="1" prompt="Cette ligne définit les clés utilisées dans le tableau : Congé en C2, Personnel en F2 et Congé maladie en J2. Les cellules M2 et R2 sont personnalisables" sqref="B2" xr:uid="{00000000-0002-0000-0800-000002000000}"/>
    <dataValidation allowBlank="1" showInputMessage="1" showErrorMessage="1" prompt="Entrez une étiquette pour décrire la clé personnalisée à gauche" sqref="N2 S2" xr:uid="{00000000-0002-0000-0800-000003000000}"/>
    <dataValidation allowBlank="1" showInputMessage="1" showErrorMessage="1" prompt="Entrez une lettre et personnalisez l’étiquette à droite pour ajouter un élément de clé" sqref="M2 R2" xr:uid="{00000000-0002-0000-0800-000004000000}"/>
    <dataValidation allowBlank="1" showInputMessage="1" showErrorMessage="1" prompt="La lettre « M » indique une absence pour cause de maladie" sqref="J2" xr:uid="{00000000-0002-0000-0800-000005000000}"/>
    <dataValidation allowBlank="1" showInputMessage="1" showErrorMessage="1" prompt="La lettre « P » indique une absence pour motifs personnels" sqref="F2" xr:uid="{00000000-0002-0000-0800-000006000000}"/>
    <dataValidation allowBlank="1" showInputMessage="1" showErrorMessage="1" prompt="La lettre « C » indique une absence pour cause de congé" sqref="C2" xr:uid="{00000000-0002-0000-0800-000007000000}"/>
    <dataValidation allowBlank="1" showInputMessage="1" showErrorMessage="1" prompt="Le titre mis à jour automatiquement figure dans cette cellule. Pour modifier le titre, mettez à jour la cellule B1 de la feuille de calcul Janvier" sqref="B1" xr:uid="{00000000-0002-0000-08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800-000009000000}"/>
    <dataValidation allowBlank="1" showInputMessage="1" showErrorMessage="1" prompt="Suivez les absences du mois de septembre dans cette feuille de calcul" sqref="A1" xr:uid="{00000000-0002-0000-0800-00000A000000}"/>
    <dataValidation allowBlank="1" showInputMessage="1" showErrorMessage="1" prompt="Calcule automatiquement le nombre total de jours d’absence d’un employé durant ce mois dans cette colonne" sqref="AH6" xr:uid="{00000000-0002-0000-0800-00000B000000}"/>
    <dataValidation allowBlank="1" showInputMessage="1" showErrorMessage="1" prompt="Année mise à jour automatiquement en fonction de l’année entrée dans la feuille de calcul Janvier" sqref="AH4" xr:uid="{00000000-0002-0000-08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8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800-00000E000000}">
          <x14:formula1>
            <xm:f>'Noms des stagiaires'!$B$4:$B$8</xm:f>
          </x14:formula1>
          <xm:sqref>B7:B11</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theme="2" tint="-0.249977111117893"/>
  </sheetPr>
  <dimension ref="A1:AI12"/>
  <sheetViews>
    <sheetView showGridLines="0" zoomScaleNormal="100" workbookViewId="0">
      <selection activeCell="AH7" sqref="AH7:AI11"/>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6.7109375" style="10" customWidth="1"/>
    <col min="10" max="33" width="4.7109375" style="10" customWidth="1"/>
    <col min="34" max="34" width="13.5703125" style="10" customWidth="1"/>
    <col min="35" max="35" width="2.7109375" customWidth="1"/>
  </cols>
  <sheetData>
    <row r="1" spans="2:35" ht="50.1" customHeight="1" x14ac:dyDescent="0.25">
      <c r="B1" s="13" t="str">
        <f>Titre_Absence_Employé</f>
        <v>Calendrier des stagiaires - ESAT JACQUEMART</v>
      </c>
    </row>
    <row r="2" spans="2:35" ht="15" customHeight="1" x14ac:dyDescent="0.25">
      <c r="B2" s="18" t="s">
        <v>59</v>
      </c>
      <c r="C2" s="3" t="s">
        <v>5</v>
      </c>
      <c r="D2" s="40" t="s">
        <v>50</v>
      </c>
      <c r="E2" s="41"/>
      <c r="F2" s="4" t="s">
        <v>69</v>
      </c>
      <c r="G2" s="40" t="s">
        <v>67</v>
      </c>
      <c r="H2" s="41"/>
      <c r="I2" s="41"/>
      <c r="J2" s="5" t="s">
        <v>51</v>
      </c>
      <c r="K2" s="40" t="s">
        <v>68</v>
      </c>
      <c r="L2" s="41"/>
      <c r="M2" s="6"/>
      <c r="N2" s="40"/>
      <c r="O2" s="41"/>
      <c r="P2" s="41"/>
      <c r="Q2" s="41"/>
      <c r="R2" s="7"/>
      <c r="S2" s="41"/>
      <c r="T2" s="41"/>
      <c r="U2" s="41"/>
      <c r="V2" s="41"/>
    </row>
    <row r="3" spans="2:35" ht="15" customHeight="1" x14ac:dyDescent="0.25">
      <c r="B3" s="13"/>
    </row>
    <row r="4" spans="2:35" ht="30" customHeight="1" x14ac:dyDescent="0.25">
      <c r="B4" s="11" t="s">
        <v>46</v>
      </c>
      <c r="C4" s="39" t="s">
        <v>58</v>
      </c>
      <c r="D4" s="39"/>
      <c r="E4" s="39"/>
      <c r="F4" s="39"/>
      <c r="G4" s="39"/>
      <c r="H4" s="39"/>
      <c r="I4" s="39"/>
      <c r="J4" s="39"/>
      <c r="K4" s="39"/>
      <c r="L4" s="39"/>
      <c r="M4" s="39"/>
      <c r="N4" s="39"/>
      <c r="O4" s="39"/>
      <c r="P4" s="39"/>
      <c r="Q4" s="39"/>
      <c r="R4" s="39"/>
      <c r="S4" s="39"/>
      <c r="T4" s="39"/>
      <c r="U4" s="39"/>
      <c r="V4" s="39"/>
      <c r="W4" s="39"/>
      <c r="X4" s="39"/>
      <c r="Y4" s="39"/>
      <c r="Z4" s="39"/>
      <c r="AA4" s="39"/>
      <c r="AB4" s="39"/>
      <c r="AC4" s="39"/>
      <c r="AD4" s="39"/>
      <c r="AE4" s="39"/>
      <c r="AF4" s="39"/>
      <c r="AG4" s="39"/>
      <c r="AH4" s="11">
        <f>AnnéeCalendrier</f>
        <v>2021</v>
      </c>
    </row>
    <row r="5" spans="2:35" ht="15" customHeight="1" x14ac:dyDescent="0.25">
      <c r="B5" s="11"/>
      <c r="C5" s="1" t="str">
        <f>TEXT(WEEKDAY(DATE(AnnéeCalendrier,10,1),1),"jjj")</f>
        <v>ven</v>
      </c>
      <c r="D5" s="1" t="str">
        <f>TEXT(WEEKDAY(DATE(AnnéeCalendrier,10,2),1),"jjj")</f>
        <v>sam</v>
      </c>
      <c r="E5" s="1" t="str">
        <f>TEXT(WEEKDAY(DATE(AnnéeCalendrier,10,3),1),"jjj")</f>
        <v>dim</v>
      </c>
      <c r="F5" s="1" t="str">
        <f>TEXT(WEEKDAY(DATE(AnnéeCalendrier,10,4),1),"jjj")</f>
        <v>lun</v>
      </c>
      <c r="G5" s="1" t="str">
        <f>TEXT(WEEKDAY(DATE(AnnéeCalendrier,10,5),1),"jjj")</f>
        <v>mar</v>
      </c>
      <c r="H5" s="1" t="str">
        <f>TEXT(WEEKDAY(DATE(AnnéeCalendrier,10,6),1),"jjj")</f>
        <v>mer</v>
      </c>
      <c r="I5" s="1" t="str">
        <f>TEXT(WEEKDAY(DATE(AnnéeCalendrier,10,7),1),"jjj")</f>
        <v>jeu</v>
      </c>
      <c r="J5" s="1" t="str">
        <f>TEXT(WEEKDAY(DATE(AnnéeCalendrier,10,8),1),"jjj")</f>
        <v>ven</v>
      </c>
      <c r="K5" s="1" t="str">
        <f>TEXT(WEEKDAY(DATE(AnnéeCalendrier,10,9),1),"jjj")</f>
        <v>sam</v>
      </c>
      <c r="L5" s="1" t="str">
        <f>TEXT(WEEKDAY(DATE(AnnéeCalendrier,10,10),1),"jjj")</f>
        <v>dim</v>
      </c>
      <c r="M5" s="1" t="str">
        <f>TEXT(WEEKDAY(DATE(AnnéeCalendrier,10,11),1),"jjj")</f>
        <v>lun</v>
      </c>
      <c r="N5" s="1" t="str">
        <f>TEXT(WEEKDAY(DATE(AnnéeCalendrier,10,12),1),"jjj")</f>
        <v>mar</v>
      </c>
      <c r="O5" s="1" t="str">
        <f>TEXT(WEEKDAY(DATE(AnnéeCalendrier,10,13),1),"jjj")</f>
        <v>mer</v>
      </c>
      <c r="P5" s="1" t="str">
        <f>TEXT(WEEKDAY(DATE(AnnéeCalendrier,10,14),1),"jjj")</f>
        <v>jeu</v>
      </c>
      <c r="Q5" s="1" t="str">
        <f>TEXT(WEEKDAY(DATE(AnnéeCalendrier,10,15),1),"jjj")</f>
        <v>ven</v>
      </c>
      <c r="R5" s="1" t="str">
        <f>TEXT(WEEKDAY(DATE(AnnéeCalendrier,10,16),1),"jjj")</f>
        <v>sam</v>
      </c>
      <c r="S5" s="1" t="str">
        <f>TEXT(WEEKDAY(DATE(AnnéeCalendrier,10,17),1),"jjj")</f>
        <v>dim</v>
      </c>
      <c r="T5" s="1" t="str">
        <f>TEXT(WEEKDAY(DATE(AnnéeCalendrier,10,18),1),"jjj")</f>
        <v>lun</v>
      </c>
      <c r="U5" s="1" t="str">
        <f>TEXT(WEEKDAY(DATE(AnnéeCalendrier,10,19),1),"jjj")</f>
        <v>mar</v>
      </c>
      <c r="V5" s="1" t="str">
        <f>TEXT(WEEKDAY(DATE(AnnéeCalendrier,10,20),1),"jjj")</f>
        <v>mer</v>
      </c>
      <c r="W5" s="1" t="str">
        <f>TEXT(WEEKDAY(DATE(AnnéeCalendrier,10,21),1),"jjj")</f>
        <v>jeu</v>
      </c>
      <c r="X5" s="1" t="str">
        <f>TEXT(WEEKDAY(DATE(AnnéeCalendrier,10,22),1),"jjj")</f>
        <v>ven</v>
      </c>
      <c r="Y5" s="1" t="str">
        <f>TEXT(WEEKDAY(DATE(AnnéeCalendrier,10,23),1),"jjj")</f>
        <v>sam</v>
      </c>
      <c r="Z5" s="1" t="str">
        <f>TEXT(WEEKDAY(DATE(AnnéeCalendrier,10,24),1),"jjj")</f>
        <v>dim</v>
      </c>
      <c r="AA5" s="1" t="str">
        <f>TEXT(WEEKDAY(DATE(AnnéeCalendrier,10,25),1),"jjj")</f>
        <v>lun</v>
      </c>
      <c r="AB5" s="1" t="str">
        <f>TEXT(WEEKDAY(DATE(AnnéeCalendrier,10,26),1),"jjj")</f>
        <v>mar</v>
      </c>
      <c r="AC5" s="1" t="str">
        <f>TEXT(WEEKDAY(DATE(AnnéeCalendrier,10,27),1),"jjj")</f>
        <v>mer</v>
      </c>
      <c r="AD5" s="1" t="str">
        <f>TEXT(WEEKDAY(DATE(AnnéeCalendrier,10,28),1),"jjj")</f>
        <v>jeu</v>
      </c>
      <c r="AE5" s="1" t="str">
        <f>TEXT(WEEKDAY(DATE(AnnéeCalendrier,10,29),1),"jjj")</f>
        <v>ven</v>
      </c>
      <c r="AF5" s="1" t="str">
        <f>TEXT(WEEKDAY(DATE(AnnéeCalendrier,10,30),1),"jjj")</f>
        <v>sam</v>
      </c>
      <c r="AG5" s="1" t="str">
        <f>TEXT(WEEKDAY(DATE(AnnéeCalendrier,10,31),1),"jjj")</f>
        <v>dim</v>
      </c>
      <c r="AH5" s="11"/>
    </row>
    <row r="6" spans="2:35"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33</v>
      </c>
      <c r="AH6" s="15" t="s">
        <v>35</v>
      </c>
      <c r="AI6" t="s">
        <v>71</v>
      </c>
    </row>
    <row r="7" spans="2:35" ht="30" customHeight="1" x14ac:dyDescent="0.25">
      <c r="B7" s="16" t="s">
        <v>73</v>
      </c>
      <c r="C7" s="2"/>
      <c r="D7" s="2"/>
      <c r="E7" s="2"/>
      <c r="F7" s="2"/>
      <c r="G7" s="2"/>
      <c r="H7" s="2"/>
      <c r="I7" s="2"/>
      <c r="J7" s="2"/>
      <c r="K7" s="2"/>
      <c r="L7" s="2"/>
      <c r="M7" s="2" t="s">
        <v>66</v>
      </c>
      <c r="N7" s="2" t="s">
        <v>66</v>
      </c>
      <c r="O7" s="2" t="s">
        <v>66</v>
      </c>
      <c r="P7" s="2" t="s">
        <v>66</v>
      </c>
      <c r="Q7" s="2" t="s">
        <v>66</v>
      </c>
      <c r="R7" s="2"/>
      <c r="S7" s="2"/>
      <c r="T7" s="2"/>
      <c r="U7" s="2"/>
      <c r="V7" s="2"/>
      <c r="W7" s="2"/>
      <c r="X7" s="2"/>
      <c r="Y7" s="2"/>
      <c r="Z7" s="2"/>
      <c r="AA7" s="2"/>
      <c r="AB7" s="2"/>
      <c r="AC7" s="2"/>
      <c r="AD7" s="2"/>
      <c r="AE7" s="2"/>
      <c r="AF7" s="2"/>
      <c r="AG7" s="2"/>
      <c r="AH7" s="9"/>
    </row>
    <row r="8" spans="2:35"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row>
    <row r="9" spans="2:35"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row>
    <row r="10" spans="2:35"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row>
    <row r="11" spans="2:35" ht="30" customHeight="1" x14ac:dyDescent="0.25">
      <c r="B11" s="16" t="s">
        <v>56</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row>
    <row r="12" spans="2:35" ht="30" customHeight="1" x14ac:dyDescent="0.25">
      <c r="B12" s="20" t="str">
        <f>NomMois&amp;" Total"</f>
        <v>Octobre Total</v>
      </c>
      <c r="C12" s="12">
        <f>SUBTOTAL(103,Octobre[1])</f>
        <v>0</v>
      </c>
      <c r="D12" s="12">
        <f>SUBTOTAL(103,Octobre[2])</f>
        <v>0</v>
      </c>
      <c r="E12" s="12">
        <f>SUBTOTAL(103,Octobre[3])</f>
        <v>0</v>
      </c>
      <c r="F12" s="12">
        <f>SUBTOTAL(103,Octobre[4])</f>
        <v>0</v>
      </c>
      <c r="G12" s="12">
        <f>SUBTOTAL(103,Octobre[5])</f>
        <v>0</v>
      </c>
      <c r="H12" s="12">
        <f>SUBTOTAL(103,Octobre[6])</f>
        <v>0</v>
      </c>
      <c r="I12" s="12">
        <f>SUBTOTAL(103,Octobre[7])</f>
        <v>0</v>
      </c>
      <c r="J12" s="12">
        <f>SUBTOTAL(103,Octobre[8])</f>
        <v>0</v>
      </c>
      <c r="K12" s="12">
        <f>SUBTOTAL(103,Octobre[9])</f>
        <v>0</v>
      </c>
      <c r="L12" s="12">
        <f>SUBTOTAL(103,Octobre[10])</f>
        <v>0</v>
      </c>
      <c r="M12" s="12">
        <f>SUBTOTAL(103,Octobre[11])</f>
        <v>1</v>
      </c>
      <c r="N12" s="12">
        <f>SUBTOTAL(103,Octobre[12])</f>
        <v>1</v>
      </c>
      <c r="O12" s="12">
        <f>SUBTOTAL(103,Octobre[13])</f>
        <v>1</v>
      </c>
      <c r="P12" s="12">
        <f>SUBTOTAL(103,Octobre[14])</f>
        <v>1</v>
      </c>
      <c r="Q12" s="12">
        <f>SUBTOTAL(103,Octobre[15])</f>
        <v>1</v>
      </c>
      <c r="R12" s="12">
        <f>SUBTOTAL(103,Octobre[16])</f>
        <v>0</v>
      </c>
      <c r="S12" s="12">
        <f>SUBTOTAL(103,Octobre[17])</f>
        <v>0</v>
      </c>
      <c r="T12" s="12">
        <f>SUBTOTAL(103,Octobre[18])</f>
        <v>0</v>
      </c>
      <c r="U12" s="12">
        <f>SUBTOTAL(103,Octobre[19])</f>
        <v>0</v>
      </c>
      <c r="V12" s="12">
        <f>SUBTOTAL(103,Octobre[20])</f>
        <v>0</v>
      </c>
      <c r="W12" s="12">
        <f>SUBTOTAL(103,Octobre[21])</f>
        <v>0</v>
      </c>
      <c r="X12" s="12">
        <f>SUBTOTAL(103,Octobre[22])</f>
        <v>0</v>
      </c>
      <c r="Y12" s="12">
        <f>SUBTOTAL(103,Octobre[23])</f>
        <v>0</v>
      </c>
      <c r="Z12" s="12">
        <f>SUBTOTAL(103,Octobre[24])</f>
        <v>0</v>
      </c>
      <c r="AA12" s="12">
        <f>SUBTOTAL(103,Octobre[25])</f>
        <v>0</v>
      </c>
      <c r="AB12" s="12">
        <f>SUBTOTAL(103,Octobre[26])</f>
        <v>0</v>
      </c>
      <c r="AC12" s="12">
        <f>SUBTOTAL(103,Octobre[27])</f>
        <v>0</v>
      </c>
      <c r="AD12" s="12">
        <f>SUBTOTAL(103,Octobre[28])</f>
        <v>0</v>
      </c>
      <c r="AE12" s="12">
        <f>SUBTOTAL(103,Octobre[29])</f>
        <v>0</v>
      </c>
      <c r="AF12" s="12">
        <f>SUBTOTAL(103,Octobre[30])</f>
        <v>0</v>
      </c>
      <c r="AG12" s="12">
        <f>SUBTOTAL(103,Octobre[31])</f>
        <v>0</v>
      </c>
      <c r="AH12" s="12">
        <f>SUBTOTAL(109,Octobre[Total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537" priority="2" stopIfTrue="1">
      <formula>C7=CléPersonnalisée2</formula>
    </cfRule>
    <cfRule type="expression" dxfId="536" priority="3" stopIfTrue="1">
      <formula>C7=CléPersonnalisée1</formula>
    </cfRule>
    <cfRule type="expression" dxfId="535" priority="4" stopIfTrue="1">
      <formula>C7=CléMaladie</formula>
    </cfRule>
    <cfRule type="expression" dxfId="534" priority="5" stopIfTrue="1">
      <formula>C7=CléPersonnel</formula>
    </cfRule>
    <cfRule type="expression" dxfId="533" priority="6" stopIfTrue="1">
      <formula>C7=CléPrésence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{F32A08EA-50E8-4B5F-AB1F-5A7739FBC16C}</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900-000000000000}"/>
    <dataValidation allowBlank="1" showInputMessage="1" showErrorMessage="1" prompt="Année mise à jour automatiquement en fonction de l’année entrée dans la feuille de calcul Janvier" sqref="AH4" xr:uid="{00000000-0002-0000-0900-000001000000}"/>
    <dataValidation allowBlank="1" showInputMessage="1" showErrorMessage="1" prompt="Calcule automatiquement le nombre total de jours d’absence d’un employé durant ce mois dans cette colonne" sqref="AH6" xr:uid="{00000000-0002-0000-0900-000002000000}"/>
    <dataValidation allowBlank="1" showInputMessage="1" showErrorMessage="1" prompt="Suivez les absences du mois d’octobre dans cette feuille de calcul" sqref="A1" xr:uid="{00000000-0002-0000-09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900-000004000000}"/>
    <dataValidation allowBlank="1" showInputMessage="1" showErrorMessage="1" prompt="Le titre mis à jour automatiquement figure dans cette cellule. Pour modifier le titre, mettez à jour la cellule B1 de la feuille de calcul Janvier" sqref="B1" xr:uid="{00000000-0002-0000-0900-000005000000}"/>
    <dataValidation allowBlank="1" showInputMessage="1" showErrorMessage="1" prompt="La lettre « C » indique une absence pour cause de congé" sqref="C2" xr:uid="{00000000-0002-0000-0900-000006000000}"/>
    <dataValidation allowBlank="1" showInputMessage="1" showErrorMessage="1" prompt="La lettre « P » indique une absence pour motifs personnels" sqref="F2" xr:uid="{00000000-0002-0000-0900-000007000000}"/>
    <dataValidation allowBlank="1" showInputMessage="1" showErrorMessage="1" prompt="La lettre « M » indique une absence pour cause de maladie" sqref="J2" xr:uid="{00000000-0002-0000-0900-000008000000}"/>
    <dataValidation allowBlank="1" showInputMessage="1" showErrorMessage="1" prompt="Entrez une lettre et personnalisez l’étiquette à droite pour ajouter un élément de clé" sqref="M2 R2" xr:uid="{00000000-0002-0000-0900-000009000000}"/>
    <dataValidation allowBlank="1" showInputMessage="1" showErrorMessage="1" prompt="Entrez une étiquette pour décrire la clé personnalisée à gauche" sqref="N2 S2" xr:uid="{00000000-0002-0000-0900-00000A000000}"/>
    <dataValidation allowBlank="1" showInputMessage="1" showErrorMessage="1" prompt="Cette ligne définit les clés utilisées dans le tableau : Congé en C2, Personnel en F2 et Congé maladie en J2. Les cellules M2 et R2 sont personnalisables" sqref="B2" xr:uid="{00000000-0002-0000-09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9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9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900-00000E000000}">
          <x14:formula1>
            <xm:f>'Noms des stagiaires'!$B$4:$B$8</xm:f>
          </x14:formula1>
          <xm:sqref>B7:B11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theme="2" tint="-0.249977111117893"/>
  </sheetPr>
  <dimension ref="A1:AI12"/>
  <sheetViews>
    <sheetView showGridLines="0" zoomScaleNormal="100" workbookViewId="0">
      <selection activeCell="AH7" sqref="AH7:AI11"/>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6.5703125" style="10" customWidth="1"/>
    <col min="10" max="33" width="4.7109375" style="10" customWidth="1"/>
    <col min="34" max="34" width="13.5703125" style="10" customWidth="1"/>
    <col min="35" max="35" width="2.7109375" customWidth="1"/>
  </cols>
  <sheetData>
    <row r="1" spans="2:35" ht="50.1" customHeight="1" x14ac:dyDescent="0.25">
      <c r="B1" s="13" t="str">
        <f>Titre_Absence_Employé</f>
        <v>Calendrier des stagiaires - ESAT JACQUEMART</v>
      </c>
    </row>
    <row r="2" spans="2:35" ht="15" customHeight="1" x14ac:dyDescent="0.25">
      <c r="B2" s="18" t="s">
        <v>59</v>
      </c>
      <c r="C2" s="3" t="s">
        <v>5</v>
      </c>
      <c r="D2" s="40" t="s">
        <v>50</v>
      </c>
      <c r="E2" s="41"/>
      <c r="F2" s="4" t="s">
        <v>69</v>
      </c>
      <c r="G2" s="40" t="s">
        <v>67</v>
      </c>
      <c r="H2" s="41"/>
      <c r="I2" s="41"/>
      <c r="J2" s="5" t="s">
        <v>51</v>
      </c>
      <c r="K2" s="40" t="s">
        <v>68</v>
      </c>
      <c r="L2" s="41"/>
      <c r="M2" s="6"/>
      <c r="N2" s="40"/>
      <c r="O2" s="41"/>
      <c r="P2" s="41"/>
      <c r="Q2" s="41"/>
      <c r="R2" s="7"/>
      <c r="S2" s="41"/>
      <c r="T2" s="41"/>
      <c r="U2" s="41"/>
      <c r="V2" s="41"/>
    </row>
    <row r="3" spans="2:35" ht="15" customHeight="1" x14ac:dyDescent="0.25">
      <c r="B3" s="13"/>
    </row>
    <row r="4" spans="2:35" ht="30" customHeight="1" x14ac:dyDescent="0.25">
      <c r="B4" s="11" t="s">
        <v>47</v>
      </c>
      <c r="C4" s="39" t="s">
        <v>58</v>
      </c>
      <c r="D4" s="39"/>
      <c r="E4" s="39"/>
      <c r="F4" s="39"/>
      <c r="G4" s="39"/>
      <c r="H4" s="39"/>
      <c r="I4" s="39"/>
      <c r="J4" s="39"/>
      <c r="K4" s="39"/>
      <c r="L4" s="39"/>
      <c r="M4" s="39"/>
      <c r="N4" s="39"/>
      <c r="O4" s="39"/>
      <c r="P4" s="39"/>
      <c r="Q4" s="39"/>
      <c r="R4" s="39"/>
      <c r="S4" s="39"/>
      <c r="T4" s="39"/>
      <c r="U4" s="39"/>
      <c r="V4" s="39"/>
      <c r="W4" s="39"/>
      <c r="X4" s="39"/>
      <c r="Y4" s="39"/>
      <c r="Z4" s="39"/>
      <c r="AA4" s="39"/>
      <c r="AB4" s="39"/>
      <c r="AC4" s="39"/>
      <c r="AD4" s="39"/>
      <c r="AE4" s="39"/>
      <c r="AF4" s="39"/>
      <c r="AG4" s="39"/>
      <c r="AH4" s="11">
        <f>AnnéeCalendrier</f>
        <v>2021</v>
      </c>
    </row>
    <row r="5" spans="2:35" ht="15" customHeight="1" x14ac:dyDescent="0.25">
      <c r="B5" s="11"/>
      <c r="C5" s="1" t="str">
        <f>TEXT(WEEKDAY(DATE(AnnéeCalendrier,11,1),1),"jjj")</f>
        <v>lun</v>
      </c>
      <c r="D5" s="1" t="str">
        <f>TEXT(WEEKDAY(DATE(AnnéeCalendrier,11,2),1),"jjj")</f>
        <v>mar</v>
      </c>
      <c r="E5" s="1" t="str">
        <f>TEXT(WEEKDAY(DATE(AnnéeCalendrier,11,3),1),"jjj")</f>
        <v>mer</v>
      </c>
      <c r="F5" s="1" t="str">
        <f>TEXT(WEEKDAY(DATE(AnnéeCalendrier,11,4),1),"jjj")</f>
        <v>jeu</v>
      </c>
      <c r="G5" s="1" t="str">
        <f>TEXT(WEEKDAY(DATE(AnnéeCalendrier,11,5),1),"jjj")</f>
        <v>ven</v>
      </c>
      <c r="H5" s="1" t="str">
        <f>TEXT(WEEKDAY(DATE(AnnéeCalendrier,11,6),1),"jjj")</f>
        <v>sam</v>
      </c>
      <c r="I5" s="1" t="str">
        <f>TEXT(WEEKDAY(DATE(AnnéeCalendrier,11,7),1),"jjj")</f>
        <v>dim</v>
      </c>
      <c r="J5" s="1" t="str">
        <f>TEXT(WEEKDAY(DATE(AnnéeCalendrier,11,8),1),"jjj")</f>
        <v>lun</v>
      </c>
      <c r="K5" s="1" t="str">
        <f>TEXT(WEEKDAY(DATE(AnnéeCalendrier,11,9),1),"jjj")</f>
        <v>mar</v>
      </c>
      <c r="L5" s="1" t="str">
        <f>TEXT(WEEKDAY(DATE(AnnéeCalendrier,11,10),1),"jjj")</f>
        <v>mer</v>
      </c>
      <c r="M5" s="1" t="str">
        <f>TEXT(WEEKDAY(DATE(AnnéeCalendrier,11,11),1),"jjj")</f>
        <v>jeu</v>
      </c>
      <c r="N5" s="1" t="str">
        <f>TEXT(WEEKDAY(DATE(AnnéeCalendrier,11,12),1),"jjj")</f>
        <v>ven</v>
      </c>
      <c r="O5" s="1" t="str">
        <f>TEXT(WEEKDAY(DATE(AnnéeCalendrier,11,13),1),"jjj")</f>
        <v>sam</v>
      </c>
      <c r="P5" s="1" t="str">
        <f>TEXT(WEEKDAY(DATE(AnnéeCalendrier,11,14),1),"jjj")</f>
        <v>dim</v>
      </c>
      <c r="Q5" s="1" t="str">
        <f>TEXT(WEEKDAY(DATE(AnnéeCalendrier,11,15),1),"jjj")</f>
        <v>lun</v>
      </c>
      <c r="R5" s="1" t="str">
        <f>TEXT(WEEKDAY(DATE(AnnéeCalendrier,11,16),1),"jjj")</f>
        <v>mar</v>
      </c>
      <c r="S5" s="1" t="str">
        <f>TEXT(WEEKDAY(DATE(AnnéeCalendrier,11,17),1),"jjj")</f>
        <v>mer</v>
      </c>
      <c r="T5" s="1" t="str">
        <f>TEXT(WEEKDAY(DATE(AnnéeCalendrier,11,18),1),"jjj")</f>
        <v>jeu</v>
      </c>
      <c r="U5" s="1" t="str">
        <f>TEXT(WEEKDAY(DATE(AnnéeCalendrier,11,19),1),"jjj")</f>
        <v>ven</v>
      </c>
      <c r="V5" s="1" t="str">
        <f>TEXT(WEEKDAY(DATE(AnnéeCalendrier,11,20),1),"jjj")</f>
        <v>sam</v>
      </c>
      <c r="W5" s="1" t="str">
        <f>TEXT(WEEKDAY(DATE(AnnéeCalendrier,11,21),1),"jjj")</f>
        <v>dim</v>
      </c>
      <c r="X5" s="1" t="str">
        <f>TEXT(WEEKDAY(DATE(AnnéeCalendrier,11,22),1),"jjj")</f>
        <v>lun</v>
      </c>
      <c r="Y5" s="1" t="str">
        <f>TEXT(WEEKDAY(DATE(AnnéeCalendrier,11,23),1),"jjj")</f>
        <v>mar</v>
      </c>
      <c r="Z5" s="1" t="str">
        <f>TEXT(WEEKDAY(DATE(AnnéeCalendrier,11,24),1),"jjj")</f>
        <v>mer</v>
      </c>
      <c r="AA5" s="1" t="str">
        <f>TEXT(WEEKDAY(DATE(AnnéeCalendrier,11,25),1),"jjj")</f>
        <v>jeu</v>
      </c>
      <c r="AB5" s="1" t="str">
        <f>TEXT(WEEKDAY(DATE(AnnéeCalendrier,11,26),1),"jjj")</f>
        <v>ven</v>
      </c>
      <c r="AC5" s="1" t="str">
        <f>TEXT(WEEKDAY(DATE(AnnéeCalendrier,11,27),1),"jjj")</f>
        <v>sam</v>
      </c>
      <c r="AD5" s="1" t="str">
        <f>TEXT(WEEKDAY(DATE(AnnéeCalendrier,11,28),1),"jjj")</f>
        <v>dim</v>
      </c>
      <c r="AE5" s="1" t="str">
        <f>TEXT(WEEKDAY(DATE(AnnéeCalendrier,11,29),1),"jjj")</f>
        <v>lun</v>
      </c>
      <c r="AF5" s="1" t="str">
        <f>TEXT(WEEKDAY(DATE(AnnéeCalendrier,11,30),1),"jjj")</f>
        <v>mar</v>
      </c>
      <c r="AG5" s="1"/>
      <c r="AH5" s="11"/>
    </row>
    <row r="6" spans="2:35"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37</v>
      </c>
      <c r="AH6" s="15" t="s">
        <v>35</v>
      </c>
      <c r="AI6" t="s">
        <v>71</v>
      </c>
    </row>
    <row r="7" spans="2:35" ht="30" customHeight="1" x14ac:dyDescent="0.25">
      <c r="B7" s="16" t="s">
        <v>60</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row>
    <row r="8" spans="2:35"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row>
    <row r="9" spans="2:35"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row>
    <row r="10" spans="2:35"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row>
    <row r="11" spans="2:35"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row>
    <row r="12" spans="2:35" ht="30" customHeight="1" x14ac:dyDescent="0.25">
      <c r="B12" s="20" t="str">
        <f>NomMois&amp;" Total"</f>
        <v>Novembre Total</v>
      </c>
      <c r="C12" s="12">
        <f>SUBTOTAL(103,Novembre[1])</f>
        <v>0</v>
      </c>
      <c r="D12" s="12">
        <f>SUBTOTAL(103,Novembre[2])</f>
        <v>0</v>
      </c>
      <c r="E12" s="12">
        <f>SUBTOTAL(103,Novembre[3])</f>
        <v>0</v>
      </c>
      <c r="F12" s="12">
        <f>SUBTOTAL(103,Novembre[4])</f>
        <v>0</v>
      </c>
      <c r="G12" s="12">
        <f>SUBTOTAL(103,Novembre[5])</f>
        <v>0</v>
      </c>
      <c r="H12" s="12">
        <f>SUBTOTAL(103,Novembre[6])</f>
        <v>0</v>
      </c>
      <c r="I12" s="12">
        <f>SUBTOTAL(103,Novembre[7])</f>
        <v>0</v>
      </c>
      <c r="J12" s="12">
        <f>SUBTOTAL(103,Novembre[8])</f>
        <v>0</v>
      </c>
      <c r="K12" s="12">
        <f>SUBTOTAL(103,Novembre[9])</f>
        <v>0</v>
      </c>
      <c r="L12" s="12">
        <f>SUBTOTAL(103,Novembre[10])</f>
        <v>0</v>
      </c>
      <c r="M12" s="12">
        <f>SUBTOTAL(103,Novembre[11])</f>
        <v>0</v>
      </c>
      <c r="N12" s="12">
        <f>SUBTOTAL(103,Novembre[12])</f>
        <v>0</v>
      </c>
      <c r="O12" s="12">
        <f>SUBTOTAL(103,Novembre[13])</f>
        <v>0</v>
      </c>
      <c r="P12" s="12">
        <f>SUBTOTAL(103,Novembre[14])</f>
        <v>0</v>
      </c>
      <c r="Q12" s="12">
        <f>SUBTOTAL(103,Novembre[15])</f>
        <v>0</v>
      </c>
      <c r="R12" s="12">
        <f>SUBTOTAL(103,Novembre[16])</f>
        <v>0</v>
      </c>
      <c r="S12" s="12">
        <f>SUBTOTAL(103,Novembre[17])</f>
        <v>0</v>
      </c>
      <c r="T12" s="12">
        <f>SUBTOTAL(103,Novembre[18])</f>
        <v>0</v>
      </c>
      <c r="U12" s="12">
        <f>SUBTOTAL(103,Novembre[19])</f>
        <v>0</v>
      </c>
      <c r="V12" s="12">
        <f>SUBTOTAL(103,Novembre[20])</f>
        <v>0</v>
      </c>
      <c r="W12" s="12">
        <f>SUBTOTAL(103,Novembre[21])</f>
        <v>0</v>
      </c>
      <c r="X12" s="12">
        <f>SUBTOTAL(103,Novembre[22])</f>
        <v>0</v>
      </c>
      <c r="Y12" s="12">
        <f>SUBTOTAL(103,Novembre[23])</f>
        <v>0</v>
      </c>
      <c r="Z12" s="12">
        <f>SUBTOTAL(103,Novembre[24])</f>
        <v>0</v>
      </c>
      <c r="AA12" s="12">
        <f>SUBTOTAL(103,Novembre[25])</f>
        <v>0</v>
      </c>
      <c r="AB12" s="12">
        <f>SUBTOTAL(103,Novembre[26])</f>
        <v>0</v>
      </c>
      <c r="AC12" s="12">
        <f>SUBTOTAL(103,Novembre[27])</f>
        <v>0</v>
      </c>
      <c r="AD12" s="12">
        <f>SUBTOTAL(103,Novembre[28])</f>
        <v>0</v>
      </c>
      <c r="AE12" s="12">
        <f>SUBTOTAL(103,Novembre[29])</f>
        <v>0</v>
      </c>
      <c r="AF12" s="12">
        <f>SUBTOTAL(103,Novembre[30])</f>
        <v>0</v>
      </c>
      <c r="AG12" s="12">
        <f>SUBTOTAL(103,Novembre[[ ]])</f>
        <v>0</v>
      </c>
      <c r="AH12" s="12">
        <f>SUBTOTAL(109,Novembre[Total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96" priority="2" stopIfTrue="1">
      <formula>C7=CléPersonnalisée2</formula>
    </cfRule>
    <cfRule type="expression" dxfId="495" priority="3" stopIfTrue="1">
      <formula>C7=CléPersonnalisée1</formula>
    </cfRule>
    <cfRule type="expression" dxfId="494" priority="4" stopIfTrue="1">
      <formula>C7=CléMaladie</formula>
    </cfRule>
    <cfRule type="expression" dxfId="493" priority="5" stopIfTrue="1">
      <formula>C7=CléPersonnel</formula>
    </cfRule>
    <cfRule type="expression" dxfId="492" priority="6" stopIfTrue="1">
      <formula>C7=CléPrésence</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{27D92E49-5CF1-46DF-AD7A-3A5E92F274F3}</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A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A00-000001000000}"/>
    <dataValidation allowBlank="1" showInputMessage="1" showErrorMessage="1" prompt="Cette ligne définit les clés utilisées dans le tableau : Congé en C2, Personnel en F2 et Congé maladie en J2. Les cellules M2 et R2 sont personnalisables" sqref="B2" xr:uid="{00000000-0002-0000-0A00-000002000000}"/>
    <dataValidation allowBlank="1" showInputMessage="1" showErrorMessage="1" prompt="Entrez une étiquette pour décrire la clé personnalisée à gauche" sqref="N2 S2" xr:uid="{00000000-0002-0000-0A00-000003000000}"/>
    <dataValidation allowBlank="1" showInputMessage="1" showErrorMessage="1" prompt="Entrez une lettre et personnalisez l’étiquette à droite pour ajouter un élément de clé" sqref="M2 R2" xr:uid="{00000000-0002-0000-0A00-000004000000}"/>
    <dataValidation allowBlank="1" showInputMessage="1" showErrorMessage="1" prompt="La lettre « M » indique une absence pour cause de maladie" sqref="J2" xr:uid="{00000000-0002-0000-0A00-000005000000}"/>
    <dataValidation allowBlank="1" showInputMessage="1" showErrorMessage="1" prompt="La lettre « P » indique une absence pour motifs personnels" sqref="F2" xr:uid="{00000000-0002-0000-0A00-000006000000}"/>
    <dataValidation allowBlank="1" showInputMessage="1" showErrorMessage="1" prompt="La lettre « C » indique une absence pour cause de congé" sqref="C2" xr:uid="{00000000-0002-0000-0A00-000007000000}"/>
    <dataValidation allowBlank="1" showInputMessage="1" showErrorMessage="1" prompt="Le titre mis à jour automatiquement figure dans cette cellule. Pour modifier le titre, mettez à jour la cellule B1 de la feuille de calcul Janvier" sqref="B1" xr:uid="{00000000-0002-0000-0A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A00-000009000000}"/>
    <dataValidation allowBlank="1" showInputMessage="1" showErrorMessage="1" prompt="Suivez les absences du mois de novembre dans cette feuille de calcul" sqref="A1" xr:uid="{00000000-0002-0000-0A00-00000A000000}"/>
    <dataValidation allowBlank="1" showInputMessage="1" showErrorMessage="1" prompt="Calcule automatiquement le nombre total de jours d’absence d’un employé durant ce mois dans cette colonne" sqref="AH6" xr:uid="{00000000-0002-0000-0A00-00000B000000}"/>
    <dataValidation allowBlank="1" showInputMessage="1" showErrorMessage="1" prompt="Année mise à jour automatiquement en fonction de l’année entrée dans la feuille de calcul Janvier" sqref="AH4" xr:uid="{00000000-0002-0000-0A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A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A00-00000E000000}">
          <x14:formula1>
            <xm:f>'Noms des stagiaires'!$B$4:$B$8</xm:f>
          </x14:formula1>
          <xm:sqref>B7:B11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theme="7" tint="0.79998168889431442"/>
  </sheetPr>
  <dimension ref="A1:AI12"/>
  <sheetViews>
    <sheetView showGridLines="0" zoomScaleNormal="100" workbookViewId="0">
      <selection activeCell="AJ10" sqref="AJ10"/>
    </sheetView>
  </sheetViews>
  <sheetFormatPr baseColWidth="10" defaultColWidth="9.140625" defaultRowHeight="30" customHeight="1" x14ac:dyDescent="0.25"/>
  <cols>
    <col min="1" max="1" width="2.7109375" style="10" customWidth="1"/>
    <col min="2" max="2" width="25.7109375" style="10" customWidth="1"/>
    <col min="3" max="8" width="4.7109375" style="10" customWidth="1"/>
    <col min="9" max="9" width="6.7109375" style="10" customWidth="1"/>
    <col min="10" max="33" width="4.7109375" style="10" customWidth="1"/>
    <col min="34" max="34" width="13.5703125" style="10" customWidth="1"/>
    <col min="35" max="35" width="2.7109375" customWidth="1"/>
  </cols>
  <sheetData>
    <row r="1" spans="2:35" ht="50.1" customHeight="1" x14ac:dyDescent="0.25">
      <c r="B1" s="13" t="str">
        <f>Titre_Absence_Employé</f>
        <v>Calendrier des stagiaires - ESAT JACQUEMART</v>
      </c>
    </row>
    <row r="2" spans="2:35" ht="15" customHeight="1" x14ac:dyDescent="0.25">
      <c r="B2" s="18" t="s">
        <v>59</v>
      </c>
      <c r="C2" s="3" t="s">
        <v>5</v>
      </c>
      <c r="D2" s="40" t="s">
        <v>50</v>
      </c>
      <c r="E2" s="41"/>
      <c r="F2" s="4" t="s">
        <v>69</v>
      </c>
      <c r="G2" s="40" t="s">
        <v>67</v>
      </c>
      <c r="H2" s="41"/>
      <c r="I2" s="41"/>
      <c r="J2" s="5" t="s">
        <v>51</v>
      </c>
      <c r="K2" s="40" t="s">
        <v>68</v>
      </c>
      <c r="L2" s="41"/>
      <c r="M2" s="6"/>
      <c r="N2" s="40"/>
      <c r="O2" s="41"/>
      <c r="P2" s="41"/>
      <c r="Q2" s="41"/>
      <c r="R2" s="7"/>
      <c r="S2" s="41"/>
      <c r="T2" s="41"/>
      <c r="U2" s="41"/>
      <c r="V2" s="41"/>
    </row>
    <row r="3" spans="2:35" ht="15" customHeight="1" x14ac:dyDescent="0.25">
      <c r="B3" s="13"/>
    </row>
    <row r="4" spans="2:35" ht="30" customHeight="1" x14ac:dyDescent="0.25">
      <c r="B4" s="11" t="s">
        <v>48</v>
      </c>
      <c r="C4" s="39" t="s">
        <v>58</v>
      </c>
      <c r="D4" s="39"/>
      <c r="E4" s="39"/>
      <c r="F4" s="39"/>
      <c r="G4" s="39"/>
      <c r="H4" s="39"/>
      <c r="I4" s="39"/>
      <c r="J4" s="39"/>
      <c r="K4" s="39"/>
      <c r="L4" s="39"/>
      <c r="M4" s="39"/>
      <c r="N4" s="39"/>
      <c r="O4" s="39"/>
      <c r="P4" s="39"/>
      <c r="Q4" s="39"/>
      <c r="R4" s="39"/>
      <c r="S4" s="39"/>
      <c r="T4" s="39"/>
      <c r="U4" s="39"/>
      <c r="V4" s="39"/>
      <c r="W4" s="39"/>
      <c r="X4" s="39"/>
      <c r="Y4" s="39"/>
      <c r="Z4" s="39"/>
      <c r="AA4" s="39"/>
      <c r="AB4" s="39"/>
      <c r="AC4" s="39"/>
      <c r="AD4" s="39"/>
      <c r="AE4" s="39"/>
      <c r="AF4" s="39"/>
      <c r="AG4" s="39"/>
      <c r="AH4" s="11">
        <f>AnnéeCalendrier</f>
        <v>2021</v>
      </c>
    </row>
    <row r="5" spans="2:35" ht="15" customHeight="1" x14ac:dyDescent="0.25">
      <c r="B5" s="11"/>
      <c r="C5" s="1" t="str">
        <f>TEXT(WEEKDAY(DATE(AnnéeCalendrier,12,1),1),"jjj")</f>
        <v>mer</v>
      </c>
      <c r="D5" s="1" t="str">
        <f>TEXT(WEEKDAY(DATE(AnnéeCalendrier,12,2),1),"jjj")</f>
        <v>jeu</v>
      </c>
      <c r="E5" s="1" t="str">
        <f>TEXT(WEEKDAY(DATE(AnnéeCalendrier,12,3),1),"jjj")</f>
        <v>ven</v>
      </c>
      <c r="F5" s="1" t="str">
        <f>TEXT(WEEKDAY(DATE(AnnéeCalendrier,12,4),1),"jjj")</f>
        <v>sam</v>
      </c>
      <c r="G5" s="1" t="str">
        <f>TEXT(WEEKDAY(DATE(AnnéeCalendrier,12,5),1),"jjj")</f>
        <v>dim</v>
      </c>
      <c r="H5" s="1" t="str">
        <f>TEXT(WEEKDAY(DATE(AnnéeCalendrier,12,6),1),"jjj")</f>
        <v>lun</v>
      </c>
      <c r="I5" s="1" t="str">
        <f>TEXT(WEEKDAY(DATE(AnnéeCalendrier,12,7),1),"jjj")</f>
        <v>mar</v>
      </c>
      <c r="J5" s="1" t="str">
        <f>TEXT(WEEKDAY(DATE(AnnéeCalendrier,12,8),1),"jjj")</f>
        <v>mer</v>
      </c>
      <c r="K5" s="1" t="str">
        <f>TEXT(WEEKDAY(DATE(AnnéeCalendrier,12,9),1),"jjj")</f>
        <v>jeu</v>
      </c>
      <c r="L5" s="1" t="str">
        <f>TEXT(WEEKDAY(DATE(AnnéeCalendrier,12,10),1),"jjj")</f>
        <v>ven</v>
      </c>
      <c r="M5" s="1" t="str">
        <f>TEXT(WEEKDAY(DATE(AnnéeCalendrier,12,11),1),"jjj")</f>
        <v>sam</v>
      </c>
      <c r="N5" s="1" t="str">
        <f>TEXT(WEEKDAY(DATE(AnnéeCalendrier,12,12),1),"jjj")</f>
        <v>dim</v>
      </c>
      <c r="O5" s="1" t="str">
        <f>TEXT(WEEKDAY(DATE(AnnéeCalendrier,12,13),1),"jjj")</f>
        <v>lun</v>
      </c>
      <c r="P5" s="1" t="str">
        <f>TEXT(WEEKDAY(DATE(AnnéeCalendrier,12,14),1),"jjj")</f>
        <v>mar</v>
      </c>
      <c r="Q5" s="1" t="str">
        <f>TEXT(WEEKDAY(DATE(AnnéeCalendrier,12,15),1),"jjj")</f>
        <v>mer</v>
      </c>
      <c r="R5" s="1" t="str">
        <f>TEXT(WEEKDAY(DATE(AnnéeCalendrier,12,16),1),"jjj")</f>
        <v>jeu</v>
      </c>
      <c r="S5" s="1" t="str">
        <f>TEXT(WEEKDAY(DATE(AnnéeCalendrier,12,17),1),"jjj")</f>
        <v>ven</v>
      </c>
      <c r="T5" s="1" t="str">
        <f>TEXT(WEEKDAY(DATE(AnnéeCalendrier,12,18),1),"jjj")</f>
        <v>sam</v>
      </c>
      <c r="U5" s="1" t="str">
        <f>TEXT(WEEKDAY(DATE(AnnéeCalendrier,12,19),1),"jjj")</f>
        <v>dim</v>
      </c>
      <c r="V5" s="1" t="str">
        <f>TEXT(WEEKDAY(DATE(AnnéeCalendrier,12,20),1),"jjj")</f>
        <v>lun</v>
      </c>
      <c r="W5" s="1" t="str">
        <f>TEXT(WEEKDAY(DATE(AnnéeCalendrier,12,21),1),"jjj")</f>
        <v>mar</v>
      </c>
      <c r="X5" s="1" t="str">
        <f>TEXT(WEEKDAY(DATE(AnnéeCalendrier,12,22),1),"jjj")</f>
        <v>mer</v>
      </c>
      <c r="Y5" s="1" t="str">
        <f>TEXT(WEEKDAY(DATE(AnnéeCalendrier,12,23),1),"jjj")</f>
        <v>jeu</v>
      </c>
      <c r="Z5" s="1" t="str">
        <f>TEXT(WEEKDAY(DATE(AnnéeCalendrier,12,24),1),"jjj")</f>
        <v>ven</v>
      </c>
      <c r="AA5" s="1" t="str">
        <f>TEXT(WEEKDAY(DATE(AnnéeCalendrier,12,25),1),"jjj")</f>
        <v>sam</v>
      </c>
      <c r="AB5" s="1" t="str">
        <f>TEXT(WEEKDAY(DATE(AnnéeCalendrier,12,26),1),"jjj")</f>
        <v>dim</v>
      </c>
      <c r="AC5" s="1" t="str">
        <f>TEXT(WEEKDAY(DATE(AnnéeCalendrier,12,27),1),"jjj")</f>
        <v>lun</v>
      </c>
      <c r="AD5" s="1" t="str">
        <f>TEXT(WEEKDAY(DATE(AnnéeCalendrier,12,28),1),"jjj")</f>
        <v>mar</v>
      </c>
      <c r="AE5" s="1" t="str">
        <f>TEXT(WEEKDAY(DATE(AnnéeCalendrier,12,29),1),"jjj")</f>
        <v>mer</v>
      </c>
      <c r="AF5" s="1" t="str">
        <f>TEXT(WEEKDAY(DATE(AnnéeCalendrier,12,30),1),"jjj")</f>
        <v>jeu</v>
      </c>
      <c r="AG5" s="1" t="str">
        <f>TEXT(WEEKDAY(DATE(AnnéeCalendrier,12,31),1),"jjj")</f>
        <v>ven</v>
      </c>
      <c r="AH5" s="11"/>
    </row>
    <row r="6" spans="2:35" ht="15" customHeight="1" x14ac:dyDescent="0.25">
      <c r="B6" s="14" t="s">
        <v>1</v>
      </c>
      <c r="C6" s="2" t="s">
        <v>2</v>
      </c>
      <c r="D6" s="2" t="s">
        <v>3</v>
      </c>
      <c r="E6" s="2" t="s">
        <v>4</v>
      </c>
      <c r="F6" s="2" t="s">
        <v>6</v>
      </c>
      <c r="G6" s="2" t="s">
        <v>7</v>
      </c>
      <c r="H6" s="2" t="s">
        <v>8</v>
      </c>
      <c r="I6" s="2" t="s">
        <v>9</v>
      </c>
      <c r="J6" s="2" t="s">
        <v>10</v>
      </c>
      <c r="K6" s="2" t="s">
        <v>11</v>
      </c>
      <c r="L6" s="2" t="s">
        <v>12</v>
      </c>
      <c r="M6" s="2" t="s">
        <v>13</v>
      </c>
      <c r="N6" s="2" t="s">
        <v>14</v>
      </c>
      <c r="O6" s="2" t="s">
        <v>15</v>
      </c>
      <c r="P6" s="2" t="s">
        <v>16</v>
      </c>
      <c r="Q6" s="2" t="s">
        <v>17</v>
      </c>
      <c r="R6" s="2" t="s">
        <v>18</v>
      </c>
      <c r="S6" s="2" t="s">
        <v>19</v>
      </c>
      <c r="T6" s="2" t="s">
        <v>20</v>
      </c>
      <c r="U6" s="2" t="s">
        <v>21</v>
      </c>
      <c r="V6" s="2" t="s">
        <v>22</v>
      </c>
      <c r="W6" s="2" t="s">
        <v>23</v>
      </c>
      <c r="X6" s="2" t="s">
        <v>24</v>
      </c>
      <c r="Y6" s="2" t="s">
        <v>25</v>
      </c>
      <c r="Z6" s="2" t="s">
        <v>26</v>
      </c>
      <c r="AA6" s="2" t="s">
        <v>27</v>
      </c>
      <c r="AB6" s="2" t="s">
        <v>28</v>
      </c>
      <c r="AC6" s="2" t="s">
        <v>29</v>
      </c>
      <c r="AD6" s="2" t="s">
        <v>30</v>
      </c>
      <c r="AE6" s="2" t="s">
        <v>31</v>
      </c>
      <c r="AF6" s="2" t="s">
        <v>32</v>
      </c>
      <c r="AG6" s="2" t="s">
        <v>33</v>
      </c>
      <c r="AH6" s="15" t="s">
        <v>35</v>
      </c>
      <c r="AI6" t="s">
        <v>71</v>
      </c>
    </row>
    <row r="7" spans="2:35" ht="30" customHeight="1" x14ac:dyDescent="0.25">
      <c r="B7" s="16" t="s">
        <v>60</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row>
    <row r="8" spans="2:35" ht="30" customHeight="1" x14ac:dyDescent="0.25">
      <c r="B8" s="16" t="s">
        <v>54</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row>
    <row r="9" spans="2:35" ht="30" customHeight="1" x14ac:dyDescent="0.25">
      <c r="B9" s="16" t="s">
        <v>55</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row>
    <row r="10" spans="2:35" ht="30" customHeight="1" x14ac:dyDescent="0.25">
      <c r="B10" s="16" t="s">
        <v>56</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row>
    <row r="11" spans="2:35" ht="30" customHeight="1" x14ac:dyDescent="0.25">
      <c r="B11" s="16" t="s">
        <v>57</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row>
    <row r="12" spans="2:35" ht="30" customHeight="1" x14ac:dyDescent="0.25">
      <c r="B12" s="20" t="str">
        <f>NomMois&amp;" Total"</f>
        <v>Décembre Total</v>
      </c>
      <c r="C12" s="12">
        <f>SUBTOTAL(103,Décembre[1])</f>
        <v>0</v>
      </c>
      <c r="D12" s="12">
        <f>SUBTOTAL(103,Décembre[2])</f>
        <v>0</v>
      </c>
      <c r="E12" s="12">
        <f>SUBTOTAL(103,Décembre[3])</f>
        <v>0</v>
      </c>
      <c r="F12" s="12">
        <f>SUBTOTAL(103,Décembre[4])</f>
        <v>0</v>
      </c>
      <c r="G12" s="12">
        <f>SUBTOTAL(103,Décembre[5])</f>
        <v>0</v>
      </c>
      <c r="H12" s="12">
        <f>SUBTOTAL(103,Décembre[6])</f>
        <v>0</v>
      </c>
      <c r="I12" s="12">
        <f>SUBTOTAL(103,Décembre[7])</f>
        <v>0</v>
      </c>
      <c r="J12" s="12">
        <f>SUBTOTAL(103,Décembre[8])</f>
        <v>0</v>
      </c>
      <c r="K12" s="12">
        <f>SUBTOTAL(103,Décembre[9])</f>
        <v>0</v>
      </c>
      <c r="L12" s="12">
        <f>SUBTOTAL(103,Décembre[10])</f>
        <v>0</v>
      </c>
      <c r="M12" s="12">
        <f>SUBTOTAL(103,Décembre[11])</f>
        <v>0</v>
      </c>
      <c r="N12" s="12">
        <f>SUBTOTAL(103,Décembre[12])</f>
        <v>0</v>
      </c>
      <c r="O12" s="12">
        <f>SUBTOTAL(103,Décembre[13])</f>
        <v>0</v>
      </c>
      <c r="P12" s="12">
        <f>SUBTOTAL(103,Décembre[14])</f>
        <v>0</v>
      </c>
      <c r="Q12" s="12">
        <f>SUBTOTAL(103,Décembre[15])</f>
        <v>0</v>
      </c>
      <c r="R12" s="12">
        <f>SUBTOTAL(103,Décembre[16])</f>
        <v>0</v>
      </c>
      <c r="S12" s="12">
        <f>SUBTOTAL(103,Décembre[17])</f>
        <v>0</v>
      </c>
      <c r="T12" s="12">
        <f>SUBTOTAL(103,Décembre[18])</f>
        <v>0</v>
      </c>
      <c r="U12" s="12">
        <f>SUBTOTAL(103,Décembre[19])</f>
        <v>0</v>
      </c>
      <c r="V12" s="12">
        <f>SUBTOTAL(103,Décembre[20])</f>
        <v>0</v>
      </c>
      <c r="W12" s="12">
        <f>SUBTOTAL(103,Décembre[21])</f>
        <v>0</v>
      </c>
      <c r="X12" s="12">
        <f>SUBTOTAL(103,Décembre[22])</f>
        <v>0</v>
      </c>
      <c r="Y12" s="12">
        <f>SUBTOTAL(103,Décembre[23])</f>
        <v>0</v>
      </c>
      <c r="Z12" s="12">
        <f>SUBTOTAL(103,Décembre[24])</f>
        <v>0</v>
      </c>
      <c r="AA12" s="12">
        <f>SUBTOTAL(103,Décembre[25])</f>
        <v>0</v>
      </c>
      <c r="AB12" s="12">
        <f>SUBTOTAL(103,Décembre[26])</f>
        <v>0</v>
      </c>
      <c r="AC12" s="12">
        <f>SUBTOTAL(103,Décembre[27])</f>
        <v>0</v>
      </c>
      <c r="AD12" s="12">
        <f>SUBTOTAL(103,Décembre[28])</f>
        <v>0</v>
      </c>
      <c r="AE12" s="12">
        <f>SUBTOTAL(103,Décembre[29])</f>
        <v>0</v>
      </c>
      <c r="AF12" s="12">
        <f>SUBTOTAL(103,Décembre[30])</f>
        <v>0</v>
      </c>
      <c r="AG12" s="12">
        <f>SUBTOTAL(103,Décembre[31])</f>
        <v>0</v>
      </c>
      <c r="AH12" s="12">
        <f>SUBTOTAL(109,Décembre[Total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55" priority="2" stopIfTrue="1">
      <formula>C7=CléPersonnalisée2</formula>
    </cfRule>
    <cfRule type="expression" dxfId="454" priority="3" stopIfTrue="1">
      <formula>C7=CléPersonnalisée1</formula>
    </cfRule>
    <cfRule type="expression" dxfId="453" priority="4" stopIfTrue="1">
      <formula>C7=CléMaladie</formula>
    </cfRule>
    <cfRule type="expression" dxfId="452" priority="5" stopIfTrue="1">
      <formula>C7=CléPersonnel</formula>
    </cfRule>
    <cfRule type="expression" dxfId="451" priority="6" stopIfTrue="1">
      <formula>C7=CléPrésence</formula>
    </cfRule>
  </conditionalFormatting>
  <conditionalFormatting sqref="AH7:AH11">
    <cfRule type="dataBar" priority="30">
      <dataBar>
        <cfvo type="min"/>
        <cfvo type="formula" val="DATEDIF(DATE(AnnéeCalendrier,2,1),DATE(AnnéeCalendrier,3,1),&quot;d&quot;)"/>
        <color theme="2" tint="-0.249977111117893"/>
      </dataBar>
      <extLst>
        <ext xmlns:x14="http://schemas.microsoft.com/office/spreadsheetml/2009/9/main" uri="{B025F937-C7B1-47D3-B67F-A62EFF666E3E}">
          <x14:id>{17586780-365B-4F4C-BBB4-F5991705D361}</x14:id>
        </ext>
      </extLst>
    </cfRule>
  </conditionalFormatting>
  <dataValidations count="14">
    <dataValidation allowBlank="1" showInputMessage="1" showErrorMessage="1" prompt="Année mise à jour automatiquement en fonction de l’année entrée dans la feuille de calcul Janvier" sqref="AH4" xr:uid="{00000000-0002-0000-0B00-000000000000}"/>
    <dataValidation allowBlank="1" showInputMessage="1" showErrorMessage="1" prompt="Calcule automatiquement le nombre total de jours d’absence d’un employé durant ce mois dans cette colonne" sqref="AH6" xr:uid="{00000000-0002-0000-0B00-000001000000}"/>
    <dataValidation allowBlank="1" showInputMessage="1" showErrorMessage="1" prompt="Suivez les absences du mois de décembre dans cette feuille de calcul" sqref="A1" xr:uid="{00000000-0002-0000-0B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B00-000003000000}"/>
    <dataValidation allowBlank="1" showInputMessage="1" showErrorMessage="1" prompt="Le titre mis à jour automatiquement figure dans cette cellule. Pour modifier le titre, mettez à jour la cellule B1 de la feuille de calcul Janvier" sqref="B1" xr:uid="{00000000-0002-0000-0B00-000004000000}"/>
    <dataValidation allowBlank="1" showInputMessage="1" showErrorMessage="1" prompt="La lettre « C » indique une absence pour cause de congé" sqref="C2" xr:uid="{00000000-0002-0000-0B00-000005000000}"/>
    <dataValidation allowBlank="1" showInputMessage="1" showErrorMessage="1" prompt="La lettre « P » indique une absence pour motifs personnels" sqref="F2" xr:uid="{00000000-0002-0000-0B00-000006000000}"/>
    <dataValidation allowBlank="1" showInputMessage="1" showErrorMessage="1" prompt="La lettre « M » indique une absence pour cause de maladie" sqref="J2" xr:uid="{00000000-0002-0000-0B00-000007000000}"/>
    <dataValidation allowBlank="1" showInputMessage="1" showErrorMessage="1" prompt="Entrez une lettre et personnalisez l’étiquette à droite pour ajouter un élément de clé" sqref="M2 R2" xr:uid="{00000000-0002-0000-0B00-000008000000}"/>
    <dataValidation allowBlank="1" showInputMessage="1" showErrorMessage="1" prompt="Entrez une étiquette pour décrire la clé personnalisée à gauche" sqref="N2 S2" xr:uid="{00000000-0002-0000-0B00-000009000000}"/>
    <dataValidation allowBlank="1" showInputMessage="1" showErrorMessage="1" prompt="Cette ligne définit les clés utilisées dans le tableau : Congé en C2, Personnel en F2 et Congé maladie en J2. Les cellules M2 et R2 sont personnalisables" sqref="B2" xr:uid="{00000000-0002-0000-0B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B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B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B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B00-00000E000000}">
          <x14:formula1>
            <xm:f>'Noms des stagiaires'!$B$4:$B$8</xm:f>
          </x14:formula1>
          <xm:sqref>B7:B11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1"/>
  </sheetPr>
  <dimension ref="B1:H8"/>
  <sheetViews>
    <sheetView showGridLines="0" topLeftCell="B1" workbookViewId="0">
      <selection activeCell="H4" sqref="H4"/>
    </sheetView>
  </sheetViews>
  <sheetFormatPr baseColWidth="10" defaultColWidth="9.140625" defaultRowHeight="30" customHeight="1" x14ac:dyDescent="0.25"/>
  <cols>
    <col min="1" max="1" width="2.7109375" customWidth="1"/>
    <col min="2" max="2" width="30.7109375" customWidth="1"/>
    <col min="3" max="5" width="19" customWidth="1"/>
    <col min="6" max="6" width="26.140625" customWidth="1"/>
    <col min="7" max="7" width="25.5703125" bestFit="1" customWidth="1"/>
    <col min="8" max="8" width="22.140625" bestFit="1" customWidth="1"/>
  </cols>
  <sheetData>
    <row r="1" spans="2:8" ht="50.1" customHeight="1" x14ac:dyDescent="0.25">
      <c r="B1" s="21" t="s">
        <v>53</v>
      </c>
    </row>
    <row r="2" spans="2:8" ht="15" customHeight="1" x14ac:dyDescent="0.25"/>
    <row r="3" spans="2:8" ht="30" customHeight="1" x14ac:dyDescent="0.25">
      <c r="B3" t="s">
        <v>53</v>
      </c>
      <c r="C3" s="29" t="s">
        <v>61</v>
      </c>
      <c r="D3" s="29" t="s">
        <v>62</v>
      </c>
      <c r="E3" s="29" t="s">
        <v>64</v>
      </c>
      <c r="F3" s="29" t="s">
        <v>63</v>
      </c>
      <c r="G3" s="29" t="s">
        <v>65</v>
      </c>
      <c r="H3" s="38" t="s">
        <v>72</v>
      </c>
    </row>
    <row r="4" spans="2:8" ht="15" x14ac:dyDescent="0.25">
      <c r="B4" s="25" t="s">
        <v>73</v>
      </c>
      <c r="C4" s="32">
        <v>44361</v>
      </c>
      <c r="D4" s="32">
        <v>44372</v>
      </c>
      <c r="E4" s="28"/>
      <c r="F4" s="33"/>
      <c r="G4" s="30">
        <f>NomStagiaires[[#This Row],[Fin de Stage]]</f>
        <v>44372</v>
      </c>
      <c r="H4" s="27">
        <f>SUM(Janvier:Décembre!AI7)</f>
        <v>12</v>
      </c>
    </row>
    <row r="5" spans="2:8" ht="30" customHeight="1" x14ac:dyDescent="0.25">
      <c r="B5" s="25" t="s">
        <v>54</v>
      </c>
      <c r="C5" s="27"/>
      <c r="D5" s="27"/>
      <c r="E5" s="27"/>
      <c r="F5" s="34"/>
      <c r="G5" s="31">
        <f>NomStagiaires[[#This Row],[Fin de Stage]]</f>
        <v>0</v>
      </c>
      <c r="H5" s="27">
        <f>SUM(Janvier:Décembre!AI8)</f>
        <v>12</v>
      </c>
    </row>
    <row r="6" spans="2:8" ht="30" customHeight="1" x14ac:dyDescent="0.25">
      <c r="B6" s="25" t="s">
        <v>55</v>
      </c>
      <c r="C6" s="27"/>
      <c r="D6" s="27"/>
      <c r="E6" s="27"/>
      <c r="F6" s="34"/>
      <c r="G6" s="31">
        <f>NomStagiaires[[#This Row],[Fin de Stage]]</f>
        <v>0</v>
      </c>
      <c r="H6" s="27">
        <f>SUM(Janvier:Décembre!AI9)</f>
        <v>9</v>
      </c>
    </row>
    <row r="7" spans="2:8" ht="30" customHeight="1" x14ac:dyDescent="0.25">
      <c r="B7" s="25" t="s">
        <v>56</v>
      </c>
      <c r="C7" s="27"/>
      <c r="D7" s="27"/>
      <c r="E7" s="27"/>
      <c r="F7" s="34"/>
      <c r="G7" s="31">
        <f>NomStagiaires[[#This Row],[Fin de Stage]]</f>
        <v>0</v>
      </c>
      <c r="H7" s="27">
        <f>SUM(Janvier:Décembre!AI10)</f>
        <v>9</v>
      </c>
    </row>
    <row r="8" spans="2:8" ht="30" customHeight="1" x14ac:dyDescent="0.25">
      <c r="B8" s="25" t="s">
        <v>57</v>
      </c>
      <c r="C8" s="27"/>
      <c r="D8" s="27"/>
      <c r="E8" s="27"/>
      <c r="F8" s="34"/>
      <c r="G8" s="31">
        <f>NomStagiaires[[#This Row],[Fin de Stage]]</f>
        <v>0</v>
      </c>
      <c r="H8" s="27">
        <f>SUM(Janvier:Décembre!AI11)</f>
        <v>1</v>
      </c>
    </row>
  </sheetData>
  <dataValidations count="3">
    <dataValidation allowBlank="1" showInputMessage="1" showErrorMessage="1" prompt="Titre Noms des employés" sqref="B1" xr:uid="{00000000-0002-0000-0C00-000000000000}"/>
    <dataValidation allowBlank="1" showInputMessage="1" showErrorMessage="1" prompt="Entrez les noms des employés dans le tableau Noms des employés dans cette feuille de calcul. Ces noms sont utilisés en tant qu’options dans la colonne B du tableau des absences de chaque mois." sqref="A1" xr:uid="{00000000-0002-0000-0C00-000001000000}"/>
    <dataValidation allowBlank="1" showInputMessage="1" showErrorMessage="1" prompt="Entrez les noms des employés dans cette colonne" sqref="B3" xr:uid="{00000000-0002-0000-0C00-000002000000}"/>
  </dataValidations>
  <pageMargins left="0.7" right="0.7" top="0.75" bottom="0.75" header="0.3" footer="0.3"/>
  <pageSetup paperSize="9" orientation="portrait" horizontalDpi="200" verticalDpi="20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50</vt:i4>
      </vt:variant>
    </vt:vector>
  </HeadingPairs>
  <TitlesOfParts>
    <vt:vector size="63"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stagiaires</vt:lpstr>
      <vt:lpstr>AnnéeCalendrier</vt:lpstr>
      <vt:lpstr>CléMaladie</vt:lpstr>
      <vt:lpstr>CléPersonnalisée1</vt:lpstr>
      <vt:lpstr>CléPersonnalisée2</vt:lpstr>
      <vt:lpstr>CléPersonnel</vt:lpstr>
      <vt:lpstr>CléPrésence</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Odile CONSTANT</dc:creator>
  <cp:lastModifiedBy>Roger</cp:lastModifiedBy>
  <cp:lastPrinted>2021-05-25T14:53:43Z</cp:lastPrinted>
  <dcterms:created xsi:type="dcterms:W3CDTF">2016-12-06T04:52:27Z</dcterms:created>
  <dcterms:modified xsi:type="dcterms:W3CDTF">2021-05-26T09:48:50Z</dcterms:modified>
</cp:coreProperties>
</file>