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slicerCaches/slicerCache10.xml" ContentType="application/vnd.ms-excel.slicerCache+xml"/>
  <Override PartName="/xl/slicerCaches/slicerCache11.xml" ContentType="application/vnd.ms-excel.slicerCache+xml"/>
  <Override PartName="/xl/slicerCaches/slicerCache12.xml" ContentType="application/vnd.ms-excel.slicerCache+xml"/>
  <Override PartName="/xl/slicerCaches/slicerCache13.xml" ContentType="application/vnd.ms-excel.slicerCache+xml"/>
  <Override PartName="/xl/slicerCaches/slicerCache14.xml" ContentType="application/vnd.ms-excel.slicerCache+xml"/>
  <Override PartName="/xl/slicerCaches/slicerCache15.xml" ContentType="application/vnd.ms-excel.slicerCache+xml"/>
  <Override PartName="/xl/slicerCaches/slicerCache16.xml" ContentType="application/vnd.ms-excel.slicerCache+xml"/>
  <Override PartName="/xl/slicerCaches/slicerCache17.xml" ContentType="application/vnd.ms-excel.slicerCache+xml"/>
  <Override PartName="/xl/slicerCaches/slicerCache18.xml" ContentType="application/vnd.ms-excel.slicerCache+xml"/>
  <Override PartName="/xl/slicerCaches/slicerCache19.xml" ContentType="application/vnd.ms-excel.slicerCache+xml"/>
  <Override PartName="/xl/slicerCaches/slicerCache20.xml" ContentType="application/vnd.ms-excel.slicerCache+xml"/>
  <Override PartName="/xl/slicerCaches/slicerCache21.xml" ContentType="application/vnd.ms-excel.slicerCache+xml"/>
  <Override PartName="/xl/slicerCaches/slicerCache22.xml" ContentType="application/vnd.ms-excel.slicerCache+xml"/>
  <Override PartName="/xl/slicerCaches/slicerCache23.xml" ContentType="application/vnd.ms-excel.slicerCache+xml"/>
  <Override PartName="/xl/slicerCaches/slicerCache24.xml" ContentType="application/vnd.ms-excel.slicerCache+xml"/>
  <Override PartName="/xl/slicerCaches/slicerCache25.xml" ContentType="application/vnd.ms-excel.slicerCache+xml"/>
  <Override PartName="/xl/slicerCaches/slicerCache26.xml" ContentType="application/vnd.ms-excel.slicerCache+xml"/>
  <Override PartName="/xl/slicerCaches/slicerCache27.xml" ContentType="application/vnd.ms-excel.slicerCache+xml"/>
  <Override PartName="/xl/slicerCaches/slicerCache28.xml" ContentType="application/vnd.ms-excel.slicerCache+xml"/>
  <Override PartName="/xl/slicerCaches/slicerCache29.xml" ContentType="application/vnd.ms-excel.slicerCache+xml"/>
  <Override PartName="/xl/slicerCaches/slicerCache30.xml" ContentType="application/vnd.ms-excel.slicerCache+xml"/>
  <Override PartName="/xl/slicerCaches/slicerCache31.xml" ContentType="application/vnd.ms-excel.slicerCache+xml"/>
  <Override PartName="/xl/slicerCaches/slicerCache32.xml" ContentType="application/vnd.ms-excel.slicerCache+xml"/>
  <Override PartName="/xl/slicerCaches/slicerCache33.xml" ContentType="application/vnd.ms-excel.slicerCache+xml"/>
  <Override PartName="/xl/slicerCaches/slicerCache34.xml" ContentType="application/vnd.ms-excel.slicerCache+xml"/>
  <Override PartName="/xl/slicerCaches/slicerCache35.xml" ContentType="application/vnd.ms-excel.slicerCache+xml"/>
  <Override PartName="/xl/slicerCaches/slicerCache36.xml" ContentType="application/vnd.ms-excel.slicerCache+xml"/>
  <Override PartName="/xl/slicerCaches/slicerCache37.xml" ContentType="application/vnd.ms-excel.slicerCache+xml"/>
  <Override PartName="/xl/slicerCaches/slicerCache38.xml" ContentType="application/vnd.ms-excel.slicerCache+xml"/>
  <Override PartName="/xl/slicerCaches/slicerCache39.xml" ContentType="application/vnd.ms-excel.slicerCache+xml"/>
  <Override PartName="/xl/slicerCaches/slicerCache40.xml" ContentType="application/vnd.ms-excel.slicerCache+xml"/>
  <Override PartName="/xl/slicerCaches/slicerCache41.xml" ContentType="application/vnd.ms-excel.slicerCache+xml"/>
  <Override PartName="/xl/slicerCaches/slicerCache42.xml" ContentType="application/vnd.ms-excel.slicerCache+xml"/>
  <Override PartName="/xl/slicerCaches/slicerCache43.xml" ContentType="application/vnd.ms-excel.slicerCache+xml"/>
  <Override PartName="/xl/slicerCaches/slicerCache44.xml" ContentType="application/vnd.ms-excel.slicerCache+xml"/>
  <Override PartName="/xl/slicerCaches/slicerCache45.xml" ContentType="application/vnd.ms-excel.slicerCache+xml"/>
  <Override PartName="/xl/slicerCaches/slicerCache46.xml" ContentType="application/vnd.ms-excel.slicerCache+xml"/>
  <Override PartName="/xl/slicerCaches/slicerCache47.xml" ContentType="application/vnd.ms-excel.slicerCache+xml"/>
  <Override PartName="/xl/slicerCaches/slicerCache48.xml" ContentType="application/vnd.ms-excel.slicerCache+xml"/>
  <Override PartName="/xl/slicerCaches/slicerCache49.xml" ContentType="application/vnd.ms-excel.slicerCache+xml"/>
  <Override PartName="/xl/slicerCaches/slicerCache50.xml" ContentType="application/vnd.ms-excel.slicerCache+xml"/>
  <Override PartName="/xl/slicerCaches/slicerCache51.xml" ContentType="application/vnd.ms-excel.slicerCache+xml"/>
  <Override PartName="/xl/slicerCaches/slicerCache52.xml" ContentType="application/vnd.ms-excel.slicerCache+xml"/>
  <Override PartName="/xl/slicerCaches/slicerCache53.xml" ContentType="application/vnd.ms-excel.slicerCache+xml"/>
  <Override PartName="/xl/slicerCaches/slicerCache54.xml" ContentType="application/vnd.ms-excel.slicerCache+xml"/>
  <Override PartName="/xl/slicerCaches/slicerCache55.xml" ContentType="application/vnd.ms-excel.slicerCache+xml"/>
  <Override PartName="/xl/slicerCaches/slicerCache56.xml" ContentType="application/vnd.ms-excel.slicerCache+xml"/>
  <Override PartName="/xl/slicerCaches/slicerCache57.xml" ContentType="application/vnd.ms-excel.slicerCache+xml"/>
  <Override PartName="/xl/slicerCaches/slicerCache58.xml" ContentType="application/vnd.ms-excel.slicerCache+xml"/>
  <Override PartName="/xl/slicerCaches/slicerCache59.xml" ContentType="application/vnd.ms-excel.slicerCache+xml"/>
  <Override PartName="/xl/slicerCaches/slicerCache60.xml" ContentType="application/vnd.ms-excel.slicerCache+xml"/>
  <Override PartName="/xl/slicerCaches/slicerCache61.xml" ContentType="application/vnd.ms-excel.slicerCache+xml"/>
  <Override PartName="/xl/slicerCaches/slicerCache62.xml" ContentType="application/vnd.ms-excel.slicerCache+xml"/>
  <Override PartName="/xl/slicerCaches/slicerCache63.xml" ContentType="application/vnd.ms-excel.slicerCache+xml"/>
  <Override PartName="/xl/slicerCaches/slicerCache64.xml" ContentType="application/vnd.ms-excel.slicerCache+xml"/>
  <Override PartName="/xl/slicerCaches/slicerCache65.xml" ContentType="application/vnd.ms-excel.slicerCache+xml"/>
  <Override PartName="/xl/slicerCaches/slicerCache66.xml" ContentType="application/vnd.ms-excel.slicerCache+xml"/>
  <Override PartName="/xl/slicerCaches/slicerCache67.xml" ContentType="application/vnd.ms-excel.slicerCache+xml"/>
  <Override PartName="/xl/slicerCaches/slicerCache68.xml" ContentType="application/vnd.ms-excel.slicerCache+xml"/>
  <Override PartName="/xl/slicerCaches/slicerCache69.xml" ContentType="application/vnd.ms-excel.slicerCache+xml"/>
  <Override PartName="/xl/slicerCaches/slicerCache70.xml" ContentType="application/vnd.ms-excel.slicerCache+xml"/>
  <Override PartName="/xl/slicerCaches/slicerCache71.xml" ContentType="application/vnd.ms-excel.slicerCache+xml"/>
  <Override PartName="/xl/slicerCaches/slicerCache72.xml" ContentType="application/vnd.ms-excel.slicerCache+xml"/>
  <Override PartName="/xl/slicerCaches/slicerCache73.xml" ContentType="application/vnd.ms-excel.slicerCache+xml"/>
  <Override PartName="/xl/slicerCaches/slicerCache74.xml" ContentType="application/vnd.ms-excel.slicerCache+xml"/>
  <Override PartName="/xl/slicerCaches/slicerCache75.xml" ContentType="application/vnd.ms-excel.slicerCache+xml"/>
  <Override PartName="/xl/slicerCaches/slicerCache76.xml" ContentType="application/vnd.ms-excel.slicerCache+xml"/>
  <Override PartName="/xl/slicerCaches/slicerCache77.xml" ContentType="application/vnd.ms-excel.slicerCache+xml"/>
  <Override PartName="/xl/slicerCaches/slicerCache78.xml" ContentType="application/vnd.ms-excel.slicerCache+xml"/>
  <Override PartName="/xl/slicerCaches/slicerCache79.xml" ContentType="application/vnd.ms-excel.slicerCache+xml"/>
  <Override PartName="/xl/slicerCaches/slicerCache80.xml" ContentType="application/vnd.ms-excel.slicerCache+xml"/>
  <Override PartName="/xl/slicerCaches/slicerCache81.xml" ContentType="application/vnd.ms-excel.slicerCache+xml"/>
  <Override PartName="/xl/slicerCaches/slicerCache82.xml" ContentType="application/vnd.ms-excel.slicerCache+xml"/>
  <Override PartName="/xl/slicerCaches/slicerCache83.xml" ContentType="application/vnd.ms-excel.slicerCache+xml"/>
  <Override PartName="/xl/slicerCaches/slicerCache84.xml" ContentType="application/vnd.ms-excel.slicerCache+xml"/>
  <Override PartName="/xl/slicerCaches/slicerCache85.xml" ContentType="application/vnd.ms-excel.slicerCache+xml"/>
  <Override PartName="/xl/slicerCaches/slicerCache86.xml" ContentType="application/vnd.ms-excel.slicerCache+xml"/>
  <Override PartName="/xl/slicerCaches/slicerCache87.xml" ContentType="application/vnd.ms-excel.slicerCache+xml"/>
  <Override PartName="/xl/slicerCaches/slicerCache88.xml" ContentType="application/vnd.ms-excel.slicerCache+xml"/>
  <Override PartName="/xl/slicerCaches/slicerCache89.xml" ContentType="application/vnd.ms-excel.slicerCache+xml"/>
  <Override PartName="/xl/slicerCaches/slicerCache90.xml" ContentType="application/vnd.ms-excel.slicerCache+xml"/>
  <Override PartName="/xl/slicerCaches/slicerCache91.xml" ContentType="application/vnd.ms-excel.slicerCache+xml"/>
  <Override PartName="/xl/slicerCaches/slicerCache92.xml" ContentType="application/vnd.ms-excel.slicerCache+xml"/>
  <Override PartName="/xl/slicerCaches/slicerCache93.xml" ContentType="application/vnd.ms-excel.slicerCache+xml"/>
  <Override PartName="/xl/slicerCaches/slicerCache94.xml" ContentType="application/vnd.ms-excel.slicerCache+xml"/>
  <Override PartName="/xl/slicerCaches/slicerCache95.xml" ContentType="application/vnd.ms-excel.slicerCache+xml"/>
  <Override PartName="/xl/slicerCaches/slicerCache96.xml" ContentType="application/vnd.ms-excel.slicerCache+xml"/>
  <Override PartName="/xl/slicerCaches/slicerCache97.xml" ContentType="application/vnd.ms-excel.slicerCache+xml"/>
  <Override PartName="/xl/slicerCaches/slicerCache98.xml" ContentType="application/vnd.ms-excel.slicerCache+xml"/>
  <Override PartName="/xl/slicerCaches/slicerCache99.xml" ContentType="application/vnd.ms-excel.slicerCache+xml"/>
  <Override PartName="/xl/slicerCaches/slicerCache100.xml" ContentType="application/vnd.ms-excel.slicerCache+xml"/>
  <Override PartName="/xl/slicerCaches/slicerCache101.xml" ContentType="application/vnd.ms-excel.slicerCache+xml"/>
  <Override PartName="/xl/slicerCaches/slicerCache102.xml" ContentType="application/vnd.ms-excel.slicerCache+xml"/>
  <Override PartName="/xl/slicerCaches/slicerCache103.xml" ContentType="application/vnd.ms-excel.slicerCache+xml"/>
  <Override PartName="/xl/slicerCaches/slicerCache104.xml" ContentType="application/vnd.ms-excel.slicerCache+xml"/>
  <Override PartName="/xl/slicerCaches/slicerCache105.xml" ContentType="application/vnd.ms-excel.slicerCache+xml"/>
  <Override PartName="/xl/slicerCaches/slicerCache106.xml" ContentType="application/vnd.ms-excel.slicerCache+xml"/>
  <Override PartName="/xl/slicerCaches/slicerCache107.xml" ContentType="application/vnd.ms-excel.slicerCache+xml"/>
  <Override PartName="/xl/slicerCaches/slicerCache108.xml" ContentType="application/vnd.ms-excel.slicerCache+xml"/>
  <Override PartName="/xl/slicerCaches/slicerCache109.xml" ContentType="application/vnd.ms-excel.slicerCache+xml"/>
  <Override PartName="/xl/slicerCaches/slicerCache110.xml" ContentType="application/vnd.ms-excel.slicerCache+xml"/>
  <Override PartName="/xl/slicerCaches/slicerCache111.xml" ContentType="application/vnd.ms-excel.slicerCache+xml"/>
  <Override PartName="/xl/slicerCaches/slicerCache112.xml" ContentType="application/vnd.ms-excel.slicerCache+xml"/>
  <Override PartName="/xl/slicerCaches/slicerCache113.xml" ContentType="application/vnd.ms-excel.slicerCache+xml"/>
  <Override PartName="/xl/slicerCaches/slicerCache114.xml" ContentType="application/vnd.ms-excel.slicerCache+xml"/>
  <Override PartName="/xl/slicerCaches/slicerCache115.xml" ContentType="application/vnd.ms-excel.slicerCache+xml"/>
  <Override PartName="/xl/slicerCaches/slicerCache116.xml" ContentType="application/vnd.ms-excel.slicerCache+xml"/>
  <Override PartName="/xl/slicerCaches/slicerCache117.xml" ContentType="application/vnd.ms-excel.slicerCache+xml"/>
  <Override PartName="/xl/slicerCaches/slicerCache118.xml" ContentType="application/vnd.ms-excel.slicerCache+xml"/>
  <Override PartName="/xl/slicerCaches/slicerCache119.xml" ContentType="application/vnd.ms-excel.slicerCache+xml"/>
  <Override PartName="/xl/slicerCaches/slicerCache120.xml" ContentType="application/vnd.ms-excel.slicerCache+xml"/>
  <Override PartName="/xl/slicerCaches/slicerCache121.xml" ContentType="application/vnd.ms-excel.slicerCache+xml"/>
  <Override PartName="/xl/slicerCaches/slicerCache122.xml" ContentType="application/vnd.ms-excel.slicerCache+xml"/>
  <Override PartName="/xl/slicerCaches/slicerCache123.xml" ContentType="application/vnd.ms-excel.slicerCache+xml"/>
  <Override PartName="/xl/slicerCaches/slicerCache124.xml" ContentType="application/vnd.ms-excel.slicerCache+xml"/>
  <Override PartName="/xl/slicerCaches/slicerCache125.xml" ContentType="application/vnd.ms-excel.slicerCache+xml"/>
  <Override PartName="/xl/slicerCaches/slicerCache126.xml" ContentType="application/vnd.ms-excel.slicerCache+xml"/>
  <Override PartName="/xl/slicerCaches/slicerCache127.xml" ContentType="application/vnd.ms-excel.slicerCache+xml"/>
  <Override PartName="/xl/slicerCaches/slicerCache128.xml" ContentType="application/vnd.ms-excel.slicerCache+xml"/>
  <Override PartName="/xl/slicerCaches/slicerCache129.xml" ContentType="application/vnd.ms-excel.slicerCache+xml"/>
  <Override PartName="/xl/slicerCaches/slicerCache130.xml" ContentType="application/vnd.ms-excel.slicerCache+xml"/>
  <Override PartName="/xl/slicerCaches/slicerCache131.xml" ContentType="application/vnd.ms-excel.slicerCache+xml"/>
  <Override PartName="/xl/slicerCaches/slicerCache132.xml" ContentType="application/vnd.ms-excel.slicerCache+xml"/>
  <Override PartName="/xl/slicerCaches/slicerCache133.xml" ContentType="application/vnd.ms-excel.slicerCache+xml"/>
  <Override PartName="/xl/slicerCaches/slicerCache134.xml" ContentType="application/vnd.ms-excel.slicerCache+xml"/>
  <Override PartName="/xl/slicerCaches/slicerCache135.xml" ContentType="application/vnd.ms-excel.slicerCache+xml"/>
  <Override PartName="/xl/slicerCaches/slicerCache136.xml" ContentType="application/vnd.ms-excel.slicerCache+xml"/>
  <Override PartName="/xl/slicerCaches/slicerCache137.xml" ContentType="application/vnd.ms-excel.slicerCache+xml"/>
  <Override PartName="/xl/slicerCaches/slicerCache138.xml" ContentType="application/vnd.ms-excel.slicerCache+xml"/>
  <Override PartName="/xl/slicerCaches/slicerCache139.xml" ContentType="application/vnd.ms-excel.slicerCache+xml"/>
  <Override PartName="/xl/slicerCaches/slicerCache140.xml" ContentType="application/vnd.ms-excel.slicerCache+xml"/>
  <Override PartName="/xl/slicerCaches/slicerCache141.xml" ContentType="application/vnd.ms-excel.slicerCache+xml"/>
  <Override PartName="/xl/slicerCaches/slicerCache142.xml" ContentType="application/vnd.ms-excel.slicerCache+xml"/>
  <Override PartName="/xl/slicerCaches/slicerCache143.xml" ContentType="application/vnd.ms-excel.slicerCache+xml"/>
  <Override PartName="/xl/slicerCaches/slicerCache144.xml" ContentType="application/vnd.ms-excel.slicerCache+xml"/>
  <Override PartName="/xl/slicerCaches/slicerCache145.xml" ContentType="application/vnd.ms-excel.slicerCache+xml"/>
  <Override PartName="/xl/slicerCaches/slicerCache146.xml" ContentType="application/vnd.ms-excel.slicerCache+xml"/>
  <Override PartName="/xl/slicerCaches/slicerCache147.xml" ContentType="application/vnd.ms-excel.slicerCache+xml"/>
  <Override PartName="/xl/slicerCaches/slicerCache148.xml" ContentType="application/vnd.ms-excel.slicerCache+xml"/>
  <Override PartName="/xl/slicerCaches/slicerCache149.xml" ContentType="application/vnd.ms-excel.slicerCache+xml"/>
  <Override PartName="/xl/slicerCaches/slicerCache150.xml" ContentType="application/vnd.ms-excel.slicerCache+xml"/>
  <Override PartName="/xl/slicerCaches/slicerCache151.xml" ContentType="application/vnd.ms-excel.slicerCache+xml"/>
  <Override PartName="/xl/slicerCaches/slicerCache152.xml" ContentType="application/vnd.ms-excel.slicerCache+xml"/>
  <Override PartName="/xl/slicerCaches/slicerCache153.xml" ContentType="application/vnd.ms-excel.slicerCache+xml"/>
  <Override PartName="/xl/slicerCaches/slicerCache154.xml" ContentType="application/vnd.ms-excel.slicerCache+xml"/>
  <Override PartName="/xl/slicerCaches/slicerCache155.xml" ContentType="application/vnd.ms-excel.slicerCache+xml"/>
  <Override PartName="/xl/slicerCaches/slicerCache156.xml" ContentType="application/vnd.ms-excel.slicerCache+xml"/>
  <Override PartName="/xl/slicerCaches/slicerCache157.xml" ContentType="application/vnd.ms-excel.slicerCache+xml"/>
  <Override PartName="/xl/slicerCaches/slicerCache158.xml" ContentType="application/vnd.ms-excel.slicerCache+xml"/>
  <Override PartName="/xl/slicerCaches/slicerCache159.xml" ContentType="application/vnd.ms-excel.slicerCache+xml"/>
  <Override PartName="/xl/slicerCaches/slicerCache160.xml" ContentType="application/vnd.ms-excel.slicerCache+xml"/>
  <Override PartName="/xl/slicerCaches/slicerCache161.xml" ContentType="application/vnd.ms-excel.slicerCache+xml"/>
  <Override PartName="/xl/slicerCaches/slicerCache162.xml" ContentType="application/vnd.ms-excel.slicerCache+xml"/>
  <Override PartName="/xl/slicerCaches/slicerCache163.xml" ContentType="application/vnd.ms-excel.slicerCache+xml"/>
  <Override PartName="/xl/slicerCaches/slicerCache164.xml" ContentType="application/vnd.ms-excel.slicerCache+xml"/>
  <Override PartName="/xl/slicerCaches/slicerCache165.xml" ContentType="application/vnd.ms-excel.slicerCache+xml"/>
  <Override PartName="/xl/slicerCaches/slicerCache166.xml" ContentType="application/vnd.ms-excel.slicerCache+xml"/>
  <Override PartName="/xl/slicerCaches/slicerCache167.xml" ContentType="application/vnd.ms-excel.slicerCache+xml"/>
  <Override PartName="/xl/slicerCaches/slicerCache168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drawings/drawing1.xml" ContentType="application/vnd.openxmlformats-officedocument.drawing+xml"/>
  <Override PartName="/xl/tables/table1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12.xml" ContentType="application/vnd.openxmlformats-officedocument.spreadsheetml.table+xml"/>
  <Override PartName="/xl/slicers/slicer2.xml" ContentType="application/vnd.ms-excel.slicer+xml"/>
  <Override PartName="/xl/drawings/drawing3.xml" ContentType="application/vnd.openxmlformats-officedocument.drawing+xml"/>
  <Override PartName="/xl/tables/table13.xml" ContentType="application/vnd.openxmlformats-officedocument.spreadsheetml.table+xml"/>
  <Override PartName="/xl/slicers/slicer3.xml" ContentType="application/vnd.ms-excel.slicer+xml"/>
  <Override PartName="/xl/drawings/drawing4.xml" ContentType="application/vnd.openxmlformats-officedocument.drawing+xml"/>
  <Override PartName="/xl/tables/table14.xml" ContentType="application/vnd.openxmlformats-officedocument.spreadsheetml.table+xml"/>
  <Override PartName="/xl/slicers/slicer4.xml" ContentType="application/vnd.ms-excel.slicer+xml"/>
  <Override PartName="/xl/drawings/drawing5.xml" ContentType="application/vnd.openxmlformats-officedocument.drawing+xml"/>
  <Override PartName="/xl/tables/table15.xml" ContentType="application/vnd.openxmlformats-officedocument.spreadsheetml.table+xml"/>
  <Override PartName="/xl/slicers/slicer5.xml" ContentType="application/vnd.ms-excel.slicer+xml"/>
  <Override PartName="/xl/drawings/drawing6.xml" ContentType="application/vnd.openxmlformats-officedocument.drawing+xml"/>
  <Override PartName="/xl/tables/table16.xml" ContentType="application/vnd.openxmlformats-officedocument.spreadsheetml.table+xml"/>
  <Override PartName="/xl/slicers/slicer6.xml" ContentType="application/vnd.ms-excel.slicer+xml"/>
  <Override PartName="/xl/drawings/drawing7.xml" ContentType="application/vnd.openxmlformats-officedocument.drawing+xml"/>
  <Override PartName="/xl/tables/table17.xml" ContentType="application/vnd.openxmlformats-officedocument.spreadsheetml.table+xml"/>
  <Override PartName="/xl/slicers/slicer7.xml" ContentType="application/vnd.ms-excel.slicer+xml"/>
  <Override PartName="/xl/drawings/drawing8.xml" ContentType="application/vnd.openxmlformats-officedocument.drawing+xml"/>
  <Override PartName="/xl/tables/table18.xml" ContentType="application/vnd.openxmlformats-officedocument.spreadsheetml.table+xml"/>
  <Override PartName="/xl/slicers/slicer8.xml" ContentType="application/vnd.ms-excel.slicer+xml"/>
  <Override PartName="/xl/drawings/drawing9.xml" ContentType="application/vnd.openxmlformats-officedocument.drawing+xml"/>
  <Override PartName="/xl/tables/table19.xml" ContentType="application/vnd.openxmlformats-officedocument.spreadsheetml.table+xml"/>
  <Override PartName="/xl/slicers/slicer9.xml" ContentType="application/vnd.ms-excel.slicer+xml"/>
  <Override PartName="/xl/drawings/drawing10.xml" ContentType="application/vnd.openxmlformats-officedocument.drawing+xml"/>
  <Override PartName="/xl/tables/table20.xml" ContentType="application/vnd.openxmlformats-officedocument.spreadsheetml.table+xml"/>
  <Override PartName="/xl/slicers/slicer10.xml" ContentType="application/vnd.ms-excel.slicer+xml"/>
  <Override PartName="/xl/drawings/drawing11.xml" ContentType="application/vnd.openxmlformats-officedocument.drawing+xml"/>
  <Override PartName="/xl/tables/table21.xml" ContentType="application/vnd.openxmlformats-officedocument.spreadsheetml.table+xml"/>
  <Override PartName="/xl/slicers/slicer11.xml" ContentType="application/vnd.ms-excel.slicer+xml"/>
  <Override PartName="/xl/drawings/drawing12.xml" ContentType="application/vnd.openxmlformats-officedocument.drawing+xml"/>
  <Override PartName="/xl/tables/table22.xml" ContentType="application/vnd.openxmlformats-officedocument.spreadsheetml.table+xml"/>
  <Override PartName="/xl/slicers/slicer12.xml" ContentType="application/vnd.ms-excel.slicer+xml"/>
  <Override PartName="/xl/drawings/drawing13.xml" ContentType="application/vnd.openxmlformats-officedocument.drawing+xml"/>
  <Override PartName="/xl/tables/table2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 codeName="{B08E4597-CF32-672E-EC9B-63DB714DCB7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iktr\Bureau\"/>
    </mc:Choice>
  </mc:AlternateContent>
  <xr:revisionPtr revIDLastSave="0" documentId="8_{80D0C05A-91AB-45D5-9FF1-E09F8592C5BE}" xr6:coauthVersionLast="45" xr6:coauthVersionMax="45" xr10:uidLastSave="{00000000-0000-0000-0000-000000000000}"/>
  <bookViews>
    <workbookView xWindow="-9630" yWindow="-21720" windowWidth="38640" windowHeight="21390" tabRatio="871" xr2:uid="{00000000-000D-0000-FFFF-FFFF00000000}"/>
  </bookViews>
  <sheets>
    <sheet name="Paramètres" sheetId="151" r:id="rId1"/>
    <sheet name="Janvier" sheetId="190" r:id="rId2"/>
    <sheet name="Février" sheetId="191" r:id="rId3"/>
    <sheet name="Mars" sheetId="192" r:id="rId4"/>
    <sheet name="Avril" sheetId="193" r:id="rId5"/>
    <sheet name="Mai" sheetId="199" r:id="rId6"/>
    <sheet name="Juin" sheetId="201" r:id="rId7"/>
    <sheet name="Juillet" sheetId="200" r:id="rId8"/>
    <sheet name="Août" sheetId="194" r:id="rId9"/>
    <sheet name="Septembre" sheetId="198" r:id="rId10"/>
    <sheet name="Octobre" sheetId="196" r:id="rId11"/>
    <sheet name="Novembre" sheetId="197" r:id="rId12"/>
    <sheet name="Décembre" sheetId="195" r:id="rId13"/>
    <sheet name="Codage" sheetId="156" r:id="rId14"/>
  </sheets>
  <definedNames>
    <definedName name="_xlnm._FilterDatabase" localSheetId="8" hidden="1">Août!$B$4:$S$5</definedName>
    <definedName name="_xlnm._FilterDatabase" localSheetId="4" hidden="1">Avril!$B$4:$S$5</definedName>
    <definedName name="_xlnm._FilterDatabase" localSheetId="12" hidden="1">Décembre!$B$4:$S$5</definedName>
    <definedName name="_xlnm._FilterDatabase" localSheetId="2" hidden="1">Février!$B$4:$S$5</definedName>
    <definedName name="_xlnm._FilterDatabase" localSheetId="1" hidden="1">Janvier!$B$4:$S$5</definedName>
    <definedName name="_xlnm._FilterDatabase" localSheetId="7" hidden="1">Juillet!$B$4:$S$5</definedName>
    <definedName name="_xlnm._FilterDatabase" localSheetId="6" hidden="1">Juin!$B$4:$S$5</definedName>
    <definedName name="_xlnm._FilterDatabase" localSheetId="5" hidden="1">Mai!$B$4:$S$5</definedName>
    <definedName name="_xlnm._FilterDatabase" localSheetId="3" hidden="1">Mars!$B$4:$S$5</definedName>
    <definedName name="_xlnm._FilterDatabase" localSheetId="11" hidden="1">Novembre!$B$4:$S$5</definedName>
    <definedName name="_xlnm._FilterDatabase" localSheetId="10" hidden="1">Octobre!$B$4:$S$5</definedName>
    <definedName name="_xlnm._FilterDatabase" localSheetId="9" hidden="1">Septembre!$B$4:$S$5</definedName>
    <definedName name="ANNEEN">Paramètres!$A$28</definedName>
    <definedName name="CATEGORIE">OFFSET(Paramètres!$J$2,,,COUNTA(Paramètres!$J:$J)-1)</definedName>
    <definedName name="CCADM">#REF!</definedName>
    <definedName name="CCAHF">#REF!</definedName>
    <definedName name="CODETVA">MATRICETVA[CODETVA]</definedName>
    <definedName name="DEVERROUILLAGE">Paramètres!$R$1</definedName>
    <definedName name="FERIES">Paramètres!$D$2:$D$12</definedName>
    <definedName name="MATRICEECHEANCE">TABLEAUECHEANCE[]</definedName>
    <definedName name="MODEDEREGLEMENT">OFFSET(Paramètres!$H$2,,,COUNTA(Paramètres!$H:$H)-1)</definedName>
    <definedName name="PREMIERJOURMOIS">TABLEAUPREMIERJOURMOIS[1ERJOURMOIS]</definedName>
    <definedName name="REMDM">Codage!$B$5:$L$60</definedName>
    <definedName name="REMHF">#REF!</definedName>
    <definedName name="Segment_Commentaires1">#N/A</definedName>
    <definedName name="Segment_Commentaires10">#N/A</definedName>
    <definedName name="Segment_Commentaires11">#N/A</definedName>
    <definedName name="Segment_Commentaires12">#N/A</definedName>
    <definedName name="Segment_Commentaires2">#N/A</definedName>
    <definedName name="Segment_Commentaires3">#N/A</definedName>
    <definedName name="Segment_Commentaires4">#N/A</definedName>
    <definedName name="Segment_Commentaires5">#N/A</definedName>
    <definedName name="Segment_Commentaires6">#N/A</definedName>
    <definedName name="Segment_Commentaires7">#N/A</definedName>
    <definedName name="Segment_Commentaires8">#N/A</definedName>
    <definedName name="Segment_Commentaires9">#N/A</definedName>
    <definedName name="Segment_Crédit_HT1">#N/A</definedName>
    <definedName name="Segment_Crédit_HT10">#N/A</definedName>
    <definedName name="Segment_Crédit_HT11">#N/A</definedName>
    <definedName name="Segment_Crédit_HT12">#N/A</definedName>
    <definedName name="Segment_Crédit_HT2">#N/A</definedName>
    <definedName name="Segment_Crédit_HT3">#N/A</definedName>
    <definedName name="Segment_Crédit_HT4">#N/A</definedName>
    <definedName name="Segment_Crédit_HT5">#N/A</definedName>
    <definedName name="Segment_Crédit_HT6">#N/A</definedName>
    <definedName name="Segment_Crédit_HT7">#N/A</definedName>
    <definedName name="Segment_Crédit_HT8">#N/A</definedName>
    <definedName name="Segment_Crédit_HT9">#N/A</definedName>
    <definedName name="Segment_Crédit1">#N/A</definedName>
    <definedName name="Segment_Crédit10">#N/A</definedName>
    <definedName name="Segment_Crédit11">#N/A</definedName>
    <definedName name="Segment_Crédit12">#N/A</definedName>
    <definedName name="Segment_Crédit2">#N/A</definedName>
    <definedName name="Segment_Crédit3">#N/A</definedName>
    <definedName name="Segment_Crédit4">#N/A</definedName>
    <definedName name="Segment_Crédit5">#N/A</definedName>
    <definedName name="Segment_Crédit6">#N/A</definedName>
    <definedName name="Segment_Crédit7">#N/A</definedName>
    <definedName name="Segment_Crédit8">#N/A</definedName>
    <definedName name="Segment_Crédit9">#N/A</definedName>
    <definedName name="Segment_Date1">#N/A</definedName>
    <definedName name="Segment_Date10">#N/A</definedName>
    <definedName name="Segment_Date11">#N/A</definedName>
    <definedName name="Segment_Date12">#N/A</definedName>
    <definedName name="Segment_Date2">#N/A</definedName>
    <definedName name="Segment_Date3">#N/A</definedName>
    <definedName name="Segment_Date4">#N/A</definedName>
    <definedName name="Segment_Date5">#N/A</definedName>
    <definedName name="Segment_Date6">#N/A</definedName>
    <definedName name="Segment_Date7">#N/A</definedName>
    <definedName name="Segment_Date8">#N/A</definedName>
    <definedName name="Segment_Date9">#N/A</definedName>
    <definedName name="Segment_Débit_HT1">#N/A</definedName>
    <definedName name="Segment_Débit_HT10">#N/A</definedName>
    <definedName name="Segment_Débit_HT11">#N/A</definedName>
    <definedName name="Segment_Débit_HT12">#N/A</definedName>
    <definedName name="Segment_Débit_HT2">#N/A</definedName>
    <definedName name="Segment_Débit_HT3">#N/A</definedName>
    <definedName name="Segment_Débit_HT4">#N/A</definedName>
    <definedName name="Segment_Débit_HT5">#N/A</definedName>
    <definedName name="Segment_Débit_HT6">#N/A</definedName>
    <definedName name="Segment_Débit_HT7">#N/A</definedName>
    <definedName name="Segment_Débit_HT8">#N/A</definedName>
    <definedName name="Segment_Débit_HT9">#N/A</definedName>
    <definedName name="Segment_Débit1">#N/A</definedName>
    <definedName name="Segment_Débit10">#N/A</definedName>
    <definedName name="Segment_Débit11">#N/A</definedName>
    <definedName name="Segment_Débit12">#N/A</definedName>
    <definedName name="Segment_Débit2">#N/A</definedName>
    <definedName name="Segment_Débit3">#N/A</definedName>
    <definedName name="Segment_Débit4">#N/A</definedName>
    <definedName name="Segment_Débit5">#N/A</definedName>
    <definedName name="Segment_Débit6">#N/A</definedName>
    <definedName name="Segment_Débit7">#N/A</definedName>
    <definedName name="Segment_Débit8">#N/A</definedName>
    <definedName name="Segment_Débit9">#N/A</definedName>
    <definedName name="Segment_En_règlement_de1">#N/A</definedName>
    <definedName name="Segment_En_règlement_de10">#N/A</definedName>
    <definedName name="Segment_En_règlement_de11">#N/A</definedName>
    <definedName name="Segment_En_règlement_de12">#N/A</definedName>
    <definedName name="Segment_En_règlement_de2">#N/A</definedName>
    <definedName name="Segment_En_règlement_de3">#N/A</definedName>
    <definedName name="Segment_En_règlement_de4">#N/A</definedName>
    <definedName name="Segment_En_règlement_de5">#N/A</definedName>
    <definedName name="Segment_En_règlement_de6">#N/A</definedName>
    <definedName name="Segment_En_règlement_de7">#N/A</definedName>
    <definedName name="Segment_En_règlement_de8">#N/A</definedName>
    <definedName name="Segment_En_règlement_de9">#N/A</definedName>
    <definedName name="Segment_Mode_de_règlement1">#N/A</definedName>
    <definedName name="Segment_Mode_de_règlement10">#N/A</definedName>
    <definedName name="Segment_Mode_de_règlement11">#N/A</definedName>
    <definedName name="Segment_Mode_de_règlement12">#N/A</definedName>
    <definedName name="Segment_Mode_de_règlement2">#N/A</definedName>
    <definedName name="Segment_Mode_de_règlement3">#N/A</definedName>
    <definedName name="Segment_Mode_de_règlement4">#N/A</definedName>
    <definedName name="Segment_Mode_de_règlement5">#N/A</definedName>
    <definedName name="Segment_Mode_de_règlement6">#N/A</definedName>
    <definedName name="Segment_Mode_de_règlement7">#N/A</definedName>
    <definedName name="Segment_Mode_de_règlement8">#N/A</definedName>
    <definedName name="Segment_Mode_de_règlement9">#N/A</definedName>
    <definedName name="Segment_Payé_à1">#N/A</definedName>
    <definedName name="Segment_Payé_à10">#N/A</definedName>
    <definedName name="Segment_Payé_à11">#N/A</definedName>
    <definedName name="Segment_Payé_à12">#N/A</definedName>
    <definedName name="Segment_Payé_à2">#N/A</definedName>
    <definedName name="Segment_Payé_à3">#N/A</definedName>
    <definedName name="Segment_Payé_à4">#N/A</definedName>
    <definedName name="Segment_Payé_à5">#N/A</definedName>
    <definedName name="Segment_Payé_à6">#N/A</definedName>
    <definedName name="Segment_Payé_à7">#N/A</definedName>
    <definedName name="Segment_Payé_à8">#N/A</definedName>
    <definedName name="Segment_Payé_à9">#N/A</definedName>
    <definedName name="Segment_Payé_par1">#N/A</definedName>
    <definedName name="Segment_Payé_par10">#N/A</definedName>
    <definedName name="Segment_Payé_par11">#N/A</definedName>
    <definedName name="Segment_Payé_par12">#N/A</definedName>
    <definedName name="Segment_Payé_par2">#N/A</definedName>
    <definedName name="Segment_Payé_par3">#N/A</definedName>
    <definedName name="Segment_Payé_par4">#N/A</definedName>
    <definedName name="Segment_Payé_par5">#N/A</definedName>
    <definedName name="Segment_Payé_par6">#N/A</definedName>
    <definedName name="Segment_Payé_par7">#N/A</definedName>
    <definedName name="Segment_Payé_par8">#N/A</definedName>
    <definedName name="Segment_Payé_par9">#N/A</definedName>
    <definedName name="Segment_Pièce_comptable1">#N/A</definedName>
    <definedName name="Segment_Pièce_comptable10">#N/A</definedName>
    <definedName name="Segment_Pièce_comptable11">#N/A</definedName>
    <definedName name="Segment_Pièce_comptable12">#N/A</definedName>
    <definedName name="Segment_Pièce_comptable2">#N/A</definedName>
    <definedName name="Segment_Pièce_comptable3">#N/A</definedName>
    <definedName name="Segment_Pièce_comptable4">#N/A</definedName>
    <definedName name="Segment_Pièce_comptable5">#N/A</definedName>
    <definedName name="Segment_Pièce_comptable6">#N/A</definedName>
    <definedName name="Segment_Pièce_comptable7">#N/A</definedName>
    <definedName name="Segment_Pièce_comptable8">#N/A</definedName>
    <definedName name="Segment_Pièce_comptable9">#N/A</definedName>
    <definedName name="Segment_Références_réglement1">#N/A</definedName>
    <definedName name="Segment_Références_réglement10">#N/A</definedName>
    <definedName name="Segment_Références_réglement11">#N/A</definedName>
    <definedName name="Segment_Références_réglement12">#N/A</definedName>
    <definedName name="Segment_Références_réglement2">#N/A</definedName>
    <definedName name="Segment_Références_réglement3">#N/A</definedName>
    <definedName name="Segment_Références_réglement4">#N/A</definedName>
    <definedName name="Segment_Références_réglement5">#N/A</definedName>
    <definedName name="Segment_Références_réglement6">#N/A</definedName>
    <definedName name="Segment_Références_réglement7">#N/A</definedName>
    <definedName name="Segment_Références_réglement8">#N/A</definedName>
    <definedName name="Segment_Références_réglement9">#N/A</definedName>
    <definedName name="Segment_TVA_collectée1">#N/A</definedName>
    <definedName name="Segment_TVA_collectée10">#N/A</definedName>
    <definedName name="Segment_TVA_collectée11">#N/A</definedName>
    <definedName name="Segment_TVA_collectée12">#N/A</definedName>
    <definedName name="Segment_TVA_collectée2">#N/A</definedName>
    <definedName name="Segment_TVA_collectée3">#N/A</definedName>
    <definedName name="Segment_TVA_collectée4">#N/A</definedName>
    <definedName name="Segment_TVA_collectée5">#N/A</definedName>
    <definedName name="Segment_TVA_collectée6">#N/A</definedName>
    <definedName name="Segment_TVA_collectée7">#N/A</definedName>
    <definedName name="Segment_TVA_collectée8">#N/A</definedName>
    <definedName name="Segment_TVA_collectée9">#N/A</definedName>
    <definedName name="Segment_TVA_déductible1">#N/A</definedName>
    <definedName name="Segment_TVA_déductible10">#N/A</definedName>
    <definedName name="Segment_TVA_déductible11">#N/A</definedName>
    <definedName name="Segment_TVA_déductible12">#N/A</definedName>
    <definedName name="Segment_TVA_déductible2">#N/A</definedName>
    <definedName name="Segment_TVA_déductible3">#N/A</definedName>
    <definedName name="Segment_TVA_déductible4">#N/A</definedName>
    <definedName name="Segment_TVA_déductible5">#N/A</definedName>
    <definedName name="Segment_TVA_déductible6">#N/A</definedName>
    <definedName name="Segment_TVA_déductible7">#N/A</definedName>
    <definedName name="Segment_TVA_déductible8">#N/A</definedName>
    <definedName name="Segment_TVA_déductible9">#N/A</definedName>
    <definedName name="TIERS">OFFSET(Paramètres!$I$2,,,COUNTA(Paramètres!$I:$I)-1)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5"/>
        <x14:slicerCache r:id="rId16"/>
        <x14:slicerCache r:id="rId17"/>
        <x14:slicerCache r:id="rId18"/>
        <x14:slicerCache r:id="rId19"/>
        <x14:slicerCache r:id="rId20"/>
        <x14:slicerCache r:id="rId21"/>
        <x14:slicerCache r:id="rId22"/>
        <x14:slicerCache r:id="rId23"/>
        <x14:slicerCache r:id="rId24"/>
        <x14:slicerCache r:id="rId25"/>
        <x14:slicerCache r:id="rId26"/>
        <x14:slicerCache r:id="rId27"/>
        <x14:slicerCache r:id="rId28"/>
        <x14:slicerCache r:id="rId29"/>
        <x14:slicerCache r:id="rId30"/>
        <x14:slicerCache r:id="rId31"/>
        <x14:slicerCache r:id="rId32"/>
        <x14:slicerCache r:id="rId33"/>
        <x14:slicerCache r:id="rId34"/>
        <x14:slicerCache r:id="rId35"/>
        <x14:slicerCache r:id="rId36"/>
        <x14:slicerCache r:id="rId37"/>
        <x14:slicerCache r:id="rId38"/>
        <x14:slicerCache r:id="rId39"/>
        <x14:slicerCache r:id="rId40"/>
        <x14:slicerCache r:id="rId41"/>
        <x14:slicerCache r:id="rId42"/>
        <x14:slicerCache r:id="rId43"/>
        <x14:slicerCache r:id="rId44"/>
        <x14:slicerCache r:id="rId45"/>
        <x14:slicerCache r:id="rId46"/>
        <x14:slicerCache r:id="rId47"/>
        <x14:slicerCache r:id="rId48"/>
        <x14:slicerCache r:id="rId49"/>
        <x14:slicerCache r:id="rId50"/>
        <x14:slicerCache r:id="rId51"/>
        <x14:slicerCache r:id="rId52"/>
        <x14:slicerCache r:id="rId53"/>
        <x14:slicerCache r:id="rId54"/>
        <x14:slicerCache r:id="rId55"/>
        <x14:slicerCache r:id="rId56"/>
        <x14:slicerCache r:id="rId57"/>
        <x14:slicerCache r:id="rId58"/>
        <x14:slicerCache r:id="rId59"/>
        <x14:slicerCache r:id="rId60"/>
        <x14:slicerCache r:id="rId61"/>
        <x14:slicerCache r:id="rId62"/>
        <x14:slicerCache r:id="rId63"/>
        <x14:slicerCache r:id="rId64"/>
        <x14:slicerCache r:id="rId65"/>
        <x14:slicerCache r:id="rId66"/>
        <x14:slicerCache r:id="rId67"/>
        <x14:slicerCache r:id="rId68"/>
        <x14:slicerCache r:id="rId69"/>
        <x14:slicerCache r:id="rId70"/>
        <x14:slicerCache r:id="rId71"/>
        <x14:slicerCache r:id="rId72"/>
        <x14:slicerCache r:id="rId73"/>
        <x14:slicerCache r:id="rId74"/>
        <x14:slicerCache r:id="rId75"/>
        <x14:slicerCache r:id="rId76"/>
        <x14:slicerCache r:id="rId77"/>
        <x14:slicerCache r:id="rId78"/>
        <x14:slicerCache r:id="rId79"/>
        <x14:slicerCache r:id="rId80"/>
        <x14:slicerCache r:id="rId81"/>
        <x14:slicerCache r:id="rId82"/>
        <x14:slicerCache r:id="rId83"/>
        <x14:slicerCache r:id="rId84"/>
        <x14:slicerCache r:id="rId85"/>
        <x14:slicerCache r:id="rId86"/>
        <x14:slicerCache r:id="rId87"/>
        <x14:slicerCache r:id="rId88"/>
        <x14:slicerCache r:id="rId89"/>
        <x14:slicerCache r:id="rId90"/>
        <x14:slicerCache r:id="rId91"/>
        <x14:slicerCache r:id="rId92"/>
        <x14:slicerCache r:id="rId93"/>
        <x14:slicerCache r:id="rId94"/>
        <x14:slicerCache r:id="rId95"/>
        <x14:slicerCache r:id="rId96"/>
        <x14:slicerCache r:id="rId97"/>
        <x14:slicerCache r:id="rId98"/>
        <x14:slicerCache r:id="rId99"/>
        <x14:slicerCache r:id="rId100"/>
        <x14:slicerCache r:id="rId101"/>
        <x14:slicerCache r:id="rId102"/>
        <x14:slicerCache r:id="rId103"/>
        <x14:slicerCache r:id="rId104"/>
        <x14:slicerCache r:id="rId105"/>
        <x14:slicerCache r:id="rId106"/>
        <x14:slicerCache r:id="rId107"/>
        <x14:slicerCache r:id="rId108"/>
        <x14:slicerCache r:id="rId109"/>
        <x14:slicerCache r:id="rId110"/>
        <x14:slicerCache r:id="rId111"/>
        <x14:slicerCache r:id="rId112"/>
        <x14:slicerCache r:id="rId113"/>
        <x14:slicerCache r:id="rId114"/>
        <x14:slicerCache r:id="rId115"/>
        <x14:slicerCache r:id="rId116"/>
        <x14:slicerCache r:id="rId117"/>
        <x14:slicerCache r:id="rId118"/>
        <x14:slicerCache r:id="rId119"/>
        <x14:slicerCache r:id="rId120"/>
        <x14:slicerCache r:id="rId121"/>
        <x14:slicerCache r:id="rId122"/>
        <x14:slicerCache r:id="rId123"/>
        <x14:slicerCache r:id="rId124"/>
        <x14:slicerCache r:id="rId125"/>
        <x14:slicerCache r:id="rId126"/>
        <x14:slicerCache r:id="rId127"/>
        <x14:slicerCache r:id="rId128"/>
        <x14:slicerCache r:id="rId129"/>
        <x14:slicerCache r:id="rId130"/>
        <x14:slicerCache r:id="rId131"/>
        <x14:slicerCache r:id="rId132"/>
        <x14:slicerCache r:id="rId133"/>
        <x14:slicerCache r:id="rId134"/>
        <x14:slicerCache r:id="rId135"/>
        <x14:slicerCache r:id="rId136"/>
        <x14:slicerCache r:id="rId137"/>
        <x14:slicerCache r:id="rId138"/>
        <x14:slicerCache r:id="rId139"/>
        <x14:slicerCache r:id="rId140"/>
        <x14:slicerCache r:id="rId141"/>
        <x14:slicerCache r:id="rId142"/>
        <x14:slicerCache r:id="rId143"/>
        <x14:slicerCache r:id="rId144"/>
        <x14:slicerCache r:id="rId145"/>
        <x14:slicerCache r:id="rId146"/>
        <x14:slicerCache r:id="rId147"/>
        <x14:slicerCache r:id="rId148"/>
        <x14:slicerCache r:id="rId149"/>
        <x14:slicerCache r:id="rId150"/>
        <x14:slicerCache r:id="rId151"/>
        <x14:slicerCache r:id="rId152"/>
        <x14:slicerCache r:id="rId153"/>
        <x14:slicerCache r:id="rId154"/>
        <x14:slicerCache r:id="rId155"/>
        <x14:slicerCache r:id="rId156"/>
        <x14:slicerCache r:id="rId157"/>
        <x14:slicerCache r:id="rId158"/>
        <x14:slicerCache r:id="rId159"/>
        <x14:slicerCache r:id="rId160"/>
        <x14:slicerCache r:id="rId161"/>
        <x14:slicerCache r:id="rId162"/>
        <x14:slicerCache r:id="rId163"/>
        <x14:slicerCache r:id="rId164"/>
        <x14:slicerCache r:id="rId165"/>
        <x14:slicerCache r:id="rId166"/>
        <x14:slicerCache r:id="rId167"/>
        <x14:slicerCache r:id="rId168"/>
        <x14:slicerCache r:id="rId169"/>
        <x14:slicerCache r:id="rId170"/>
        <x14:slicerCache r:id="rId171"/>
        <x14:slicerCache r:id="rId172"/>
        <x14:slicerCache r:id="rId173"/>
        <x14:slicerCache r:id="rId174"/>
        <x14:slicerCache r:id="rId175"/>
        <x14:slicerCache r:id="rId176"/>
        <x14:slicerCache r:id="rId177"/>
        <x14:slicerCache r:id="rId178"/>
        <x14:slicerCache r:id="rId179"/>
        <x14:slicerCache r:id="rId180"/>
        <x14:slicerCache r:id="rId181"/>
        <x14:slicerCache r:id="rId182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17" i="199" l="1"/>
  <c r="C15" i="192" l="1" a="1"/>
  <c r="C15" i="192" s="1"/>
  <c r="O17" i="192" l="1"/>
  <c r="O17" i="190"/>
  <c r="C15" i="190" a="1"/>
  <c r="C15" i="190" s="1"/>
  <c r="O17" i="193" l="1"/>
  <c r="O17" i="191"/>
  <c r="M19" i="195" l="1"/>
  <c r="M19" i="197"/>
  <c r="M19" i="196"/>
  <c r="M19" i="198"/>
  <c r="M19" i="194"/>
  <c r="M19" i="200"/>
  <c r="M19" i="201"/>
  <c r="C15" i="195" l="1" a="1"/>
  <c r="C15" i="195" s="1"/>
  <c r="P15" i="195"/>
  <c r="N15" i="195" s="1"/>
  <c r="U15" i="195"/>
  <c r="V15" i="195" s="1"/>
  <c r="X15" i="195"/>
  <c r="Y15" i="195"/>
  <c r="AA15" i="195" l="1"/>
  <c r="T15" i="195"/>
  <c r="S15" i="195"/>
  <c r="R15" i="195"/>
  <c r="Q15" i="195"/>
  <c r="W15" i="195"/>
  <c r="W16" i="195" s="1"/>
  <c r="O15" i="195"/>
  <c r="O16" i="195" s="1"/>
  <c r="O12" i="191"/>
  <c r="U15" i="191"/>
  <c r="S15" i="191" s="1"/>
  <c r="X15" i="191"/>
  <c r="Y15" i="191"/>
  <c r="P15" i="191" s="1"/>
  <c r="R15" i="191" s="1"/>
  <c r="R16" i="191" s="1"/>
  <c r="K16" i="191"/>
  <c r="L16" i="191"/>
  <c r="G17" i="191"/>
  <c r="O12" i="190"/>
  <c r="M15" i="190"/>
  <c r="U15" i="190"/>
  <c r="X15" i="190"/>
  <c r="Y15" i="190"/>
  <c r="P15" i="190" s="1"/>
  <c r="N15" i="190" s="1"/>
  <c r="K16" i="190"/>
  <c r="L16" i="190"/>
  <c r="G17" i="190"/>
  <c r="O17" i="195"/>
  <c r="G17" i="195"/>
  <c r="L16" i="195"/>
  <c r="K16" i="195"/>
  <c r="O12" i="195"/>
  <c r="O17" i="197"/>
  <c r="G17" i="197"/>
  <c r="L16" i="197"/>
  <c r="K16" i="197"/>
  <c r="Y15" i="197"/>
  <c r="X15" i="197"/>
  <c r="U15" i="197"/>
  <c r="W15" i="197" s="1"/>
  <c r="W16" i="197" s="1"/>
  <c r="P15" i="197"/>
  <c r="O15" i="197" s="1"/>
  <c r="O16" i="197" s="1"/>
  <c r="C15" i="197" a="1"/>
  <c r="C15" i="197" s="1"/>
  <c r="O12" i="197"/>
  <c r="O17" i="196"/>
  <c r="G17" i="196"/>
  <c r="L16" i="196"/>
  <c r="K16" i="196"/>
  <c r="Y15" i="196"/>
  <c r="P15" i="196" s="1"/>
  <c r="O15" i="196" s="1"/>
  <c r="O16" i="196" s="1"/>
  <c r="X15" i="196"/>
  <c r="U15" i="196"/>
  <c r="W15" i="196" s="1"/>
  <c r="W16" i="196" s="1"/>
  <c r="C15" i="196" a="1"/>
  <c r="C15" i="196" s="1"/>
  <c r="O12" i="196"/>
  <c r="O17" i="198"/>
  <c r="G17" i="198"/>
  <c r="L16" i="198"/>
  <c r="K16" i="198"/>
  <c r="Y15" i="198"/>
  <c r="X15" i="198"/>
  <c r="U15" i="198"/>
  <c r="W15" i="198" s="1"/>
  <c r="W16" i="198" s="1"/>
  <c r="P15" i="198"/>
  <c r="O15" i="198" s="1"/>
  <c r="O16" i="198" s="1"/>
  <c r="C15" i="198" a="1"/>
  <c r="C15" i="198" s="1"/>
  <c r="O12" i="198"/>
  <c r="O17" i="194"/>
  <c r="G17" i="194"/>
  <c r="L16" i="194"/>
  <c r="K16" i="194"/>
  <c r="Y15" i="194"/>
  <c r="X15" i="194"/>
  <c r="U15" i="194"/>
  <c r="W15" i="194" s="1"/>
  <c r="W16" i="194" s="1"/>
  <c r="P15" i="194"/>
  <c r="O15" i="194" s="1"/>
  <c r="O16" i="194" s="1"/>
  <c r="C15" i="194" a="1"/>
  <c r="C15" i="194" s="1"/>
  <c r="O12" i="194"/>
  <c r="O17" i="200"/>
  <c r="G17" i="200"/>
  <c r="L16" i="200"/>
  <c r="K16" i="200"/>
  <c r="Y15" i="200"/>
  <c r="U15" i="200" s="1"/>
  <c r="W15" i="200" s="1"/>
  <c r="W16" i="200" s="1"/>
  <c r="X15" i="200"/>
  <c r="P15" i="200"/>
  <c r="O15" i="200" s="1"/>
  <c r="O16" i="200" s="1"/>
  <c r="C15" i="200" a="1"/>
  <c r="C15" i="200" s="1"/>
  <c r="O12" i="200"/>
  <c r="O17" i="201"/>
  <c r="G17" i="201"/>
  <c r="L16" i="201"/>
  <c r="K16" i="201"/>
  <c r="Y15" i="201"/>
  <c r="X15" i="201"/>
  <c r="U15" i="201"/>
  <c r="V15" i="201" s="1"/>
  <c r="V16" i="201" s="1"/>
  <c r="P15" i="201"/>
  <c r="N15" i="201" s="1"/>
  <c r="C15" i="201" a="1"/>
  <c r="C15" i="201" s="1"/>
  <c r="O12" i="201"/>
  <c r="G17" i="199"/>
  <c r="L16" i="199"/>
  <c r="Y15" i="199"/>
  <c r="P15" i="199" s="1"/>
  <c r="X15" i="199"/>
  <c r="U15" i="199"/>
  <c r="V15" i="199" s="1"/>
  <c r="V16" i="199" s="1"/>
  <c r="C15" i="199" a="1"/>
  <c r="C15" i="199" s="1"/>
  <c r="O12" i="199"/>
  <c r="G17" i="193"/>
  <c r="L16" i="193"/>
  <c r="K16" i="193"/>
  <c r="Y15" i="193"/>
  <c r="U15" i="193" s="1"/>
  <c r="W15" i="193" s="1"/>
  <c r="W16" i="193" s="1"/>
  <c r="X15" i="193"/>
  <c r="P15" i="193"/>
  <c r="O15" i="193" s="1"/>
  <c r="O16" i="193" s="1"/>
  <c r="C15" i="193" a="1"/>
  <c r="C15" i="193" s="1"/>
  <c r="O12" i="193"/>
  <c r="G17" i="192"/>
  <c r="L16" i="192"/>
  <c r="K16" i="192"/>
  <c r="Y15" i="192"/>
  <c r="P15" i="192" s="1"/>
  <c r="X15" i="192"/>
  <c r="U15" i="192"/>
  <c r="W15" i="192" s="1"/>
  <c r="W16" i="192" s="1"/>
  <c r="O12" i="192"/>
  <c r="M19" i="199" l="1"/>
  <c r="M19" i="192"/>
  <c r="M19" i="193"/>
  <c r="M19" i="190"/>
  <c r="M20" i="190" s="1"/>
  <c r="M19" i="191"/>
  <c r="S15" i="199"/>
  <c r="Q15" i="196"/>
  <c r="Q16" i="196" s="1"/>
  <c r="R15" i="201"/>
  <c r="R16" i="201" s="1"/>
  <c r="AA15" i="197"/>
  <c r="Q15" i="200"/>
  <c r="Q16" i="200" s="1"/>
  <c r="Q15" i="197"/>
  <c r="Q16" i="197" s="1"/>
  <c r="R15" i="197"/>
  <c r="R16" i="197" s="1"/>
  <c r="AA15" i="194"/>
  <c r="Q15" i="194"/>
  <c r="Q16" i="194" s="1"/>
  <c r="R15" i="194"/>
  <c r="R16" i="194" s="1"/>
  <c r="S15" i="194"/>
  <c r="O15" i="201"/>
  <c r="O16" i="201" s="1"/>
  <c r="AA15" i="201"/>
  <c r="W15" i="201"/>
  <c r="W16" i="201" s="1"/>
  <c r="Q15" i="201"/>
  <c r="Q16" i="201" s="1"/>
  <c r="AA15" i="199"/>
  <c r="W15" i="199"/>
  <c r="W16" i="199" s="1"/>
  <c r="R15" i="199"/>
  <c r="R16" i="199" s="1"/>
  <c r="T15" i="193"/>
  <c r="T16" i="193" s="1"/>
  <c r="AA15" i="193"/>
  <c r="Q15" i="193"/>
  <c r="Q16" i="193" s="1"/>
  <c r="R15" i="193"/>
  <c r="R16" i="193" s="1"/>
  <c r="AA15" i="192"/>
  <c r="R15" i="192"/>
  <c r="R16" i="192" s="1"/>
  <c r="Q15" i="191"/>
  <c r="Q16" i="191" s="1"/>
  <c r="W15" i="191"/>
  <c r="W16" i="191" s="1"/>
  <c r="O15" i="191"/>
  <c r="O16" i="191" s="1"/>
  <c r="V15" i="191"/>
  <c r="V16" i="191" s="1"/>
  <c r="T15" i="191"/>
  <c r="T16" i="191" s="1"/>
  <c r="AA15" i="191"/>
  <c r="Q15" i="190"/>
  <c r="Q16" i="190" s="1"/>
  <c r="R15" i="190"/>
  <c r="R16" i="190" s="1"/>
  <c r="M16" i="190"/>
  <c r="M17" i="190" s="1"/>
  <c r="M12" i="191" s="1"/>
  <c r="M15" i="191" s="1"/>
  <c r="AA15" i="190"/>
  <c r="W15" i="190"/>
  <c r="W16" i="190" s="1"/>
  <c r="O15" i="190"/>
  <c r="O16" i="190" s="1"/>
  <c r="V15" i="190"/>
  <c r="V16" i="190" s="1"/>
  <c r="Q16" i="195"/>
  <c r="T16" i="195"/>
  <c r="R16" i="195"/>
  <c r="V16" i="195"/>
  <c r="S15" i="197"/>
  <c r="T15" i="197"/>
  <c r="T16" i="197" s="1"/>
  <c r="N15" i="197"/>
  <c r="V15" i="197"/>
  <c r="V16" i="197" s="1"/>
  <c r="R15" i="196"/>
  <c r="R16" i="196" s="1"/>
  <c r="AA15" i="196"/>
  <c r="S15" i="196"/>
  <c r="T15" i="196"/>
  <c r="T16" i="196" s="1"/>
  <c r="N15" i="196"/>
  <c r="V15" i="196"/>
  <c r="V16" i="196" s="1"/>
  <c r="S15" i="198"/>
  <c r="AA15" i="198"/>
  <c r="T15" i="198"/>
  <c r="T16" i="198" s="1"/>
  <c r="Q15" i="198"/>
  <c r="Q16" i="198" s="1"/>
  <c r="N15" i="198"/>
  <c r="V15" i="198"/>
  <c r="V16" i="198" s="1"/>
  <c r="R15" i="198"/>
  <c r="R16" i="198" s="1"/>
  <c r="T15" i="194"/>
  <c r="T16" i="194" s="1"/>
  <c r="N15" i="194"/>
  <c r="V15" i="194"/>
  <c r="V16" i="194" s="1"/>
  <c r="R15" i="200"/>
  <c r="R16" i="200" s="1"/>
  <c r="AA15" i="200"/>
  <c r="S15" i="200"/>
  <c r="T15" i="200"/>
  <c r="T16" i="200" s="1"/>
  <c r="N15" i="200"/>
  <c r="V15" i="200"/>
  <c r="V16" i="200" s="1"/>
  <c r="S15" i="201"/>
  <c r="T15" i="201"/>
  <c r="T16" i="201" s="1"/>
  <c r="T15" i="199"/>
  <c r="T16" i="199" s="1"/>
  <c r="N15" i="193"/>
  <c r="V15" i="193"/>
  <c r="V16" i="193" s="1"/>
  <c r="S15" i="192"/>
  <c r="T15" i="192"/>
  <c r="T16" i="192" s="1"/>
  <c r="V15" i="192"/>
  <c r="V16" i="192" s="1"/>
  <c r="T15" i="190" l="1"/>
  <c r="N15" i="191"/>
  <c r="O15" i="199"/>
  <c r="O16" i="199" s="1"/>
  <c r="Q15" i="199"/>
  <c r="Q16" i="199" s="1"/>
  <c r="S16" i="201"/>
  <c r="S15" i="193"/>
  <c r="M20" i="191"/>
  <c r="M20" i="192" s="1"/>
  <c r="M20" i="193" s="1"/>
  <c r="M20" i="199" s="1"/>
  <c r="M20" i="201" s="1"/>
  <c r="M20" i="200" s="1"/>
  <c r="M20" i="194" s="1"/>
  <c r="M20" i="198" s="1"/>
  <c r="M20" i="196" s="1"/>
  <c r="M20" i="197" s="1"/>
  <c r="M20" i="195" s="1"/>
  <c r="Q15" i="192"/>
  <c r="Q16" i="192" s="1"/>
  <c r="O15" i="192"/>
  <c r="S16" i="199"/>
  <c r="N16" i="196"/>
  <c r="N16" i="194"/>
  <c r="N16" i="200"/>
  <c r="M16" i="191"/>
  <c r="M17" i="191" s="1"/>
  <c r="N16" i="190"/>
  <c r="N16" i="198"/>
  <c r="N16" i="197"/>
  <c r="N16" i="201"/>
  <c r="S16" i="192"/>
  <c r="N16" i="193"/>
  <c r="S16" i="193"/>
  <c r="N16" i="195"/>
  <c r="S16" i="196"/>
  <c r="S16" i="200"/>
  <c r="N16" i="191"/>
  <c r="S16" i="191"/>
  <c r="S16" i="195"/>
  <c r="S16" i="197"/>
  <c r="S16" i="198"/>
  <c r="S16" i="194"/>
  <c r="T16" i="190" l="1"/>
  <c r="S16" i="190" s="1"/>
  <c r="S15" i="190"/>
  <c r="N16" i="199"/>
  <c r="N15" i="199"/>
  <c r="O16" i="192"/>
  <c r="N16" i="192" s="1"/>
  <c r="N15" i="192"/>
  <c r="M12" i="192"/>
  <c r="M16" i="192" l="1"/>
  <c r="M17" i="192" s="1"/>
  <c r="M12" i="193" s="1"/>
  <c r="M16" i="193" s="1"/>
  <c r="M17" i="193" s="1"/>
  <c r="M12" i="199" s="1"/>
  <c r="M15" i="199" s="1"/>
  <c r="M15" i="192"/>
  <c r="M16" i="199" l="1"/>
  <c r="M17" i="199" s="1"/>
  <c r="M12" i="201" s="1"/>
  <c r="M16" i="201" s="1"/>
  <c r="M17" i="201" s="1"/>
  <c r="M12" i="200" s="1"/>
  <c r="M15" i="193"/>
  <c r="M15" i="201" l="1"/>
  <c r="M15" i="200"/>
  <c r="M16" i="200"/>
  <c r="M17" i="200" s="1"/>
  <c r="M12" i="194" l="1"/>
  <c r="M16" i="194" s="1"/>
  <c r="M17" i="194" s="1"/>
  <c r="M15" i="194" l="1"/>
  <c r="M12" i="198"/>
  <c r="M16" i="198" s="1"/>
  <c r="M17" i="198" s="1"/>
  <c r="M12" i="196" s="1"/>
  <c r="M15" i="198" l="1"/>
  <c r="M15" i="196"/>
  <c r="M16" i="196"/>
  <c r="M17" i="196" s="1"/>
  <c r="M12" i="197" s="1"/>
  <c r="M15" i="197" l="1"/>
  <c r="M16" i="197"/>
  <c r="M17" i="197" s="1"/>
  <c r="M12" i="195" s="1"/>
  <c r="M15" i="195" s="1"/>
  <c r="M16" i="195" l="1"/>
  <c r="M17" i="195" s="1"/>
  <c r="R1" i="151" l="1"/>
  <c r="L61" i="156" l="1"/>
  <c r="K61" i="156"/>
  <c r="N5" i="156"/>
  <c r="G2" i="156"/>
  <c r="N2" i="156" s="1"/>
  <c r="O5" i="156" l="1"/>
  <c r="N6" i="156"/>
  <c r="B61" i="156"/>
  <c r="P5" i="156"/>
  <c r="O6" i="156" l="1"/>
  <c r="P6" i="156"/>
  <c r="N7" i="156"/>
  <c r="N8" i="156" l="1"/>
  <c r="P7" i="156"/>
  <c r="O7" i="156"/>
  <c r="N9" i="156" l="1"/>
  <c r="O8" i="156"/>
  <c r="P8" i="156"/>
  <c r="O9" i="156" l="1"/>
  <c r="P9" i="156"/>
  <c r="N10" i="156"/>
  <c r="N11" i="156" l="1"/>
  <c r="O10" i="156"/>
  <c r="P10" i="156"/>
  <c r="O11" i="156" l="1"/>
  <c r="P11" i="156"/>
  <c r="N12" i="156"/>
  <c r="N13" i="156" l="1"/>
  <c r="P12" i="156"/>
  <c r="O12" i="156"/>
  <c r="N14" i="156" l="1"/>
  <c r="O13" i="156"/>
  <c r="P13" i="156"/>
  <c r="N15" i="156" l="1"/>
  <c r="O14" i="156"/>
  <c r="P14" i="156"/>
  <c r="V3" i="151"/>
  <c r="T3" i="151"/>
  <c r="W2" i="151"/>
  <c r="V2" i="151"/>
  <c r="N16" i="156" l="1"/>
  <c r="P15" i="156"/>
  <c r="O15" i="156"/>
  <c r="N17" i="156" l="1"/>
  <c r="P16" i="156"/>
  <c r="O16" i="156"/>
  <c r="N18" i="156" l="1"/>
  <c r="P17" i="156"/>
  <c r="O17" i="156"/>
  <c r="G13" i="151"/>
  <c r="G12" i="151"/>
  <c r="G11" i="151"/>
  <c r="G10" i="151"/>
  <c r="G9" i="151"/>
  <c r="G8" i="151"/>
  <c r="G7" i="151"/>
  <c r="G6" i="151"/>
  <c r="G5" i="151"/>
  <c r="G4" i="151"/>
  <c r="G3" i="151"/>
  <c r="G2" i="151"/>
  <c r="D13" i="151"/>
  <c r="D3" i="151" s="1"/>
  <c r="D12" i="151"/>
  <c r="D11" i="151"/>
  <c r="D10" i="151"/>
  <c r="D9" i="151"/>
  <c r="D8" i="151"/>
  <c r="D5" i="151"/>
  <c r="D4" i="151"/>
  <c r="D2" i="151"/>
  <c r="N19" i="156" l="1"/>
  <c r="P18" i="156"/>
  <c r="O18" i="156"/>
  <c r="D6" i="151"/>
  <c r="D14" i="151"/>
  <c r="D7" i="151" s="1"/>
  <c r="N20" i="156" l="1"/>
  <c r="P19" i="156"/>
  <c r="O19" i="156"/>
  <c r="N21" i="156" l="1"/>
  <c r="P20" i="156"/>
  <c r="O20" i="156"/>
  <c r="N22" i="156" l="1"/>
  <c r="O21" i="156"/>
  <c r="P21" i="156"/>
  <c r="N23" i="156" l="1"/>
  <c r="O22" i="156"/>
  <c r="P22" i="156"/>
  <c r="N24" i="156" l="1"/>
  <c r="O23" i="156"/>
  <c r="P23" i="156"/>
  <c r="N25" i="156" l="1"/>
  <c r="P24" i="156"/>
  <c r="O24" i="156"/>
  <c r="N26" i="156" l="1"/>
  <c r="P25" i="156"/>
  <c r="O25" i="156"/>
  <c r="N27" i="156" l="1"/>
  <c r="O26" i="156"/>
  <c r="P26" i="156"/>
  <c r="N28" i="156" l="1"/>
  <c r="P27" i="156"/>
  <c r="O27" i="156"/>
  <c r="N29" i="156" l="1"/>
  <c r="O28" i="156"/>
  <c r="P28" i="156"/>
  <c r="N30" i="156" l="1"/>
  <c r="O29" i="156"/>
  <c r="P29" i="156"/>
  <c r="N31" i="156" l="1"/>
  <c r="O30" i="156"/>
  <c r="P30" i="156"/>
  <c r="N32" i="156" l="1"/>
  <c r="O31" i="156"/>
  <c r="P31" i="156"/>
  <c r="N33" i="156" l="1"/>
  <c r="P32" i="156"/>
  <c r="O32" i="156"/>
  <c r="N34" i="156" l="1"/>
  <c r="O33" i="156"/>
  <c r="P33" i="156"/>
  <c r="N35" i="156" l="1"/>
  <c r="P34" i="156"/>
  <c r="O34" i="156"/>
  <c r="N36" i="156" l="1"/>
  <c r="P35" i="156"/>
  <c r="O35" i="156"/>
  <c r="N37" i="156" l="1"/>
  <c r="P36" i="156"/>
  <c r="O36" i="156"/>
  <c r="N38" i="156" l="1"/>
  <c r="O37" i="156"/>
  <c r="P37" i="156"/>
  <c r="N39" i="156" l="1"/>
  <c r="O38" i="156"/>
  <c r="P38" i="156"/>
  <c r="N40" i="156" l="1"/>
  <c r="P39" i="156"/>
  <c r="O39" i="156"/>
  <c r="N41" i="156" l="1"/>
  <c r="P40" i="156"/>
  <c r="O40" i="156"/>
  <c r="N42" i="156" l="1"/>
  <c r="P41" i="156"/>
  <c r="O41" i="156"/>
  <c r="N43" i="156" l="1"/>
  <c r="O42" i="156"/>
  <c r="P42" i="156"/>
  <c r="N44" i="156" l="1"/>
  <c r="P43" i="156"/>
  <c r="O43" i="156"/>
  <c r="N45" i="156" l="1"/>
  <c r="P44" i="156"/>
  <c r="O44" i="156"/>
  <c r="N46" i="156" l="1"/>
  <c r="O45" i="156"/>
  <c r="P45" i="156"/>
  <c r="N47" i="156" l="1"/>
  <c r="O46" i="156"/>
  <c r="P46" i="156"/>
  <c r="N48" i="156" l="1"/>
  <c r="O47" i="156"/>
  <c r="P47" i="156"/>
  <c r="N49" i="156" l="1"/>
  <c r="P48" i="156"/>
  <c r="O48" i="156"/>
  <c r="N50" i="156" l="1"/>
  <c r="P49" i="156"/>
  <c r="O49" i="156"/>
  <c r="N51" i="156" l="1"/>
  <c r="O50" i="156"/>
  <c r="P50" i="156"/>
  <c r="N52" i="156" l="1"/>
  <c r="P51" i="156"/>
  <c r="O51" i="156"/>
  <c r="N53" i="156" l="1"/>
  <c r="P52" i="156"/>
  <c r="O52" i="156"/>
  <c r="N54" i="156" l="1"/>
  <c r="N55" i="156" s="1"/>
  <c r="O53" i="156"/>
  <c r="P53" i="156"/>
  <c r="O55" i="156" l="1"/>
  <c r="N56" i="156"/>
  <c r="N57" i="156" s="1"/>
  <c r="P55" i="156"/>
  <c r="O54" i="156"/>
  <c r="P54" i="156"/>
  <c r="P56" i="156" l="1"/>
  <c r="O56" i="156"/>
  <c r="N58" i="156"/>
  <c r="O57" i="156"/>
  <c r="P57" i="156"/>
  <c r="P58" i="156" l="1"/>
  <c r="N59" i="156"/>
  <c r="O58" i="156"/>
  <c r="O59" i="156" l="1"/>
  <c r="N60" i="156"/>
  <c r="P59" i="156"/>
  <c r="P60" i="156" l="1"/>
  <c r="P61" i="156" s="1"/>
  <c r="O60" i="156"/>
  <c r="O61" i="156" s="1"/>
  <c r="N61" i="156"/>
</calcChain>
</file>

<file path=xl/sharedStrings.xml><?xml version="1.0" encoding="utf-8"?>
<sst xmlns="http://schemas.openxmlformats.org/spreadsheetml/2006/main" count="559" uniqueCount="89">
  <si>
    <t>Date</t>
  </si>
  <si>
    <t>Payé par</t>
  </si>
  <si>
    <t>Payé à</t>
  </si>
  <si>
    <t>Débit</t>
  </si>
  <si>
    <t>Crédit</t>
  </si>
  <si>
    <t>Solde :</t>
  </si>
  <si>
    <t>Période :</t>
  </si>
  <si>
    <t>Au :</t>
  </si>
  <si>
    <t>ANNEE</t>
  </si>
  <si>
    <t>MOIS</t>
  </si>
  <si>
    <t>JOURSFERIE</t>
  </si>
  <si>
    <t>DATEFERIE</t>
  </si>
  <si>
    <t>Jour de l'an</t>
  </si>
  <si>
    <t>Lundi de Pâques</t>
  </si>
  <si>
    <t>Fête du travail</t>
  </si>
  <si>
    <t>Armistice 1945</t>
  </si>
  <si>
    <t xml:space="preserve">Ascension </t>
  </si>
  <si>
    <t>Lundi de Pentecote</t>
  </si>
  <si>
    <t>Fête nationale</t>
  </si>
  <si>
    <t>Assomption</t>
  </si>
  <si>
    <t>Toussaint</t>
  </si>
  <si>
    <t>Armistice 1918</t>
  </si>
  <si>
    <t>Noël</t>
  </si>
  <si>
    <t>Pâques</t>
  </si>
  <si>
    <t xml:space="preserve">Pentecôte </t>
  </si>
  <si>
    <t>CODETVA</t>
  </si>
  <si>
    <t>TAUXTVA</t>
  </si>
  <si>
    <t>1ERJOURMOIS</t>
  </si>
  <si>
    <t>Mode de règlement</t>
  </si>
  <si>
    <t>MODEDEREGLEMENT</t>
  </si>
  <si>
    <t>TIERS</t>
  </si>
  <si>
    <t>Débit HT</t>
  </si>
  <si>
    <t>Débit TTC</t>
  </si>
  <si>
    <t>Crédit HT</t>
  </si>
  <si>
    <t>Crédit TTC</t>
  </si>
  <si>
    <t>TVA déductible</t>
  </si>
  <si>
    <t>TVA collectée</t>
  </si>
  <si>
    <t>Montant HT</t>
  </si>
  <si>
    <t>Taux TVA</t>
  </si>
  <si>
    <t>Montant TVA</t>
  </si>
  <si>
    <t>Montant TTC</t>
  </si>
  <si>
    <t>NA</t>
  </si>
  <si>
    <t>Solde bancaire</t>
  </si>
  <si>
    <t>Chèque émis</t>
  </si>
  <si>
    <t>Chèque reçu</t>
  </si>
  <si>
    <t>Débit CB</t>
  </si>
  <si>
    <t>Crédit CB</t>
  </si>
  <si>
    <t>Dépôt espèces</t>
  </si>
  <si>
    <t>Retrait espèces</t>
  </si>
  <si>
    <t>Virement SEPA émis</t>
  </si>
  <si>
    <t>Virement SEPA reçu</t>
  </si>
  <si>
    <t>Téléréglement SEPA</t>
  </si>
  <si>
    <t>Solde débiteur</t>
  </si>
  <si>
    <t>Solde créditeur</t>
  </si>
  <si>
    <t>Cumul</t>
  </si>
  <si>
    <t>Maintenance</t>
  </si>
  <si>
    <t>Références réglement</t>
  </si>
  <si>
    <t>Commentaires</t>
  </si>
  <si>
    <t>Totaux</t>
  </si>
  <si>
    <t>Pièce comptable</t>
  </si>
  <si>
    <t>CATEGORIE</t>
  </si>
  <si>
    <t>AJOUT DE LIGNE</t>
  </si>
  <si>
    <t>Prélèvement auto SEPA</t>
  </si>
  <si>
    <t>Frais bancaires</t>
  </si>
  <si>
    <t>Virement interne</t>
  </si>
  <si>
    <t>Contrôle 1</t>
  </si>
  <si>
    <t>Contrôle 2</t>
  </si>
  <si>
    <t>Contrôle 3</t>
  </si>
  <si>
    <t>Contrôle 4</t>
  </si>
  <si>
    <t>Données TVA</t>
  </si>
  <si>
    <t>Données bancaires</t>
  </si>
  <si>
    <t>Code TVA A</t>
  </si>
  <si>
    <t>Code TVA M</t>
  </si>
  <si>
    <t>CODECTVA</t>
  </si>
  <si>
    <t>Code TVA D</t>
  </si>
  <si>
    <t>Code TVA C</t>
  </si>
  <si>
    <t>Échéancier</t>
  </si>
  <si>
    <t>Contrôle 5</t>
  </si>
  <si>
    <t>Contrôle 6</t>
  </si>
  <si>
    <t>CATEGORIEECHEANCE</t>
  </si>
  <si>
    <t>TIERSECHEANCE</t>
  </si>
  <si>
    <t>NBECHEANCE</t>
  </si>
  <si>
    <t>1EREECHEANCE</t>
  </si>
  <si>
    <t>Catégorie</t>
  </si>
  <si>
    <t>NON</t>
  </si>
  <si>
    <t>Delta :</t>
  </si>
  <si>
    <t>Cumul Delta :</t>
  </si>
  <si>
    <t>Relevé de compte bancaire no :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</si>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</sst>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dddd\ dd"/>
    <numFmt numFmtId="166" formatCode="0.0%"/>
    <numFmt numFmtId="167" formatCode="mmmm"/>
    <numFmt numFmtId="168" formatCode="[$-F800]dddd\,\ mmmm\ dd\,\ yyyy"/>
    <numFmt numFmtId="169" formatCode="mmmm\ yyyy"/>
    <numFmt numFmtId="170" formatCode="000"/>
  </numFmts>
  <fonts count="3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2"/>
      <color rgb="FFFFFFFF"/>
      <name val="Calibri"/>
      <family val="2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25">
    <border>
      <left/>
      <right/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/>
      <top style="thin">
        <color theme="0"/>
      </top>
      <bottom/>
      <diagonal/>
    </border>
    <border>
      <left style="thin">
        <color rgb="FFFFFFFF"/>
      </left>
      <right/>
      <top style="thin">
        <color rgb="FFFFFFFF"/>
      </top>
      <bottom/>
      <diagonal/>
    </border>
    <border>
      <left style="thin">
        <color rgb="FFFFFFFF"/>
      </left>
      <right/>
      <top/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/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</borders>
  <cellStyleXfs count="4">
    <xf numFmtId="0" fontId="0" fillId="0" borderId="0">
      <alignment horizontal="center" vertical="center"/>
    </xf>
    <xf numFmtId="164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27" fillId="0" borderId="0" applyNumberFormat="0" applyFill="0" applyBorder="0" applyAlignment="0" applyProtection="0">
      <alignment horizontal="center" vertical="center"/>
    </xf>
  </cellStyleXfs>
  <cellXfs count="139">
    <xf numFmtId="0" fontId="0" fillId="0" borderId="0" xfId="0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right" vertical="center"/>
    </xf>
    <xf numFmtId="0" fontId="0" fillId="0" borderId="0" xfId="0" applyAlignment="1">
      <alignment horizontal="left" vertical="center"/>
    </xf>
    <xf numFmtId="0" fontId="4" fillId="4" borderId="0" xfId="0" applyFont="1" applyFill="1" applyAlignment="1" applyProtection="1">
      <alignment horizontal="center" vertical="center"/>
      <protection locked="0"/>
    </xf>
    <xf numFmtId="166" fontId="0" fillId="0" borderId="0" xfId="2" applyNumberFormat="1" applyFont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169" fontId="0" fillId="0" borderId="11" xfId="0" applyNumberFormat="1" applyFont="1" applyFill="1" applyBorder="1" applyAlignment="1">
      <alignment horizontal="center" vertical="center"/>
    </xf>
    <xf numFmtId="169" fontId="0" fillId="0" borderId="13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44" fontId="15" fillId="3" borderId="0" xfId="0" applyNumberFormat="1" applyFont="1" applyFill="1" applyAlignment="1" applyProtection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14" fontId="11" fillId="0" borderId="0" xfId="0" applyNumberFormat="1" applyFont="1" applyBorder="1" applyAlignment="1" applyProtection="1">
      <alignment horizontal="left" vertical="center"/>
    </xf>
    <xf numFmtId="0" fontId="5" fillId="6" borderId="1" xfId="0" applyFont="1" applyFill="1" applyBorder="1" applyAlignment="1">
      <alignment horizontal="center" vertical="center"/>
    </xf>
    <xf numFmtId="0" fontId="13" fillId="2" borderId="7" xfId="0" applyFont="1" applyFill="1" applyBorder="1" applyAlignment="1">
      <alignment horizontal="center" vertical="center"/>
    </xf>
    <xf numFmtId="0" fontId="5" fillId="12" borderId="2" xfId="0" applyFont="1" applyFill="1" applyBorder="1" applyAlignment="1">
      <alignment horizontal="center" vertical="center"/>
    </xf>
    <xf numFmtId="44" fontId="6" fillId="6" borderId="3" xfId="1" applyNumberFormat="1" applyFont="1" applyFill="1" applyBorder="1" applyAlignment="1" applyProtection="1">
      <alignment horizontal="center" vertical="center"/>
      <protection locked="0"/>
    </xf>
    <xf numFmtId="9" fontId="14" fillId="2" borderId="8" xfId="2" applyFont="1" applyFill="1" applyBorder="1" applyAlignment="1" applyProtection="1">
      <alignment horizontal="center" vertical="center"/>
      <protection locked="0"/>
    </xf>
    <xf numFmtId="44" fontId="6" fillId="8" borderId="8" xfId="0" applyNumberFormat="1" applyFont="1" applyFill="1" applyBorder="1" applyAlignment="1">
      <alignment horizontal="center" vertical="center"/>
    </xf>
    <xf numFmtId="44" fontId="6" fillId="12" borderId="4" xfId="1" applyNumberFormat="1" applyFont="1" applyFill="1" applyBorder="1" applyAlignment="1" applyProtection="1">
      <alignment horizontal="center" vertical="center"/>
    </xf>
    <xf numFmtId="44" fontId="6" fillId="6" borderId="5" xfId="1" applyNumberFormat="1" applyFont="1" applyFill="1" applyBorder="1" applyAlignment="1" applyProtection="1">
      <alignment horizontal="center" vertical="center"/>
    </xf>
    <xf numFmtId="9" fontId="14" fillId="2" borderId="9" xfId="2" applyFont="1" applyFill="1" applyBorder="1" applyAlignment="1" applyProtection="1">
      <alignment horizontal="center" vertical="center"/>
      <protection locked="0"/>
    </xf>
    <xf numFmtId="44" fontId="6" fillId="8" borderId="9" xfId="0" applyNumberFormat="1" applyFont="1" applyFill="1" applyBorder="1" applyAlignment="1">
      <alignment horizontal="center" vertical="center"/>
    </xf>
    <xf numFmtId="44" fontId="6" fillId="12" borderId="6" xfId="1" applyNumberFormat="1" applyFont="1" applyFill="1" applyBorder="1" applyAlignment="1" applyProtection="1">
      <alignment horizontal="center" vertical="center"/>
      <protection locked="0"/>
    </xf>
    <xf numFmtId="44" fontId="15" fillId="3" borderId="0" xfId="0" applyNumberFormat="1" applyFont="1" applyFill="1" applyBorder="1" applyAlignment="1" applyProtection="1">
      <alignment horizontal="center" vertical="center"/>
    </xf>
    <xf numFmtId="44" fontId="10" fillId="0" borderId="5" xfId="0" applyNumberFormat="1" applyFont="1" applyBorder="1" applyAlignment="1" applyProtection="1">
      <alignment horizontal="center" vertical="center"/>
    </xf>
    <xf numFmtId="44" fontId="3" fillId="0" borderId="3" xfId="0" applyNumberFormat="1" applyFont="1" applyBorder="1" applyAlignment="1" applyProtection="1">
      <alignment horizontal="center" vertical="center"/>
    </xf>
    <xf numFmtId="44" fontId="3" fillId="0" borderId="4" xfId="0" applyNumberFormat="1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6" fillId="7" borderId="0" xfId="0" applyNumberFormat="1" applyFont="1" applyFill="1" applyBorder="1" applyAlignment="1" applyProtection="1">
      <alignment horizontal="center" vertical="center"/>
    </xf>
    <xf numFmtId="0" fontId="11" fillId="0" borderId="0" xfId="0" applyFont="1" applyAlignment="1" applyProtection="1">
      <alignment horizontal="right" vertical="center"/>
    </xf>
    <xf numFmtId="44" fontId="11" fillId="0" borderId="0" xfId="1" applyNumberFormat="1" applyFont="1" applyFill="1" applyBorder="1" applyAlignment="1" applyProtection="1">
      <alignment horizontal="right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</xf>
    <xf numFmtId="44" fontId="10" fillId="0" borderId="9" xfId="0" applyNumberFormat="1" applyFont="1" applyBorder="1" applyAlignment="1" applyProtection="1">
      <alignment horizontal="center" vertical="center"/>
    </xf>
    <xf numFmtId="44" fontId="10" fillId="0" borderId="6" xfId="0" applyNumberFormat="1" applyFont="1" applyBorder="1" applyAlignment="1" applyProtection="1">
      <alignment horizontal="center" vertical="center"/>
    </xf>
    <xf numFmtId="14" fontId="0" fillId="0" borderId="0" xfId="0" applyNumberFormat="1" applyFont="1" applyBorder="1" applyAlignment="1">
      <alignment horizontal="left" vertical="center"/>
    </xf>
    <xf numFmtId="0" fontId="6" fillId="0" borderId="14" xfId="0" applyFont="1" applyFill="1" applyBorder="1" applyAlignment="1">
      <alignment horizontal="center" vertical="center"/>
    </xf>
    <xf numFmtId="0" fontId="0" fillId="4" borderId="0" xfId="0" applyFill="1" applyAlignment="1">
      <alignment vertical="center"/>
    </xf>
    <xf numFmtId="0" fontId="17" fillId="25" borderId="0" xfId="0" applyFont="1" applyFill="1" applyAlignment="1">
      <alignment horizontal="center" vertical="center"/>
    </xf>
    <xf numFmtId="0" fontId="16" fillId="25" borderId="10" xfId="0" applyFont="1" applyFill="1" applyBorder="1" applyAlignment="1">
      <alignment horizontal="center" vertical="center"/>
    </xf>
    <xf numFmtId="0" fontId="16" fillId="8" borderId="15" xfId="0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9" fontId="11" fillId="10" borderId="0" xfId="0" applyNumberFormat="1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44" fontId="3" fillId="0" borderId="0" xfId="1" applyNumberFormat="1" applyFont="1" applyFill="1" applyBorder="1" applyAlignment="1">
      <alignment horizontal="right" vertical="center"/>
    </xf>
    <xf numFmtId="14" fontId="3" fillId="0" borderId="0" xfId="0" applyNumberFormat="1" applyFont="1" applyBorder="1" applyAlignment="1">
      <alignment horizontal="left" vertical="center"/>
    </xf>
    <xf numFmtId="0" fontId="3" fillId="0" borderId="0" xfId="0" applyFont="1" applyAlignment="1">
      <alignment horizontal="right" vertical="center"/>
    </xf>
    <xf numFmtId="0" fontId="12" fillId="0" borderId="0" xfId="0" applyFont="1" applyFill="1" applyAlignment="1">
      <alignment horizontal="center" vertical="center"/>
    </xf>
    <xf numFmtId="44" fontId="3" fillId="0" borderId="0" xfId="1" applyNumberFormat="1" applyFont="1" applyFill="1" applyBorder="1" applyAlignment="1">
      <alignment horizontal="center" vertical="center"/>
    </xf>
    <xf numFmtId="44" fontId="3" fillId="0" borderId="8" xfId="0" applyNumberFormat="1" applyFont="1" applyBorder="1" applyAlignment="1" applyProtection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25" fillId="0" borderId="0" xfId="0" applyFont="1" applyAlignment="1">
      <alignment horizontal="center" vertical="center"/>
    </xf>
    <xf numFmtId="14" fontId="25" fillId="0" borderId="0" xfId="0" applyNumberFormat="1" applyFont="1" applyAlignment="1">
      <alignment horizontal="center" vertical="center"/>
    </xf>
    <xf numFmtId="0" fontId="25" fillId="0" borderId="13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0" fontId="0" fillId="0" borderId="0" xfId="0" applyBorder="1">
      <alignment horizontal="center" vertical="center"/>
    </xf>
    <xf numFmtId="0" fontId="9" fillId="0" borderId="0" xfId="0" applyFont="1" applyBorder="1" applyAlignment="1" applyProtection="1">
      <alignment horizontal="center" vertical="center"/>
    </xf>
    <xf numFmtId="165" fontId="9" fillId="0" borderId="0" xfId="0" applyNumberFormat="1" applyFont="1" applyFill="1" applyBorder="1" applyAlignment="1">
      <alignment horizontal="right" vertical="center"/>
    </xf>
    <xf numFmtId="0" fontId="16" fillId="6" borderId="19" xfId="0" applyFont="1" applyFill="1" applyBorder="1" applyAlignment="1">
      <alignment horizontal="center" vertical="center"/>
    </xf>
    <xf numFmtId="0" fontId="16" fillId="6" borderId="21" xfId="0" applyFont="1" applyFill="1" applyBorder="1" applyAlignment="1">
      <alignment horizontal="center" vertical="center" textRotation="90"/>
    </xf>
    <xf numFmtId="0" fontId="16" fillId="12" borderId="21" xfId="0" applyFont="1" applyFill="1" applyBorder="1" applyAlignment="1">
      <alignment horizontal="center" vertical="center" wrapText="1"/>
    </xf>
    <xf numFmtId="0" fontId="16" fillId="12" borderId="21" xfId="0" applyFont="1" applyFill="1" applyBorder="1" applyAlignment="1">
      <alignment horizontal="center" vertical="center"/>
    </xf>
    <xf numFmtId="0" fontId="16" fillId="8" borderId="21" xfId="0" applyFont="1" applyFill="1" applyBorder="1" applyAlignment="1">
      <alignment horizontal="center" vertical="center"/>
    </xf>
    <xf numFmtId="0" fontId="16" fillId="15" borderId="21" xfId="0" applyFont="1" applyFill="1" applyBorder="1" applyAlignment="1">
      <alignment horizontal="center" vertical="center"/>
    </xf>
    <xf numFmtId="0" fontId="16" fillId="16" borderId="21" xfId="1" applyNumberFormat="1" applyFont="1" applyFill="1" applyBorder="1" applyAlignment="1">
      <alignment horizontal="center" vertical="center"/>
    </xf>
    <xf numFmtId="44" fontId="16" fillId="0" borderId="21" xfId="1" applyNumberFormat="1" applyFont="1" applyFill="1" applyBorder="1" applyAlignment="1">
      <alignment horizontal="center" vertical="center" textRotation="90"/>
    </xf>
    <xf numFmtId="0" fontId="23" fillId="27" borderId="21" xfId="0" applyFont="1" applyFill="1" applyBorder="1" applyAlignment="1">
      <alignment horizontal="center" vertical="center"/>
    </xf>
    <xf numFmtId="0" fontId="24" fillId="9" borderId="21" xfId="0" applyFont="1" applyFill="1" applyBorder="1" applyAlignment="1">
      <alignment horizontal="center" vertical="center" textRotation="90"/>
    </xf>
    <xf numFmtId="0" fontId="16" fillId="9" borderId="21" xfId="0" applyFont="1" applyFill="1" applyBorder="1" applyAlignment="1">
      <alignment horizontal="center" vertical="center" wrapText="1"/>
    </xf>
    <xf numFmtId="0" fontId="23" fillId="29" borderId="21" xfId="0" applyFont="1" applyFill="1" applyBorder="1" applyAlignment="1">
      <alignment horizontal="center" vertical="center"/>
    </xf>
    <xf numFmtId="0" fontId="16" fillId="9" borderId="21" xfId="0" applyFont="1" applyFill="1" applyBorder="1" applyAlignment="1">
      <alignment horizontal="center" vertical="center"/>
    </xf>
    <xf numFmtId="0" fontId="18" fillId="0" borderId="21" xfId="0" applyFont="1" applyFill="1" applyBorder="1" applyAlignment="1">
      <alignment horizontal="center" vertical="center" textRotation="90"/>
    </xf>
    <xf numFmtId="0" fontId="5" fillId="0" borderId="21" xfId="0" applyFont="1" applyFill="1" applyBorder="1" applyAlignment="1">
      <alignment horizontal="center" vertical="center" textRotation="90"/>
    </xf>
    <xf numFmtId="0" fontId="11" fillId="23" borderId="17" xfId="0" applyFont="1" applyFill="1" applyBorder="1" applyAlignment="1" applyProtection="1">
      <alignment horizontal="center" vertical="center" wrapText="1"/>
    </xf>
    <xf numFmtId="0" fontId="12" fillId="17" borderId="20" xfId="0" applyNumberFormat="1" applyFont="1" applyFill="1" applyBorder="1" applyAlignment="1" applyProtection="1">
      <alignment horizontal="center" vertical="center"/>
    </xf>
    <xf numFmtId="0" fontId="12" fillId="11" borderId="20" xfId="0" applyFont="1" applyFill="1" applyBorder="1" applyAlignment="1" applyProtection="1">
      <alignment horizontal="left" vertical="center"/>
      <protection locked="0"/>
    </xf>
    <xf numFmtId="0" fontId="12" fillId="11" borderId="20" xfId="0" applyFont="1" applyFill="1" applyBorder="1" applyAlignment="1" applyProtection="1">
      <alignment horizontal="left" vertical="center"/>
    </xf>
    <xf numFmtId="44" fontId="3" fillId="10" borderId="20" xfId="1" applyNumberFormat="1" applyFont="1" applyFill="1" applyBorder="1" applyAlignment="1" applyProtection="1">
      <alignment horizontal="center" vertical="center"/>
      <protection locked="0"/>
    </xf>
    <xf numFmtId="44" fontId="3" fillId="13" borderId="20" xfId="1" applyNumberFormat="1" applyFont="1" applyFill="1" applyBorder="1" applyAlignment="1" applyProtection="1">
      <alignment horizontal="center" vertical="center"/>
      <protection locked="0"/>
    </xf>
    <xf numFmtId="44" fontId="8" fillId="14" borderId="20" xfId="1" applyNumberFormat="1" applyFont="1" applyFill="1" applyBorder="1" applyAlignment="1">
      <alignment horizontal="center" vertical="center"/>
    </xf>
    <xf numFmtId="0" fontId="21" fillId="0" borderId="20" xfId="0" applyFont="1" applyBorder="1" applyAlignment="1">
      <alignment horizontal="center" vertical="center"/>
    </xf>
    <xf numFmtId="44" fontId="3" fillId="10" borderId="20" xfId="1" applyNumberFormat="1" applyFont="1" applyFill="1" applyBorder="1" applyAlignment="1">
      <alignment horizontal="center" vertical="center"/>
    </xf>
    <xf numFmtId="0" fontId="3" fillId="5" borderId="20" xfId="1" applyNumberFormat="1" applyFont="1" applyFill="1" applyBorder="1" applyAlignment="1" applyProtection="1">
      <alignment horizontal="center" vertical="center"/>
    </xf>
    <xf numFmtId="44" fontId="3" fillId="5" borderId="20" xfId="1" applyNumberFormat="1" applyFont="1" applyFill="1" applyBorder="1" applyAlignment="1">
      <alignment horizontal="center" vertical="center"/>
    </xf>
    <xf numFmtId="0" fontId="21" fillId="0" borderId="20" xfId="0" applyFont="1" applyBorder="1">
      <alignment horizontal="center" vertical="center"/>
    </xf>
    <xf numFmtId="44" fontId="3" fillId="13" borderId="20" xfId="1" applyNumberFormat="1" applyFont="1" applyFill="1" applyBorder="1" applyAlignment="1">
      <alignment horizontal="center" vertical="center"/>
    </xf>
    <xf numFmtId="0" fontId="21" fillId="0" borderId="20" xfId="0" applyFont="1" applyFill="1" applyBorder="1">
      <alignment horizontal="center" vertical="center"/>
    </xf>
    <xf numFmtId="0" fontId="6" fillId="0" borderId="20" xfId="1" applyNumberFormat="1" applyFont="1" applyFill="1" applyBorder="1" applyAlignment="1">
      <alignment horizontal="center" vertical="center"/>
    </xf>
    <xf numFmtId="0" fontId="3" fillId="5" borderId="20" xfId="1" applyNumberFormat="1" applyFont="1" applyFill="1" applyBorder="1" applyAlignment="1" applyProtection="1">
      <alignment horizontal="center" vertical="center"/>
      <protection locked="0"/>
    </xf>
    <xf numFmtId="0" fontId="9" fillId="4" borderId="23" xfId="0" applyFont="1" applyFill="1" applyBorder="1" applyAlignment="1" applyProtection="1">
      <alignment horizontal="center" vertical="center"/>
      <protection locked="0"/>
    </xf>
    <xf numFmtId="0" fontId="16" fillId="18" borderId="18" xfId="0" applyFont="1" applyFill="1" applyBorder="1" applyAlignment="1">
      <alignment horizontal="center" vertical="center"/>
    </xf>
    <xf numFmtId="0" fontId="16" fillId="18" borderId="24" xfId="0" applyFont="1" applyFill="1" applyBorder="1" applyAlignment="1">
      <alignment horizontal="center" vertical="center"/>
    </xf>
    <xf numFmtId="0" fontId="16" fillId="24" borderId="24" xfId="0" applyFont="1" applyFill="1" applyBorder="1" applyAlignment="1">
      <alignment horizontal="left" vertical="center"/>
    </xf>
    <xf numFmtId="44" fontId="16" fillId="19" borderId="24" xfId="0" applyNumberFormat="1" applyFont="1" applyFill="1" applyBorder="1" applyAlignment="1">
      <alignment horizontal="center" vertical="center"/>
    </xf>
    <xf numFmtId="44" fontId="16" fillId="20" borderId="24" xfId="0" applyNumberFormat="1" applyFont="1" applyFill="1" applyBorder="1" applyAlignment="1">
      <alignment horizontal="center" vertical="center"/>
    </xf>
    <xf numFmtId="44" fontId="16" fillId="21" borderId="24" xfId="0" applyNumberFormat="1" applyFont="1" applyFill="1" applyBorder="1" applyAlignment="1">
      <alignment horizontal="center" vertical="center"/>
    </xf>
    <xf numFmtId="0" fontId="21" fillId="0" borderId="24" xfId="0" applyFont="1" applyBorder="1">
      <alignment horizontal="center" vertical="center"/>
    </xf>
    <xf numFmtId="44" fontId="16" fillId="28" borderId="24" xfId="0" applyNumberFormat="1" applyFont="1" applyFill="1" applyBorder="1" applyAlignment="1">
      <alignment horizontal="center" vertical="center"/>
    </xf>
    <xf numFmtId="0" fontId="16" fillId="22" borderId="24" xfId="0" applyNumberFormat="1" applyFont="1" applyFill="1" applyBorder="1" applyAlignment="1">
      <alignment horizontal="center" vertical="center"/>
    </xf>
    <xf numFmtId="44" fontId="16" fillId="22" borderId="24" xfId="0" applyNumberFormat="1" applyFont="1" applyFill="1" applyBorder="1" applyAlignment="1">
      <alignment horizontal="center" vertical="center"/>
    </xf>
    <xf numFmtId="44" fontId="16" fillId="30" borderId="24" xfId="0" applyNumberFormat="1" applyFont="1" applyFill="1" applyBorder="1" applyAlignment="1">
      <alignment horizontal="center" vertical="center"/>
    </xf>
    <xf numFmtId="0" fontId="20" fillId="0" borderId="24" xfId="0" applyFont="1" applyBorder="1">
      <alignment horizontal="center" vertical="center"/>
    </xf>
    <xf numFmtId="0" fontId="16" fillId="0" borderId="24" xfId="0" applyNumberFormat="1" applyFont="1" applyFill="1" applyBorder="1" applyAlignment="1">
      <alignment horizontal="center" vertical="center"/>
    </xf>
    <xf numFmtId="0" fontId="1" fillId="0" borderId="24" xfId="0" applyFont="1" applyBorder="1">
      <alignment horizontal="center" vertical="center"/>
    </xf>
    <xf numFmtId="0" fontId="19" fillId="26" borderId="16" xfId="0" applyFont="1" applyFill="1" applyBorder="1" applyAlignment="1">
      <alignment horizontal="center" vertical="center"/>
    </xf>
    <xf numFmtId="44" fontId="3" fillId="10" borderId="20" xfId="1" applyNumberFormat="1" applyFont="1" applyFill="1" applyBorder="1" applyAlignment="1" applyProtection="1">
      <alignment horizontal="center" vertical="center"/>
    </xf>
    <xf numFmtId="44" fontId="3" fillId="13" borderId="20" xfId="1" applyNumberFormat="1" applyFont="1" applyFill="1" applyBorder="1" applyAlignment="1" applyProtection="1">
      <alignment horizontal="center" vertical="center"/>
    </xf>
    <xf numFmtId="0" fontId="12" fillId="11" borderId="20" xfId="0" applyFont="1" applyFill="1" applyBorder="1" applyAlignment="1">
      <alignment horizontal="left" vertical="center"/>
    </xf>
    <xf numFmtId="0" fontId="16" fillId="6" borderId="20" xfId="0" applyFont="1" applyFill="1" applyBorder="1" applyAlignment="1">
      <alignment horizontal="center" vertical="center"/>
    </xf>
    <xf numFmtId="0" fontId="16" fillId="6" borderId="20" xfId="0" applyFont="1" applyFill="1" applyBorder="1" applyAlignment="1">
      <alignment horizontal="center" vertical="center" textRotation="90"/>
    </xf>
    <xf numFmtId="0" fontId="16" fillId="12" borderId="20" xfId="0" applyFont="1" applyFill="1" applyBorder="1" applyAlignment="1">
      <alignment horizontal="center" vertical="center" wrapText="1"/>
    </xf>
    <xf numFmtId="0" fontId="16" fillId="12" borderId="20" xfId="0" applyFont="1" applyFill="1" applyBorder="1" applyAlignment="1">
      <alignment horizontal="center" vertical="center"/>
    </xf>
    <xf numFmtId="0" fontId="16" fillId="8" borderId="20" xfId="0" applyFont="1" applyFill="1" applyBorder="1" applyAlignment="1">
      <alignment horizontal="center" vertical="center"/>
    </xf>
    <xf numFmtId="0" fontId="16" fillId="15" borderId="20" xfId="0" applyFont="1" applyFill="1" applyBorder="1" applyAlignment="1">
      <alignment horizontal="center" vertical="center"/>
    </xf>
    <xf numFmtId="165" fontId="3" fillId="17" borderId="20" xfId="0" applyNumberFormat="1" applyFont="1" applyFill="1" applyBorder="1" applyAlignment="1" applyProtection="1">
      <alignment horizontal="center" vertical="center"/>
    </xf>
    <xf numFmtId="0" fontId="7" fillId="11" borderId="20" xfId="0" applyFont="1" applyFill="1" applyBorder="1" applyAlignment="1" applyProtection="1">
      <alignment horizontal="center" vertical="center"/>
    </xf>
    <xf numFmtId="0" fontId="9" fillId="11" borderId="20" xfId="0" applyFont="1" applyFill="1" applyBorder="1" applyAlignment="1" applyProtection="1">
      <alignment horizontal="center" vertical="center"/>
    </xf>
    <xf numFmtId="0" fontId="16" fillId="6" borderId="20" xfId="0" applyFont="1" applyFill="1" applyBorder="1" applyAlignment="1" applyProtection="1">
      <alignment horizontal="center" vertical="center"/>
    </xf>
    <xf numFmtId="0" fontId="10" fillId="24" borderId="20" xfId="0" applyFont="1" applyFill="1" applyBorder="1" applyAlignment="1" applyProtection="1">
      <alignment horizontal="center" vertical="center"/>
    </xf>
    <xf numFmtId="44" fontId="16" fillId="19" borderId="20" xfId="0" applyNumberFormat="1" applyFont="1" applyFill="1" applyBorder="1" applyAlignment="1" applyProtection="1">
      <alignment horizontal="center" vertical="center"/>
    </xf>
    <xf numFmtId="44" fontId="16" fillId="20" borderId="20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right" vertical="center"/>
    </xf>
    <xf numFmtId="165" fontId="3" fillId="17" borderId="22" xfId="0" applyNumberFormat="1" applyFont="1" applyFill="1" applyBorder="1" applyAlignment="1" applyProtection="1">
      <alignment horizontal="right" vertical="center"/>
      <protection locked="0"/>
    </xf>
    <xf numFmtId="165" fontId="3" fillId="17" borderId="20" xfId="0" applyNumberFormat="1" applyFont="1" applyFill="1" applyBorder="1" applyAlignment="1">
      <alignment horizontal="right" vertical="center"/>
    </xf>
    <xf numFmtId="165" fontId="3" fillId="17" borderId="20" xfId="0" applyNumberFormat="1" applyFont="1" applyFill="1" applyBorder="1" applyAlignment="1" applyProtection="1">
      <alignment horizontal="right" vertical="center"/>
    </xf>
    <xf numFmtId="0" fontId="0" fillId="0" borderId="0" xfId="0" applyAlignment="1">
      <alignment horizontal="right" vertical="center"/>
    </xf>
    <xf numFmtId="44" fontId="26" fillId="5" borderId="0" xfId="0" applyNumberFormat="1" applyFont="1" applyFill="1" applyAlignment="1" applyProtection="1">
      <alignment horizontal="center" vertical="center"/>
    </xf>
    <xf numFmtId="0" fontId="9" fillId="0" borderId="0" xfId="0" applyFont="1">
      <alignment horizontal="center" vertical="center"/>
    </xf>
    <xf numFmtId="44" fontId="16" fillId="25" borderId="15" xfId="0" applyNumberFormat="1" applyFont="1" applyFill="1" applyBorder="1">
      <alignment horizontal="center" vertical="center"/>
    </xf>
    <xf numFmtId="0" fontId="28" fillId="11" borderId="20" xfId="3" applyFont="1" applyFill="1" applyBorder="1" applyAlignment="1" applyProtection="1">
      <alignment horizontal="left" vertical="center"/>
    </xf>
    <xf numFmtId="0" fontId="28" fillId="11" borderId="20" xfId="3" applyFont="1" applyFill="1" applyBorder="1" applyAlignment="1">
      <alignment horizontal="left" vertical="center"/>
    </xf>
    <xf numFmtId="170" fontId="29" fillId="0" borderId="0" xfId="0" applyNumberFormat="1" applyFont="1" applyAlignment="1" applyProtection="1">
      <alignment horizontal="left" vertical="center"/>
    </xf>
    <xf numFmtId="0" fontId="22" fillId="0" borderId="0" xfId="0" applyFont="1" applyAlignment="1">
      <alignment horizontal="center" vertical="center"/>
    </xf>
    <xf numFmtId="0" fontId="29" fillId="0" borderId="0" xfId="0" applyFont="1" applyAlignment="1" applyProtection="1">
      <alignment horizontal="right" vertical="center"/>
    </xf>
  </cellXfs>
  <cellStyles count="4">
    <cellStyle name="Lien hypertexte" xfId="3" builtinId="8"/>
    <cellStyle name="Monétaire" xfId="1" builtinId="4"/>
    <cellStyle name="Normal" xfId="0" builtinId="0" customBuiltin="1"/>
    <cellStyle name="Pourcentage" xfId="2" builtinId="5"/>
  </cellStyles>
  <dxfs count="927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/>
      </border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right/>
      </border>
    </dxf>
    <dxf>
      <font>
        <color auto="1"/>
      </font>
      <fill>
        <patternFill>
          <bgColor theme="0" tint="-0.34998626667073579"/>
        </patternFill>
      </fill>
      <border>
        <right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right/>
      </border>
    </dxf>
    <dxf>
      <font>
        <color auto="1"/>
      </font>
      <fill>
        <patternFill>
          <bgColor theme="0" tint="-0.34998626667073579"/>
        </patternFill>
      </fill>
      <border>
        <right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right/>
      </border>
    </dxf>
    <dxf>
      <font>
        <color auto="1"/>
      </font>
      <fill>
        <patternFill>
          <bgColor theme="0" tint="-0.34998626667073579"/>
        </patternFill>
      </fill>
      <border>
        <right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left/>
        <vertical/>
        <horizontal/>
      </border>
    </dxf>
    <dxf>
      <fill>
        <patternFill>
          <bgColor theme="0" tint="-0.34998626667073579"/>
        </patternFill>
      </fill>
      <border>
        <right/>
      </border>
    </dxf>
    <dxf>
      <font>
        <color auto="1"/>
      </font>
      <fill>
        <patternFill>
          <bgColor theme="0" tint="-0.34998626667073579"/>
        </patternFill>
      </fill>
      <border>
        <right/>
      </border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/>
        <bottom/>
        <vertical style="thin">
          <color theme="0"/>
        </vertical>
        <horizontal style="thin">
          <color theme="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 style="thin">
          <color theme="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/>
        <bottom/>
        <vertical style="thin">
          <color theme="0"/>
        </vertical>
        <horizontal style="thin">
          <color theme="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1" hidden="0"/>
    </dxf>
    <dxf>
      <border>
        <top style="thin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 style="thin">
          <color theme="0"/>
        </horizontal>
      </border>
      <protection locked="1" hidden="0"/>
    </dxf>
    <dxf>
      <border diagonalUp="0" diagonalDown="0">
        <left/>
        <right/>
        <top/>
        <bottom/>
      </border>
    </dxf>
    <dxf>
      <border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 style="thin">
          <color theme="0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/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  <vertical style="thin">
          <color rgb="FFFFFFFF"/>
        </vertical>
        <horizontal style="thin">
          <color rgb="FFFFFFFF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ddd\ dd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  <protection locked="0" hidden="0"/>
    </dxf>
    <dxf>
      <border>
        <top style="thin">
          <color rgb="FFFFFFFF"/>
        </top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border diagonalUp="0" diagonalDown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>
        <bottom style="thin">
          <color rgb="FFFFFFFF"/>
        </bottom>
      </border>
    </dxf>
    <dxf>
      <border diagonalUp="0" diagonalDown="0">
        <left style="thin">
          <color rgb="FFFFFFFF"/>
        </left>
        <right style="thin">
          <color rgb="FFFFFFFF"/>
        </right>
        <top/>
        <bottom/>
        <vertical style="thin">
          <color rgb="FFFFFFFF"/>
        </vertical>
        <horizontal style="thin">
          <color rgb="FFFFFFFF"/>
        </horizontal>
      </border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6" formatCode="0.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mmmm\ 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mmmm\ 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[$-F800]dddd\,\ mmmm\ dd\,\ yyyy"/>
      <alignment horizontal="center" vertical="center" textRotation="0" wrapText="0" indent="0" justifyLastLine="0" shrinkToFit="0" readingOrder="0"/>
      <protection locked="1" hidden="0"/>
    </dxf>
    <dxf>
      <numFmt numFmtId="168" formatCode="[$-F800]dddd\,\ mmmm\ dd\,\ yyyy"/>
      <alignment horizontal="center" vertical="center" textRotation="0" wrapText="0" indent="0" justifyLastLine="0" shrinkToFit="0" readingOrder="0"/>
      <protection locked="1" hidden="0"/>
    </dxf>
    <dxf>
      <alignment horizontal="left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left" vertical="center" textRotation="0" wrapText="0" indent="0" justifyLastLine="0" shrinkToFit="0" readingOrder="0"/>
      <protection locked="1" hidden="0"/>
    </dxf>
    <dxf>
      <numFmt numFmtId="167" formatCode="mmmm"/>
      <alignment horizontal="center" vertical="center" textRotation="0" wrapText="0" indent="0" justifyLastLine="0" shrinkToFit="0" readingOrder="0"/>
      <protection locked="1" hidden="0"/>
    </dxf>
    <dxf>
      <numFmt numFmtId="167" formatCode="mmmm"/>
      <alignment horizontal="center" vertical="center" textRotation="0" wrapText="0" indent="0" justifyLastLine="0" shrinkToFit="0" readingOrder="0"/>
      <protection locked="1" hidden="0"/>
    </dxf>
    <dxf>
      <alignment horizontal="left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left" vertical="center" textRotation="0" wrapText="0" indent="0" justifyLastLine="0" shrinkToFit="0" readingOrder="0"/>
      <protection locked="1" hidden="0"/>
    </dxf>
    <dxf>
      <font>
        <color auto="1"/>
      </font>
      <fill>
        <patternFill patternType="none">
          <bgColor auto="1"/>
        </patternFill>
      </fill>
      <border diagonalUp="0" diagonalDown="0">
        <left/>
        <right/>
        <top/>
        <bottom/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Style de tableau 1" pivot="0" count="1" xr9:uid="{B15B84C3-32F1-40A9-9049-ADA76CA9B31C}">
      <tableStyleElement type="wholeTable" dxfId="926"/>
    </tableStyle>
  </tableStyles>
  <extLst>
    <ext xmlns:x14="http://schemas.microsoft.com/office/spreadsheetml/2009/9/main" uri="{EB79DEF2-80B8-43e5-95BD-54CBDDF9020C}">
      <x14:slicerStyles defaultSlicerStyle="SlicerStyleDark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microsoft.com/office/2007/relationships/slicerCache" Target="slicerCaches/slicerCache12.xml"/><Relationship Id="rId117" Type="http://schemas.microsoft.com/office/2007/relationships/slicerCache" Target="slicerCaches/slicerCache103.xml"/><Relationship Id="rId21" Type="http://schemas.microsoft.com/office/2007/relationships/slicerCache" Target="slicerCaches/slicerCache7.xml"/><Relationship Id="rId42" Type="http://schemas.microsoft.com/office/2007/relationships/slicerCache" Target="slicerCaches/slicerCache28.xml"/><Relationship Id="rId47" Type="http://schemas.microsoft.com/office/2007/relationships/slicerCache" Target="slicerCaches/slicerCache33.xml"/><Relationship Id="rId63" Type="http://schemas.microsoft.com/office/2007/relationships/slicerCache" Target="slicerCaches/slicerCache49.xml"/><Relationship Id="rId68" Type="http://schemas.microsoft.com/office/2007/relationships/slicerCache" Target="slicerCaches/slicerCache54.xml"/><Relationship Id="rId84" Type="http://schemas.microsoft.com/office/2007/relationships/slicerCache" Target="slicerCaches/slicerCache70.xml"/><Relationship Id="rId89" Type="http://schemas.microsoft.com/office/2007/relationships/slicerCache" Target="slicerCaches/slicerCache75.xml"/><Relationship Id="rId112" Type="http://schemas.microsoft.com/office/2007/relationships/slicerCache" Target="slicerCaches/slicerCache98.xml"/><Relationship Id="rId133" Type="http://schemas.microsoft.com/office/2007/relationships/slicerCache" Target="slicerCaches/slicerCache119.xml"/><Relationship Id="rId138" Type="http://schemas.microsoft.com/office/2007/relationships/slicerCache" Target="slicerCaches/slicerCache124.xml"/><Relationship Id="rId154" Type="http://schemas.microsoft.com/office/2007/relationships/slicerCache" Target="slicerCaches/slicerCache140.xml"/><Relationship Id="rId159" Type="http://schemas.microsoft.com/office/2007/relationships/slicerCache" Target="slicerCaches/slicerCache145.xml"/><Relationship Id="rId175" Type="http://schemas.microsoft.com/office/2007/relationships/slicerCache" Target="slicerCaches/slicerCache161.xml"/><Relationship Id="rId170" Type="http://schemas.microsoft.com/office/2007/relationships/slicerCache" Target="slicerCaches/slicerCache156.xml"/><Relationship Id="rId16" Type="http://schemas.microsoft.com/office/2007/relationships/slicerCache" Target="slicerCaches/slicerCache2.xml"/><Relationship Id="rId107" Type="http://schemas.microsoft.com/office/2007/relationships/slicerCache" Target="slicerCaches/slicerCache93.xml"/><Relationship Id="rId11" Type="http://schemas.openxmlformats.org/officeDocument/2006/relationships/worksheet" Target="worksheets/sheet11.xml"/><Relationship Id="rId32" Type="http://schemas.microsoft.com/office/2007/relationships/slicerCache" Target="slicerCaches/slicerCache18.xml"/><Relationship Id="rId37" Type="http://schemas.microsoft.com/office/2007/relationships/slicerCache" Target="slicerCaches/slicerCache23.xml"/><Relationship Id="rId53" Type="http://schemas.microsoft.com/office/2007/relationships/slicerCache" Target="slicerCaches/slicerCache39.xml"/><Relationship Id="rId58" Type="http://schemas.microsoft.com/office/2007/relationships/slicerCache" Target="slicerCaches/slicerCache44.xml"/><Relationship Id="rId74" Type="http://schemas.microsoft.com/office/2007/relationships/slicerCache" Target="slicerCaches/slicerCache60.xml"/><Relationship Id="rId79" Type="http://schemas.microsoft.com/office/2007/relationships/slicerCache" Target="slicerCaches/slicerCache65.xml"/><Relationship Id="rId102" Type="http://schemas.microsoft.com/office/2007/relationships/slicerCache" Target="slicerCaches/slicerCache88.xml"/><Relationship Id="rId123" Type="http://schemas.microsoft.com/office/2007/relationships/slicerCache" Target="slicerCaches/slicerCache109.xml"/><Relationship Id="rId128" Type="http://schemas.microsoft.com/office/2007/relationships/slicerCache" Target="slicerCaches/slicerCache114.xml"/><Relationship Id="rId144" Type="http://schemas.microsoft.com/office/2007/relationships/slicerCache" Target="slicerCaches/slicerCache130.xml"/><Relationship Id="rId149" Type="http://schemas.microsoft.com/office/2007/relationships/slicerCache" Target="slicerCaches/slicerCache135.xml"/><Relationship Id="rId5" Type="http://schemas.openxmlformats.org/officeDocument/2006/relationships/worksheet" Target="worksheets/sheet5.xml"/><Relationship Id="rId90" Type="http://schemas.microsoft.com/office/2007/relationships/slicerCache" Target="slicerCaches/slicerCache76.xml"/><Relationship Id="rId95" Type="http://schemas.microsoft.com/office/2007/relationships/slicerCache" Target="slicerCaches/slicerCache81.xml"/><Relationship Id="rId160" Type="http://schemas.microsoft.com/office/2007/relationships/slicerCache" Target="slicerCaches/slicerCache146.xml"/><Relationship Id="rId165" Type="http://schemas.microsoft.com/office/2007/relationships/slicerCache" Target="slicerCaches/slicerCache151.xml"/><Relationship Id="rId181" Type="http://schemas.microsoft.com/office/2007/relationships/slicerCache" Target="slicerCaches/slicerCache167.xml"/><Relationship Id="rId186" Type="http://schemas.openxmlformats.org/officeDocument/2006/relationships/calcChain" Target="calcChain.xml"/><Relationship Id="rId22" Type="http://schemas.microsoft.com/office/2007/relationships/slicerCache" Target="slicerCaches/slicerCache8.xml"/><Relationship Id="rId27" Type="http://schemas.microsoft.com/office/2007/relationships/slicerCache" Target="slicerCaches/slicerCache13.xml"/><Relationship Id="rId43" Type="http://schemas.microsoft.com/office/2007/relationships/slicerCache" Target="slicerCaches/slicerCache29.xml"/><Relationship Id="rId48" Type="http://schemas.microsoft.com/office/2007/relationships/slicerCache" Target="slicerCaches/slicerCache34.xml"/><Relationship Id="rId64" Type="http://schemas.microsoft.com/office/2007/relationships/slicerCache" Target="slicerCaches/slicerCache50.xml"/><Relationship Id="rId69" Type="http://schemas.microsoft.com/office/2007/relationships/slicerCache" Target="slicerCaches/slicerCache55.xml"/><Relationship Id="rId113" Type="http://schemas.microsoft.com/office/2007/relationships/slicerCache" Target="slicerCaches/slicerCache99.xml"/><Relationship Id="rId118" Type="http://schemas.microsoft.com/office/2007/relationships/slicerCache" Target="slicerCaches/slicerCache104.xml"/><Relationship Id="rId134" Type="http://schemas.microsoft.com/office/2007/relationships/slicerCache" Target="slicerCaches/slicerCache120.xml"/><Relationship Id="rId139" Type="http://schemas.microsoft.com/office/2007/relationships/slicerCache" Target="slicerCaches/slicerCache125.xml"/><Relationship Id="rId80" Type="http://schemas.microsoft.com/office/2007/relationships/slicerCache" Target="slicerCaches/slicerCache66.xml"/><Relationship Id="rId85" Type="http://schemas.microsoft.com/office/2007/relationships/slicerCache" Target="slicerCaches/slicerCache71.xml"/><Relationship Id="rId150" Type="http://schemas.microsoft.com/office/2007/relationships/slicerCache" Target="slicerCaches/slicerCache136.xml"/><Relationship Id="rId155" Type="http://schemas.microsoft.com/office/2007/relationships/slicerCache" Target="slicerCaches/slicerCache141.xml"/><Relationship Id="rId171" Type="http://schemas.microsoft.com/office/2007/relationships/slicerCache" Target="slicerCaches/slicerCache157.xml"/><Relationship Id="rId176" Type="http://schemas.microsoft.com/office/2007/relationships/slicerCache" Target="slicerCaches/slicerCache162.xml"/><Relationship Id="rId12" Type="http://schemas.openxmlformats.org/officeDocument/2006/relationships/worksheet" Target="worksheets/sheet12.xml"/><Relationship Id="rId17" Type="http://schemas.microsoft.com/office/2007/relationships/slicerCache" Target="slicerCaches/slicerCache3.xml"/><Relationship Id="rId33" Type="http://schemas.microsoft.com/office/2007/relationships/slicerCache" Target="slicerCaches/slicerCache19.xml"/><Relationship Id="rId38" Type="http://schemas.microsoft.com/office/2007/relationships/slicerCache" Target="slicerCaches/slicerCache24.xml"/><Relationship Id="rId59" Type="http://schemas.microsoft.com/office/2007/relationships/slicerCache" Target="slicerCaches/slicerCache45.xml"/><Relationship Id="rId103" Type="http://schemas.microsoft.com/office/2007/relationships/slicerCache" Target="slicerCaches/slicerCache89.xml"/><Relationship Id="rId108" Type="http://schemas.microsoft.com/office/2007/relationships/slicerCache" Target="slicerCaches/slicerCache94.xml"/><Relationship Id="rId124" Type="http://schemas.microsoft.com/office/2007/relationships/slicerCache" Target="slicerCaches/slicerCache110.xml"/><Relationship Id="rId129" Type="http://schemas.microsoft.com/office/2007/relationships/slicerCache" Target="slicerCaches/slicerCache115.xml"/><Relationship Id="rId54" Type="http://schemas.microsoft.com/office/2007/relationships/slicerCache" Target="slicerCaches/slicerCache40.xml"/><Relationship Id="rId70" Type="http://schemas.microsoft.com/office/2007/relationships/slicerCache" Target="slicerCaches/slicerCache56.xml"/><Relationship Id="rId75" Type="http://schemas.microsoft.com/office/2007/relationships/slicerCache" Target="slicerCaches/slicerCache61.xml"/><Relationship Id="rId91" Type="http://schemas.microsoft.com/office/2007/relationships/slicerCache" Target="slicerCaches/slicerCache77.xml"/><Relationship Id="rId96" Type="http://schemas.microsoft.com/office/2007/relationships/slicerCache" Target="slicerCaches/slicerCache82.xml"/><Relationship Id="rId140" Type="http://schemas.microsoft.com/office/2007/relationships/slicerCache" Target="slicerCaches/slicerCache126.xml"/><Relationship Id="rId145" Type="http://schemas.microsoft.com/office/2007/relationships/slicerCache" Target="slicerCaches/slicerCache131.xml"/><Relationship Id="rId161" Type="http://schemas.microsoft.com/office/2007/relationships/slicerCache" Target="slicerCaches/slicerCache147.xml"/><Relationship Id="rId166" Type="http://schemas.microsoft.com/office/2007/relationships/slicerCache" Target="slicerCaches/slicerCache152.xml"/><Relationship Id="rId182" Type="http://schemas.microsoft.com/office/2007/relationships/slicerCache" Target="slicerCaches/slicerCache168.xml"/><Relationship Id="rId187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23" Type="http://schemas.microsoft.com/office/2007/relationships/slicerCache" Target="slicerCaches/slicerCache9.xml"/><Relationship Id="rId28" Type="http://schemas.microsoft.com/office/2007/relationships/slicerCache" Target="slicerCaches/slicerCache14.xml"/><Relationship Id="rId49" Type="http://schemas.microsoft.com/office/2007/relationships/slicerCache" Target="slicerCaches/slicerCache35.xml"/><Relationship Id="rId114" Type="http://schemas.microsoft.com/office/2007/relationships/slicerCache" Target="slicerCaches/slicerCache100.xml"/><Relationship Id="rId119" Type="http://schemas.microsoft.com/office/2007/relationships/slicerCache" Target="slicerCaches/slicerCache105.xml"/><Relationship Id="rId44" Type="http://schemas.microsoft.com/office/2007/relationships/slicerCache" Target="slicerCaches/slicerCache30.xml"/><Relationship Id="rId60" Type="http://schemas.microsoft.com/office/2007/relationships/slicerCache" Target="slicerCaches/slicerCache46.xml"/><Relationship Id="rId65" Type="http://schemas.microsoft.com/office/2007/relationships/slicerCache" Target="slicerCaches/slicerCache51.xml"/><Relationship Id="rId81" Type="http://schemas.microsoft.com/office/2007/relationships/slicerCache" Target="slicerCaches/slicerCache67.xml"/><Relationship Id="rId86" Type="http://schemas.microsoft.com/office/2007/relationships/slicerCache" Target="slicerCaches/slicerCache72.xml"/><Relationship Id="rId130" Type="http://schemas.microsoft.com/office/2007/relationships/slicerCache" Target="slicerCaches/slicerCache116.xml"/><Relationship Id="rId135" Type="http://schemas.microsoft.com/office/2007/relationships/slicerCache" Target="slicerCaches/slicerCache121.xml"/><Relationship Id="rId151" Type="http://schemas.microsoft.com/office/2007/relationships/slicerCache" Target="slicerCaches/slicerCache137.xml"/><Relationship Id="rId156" Type="http://schemas.microsoft.com/office/2007/relationships/slicerCache" Target="slicerCaches/slicerCache142.xml"/><Relationship Id="rId177" Type="http://schemas.microsoft.com/office/2007/relationships/slicerCache" Target="slicerCaches/slicerCache163.xml"/><Relationship Id="rId172" Type="http://schemas.microsoft.com/office/2007/relationships/slicerCache" Target="slicerCaches/slicerCache158.xml"/><Relationship Id="rId13" Type="http://schemas.openxmlformats.org/officeDocument/2006/relationships/worksheet" Target="worksheets/sheet13.xml"/><Relationship Id="rId18" Type="http://schemas.microsoft.com/office/2007/relationships/slicerCache" Target="slicerCaches/slicerCache4.xml"/><Relationship Id="rId39" Type="http://schemas.microsoft.com/office/2007/relationships/slicerCache" Target="slicerCaches/slicerCache25.xml"/><Relationship Id="rId109" Type="http://schemas.microsoft.com/office/2007/relationships/slicerCache" Target="slicerCaches/slicerCache95.xml"/><Relationship Id="rId34" Type="http://schemas.microsoft.com/office/2007/relationships/slicerCache" Target="slicerCaches/slicerCache20.xml"/><Relationship Id="rId50" Type="http://schemas.microsoft.com/office/2007/relationships/slicerCache" Target="slicerCaches/slicerCache36.xml"/><Relationship Id="rId55" Type="http://schemas.microsoft.com/office/2007/relationships/slicerCache" Target="slicerCaches/slicerCache41.xml"/><Relationship Id="rId76" Type="http://schemas.microsoft.com/office/2007/relationships/slicerCache" Target="slicerCaches/slicerCache62.xml"/><Relationship Id="rId97" Type="http://schemas.microsoft.com/office/2007/relationships/slicerCache" Target="slicerCaches/slicerCache83.xml"/><Relationship Id="rId104" Type="http://schemas.microsoft.com/office/2007/relationships/slicerCache" Target="slicerCaches/slicerCache90.xml"/><Relationship Id="rId120" Type="http://schemas.microsoft.com/office/2007/relationships/slicerCache" Target="slicerCaches/slicerCache106.xml"/><Relationship Id="rId125" Type="http://schemas.microsoft.com/office/2007/relationships/slicerCache" Target="slicerCaches/slicerCache111.xml"/><Relationship Id="rId141" Type="http://schemas.microsoft.com/office/2007/relationships/slicerCache" Target="slicerCaches/slicerCache127.xml"/><Relationship Id="rId146" Type="http://schemas.microsoft.com/office/2007/relationships/slicerCache" Target="slicerCaches/slicerCache132.xml"/><Relationship Id="rId167" Type="http://schemas.microsoft.com/office/2007/relationships/slicerCache" Target="slicerCaches/slicerCache153.xml"/><Relationship Id="rId188" Type="http://schemas.microsoft.com/office/2006/relationships/vbaProject" Target="vbaProject.bin"/><Relationship Id="rId7" Type="http://schemas.openxmlformats.org/officeDocument/2006/relationships/worksheet" Target="worksheets/sheet7.xml"/><Relationship Id="rId71" Type="http://schemas.microsoft.com/office/2007/relationships/slicerCache" Target="slicerCaches/slicerCache57.xml"/><Relationship Id="rId92" Type="http://schemas.microsoft.com/office/2007/relationships/slicerCache" Target="slicerCaches/slicerCache78.xml"/><Relationship Id="rId162" Type="http://schemas.microsoft.com/office/2007/relationships/slicerCache" Target="slicerCaches/slicerCache148.xml"/><Relationship Id="rId183" Type="http://schemas.openxmlformats.org/officeDocument/2006/relationships/theme" Target="theme/theme1.xml"/><Relationship Id="rId2" Type="http://schemas.openxmlformats.org/officeDocument/2006/relationships/worksheet" Target="worksheets/sheet2.xml"/><Relationship Id="rId29" Type="http://schemas.microsoft.com/office/2007/relationships/slicerCache" Target="slicerCaches/slicerCache15.xml"/><Relationship Id="rId24" Type="http://schemas.microsoft.com/office/2007/relationships/slicerCache" Target="slicerCaches/slicerCache10.xml"/><Relationship Id="rId40" Type="http://schemas.microsoft.com/office/2007/relationships/slicerCache" Target="slicerCaches/slicerCache26.xml"/><Relationship Id="rId45" Type="http://schemas.microsoft.com/office/2007/relationships/slicerCache" Target="slicerCaches/slicerCache31.xml"/><Relationship Id="rId66" Type="http://schemas.microsoft.com/office/2007/relationships/slicerCache" Target="slicerCaches/slicerCache52.xml"/><Relationship Id="rId87" Type="http://schemas.microsoft.com/office/2007/relationships/slicerCache" Target="slicerCaches/slicerCache73.xml"/><Relationship Id="rId110" Type="http://schemas.microsoft.com/office/2007/relationships/slicerCache" Target="slicerCaches/slicerCache96.xml"/><Relationship Id="rId115" Type="http://schemas.microsoft.com/office/2007/relationships/slicerCache" Target="slicerCaches/slicerCache101.xml"/><Relationship Id="rId131" Type="http://schemas.microsoft.com/office/2007/relationships/slicerCache" Target="slicerCaches/slicerCache117.xml"/><Relationship Id="rId136" Type="http://schemas.microsoft.com/office/2007/relationships/slicerCache" Target="slicerCaches/slicerCache122.xml"/><Relationship Id="rId157" Type="http://schemas.microsoft.com/office/2007/relationships/slicerCache" Target="slicerCaches/slicerCache143.xml"/><Relationship Id="rId178" Type="http://schemas.microsoft.com/office/2007/relationships/slicerCache" Target="slicerCaches/slicerCache164.xml"/><Relationship Id="rId61" Type="http://schemas.microsoft.com/office/2007/relationships/slicerCache" Target="slicerCaches/slicerCache47.xml"/><Relationship Id="rId82" Type="http://schemas.microsoft.com/office/2007/relationships/slicerCache" Target="slicerCaches/slicerCache68.xml"/><Relationship Id="rId152" Type="http://schemas.microsoft.com/office/2007/relationships/slicerCache" Target="slicerCaches/slicerCache138.xml"/><Relationship Id="rId173" Type="http://schemas.microsoft.com/office/2007/relationships/slicerCache" Target="slicerCaches/slicerCache159.xml"/><Relationship Id="rId19" Type="http://schemas.microsoft.com/office/2007/relationships/slicerCache" Target="slicerCaches/slicerCache5.xml"/><Relationship Id="rId14" Type="http://schemas.openxmlformats.org/officeDocument/2006/relationships/worksheet" Target="worksheets/sheet14.xml"/><Relationship Id="rId30" Type="http://schemas.microsoft.com/office/2007/relationships/slicerCache" Target="slicerCaches/slicerCache16.xml"/><Relationship Id="rId35" Type="http://schemas.microsoft.com/office/2007/relationships/slicerCache" Target="slicerCaches/slicerCache21.xml"/><Relationship Id="rId56" Type="http://schemas.microsoft.com/office/2007/relationships/slicerCache" Target="slicerCaches/slicerCache42.xml"/><Relationship Id="rId77" Type="http://schemas.microsoft.com/office/2007/relationships/slicerCache" Target="slicerCaches/slicerCache63.xml"/><Relationship Id="rId100" Type="http://schemas.microsoft.com/office/2007/relationships/slicerCache" Target="slicerCaches/slicerCache86.xml"/><Relationship Id="rId105" Type="http://schemas.microsoft.com/office/2007/relationships/slicerCache" Target="slicerCaches/slicerCache91.xml"/><Relationship Id="rId126" Type="http://schemas.microsoft.com/office/2007/relationships/slicerCache" Target="slicerCaches/slicerCache112.xml"/><Relationship Id="rId147" Type="http://schemas.microsoft.com/office/2007/relationships/slicerCache" Target="slicerCaches/slicerCache133.xml"/><Relationship Id="rId168" Type="http://schemas.microsoft.com/office/2007/relationships/slicerCache" Target="slicerCaches/slicerCache154.xml"/><Relationship Id="rId8" Type="http://schemas.openxmlformats.org/officeDocument/2006/relationships/worksheet" Target="worksheets/sheet8.xml"/><Relationship Id="rId51" Type="http://schemas.microsoft.com/office/2007/relationships/slicerCache" Target="slicerCaches/slicerCache37.xml"/><Relationship Id="rId72" Type="http://schemas.microsoft.com/office/2007/relationships/slicerCache" Target="slicerCaches/slicerCache58.xml"/><Relationship Id="rId93" Type="http://schemas.microsoft.com/office/2007/relationships/slicerCache" Target="slicerCaches/slicerCache79.xml"/><Relationship Id="rId98" Type="http://schemas.microsoft.com/office/2007/relationships/slicerCache" Target="slicerCaches/slicerCache84.xml"/><Relationship Id="rId121" Type="http://schemas.microsoft.com/office/2007/relationships/slicerCache" Target="slicerCaches/slicerCache107.xml"/><Relationship Id="rId142" Type="http://schemas.microsoft.com/office/2007/relationships/slicerCache" Target="slicerCaches/slicerCache128.xml"/><Relationship Id="rId163" Type="http://schemas.microsoft.com/office/2007/relationships/slicerCache" Target="slicerCaches/slicerCache149.xml"/><Relationship Id="rId184" Type="http://schemas.openxmlformats.org/officeDocument/2006/relationships/styles" Target="styles.xml"/><Relationship Id="rId3" Type="http://schemas.openxmlformats.org/officeDocument/2006/relationships/worksheet" Target="worksheets/sheet3.xml"/><Relationship Id="rId25" Type="http://schemas.microsoft.com/office/2007/relationships/slicerCache" Target="slicerCaches/slicerCache11.xml"/><Relationship Id="rId46" Type="http://schemas.microsoft.com/office/2007/relationships/slicerCache" Target="slicerCaches/slicerCache32.xml"/><Relationship Id="rId67" Type="http://schemas.microsoft.com/office/2007/relationships/slicerCache" Target="slicerCaches/slicerCache53.xml"/><Relationship Id="rId116" Type="http://schemas.microsoft.com/office/2007/relationships/slicerCache" Target="slicerCaches/slicerCache102.xml"/><Relationship Id="rId137" Type="http://schemas.microsoft.com/office/2007/relationships/slicerCache" Target="slicerCaches/slicerCache123.xml"/><Relationship Id="rId158" Type="http://schemas.microsoft.com/office/2007/relationships/slicerCache" Target="slicerCaches/slicerCache144.xml"/><Relationship Id="rId20" Type="http://schemas.microsoft.com/office/2007/relationships/slicerCache" Target="slicerCaches/slicerCache6.xml"/><Relationship Id="rId41" Type="http://schemas.microsoft.com/office/2007/relationships/slicerCache" Target="slicerCaches/slicerCache27.xml"/><Relationship Id="rId62" Type="http://schemas.microsoft.com/office/2007/relationships/slicerCache" Target="slicerCaches/slicerCache48.xml"/><Relationship Id="rId83" Type="http://schemas.microsoft.com/office/2007/relationships/slicerCache" Target="slicerCaches/slicerCache69.xml"/><Relationship Id="rId88" Type="http://schemas.microsoft.com/office/2007/relationships/slicerCache" Target="slicerCaches/slicerCache74.xml"/><Relationship Id="rId111" Type="http://schemas.microsoft.com/office/2007/relationships/slicerCache" Target="slicerCaches/slicerCache97.xml"/><Relationship Id="rId132" Type="http://schemas.microsoft.com/office/2007/relationships/slicerCache" Target="slicerCaches/slicerCache118.xml"/><Relationship Id="rId153" Type="http://schemas.microsoft.com/office/2007/relationships/slicerCache" Target="slicerCaches/slicerCache139.xml"/><Relationship Id="rId174" Type="http://schemas.microsoft.com/office/2007/relationships/slicerCache" Target="slicerCaches/slicerCache160.xml"/><Relationship Id="rId179" Type="http://schemas.microsoft.com/office/2007/relationships/slicerCache" Target="slicerCaches/slicerCache165.xml"/><Relationship Id="rId15" Type="http://schemas.microsoft.com/office/2007/relationships/slicerCache" Target="slicerCaches/slicerCache1.xml"/><Relationship Id="rId36" Type="http://schemas.microsoft.com/office/2007/relationships/slicerCache" Target="slicerCaches/slicerCache22.xml"/><Relationship Id="rId57" Type="http://schemas.microsoft.com/office/2007/relationships/slicerCache" Target="slicerCaches/slicerCache43.xml"/><Relationship Id="rId106" Type="http://schemas.microsoft.com/office/2007/relationships/slicerCache" Target="slicerCaches/slicerCache92.xml"/><Relationship Id="rId127" Type="http://schemas.microsoft.com/office/2007/relationships/slicerCache" Target="slicerCaches/slicerCache113.xml"/><Relationship Id="rId10" Type="http://schemas.openxmlformats.org/officeDocument/2006/relationships/worksheet" Target="worksheets/sheet10.xml"/><Relationship Id="rId31" Type="http://schemas.microsoft.com/office/2007/relationships/slicerCache" Target="slicerCaches/slicerCache17.xml"/><Relationship Id="rId52" Type="http://schemas.microsoft.com/office/2007/relationships/slicerCache" Target="slicerCaches/slicerCache38.xml"/><Relationship Id="rId73" Type="http://schemas.microsoft.com/office/2007/relationships/slicerCache" Target="slicerCaches/slicerCache59.xml"/><Relationship Id="rId78" Type="http://schemas.microsoft.com/office/2007/relationships/slicerCache" Target="slicerCaches/slicerCache64.xml"/><Relationship Id="rId94" Type="http://schemas.microsoft.com/office/2007/relationships/slicerCache" Target="slicerCaches/slicerCache80.xml"/><Relationship Id="rId99" Type="http://schemas.microsoft.com/office/2007/relationships/slicerCache" Target="slicerCaches/slicerCache85.xml"/><Relationship Id="rId101" Type="http://schemas.microsoft.com/office/2007/relationships/slicerCache" Target="slicerCaches/slicerCache87.xml"/><Relationship Id="rId122" Type="http://schemas.microsoft.com/office/2007/relationships/slicerCache" Target="slicerCaches/slicerCache108.xml"/><Relationship Id="rId143" Type="http://schemas.microsoft.com/office/2007/relationships/slicerCache" Target="slicerCaches/slicerCache129.xml"/><Relationship Id="rId148" Type="http://schemas.microsoft.com/office/2007/relationships/slicerCache" Target="slicerCaches/slicerCache134.xml"/><Relationship Id="rId164" Type="http://schemas.microsoft.com/office/2007/relationships/slicerCache" Target="slicerCaches/slicerCache150.xml"/><Relationship Id="rId169" Type="http://schemas.microsoft.com/office/2007/relationships/slicerCache" Target="slicerCaches/slicerCache155.xml"/><Relationship Id="rId185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80" Type="http://schemas.microsoft.com/office/2007/relationships/slicerCache" Target="slicerCaches/slicerCache16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6" name="Date 1">
              <a:extLst>
                <a:ext uri="{FF2B5EF4-FFF2-40B4-BE49-F238E27FC236}">
                  <a16:creationId xmlns:a16="http://schemas.microsoft.com/office/drawing/2014/main" id="{3BC2C1D1-D7FE-4643-9020-940A151AE96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7" name="Mode de règlement 1">
              <a:extLst>
                <a:ext uri="{FF2B5EF4-FFF2-40B4-BE49-F238E27FC236}">
                  <a16:creationId xmlns:a16="http://schemas.microsoft.com/office/drawing/2014/main" id="{EFEE9DB7-C9BE-44BA-BBDC-99735273120D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43250" y="170475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8" name="Références réglement 1">
              <a:extLst>
                <a:ext uri="{FF2B5EF4-FFF2-40B4-BE49-F238E27FC236}">
                  <a16:creationId xmlns:a16="http://schemas.microsoft.com/office/drawing/2014/main" id="{98618DBE-D404-436B-8813-2B9E39D216D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975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9" name="En règlement de 1">
              <a:extLst>
                <a:ext uri="{FF2B5EF4-FFF2-40B4-BE49-F238E27FC236}">
                  <a16:creationId xmlns:a16="http://schemas.microsoft.com/office/drawing/2014/main" id="{CF30C8D0-8E63-4EF8-9DE3-8BB755CAED5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0" name="Payé par 1">
              <a:extLst>
                <a:ext uri="{FF2B5EF4-FFF2-40B4-BE49-F238E27FC236}">
                  <a16:creationId xmlns:a16="http://schemas.microsoft.com/office/drawing/2014/main" id="{B9AEC35A-BE02-4961-BFBD-15708D6EFBF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1" name="Pièce comptable 1">
              <a:extLst>
                <a:ext uri="{FF2B5EF4-FFF2-40B4-BE49-F238E27FC236}">
                  <a16:creationId xmlns:a16="http://schemas.microsoft.com/office/drawing/2014/main" id="{3FAE242F-066A-44DA-B387-A6C0E5E06F2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2" name="Commentaires 1">
              <a:extLst>
                <a:ext uri="{FF2B5EF4-FFF2-40B4-BE49-F238E27FC236}">
                  <a16:creationId xmlns:a16="http://schemas.microsoft.com/office/drawing/2014/main" id="{F12B2CB0-046C-422A-9930-07C15BB9D41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3" name="Payé à 1">
              <a:extLst>
                <a:ext uri="{FF2B5EF4-FFF2-40B4-BE49-F238E27FC236}">
                  <a16:creationId xmlns:a16="http://schemas.microsoft.com/office/drawing/2014/main" id="{94C0268B-C5CF-4B7C-A780-BBBEC6C8069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4" name="Débit 1">
              <a:extLst>
                <a:ext uri="{FF2B5EF4-FFF2-40B4-BE49-F238E27FC236}">
                  <a16:creationId xmlns:a16="http://schemas.microsoft.com/office/drawing/2014/main" id="{2E8D7CD7-95D9-4696-96BD-C657F5BF7F7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5" name="Crédit 1">
              <a:extLst>
                <a:ext uri="{FF2B5EF4-FFF2-40B4-BE49-F238E27FC236}">
                  <a16:creationId xmlns:a16="http://schemas.microsoft.com/office/drawing/2014/main" id="{195E0B79-6D1E-4108-901E-90C407B94F6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180975</xdr:rowOff>
    </xdr:from>
    <xdr:to>
      <xdr:col>12</xdr:col>
      <xdr:colOff>525375</xdr:colOff>
      <xdr:row>9</xdr:row>
      <xdr:rowOff>224475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6" name="Débit HT 1">
              <a:extLst>
                <a:ext uri="{FF2B5EF4-FFF2-40B4-BE49-F238E27FC236}">
                  <a16:creationId xmlns:a16="http://schemas.microsoft.com/office/drawing/2014/main" id="{64890B9E-5700-47D4-958C-9D1D0CEAD63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975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7" name="TVA déductible 1">
              <a:extLst>
                <a:ext uri="{FF2B5EF4-FFF2-40B4-BE49-F238E27FC236}">
                  <a16:creationId xmlns:a16="http://schemas.microsoft.com/office/drawing/2014/main" id="{D05A0D9B-8D3E-414F-ACCF-A84614DEE36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8" name="Crédit HT 1">
              <a:extLst>
                <a:ext uri="{FF2B5EF4-FFF2-40B4-BE49-F238E27FC236}">
                  <a16:creationId xmlns:a16="http://schemas.microsoft.com/office/drawing/2014/main" id="{1FBA6C01-BC61-410D-ABA1-500ED82A720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9" name="TVA collectée 1">
              <a:extLst>
                <a:ext uri="{FF2B5EF4-FFF2-40B4-BE49-F238E27FC236}">
                  <a16:creationId xmlns:a16="http://schemas.microsoft.com/office/drawing/2014/main" id="{42E28017-9D91-40EC-A4AF-45C39A7B386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6" name="Date 2">
              <a:extLst>
                <a:ext uri="{FF2B5EF4-FFF2-40B4-BE49-F238E27FC236}">
                  <a16:creationId xmlns:a16="http://schemas.microsoft.com/office/drawing/2014/main" id="{ED9EA3E8-7A95-4EEB-B86A-D188A4EFF3BD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7" name="Mode de règlement 2">
              <a:extLst>
                <a:ext uri="{FF2B5EF4-FFF2-40B4-BE49-F238E27FC236}">
                  <a16:creationId xmlns:a16="http://schemas.microsoft.com/office/drawing/2014/main" id="{3356927A-6B44-48F8-812F-50AD47E8D2A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8" name="Références réglement 2">
              <a:extLst>
                <a:ext uri="{FF2B5EF4-FFF2-40B4-BE49-F238E27FC236}">
                  <a16:creationId xmlns:a16="http://schemas.microsoft.com/office/drawing/2014/main" id="{39A51874-1F36-40BC-B406-BC9E1ECF0A3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9" name="En règlement de 2">
              <a:extLst>
                <a:ext uri="{FF2B5EF4-FFF2-40B4-BE49-F238E27FC236}">
                  <a16:creationId xmlns:a16="http://schemas.microsoft.com/office/drawing/2014/main" id="{D3D44E20-383B-40A0-A4FF-4ED86EC6C10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0" name="Payé par 2">
              <a:extLst>
                <a:ext uri="{FF2B5EF4-FFF2-40B4-BE49-F238E27FC236}">
                  <a16:creationId xmlns:a16="http://schemas.microsoft.com/office/drawing/2014/main" id="{F46DDF04-59ED-466F-946B-0A7DBBCAD79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1" name="Pièce comptable 2">
              <a:extLst>
                <a:ext uri="{FF2B5EF4-FFF2-40B4-BE49-F238E27FC236}">
                  <a16:creationId xmlns:a16="http://schemas.microsoft.com/office/drawing/2014/main" id="{10360459-E0B7-431F-BA62-63465183057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2" name="Commentaires 2">
              <a:extLst>
                <a:ext uri="{FF2B5EF4-FFF2-40B4-BE49-F238E27FC236}">
                  <a16:creationId xmlns:a16="http://schemas.microsoft.com/office/drawing/2014/main" id="{E743F7F6-9EC3-4802-BDEE-ABDECF4E530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3" name="Payé à 2">
              <a:extLst>
                <a:ext uri="{FF2B5EF4-FFF2-40B4-BE49-F238E27FC236}">
                  <a16:creationId xmlns:a16="http://schemas.microsoft.com/office/drawing/2014/main" id="{2DCFC50E-6E5C-481B-84FA-2B7AA31D00D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4" name="Débit 2">
              <a:extLst>
                <a:ext uri="{FF2B5EF4-FFF2-40B4-BE49-F238E27FC236}">
                  <a16:creationId xmlns:a16="http://schemas.microsoft.com/office/drawing/2014/main" id="{91281DA1-F1DB-4256-9B20-43B0F958A18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5" name="Crédit 2">
              <a:extLst>
                <a:ext uri="{FF2B5EF4-FFF2-40B4-BE49-F238E27FC236}">
                  <a16:creationId xmlns:a16="http://schemas.microsoft.com/office/drawing/2014/main" id="{C0B8E8C1-D129-4317-868E-871904740A6C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6" name="Débit HT 2">
              <a:extLst>
                <a:ext uri="{FF2B5EF4-FFF2-40B4-BE49-F238E27FC236}">
                  <a16:creationId xmlns:a16="http://schemas.microsoft.com/office/drawing/2014/main" id="{EF67BC40-90AA-41CF-90F4-5AA9753C3E2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7" name="TVA déductible 2">
              <a:extLst>
                <a:ext uri="{FF2B5EF4-FFF2-40B4-BE49-F238E27FC236}">
                  <a16:creationId xmlns:a16="http://schemas.microsoft.com/office/drawing/2014/main" id="{CDE054AE-1FC0-4171-A646-80C1392F693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8" name="Crédit HT 2">
              <a:extLst>
                <a:ext uri="{FF2B5EF4-FFF2-40B4-BE49-F238E27FC236}">
                  <a16:creationId xmlns:a16="http://schemas.microsoft.com/office/drawing/2014/main" id="{D27E132C-2444-4CC0-B19D-718404C036D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9" name="TVA collectée 2">
              <a:extLst>
                <a:ext uri="{FF2B5EF4-FFF2-40B4-BE49-F238E27FC236}">
                  <a16:creationId xmlns:a16="http://schemas.microsoft.com/office/drawing/2014/main" id="{C4C3FB18-EE62-419D-ABE0-AEE290045F8A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 3">
              <a:extLst>
                <a:ext uri="{FF2B5EF4-FFF2-40B4-BE49-F238E27FC236}">
                  <a16:creationId xmlns:a16="http://schemas.microsoft.com/office/drawing/2014/main" id="{82EEEAD0-4F0E-484B-A883-7E0B8022BA8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de de règlement 3">
              <a:extLst>
                <a:ext uri="{FF2B5EF4-FFF2-40B4-BE49-F238E27FC236}">
                  <a16:creationId xmlns:a16="http://schemas.microsoft.com/office/drawing/2014/main" id="{81D4568B-F2DA-41BB-9F52-D7407BE033B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éférences réglement 3">
              <a:extLst>
                <a:ext uri="{FF2B5EF4-FFF2-40B4-BE49-F238E27FC236}">
                  <a16:creationId xmlns:a16="http://schemas.microsoft.com/office/drawing/2014/main" id="{4D94B587-0179-49B3-9CAA-3EAEEAD1B58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n règlement de 3">
              <a:extLst>
                <a:ext uri="{FF2B5EF4-FFF2-40B4-BE49-F238E27FC236}">
                  <a16:creationId xmlns:a16="http://schemas.microsoft.com/office/drawing/2014/main" id="{9C3E4873-D8B6-4049-BB57-144F02963A6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Payé par 3">
              <a:extLst>
                <a:ext uri="{FF2B5EF4-FFF2-40B4-BE49-F238E27FC236}">
                  <a16:creationId xmlns:a16="http://schemas.microsoft.com/office/drawing/2014/main" id="{E08EB1BA-26E6-45A5-B19C-067BA13582E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Pièce comptable 3">
              <a:extLst>
                <a:ext uri="{FF2B5EF4-FFF2-40B4-BE49-F238E27FC236}">
                  <a16:creationId xmlns:a16="http://schemas.microsoft.com/office/drawing/2014/main" id="{1593A96B-C4A3-4FF2-A04E-5BC368622B9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mentaires 3">
              <a:extLst>
                <a:ext uri="{FF2B5EF4-FFF2-40B4-BE49-F238E27FC236}">
                  <a16:creationId xmlns:a16="http://schemas.microsoft.com/office/drawing/2014/main" id="{9F918B67-4344-4C50-8CA8-1862D592974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ayé à 3">
              <a:extLst>
                <a:ext uri="{FF2B5EF4-FFF2-40B4-BE49-F238E27FC236}">
                  <a16:creationId xmlns:a16="http://schemas.microsoft.com/office/drawing/2014/main" id="{62793A3D-EA8A-4224-B8F0-F79EAE0727E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ébit 3">
              <a:extLst>
                <a:ext uri="{FF2B5EF4-FFF2-40B4-BE49-F238E27FC236}">
                  <a16:creationId xmlns:a16="http://schemas.microsoft.com/office/drawing/2014/main" id="{62F78E6E-6737-470A-B0AD-B6CBAB53E42A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rédit 3">
              <a:extLst>
                <a:ext uri="{FF2B5EF4-FFF2-40B4-BE49-F238E27FC236}">
                  <a16:creationId xmlns:a16="http://schemas.microsoft.com/office/drawing/2014/main" id="{2C762D0D-B573-498A-8776-3B30A9E7CE2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Débit HT 3">
              <a:extLst>
                <a:ext uri="{FF2B5EF4-FFF2-40B4-BE49-F238E27FC236}">
                  <a16:creationId xmlns:a16="http://schemas.microsoft.com/office/drawing/2014/main" id="{4FBAA9CB-CC4E-4B36-96C5-FB2E9AB8391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VA déductible 3">
              <a:extLst>
                <a:ext uri="{FF2B5EF4-FFF2-40B4-BE49-F238E27FC236}">
                  <a16:creationId xmlns:a16="http://schemas.microsoft.com/office/drawing/2014/main" id="{45028CC0-076B-48F9-9A39-C20BD3F5DCDD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Crédit HT 3">
              <a:extLst>
                <a:ext uri="{FF2B5EF4-FFF2-40B4-BE49-F238E27FC236}">
                  <a16:creationId xmlns:a16="http://schemas.microsoft.com/office/drawing/2014/main" id="{52D673BE-B1B9-4658-8BA1-548B129A1CFD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VA collectée 3">
              <a:extLst>
                <a:ext uri="{FF2B5EF4-FFF2-40B4-BE49-F238E27FC236}">
                  <a16:creationId xmlns:a16="http://schemas.microsoft.com/office/drawing/2014/main" id="{6A4BAAE8-1D06-4703-848A-DBFCC0891C7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6" name="Date 4">
              <a:extLst>
                <a:ext uri="{FF2B5EF4-FFF2-40B4-BE49-F238E27FC236}">
                  <a16:creationId xmlns:a16="http://schemas.microsoft.com/office/drawing/2014/main" id="{BCE39614-655E-4835-AE88-FEAC0CAFD1C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7" name="Mode de règlement 4">
              <a:extLst>
                <a:ext uri="{FF2B5EF4-FFF2-40B4-BE49-F238E27FC236}">
                  <a16:creationId xmlns:a16="http://schemas.microsoft.com/office/drawing/2014/main" id="{ACD01A68-5BD1-4CE5-9DA3-3210C4F7076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8" name="Références réglement 4">
              <a:extLst>
                <a:ext uri="{FF2B5EF4-FFF2-40B4-BE49-F238E27FC236}">
                  <a16:creationId xmlns:a16="http://schemas.microsoft.com/office/drawing/2014/main" id="{6C5E42D9-D9EF-479A-91F0-9439D6C23E3C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9" name="En règlement de 4">
              <a:extLst>
                <a:ext uri="{FF2B5EF4-FFF2-40B4-BE49-F238E27FC236}">
                  <a16:creationId xmlns:a16="http://schemas.microsoft.com/office/drawing/2014/main" id="{DF52697F-9FE3-4139-9664-8A388AD71EE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0" name="Payé par 4">
              <a:extLst>
                <a:ext uri="{FF2B5EF4-FFF2-40B4-BE49-F238E27FC236}">
                  <a16:creationId xmlns:a16="http://schemas.microsoft.com/office/drawing/2014/main" id="{CCFFC15A-E59F-4A84-9DF2-89357AFC03E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1" name="Pièce comptable 4">
              <a:extLst>
                <a:ext uri="{FF2B5EF4-FFF2-40B4-BE49-F238E27FC236}">
                  <a16:creationId xmlns:a16="http://schemas.microsoft.com/office/drawing/2014/main" id="{4F52F238-112F-4D4C-A206-30FE390431B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2" name="Commentaires 4">
              <a:extLst>
                <a:ext uri="{FF2B5EF4-FFF2-40B4-BE49-F238E27FC236}">
                  <a16:creationId xmlns:a16="http://schemas.microsoft.com/office/drawing/2014/main" id="{B9953A32-08B6-45B9-B36F-DEF6A22E478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3" name="Payé à 4">
              <a:extLst>
                <a:ext uri="{FF2B5EF4-FFF2-40B4-BE49-F238E27FC236}">
                  <a16:creationId xmlns:a16="http://schemas.microsoft.com/office/drawing/2014/main" id="{02585F5E-1207-4AE4-AA07-52F7DAE8D3CA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4" name="Débit 4">
              <a:extLst>
                <a:ext uri="{FF2B5EF4-FFF2-40B4-BE49-F238E27FC236}">
                  <a16:creationId xmlns:a16="http://schemas.microsoft.com/office/drawing/2014/main" id="{6DC5355F-3274-453E-85BC-5CA55DD21A1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5" name="Crédit 4">
              <a:extLst>
                <a:ext uri="{FF2B5EF4-FFF2-40B4-BE49-F238E27FC236}">
                  <a16:creationId xmlns:a16="http://schemas.microsoft.com/office/drawing/2014/main" id="{A1A54CB5-111F-43FA-8666-F161E96DC92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6" name="Débit HT 4">
              <a:extLst>
                <a:ext uri="{FF2B5EF4-FFF2-40B4-BE49-F238E27FC236}">
                  <a16:creationId xmlns:a16="http://schemas.microsoft.com/office/drawing/2014/main" id="{F8B0AF1A-3665-4EDE-9AC6-79D8D76923FA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7" name="TVA déductible 4">
              <a:extLst>
                <a:ext uri="{FF2B5EF4-FFF2-40B4-BE49-F238E27FC236}">
                  <a16:creationId xmlns:a16="http://schemas.microsoft.com/office/drawing/2014/main" id="{E287A8BD-FCE9-41BB-8DC6-A9AB5005852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8" name="Crédit HT 4">
              <a:extLst>
                <a:ext uri="{FF2B5EF4-FFF2-40B4-BE49-F238E27FC236}">
                  <a16:creationId xmlns:a16="http://schemas.microsoft.com/office/drawing/2014/main" id="{D6F76F21-48C5-4613-881A-308DFE13386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9" name="TVA collectée 4">
              <a:extLst>
                <a:ext uri="{FF2B5EF4-FFF2-40B4-BE49-F238E27FC236}">
                  <a16:creationId xmlns:a16="http://schemas.microsoft.com/office/drawing/2014/main" id="{D8CEECB3-01C2-4958-B19D-8FCF625D7E4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 5">
              <a:extLst>
                <a:ext uri="{FF2B5EF4-FFF2-40B4-BE49-F238E27FC236}">
                  <a16:creationId xmlns:a16="http://schemas.microsoft.com/office/drawing/2014/main" id="{B6AA551A-385D-450B-B5B5-8F2E6BB7C4F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de de règlement 5">
              <a:extLst>
                <a:ext uri="{FF2B5EF4-FFF2-40B4-BE49-F238E27FC236}">
                  <a16:creationId xmlns:a16="http://schemas.microsoft.com/office/drawing/2014/main" id="{A2275286-41F0-460E-B387-D4DC8C04CF7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éférences réglement 5">
              <a:extLst>
                <a:ext uri="{FF2B5EF4-FFF2-40B4-BE49-F238E27FC236}">
                  <a16:creationId xmlns:a16="http://schemas.microsoft.com/office/drawing/2014/main" id="{144E3AFC-5B7B-438D-978B-A9826A6C842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n règlement de 5">
              <a:extLst>
                <a:ext uri="{FF2B5EF4-FFF2-40B4-BE49-F238E27FC236}">
                  <a16:creationId xmlns:a16="http://schemas.microsoft.com/office/drawing/2014/main" id="{83DD6219-C05E-4E31-8FC7-8DBE0B643C6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975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Payé par 5">
              <a:extLst>
                <a:ext uri="{FF2B5EF4-FFF2-40B4-BE49-F238E27FC236}">
                  <a16:creationId xmlns:a16="http://schemas.microsoft.com/office/drawing/2014/main" id="{CDD80E26-3B77-4319-BF08-E23FD9A6613C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Pièce comptable 5">
              <a:extLst>
                <a:ext uri="{FF2B5EF4-FFF2-40B4-BE49-F238E27FC236}">
                  <a16:creationId xmlns:a16="http://schemas.microsoft.com/office/drawing/2014/main" id="{2D99EF70-8A0B-454E-9716-2364E5F7663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mentaires 5">
              <a:extLst>
                <a:ext uri="{FF2B5EF4-FFF2-40B4-BE49-F238E27FC236}">
                  <a16:creationId xmlns:a16="http://schemas.microsoft.com/office/drawing/2014/main" id="{9D327EA1-ACB7-43D3-9C55-C3DEA172756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ayé à 5">
              <a:extLst>
                <a:ext uri="{FF2B5EF4-FFF2-40B4-BE49-F238E27FC236}">
                  <a16:creationId xmlns:a16="http://schemas.microsoft.com/office/drawing/2014/main" id="{649F75B4-A034-45ED-88A6-4E266B39BF0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975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ébit 5">
              <a:extLst>
                <a:ext uri="{FF2B5EF4-FFF2-40B4-BE49-F238E27FC236}">
                  <a16:creationId xmlns:a16="http://schemas.microsoft.com/office/drawing/2014/main" id="{82AE1C92-FA60-4E0D-8F41-889FD54C326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rédit 5">
              <a:extLst>
                <a:ext uri="{FF2B5EF4-FFF2-40B4-BE49-F238E27FC236}">
                  <a16:creationId xmlns:a16="http://schemas.microsoft.com/office/drawing/2014/main" id="{ED7ABE61-C93C-42FE-9612-CA30C7E5AAA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Débit HT 5">
              <a:extLst>
                <a:ext uri="{FF2B5EF4-FFF2-40B4-BE49-F238E27FC236}">
                  <a16:creationId xmlns:a16="http://schemas.microsoft.com/office/drawing/2014/main" id="{BC382455-56DE-403C-8936-307800EE263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VA déductible 5">
              <a:extLst>
                <a:ext uri="{FF2B5EF4-FFF2-40B4-BE49-F238E27FC236}">
                  <a16:creationId xmlns:a16="http://schemas.microsoft.com/office/drawing/2014/main" id="{30C17F69-78CD-4C57-B1A0-117FE14222E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Crédit HT 5">
              <a:extLst>
                <a:ext uri="{FF2B5EF4-FFF2-40B4-BE49-F238E27FC236}">
                  <a16:creationId xmlns:a16="http://schemas.microsoft.com/office/drawing/2014/main" id="{F997223A-82CA-4192-97F6-284EC323CD7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VA collectée 5">
              <a:extLst>
                <a:ext uri="{FF2B5EF4-FFF2-40B4-BE49-F238E27FC236}">
                  <a16:creationId xmlns:a16="http://schemas.microsoft.com/office/drawing/2014/main" id="{450A9A16-2B85-44C6-B900-12659B4D301C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 6">
              <a:extLst>
                <a:ext uri="{FF2B5EF4-FFF2-40B4-BE49-F238E27FC236}">
                  <a16:creationId xmlns:a16="http://schemas.microsoft.com/office/drawing/2014/main" id="{7C95580F-6581-4FDA-8F11-84F2EC4109D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de de règlement 6">
              <a:extLst>
                <a:ext uri="{FF2B5EF4-FFF2-40B4-BE49-F238E27FC236}">
                  <a16:creationId xmlns:a16="http://schemas.microsoft.com/office/drawing/2014/main" id="{27222279-3255-4C33-A416-CDF302B8AD0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éférences réglement 6">
              <a:extLst>
                <a:ext uri="{FF2B5EF4-FFF2-40B4-BE49-F238E27FC236}">
                  <a16:creationId xmlns:a16="http://schemas.microsoft.com/office/drawing/2014/main" id="{F370B087-AC98-46B7-A939-A648477CF6F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n règlement de 6">
              <a:extLst>
                <a:ext uri="{FF2B5EF4-FFF2-40B4-BE49-F238E27FC236}">
                  <a16:creationId xmlns:a16="http://schemas.microsoft.com/office/drawing/2014/main" id="{EA0701BC-FF63-42C6-A450-BA96EE670BE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Payé par 6">
              <a:extLst>
                <a:ext uri="{FF2B5EF4-FFF2-40B4-BE49-F238E27FC236}">
                  <a16:creationId xmlns:a16="http://schemas.microsoft.com/office/drawing/2014/main" id="{86A13A76-9813-4D14-B545-7BF1487D234A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Pièce comptable 6">
              <a:extLst>
                <a:ext uri="{FF2B5EF4-FFF2-40B4-BE49-F238E27FC236}">
                  <a16:creationId xmlns:a16="http://schemas.microsoft.com/office/drawing/2014/main" id="{7C4FD7CA-D92D-4B76-A9C4-EE45476BC23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mentaires 6">
              <a:extLst>
                <a:ext uri="{FF2B5EF4-FFF2-40B4-BE49-F238E27FC236}">
                  <a16:creationId xmlns:a16="http://schemas.microsoft.com/office/drawing/2014/main" id="{CFA31F8B-F94C-4BBE-A596-4063C224127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ayé à 6">
              <a:extLst>
                <a:ext uri="{FF2B5EF4-FFF2-40B4-BE49-F238E27FC236}">
                  <a16:creationId xmlns:a16="http://schemas.microsoft.com/office/drawing/2014/main" id="{73927EA6-1C36-484B-B34E-F6B3F8976BBA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ébit 6">
              <a:extLst>
                <a:ext uri="{FF2B5EF4-FFF2-40B4-BE49-F238E27FC236}">
                  <a16:creationId xmlns:a16="http://schemas.microsoft.com/office/drawing/2014/main" id="{FF40522D-A9C4-4469-9769-DDD27DE31B2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rédit 6">
              <a:extLst>
                <a:ext uri="{FF2B5EF4-FFF2-40B4-BE49-F238E27FC236}">
                  <a16:creationId xmlns:a16="http://schemas.microsoft.com/office/drawing/2014/main" id="{02A78244-E87A-45C3-9B6B-AC447A43BC1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Débit HT 6">
              <a:extLst>
                <a:ext uri="{FF2B5EF4-FFF2-40B4-BE49-F238E27FC236}">
                  <a16:creationId xmlns:a16="http://schemas.microsoft.com/office/drawing/2014/main" id="{8E40F4ED-49A6-4081-B133-81DAFDF9F6C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VA déductible 6">
              <a:extLst>
                <a:ext uri="{FF2B5EF4-FFF2-40B4-BE49-F238E27FC236}">
                  <a16:creationId xmlns:a16="http://schemas.microsoft.com/office/drawing/2014/main" id="{6D4013A9-1A7A-4517-8CB4-ABDFBD213BE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Crédit HT 6">
              <a:extLst>
                <a:ext uri="{FF2B5EF4-FFF2-40B4-BE49-F238E27FC236}">
                  <a16:creationId xmlns:a16="http://schemas.microsoft.com/office/drawing/2014/main" id="{7BD83259-892D-4746-82BB-66026F7B95B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VA collectée 6">
              <a:extLst>
                <a:ext uri="{FF2B5EF4-FFF2-40B4-BE49-F238E27FC236}">
                  <a16:creationId xmlns:a16="http://schemas.microsoft.com/office/drawing/2014/main" id="{BC4B0A46-68C8-48F1-B793-9A321F162E7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 7">
              <a:extLst>
                <a:ext uri="{FF2B5EF4-FFF2-40B4-BE49-F238E27FC236}">
                  <a16:creationId xmlns:a16="http://schemas.microsoft.com/office/drawing/2014/main" id="{15714484-39DC-407B-99C5-76B4D150294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de de règlement 7">
              <a:extLst>
                <a:ext uri="{FF2B5EF4-FFF2-40B4-BE49-F238E27FC236}">
                  <a16:creationId xmlns:a16="http://schemas.microsoft.com/office/drawing/2014/main" id="{461C27E0-6DA1-43B0-9BC4-D63E68DEDCF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éférences réglement 7">
              <a:extLst>
                <a:ext uri="{FF2B5EF4-FFF2-40B4-BE49-F238E27FC236}">
                  <a16:creationId xmlns:a16="http://schemas.microsoft.com/office/drawing/2014/main" id="{6443283A-7D5B-49FD-B140-9DA2BD09048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n règlement de 7">
              <a:extLst>
                <a:ext uri="{FF2B5EF4-FFF2-40B4-BE49-F238E27FC236}">
                  <a16:creationId xmlns:a16="http://schemas.microsoft.com/office/drawing/2014/main" id="{EF003262-3760-4817-91D7-BA0E00523AB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Payé par 7">
              <a:extLst>
                <a:ext uri="{FF2B5EF4-FFF2-40B4-BE49-F238E27FC236}">
                  <a16:creationId xmlns:a16="http://schemas.microsoft.com/office/drawing/2014/main" id="{376F5750-D7A1-4FE0-ADBC-DE87A380104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Pièce comptable 7">
              <a:extLst>
                <a:ext uri="{FF2B5EF4-FFF2-40B4-BE49-F238E27FC236}">
                  <a16:creationId xmlns:a16="http://schemas.microsoft.com/office/drawing/2014/main" id="{E2BAC65F-41DB-4B51-846C-F5AF0404B7B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mentaires 7">
              <a:extLst>
                <a:ext uri="{FF2B5EF4-FFF2-40B4-BE49-F238E27FC236}">
                  <a16:creationId xmlns:a16="http://schemas.microsoft.com/office/drawing/2014/main" id="{54C06E0F-B238-4B24-9D2C-77296A6680D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ayé à 7">
              <a:extLst>
                <a:ext uri="{FF2B5EF4-FFF2-40B4-BE49-F238E27FC236}">
                  <a16:creationId xmlns:a16="http://schemas.microsoft.com/office/drawing/2014/main" id="{D64CECEF-06DE-49E8-BA87-9EF67A0C83C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ébit 7">
              <a:extLst>
                <a:ext uri="{FF2B5EF4-FFF2-40B4-BE49-F238E27FC236}">
                  <a16:creationId xmlns:a16="http://schemas.microsoft.com/office/drawing/2014/main" id="{937E4A1B-1722-4966-B19B-7D310D82AEA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rédit 7">
              <a:extLst>
                <a:ext uri="{FF2B5EF4-FFF2-40B4-BE49-F238E27FC236}">
                  <a16:creationId xmlns:a16="http://schemas.microsoft.com/office/drawing/2014/main" id="{9E66E1A4-F717-4F3F-A9DA-35E01DCE930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Débit HT 7">
              <a:extLst>
                <a:ext uri="{FF2B5EF4-FFF2-40B4-BE49-F238E27FC236}">
                  <a16:creationId xmlns:a16="http://schemas.microsoft.com/office/drawing/2014/main" id="{F4AF2F3C-C712-448E-B099-5BCC16FC88CC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VA déductible 7">
              <a:extLst>
                <a:ext uri="{FF2B5EF4-FFF2-40B4-BE49-F238E27FC236}">
                  <a16:creationId xmlns:a16="http://schemas.microsoft.com/office/drawing/2014/main" id="{6E976105-F212-4794-BAFF-6B103C9542B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Crédit HT 7">
              <a:extLst>
                <a:ext uri="{FF2B5EF4-FFF2-40B4-BE49-F238E27FC236}">
                  <a16:creationId xmlns:a16="http://schemas.microsoft.com/office/drawing/2014/main" id="{79B4F510-C7EA-4C91-9BD3-27032243A10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VA collectée 7">
              <a:extLst>
                <a:ext uri="{FF2B5EF4-FFF2-40B4-BE49-F238E27FC236}">
                  <a16:creationId xmlns:a16="http://schemas.microsoft.com/office/drawing/2014/main" id="{270249A9-C8A0-4D8C-BF1C-74A28C5FB92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 8">
              <a:extLst>
                <a:ext uri="{FF2B5EF4-FFF2-40B4-BE49-F238E27FC236}">
                  <a16:creationId xmlns:a16="http://schemas.microsoft.com/office/drawing/2014/main" id="{E5ADB992-F9AF-4969-BF99-593B40A7E59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de de règlement 8">
              <a:extLst>
                <a:ext uri="{FF2B5EF4-FFF2-40B4-BE49-F238E27FC236}">
                  <a16:creationId xmlns:a16="http://schemas.microsoft.com/office/drawing/2014/main" id="{C52F54E5-EB47-4E30-AF42-B1C0ECA8964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éférences réglement 8">
              <a:extLst>
                <a:ext uri="{FF2B5EF4-FFF2-40B4-BE49-F238E27FC236}">
                  <a16:creationId xmlns:a16="http://schemas.microsoft.com/office/drawing/2014/main" id="{2B56F66A-45A4-4F42-9C8D-8DD8F6207C4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n règlement de 8">
              <a:extLst>
                <a:ext uri="{FF2B5EF4-FFF2-40B4-BE49-F238E27FC236}">
                  <a16:creationId xmlns:a16="http://schemas.microsoft.com/office/drawing/2014/main" id="{AEB52348-BE0A-4757-B4CA-C9A51AD671C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Payé par 8">
              <a:extLst>
                <a:ext uri="{FF2B5EF4-FFF2-40B4-BE49-F238E27FC236}">
                  <a16:creationId xmlns:a16="http://schemas.microsoft.com/office/drawing/2014/main" id="{35B549DC-3366-4C22-8A62-FF5B9F43BCDD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Pièce comptable 8">
              <a:extLst>
                <a:ext uri="{FF2B5EF4-FFF2-40B4-BE49-F238E27FC236}">
                  <a16:creationId xmlns:a16="http://schemas.microsoft.com/office/drawing/2014/main" id="{0D054838-9FA7-4002-A69D-B3E316C7413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mentaires 8">
              <a:extLst>
                <a:ext uri="{FF2B5EF4-FFF2-40B4-BE49-F238E27FC236}">
                  <a16:creationId xmlns:a16="http://schemas.microsoft.com/office/drawing/2014/main" id="{9A3A0CE8-0F84-4CC0-9544-D66A52A680D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ayé à 8">
              <a:extLst>
                <a:ext uri="{FF2B5EF4-FFF2-40B4-BE49-F238E27FC236}">
                  <a16:creationId xmlns:a16="http://schemas.microsoft.com/office/drawing/2014/main" id="{BC6004F7-96E6-4BBB-81BC-4B321E854D1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ébit 8">
              <a:extLst>
                <a:ext uri="{FF2B5EF4-FFF2-40B4-BE49-F238E27FC236}">
                  <a16:creationId xmlns:a16="http://schemas.microsoft.com/office/drawing/2014/main" id="{34CAD1EB-291E-4BA0-BBE6-454421289FD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rédit 8">
              <a:extLst>
                <a:ext uri="{FF2B5EF4-FFF2-40B4-BE49-F238E27FC236}">
                  <a16:creationId xmlns:a16="http://schemas.microsoft.com/office/drawing/2014/main" id="{E86AF944-984C-4593-9214-9289517F696D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Débit HT 8">
              <a:extLst>
                <a:ext uri="{FF2B5EF4-FFF2-40B4-BE49-F238E27FC236}">
                  <a16:creationId xmlns:a16="http://schemas.microsoft.com/office/drawing/2014/main" id="{671AAE7D-0A1B-40B5-AA47-2FB87495CF3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VA déductible 8">
              <a:extLst>
                <a:ext uri="{FF2B5EF4-FFF2-40B4-BE49-F238E27FC236}">
                  <a16:creationId xmlns:a16="http://schemas.microsoft.com/office/drawing/2014/main" id="{D6CECFE7-B74C-4F49-BB00-82EF680D5F0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Crédit HT 8">
              <a:extLst>
                <a:ext uri="{FF2B5EF4-FFF2-40B4-BE49-F238E27FC236}">
                  <a16:creationId xmlns:a16="http://schemas.microsoft.com/office/drawing/2014/main" id="{E2A67D15-3B60-453E-A743-4A4503EFDE4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VA collectée 8">
              <a:extLst>
                <a:ext uri="{FF2B5EF4-FFF2-40B4-BE49-F238E27FC236}">
                  <a16:creationId xmlns:a16="http://schemas.microsoft.com/office/drawing/2014/main" id="{C0C1DF4D-F315-4E4F-B62A-491D3250ADB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 9">
              <a:extLst>
                <a:ext uri="{FF2B5EF4-FFF2-40B4-BE49-F238E27FC236}">
                  <a16:creationId xmlns:a16="http://schemas.microsoft.com/office/drawing/2014/main" id="{6AA50C6F-E741-4A5B-B791-28A966D3A7C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de de règlement 9">
              <a:extLst>
                <a:ext uri="{FF2B5EF4-FFF2-40B4-BE49-F238E27FC236}">
                  <a16:creationId xmlns:a16="http://schemas.microsoft.com/office/drawing/2014/main" id="{EC8445EE-8EF9-43DA-B474-82CDB7833BB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éférences réglement 9">
              <a:extLst>
                <a:ext uri="{FF2B5EF4-FFF2-40B4-BE49-F238E27FC236}">
                  <a16:creationId xmlns:a16="http://schemas.microsoft.com/office/drawing/2014/main" id="{46688BEF-D67B-46AB-B7BC-D713C881B3F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n règlement de 9">
              <a:extLst>
                <a:ext uri="{FF2B5EF4-FFF2-40B4-BE49-F238E27FC236}">
                  <a16:creationId xmlns:a16="http://schemas.microsoft.com/office/drawing/2014/main" id="{B7C3AF27-5DB0-4D09-A306-C5F87C4AA7E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Payé par 9">
              <a:extLst>
                <a:ext uri="{FF2B5EF4-FFF2-40B4-BE49-F238E27FC236}">
                  <a16:creationId xmlns:a16="http://schemas.microsoft.com/office/drawing/2014/main" id="{1E95359D-1064-48ED-BB49-1DCF4EDF7D1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Pièce comptable 9">
              <a:extLst>
                <a:ext uri="{FF2B5EF4-FFF2-40B4-BE49-F238E27FC236}">
                  <a16:creationId xmlns:a16="http://schemas.microsoft.com/office/drawing/2014/main" id="{337B9EE5-34BD-430E-B625-6157AA43436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mentaires 9">
              <a:extLst>
                <a:ext uri="{FF2B5EF4-FFF2-40B4-BE49-F238E27FC236}">
                  <a16:creationId xmlns:a16="http://schemas.microsoft.com/office/drawing/2014/main" id="{401778B0-BB61-4C4E-9E54-F02CB11C6B1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ayé à 9">
              <a:extLst>
                <a:ext uri="{FF2B5EF4-FFF2-40B4-BE49-F238E27FC236}">
                  <a16:creationId xmlns:a16="http://schemas.microsoft.com/office/drawing/2014/main" id="{3C8B442C-6A65-4701-A0E2-CCE6CBECAD3C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ébit 9">
              <a:extLst>
                <a:ext uri="{FF2B5EF4-FFF2-40B4-BE49-F238E27FC236}">
                  <a16:creationId xmlns:a16="http://schemas.microsoft.com/office/drawing/2014/main" id="{933ECD1B-6671-4858-8E23-60C83CD7D50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rédit 9">
              <a:extLst>
                <a:ext uri="{FF2B5EF4-FFF2-40B4-BE49-F238E27FC236}">
                  <a16:creationId xmlns:a16="http://schemas.microsoft.com/office/drawing/2014/main" id="{050F27BF-185C-4CD0-BE71-8273BE06F6F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Débit HT 9">
              <a:extLst>
                <a:ext uri="{FF2B5EF4-FFF2-40B4-BE49-F238E27FC236}">
                  <a16:creationId xmlns:a16="http://schemas.microsoft.com/office/drawing/2014/main" id="{B34974FC-845F-4628-A305-1994D6C9661C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VA déductible 9">
              <a:extLst>
                <a:ext uri="{FF2B5EF4-FFF2-40B4-BE49-F238E27FC236}">
                  <a16:creationId xmlns:a16="http://schemas.microsoft.com/office/drawing/2014/main" id="{C69114B1-B70D-4B7D-8C73-9330D23AA06C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Crédit HT 9">
              <a:extLst>
                <a:ext uri="{FF2B5EF4-FFF2-40B4-BE49-F238E27FC236}">
                  <a16:creationId xmlns:a16="http://schemas.microsoft.com/office/drawing/2014/main" id="{D33295C4-0814-485A-8AE8-43D49097F18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VA collectée 9">
              <a:extLst>
                <a:ext uri="{FF2B5EF4-FFF2-40B4-BE49-F238E27FC236}">
                  <a16:creationId xmlns:a16="http://schemas.microsoft.com/office/drawing/2014/main" id="{42373864-F39C-4B47-B39B-396A73BC1F1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 10">
              <a:extLst>
                <a:ext uri="{FF2B5EF4-FFF2-40B4-BE49-F238E27FC236}">
                  <a16:creationId xmlns:a16="http://schemas.microsoft.com/office/drawing/2014/main" id="{68253D22-A056-4107-BB42-913288A0A02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de de règlement 10">
              <a:extLst>
                <a:ext uri="{FF2B5EF4-FFF2-40B4-BE49-F238E27FC236}">
                  <a16:creationId xmlns:a16="http://schemas.microsoft.com/office/drawing/2014/main" id="{52FAD7B4-04EB-413D-8464-68450CA06EB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éférences réglement 10">
              <a:extLst>
                <a:ext uri="{FF2B5EF4-FFF2-40B4-BE49-F238E27FC236}">
                  <a16:creationId xmlns:a16="http://schemas.microsoft.com/office/drawing/2014/main" id="{0229D5B5-4C6D-4BC7-B4B5-06865A04560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n règlement de 10">
              <a:extLst>
                <a:ext uri="{FF2B5EF4-FFF2-40B4-BE49-F238E27FC236}">
                  <a16:creationId xmlns:a16="http://schemas.microsoft.com/office/drawing/2014/main" id="{32FDA445-0245-42CF-9D1D-C159F848424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Payé par 10">
              <a:extLst>
                <a:ext uri="{FF2B5EF4-FFF2-40B4-BE49-F238E27FC236}">
                  <a16:creationId xmlns:a16="http://schemas.microsoft.com/office/drawing/2014/main" id="{AB4DEF4C-0CEF-4FAA-8909-59B57E73070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Pièce comptable 10">
              <a:extLst>
                <a:ext uri="{FF2B5EF4-FFF2-40B4-BE49-F238E27FC236}">
                  <a16:creationId xmlns:a16="http://schemas.microsoft.com/office/drawing/2014/main" id="{754CE0B5-762E-42D5-8981-4EDC78EDFEF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mentaires 10">
              <a:extLst>
                <a:ext uri="{FF2B5EF4-FFF2-40B4-BE49-F238E27FC236}">
                  <a16:creationId xmlns:a16="http://schemas.microsoft.com/office/drawing/2014/main" id="{E34BABD2-C302-4C82-9032-859F82C1E5D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ayé à 10">
              <a:extLst>
                <a:ext uri="{FF2B5EF4-FFF2-40B4-BE49-F238E27FC236}">
                  <a16:creationId xmlns:a16="http://schemas.microsoft.com/office/drawing/2014/main" id="{53746B89-F642-4297-B6EA-37BA818A6F5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ébit 10">
              <a:extLst>
                <a:ext uri="{FF2B5EF4-FFF2-40B4-BE49-F238E27FC236}">
                  <a16:creationId xmlns:a16="http://schemas.microsoft.com/office/drawing/2014/main" id="{09482A2F-9F87-4344-8A31-C394A36C231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rédit 10">
              <a:extLst>
                <a:ext uri="{FF2B5EF4-FFF2-40B4-BE49-F238E27FC236}">
                  <a16:creationId xmlns:a16="http://schemas.microsoft.com/office/drawing/2014/main" id="{17E28AB0-622F-4355-B512-B046C939BD7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Débit HT 10">
              <a:extLst>
                <a:ext uri="{FF2B5EF4-FFF2-40B4-BE49-F238E27FC236}">
                  <a16:creationId xmlns:a16="http://schemas.microsoft.com/office/drawing/2014/main" id="{604D4321-E9EC-491A-A23C-B35C001B26B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VA déductible 10">
              <a:extLst>
                <a:ext uri="{FF2B5EF4-FFF2-40B4-BE49-F238E27FC236}">
                  <a16:creationId xmlns:a16="http://schemas.microsoft.com/office/drawing/2014/main" id="{5244B01F-5B9E-463F-8A31-EFF0F98B0A4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Crédit HT 10">
              <a:extLst>
                <a:ext uri="{FF2B5EF4-FFF2-40B4-BE49-F238E27FC236}">
                  <a16:creationId xmlns:a16="http://schemas.microsoft.com/office/drawing/2014/main" id="{714B24D5-E629-4ED0-AB99-689A64F83F7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VA collectée 10">
              <a:extLst>
                <a:ext uri="{FF2B5EF4-FFF2-40B4-BE49-F238E27FC236}">
                  <a16:creationId xmlns:a16="http://schemas.microsoft.com/office/drawing/2014/main" id="{1BACE5E9-C103-473B-957E-B93DD979D06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 11">
              <a:extLst>
                <a:ext uri="{FF2B5EF4-FFF2-40B4-BE49-F238E27FC236}">
                  <a16:creationId xmlns:a16="http://schemas.microsoft.com/office/drawing/2014/main" id="{ABBBD8CC-213C-4626-86A2-D5AD4BE92C1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de de règlement 11">
              <a:extLst>
                <a:ext uri="{FF2B5EF4-FFF2-40B4-BE49-F238E27FC236}">
                  <a16:creationId xmlns:a16="http://schemas.microsoft.com/office/drawing/2014/main" id="{FAFAD8BC-0326-42C3-ABA5-5B8FA43F5C8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éférences réglement 11">
              <a:extLst>
                <a:ext uri="{FF2B5EF4-FFF2-40B4-BE49-F238E27FC236}">
                  <a16:creationId xmlns:a16="http://schemas.microsoft.com/office/drawing/2014/main" id="{5B95CBD2-2EBA-48BA-85B7-CBC14F3FEA0D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n règlement de 11">
              <a:extLst>
                <a:ext uri="{FF2B5EF4-FFF2-40B4-BE49-F238E27FC236}">
                  <a16:creationId xmlns:a16="http://schemas.microsoft.com/office/drawing/2014/main" id="{A15A4AA7-5E43-463D-84CC-1397AD38264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Payé par 11">
              <a:extLst>
                <a:ext uri="{FF2B5EF4-FFF2-40B4-BE49-F238E27FC236}">
                  <a16:creationId xmlns:a16="http://schemas.microsoft.com/office/drawing/2014/main" id="{F6FACE79-F65D-4EA2-B7F2-63FE7B4F3B9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Pièce comptable 11">
              <a:extLst>
                <a:ext uri="{FF2B5EF4-FFF2-40B4-BE49-F238E27FC236}">
                  <a16:creationId xmlns:a16="http://schemas.microsoft.com/office/drawing/2014/main" id="{5032D15B-318D-4DB5-8033-710DA4853CD8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mentaires 11">
              <a:extLst>
                <a:ext uri="{FF2B5EF4-FFF2-40B4-BE49-F238E27FC236}">
                  <a16:creationId xmlns:a16="http://schemas.microsoft.com/office/drawing/2014/main" id="{DA531822-67E5-419C-A876-2E9D3411EEA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ayé à 11">
              <a:extLst>
                <a:ext uri="{FF2B5EF4-FFF2-40B4-BE49-F238E27FC236}">
                  <a16:creationId xmlns:a16="http://schemas.microsoft.com/office/drawing/2014/main" id="{AFDD0C58-D977-4881-9F27-3BE9973E82C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ébit 11">
              <a:extLst>
                <a:ext uri="{FF2B5EF4-FFF2-40B4-BE49-F238E27FC236}">
                  <a16:creationId xmlns:a16="http://schemas.microsoft.com/office/drawing/2014/main" id="{EEFCD944-553E-4D3A-B680-AF1334DBF12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rédit 11">
              <a:extLst>
                <a:ext uri="{FF2B5EF4-FFF2-40B4-BE49-F238E27FC236}">
                  <a16:creationId xmlns:a16="http://schemas.microsoft.com/office/drawing/2014/main" id="{00AB5368-504D-4ABD-BDE5-F8D1393E8F9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Débit HT 11">
              <a:extLst>
                <a:ext uri="{FF2B5EF4-FFF2-40B4-BE49-F238E27FC236}">
                  <a16:creationId xmlns:a16="http://schemas.microsoft.com/office/drawing/2014/main" id="{1598DD98-3F8C-4D56-9D4E-3079CF82031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VA déductible 11">
              <a:extLst>
                <a:ext uri="{FF2B5EF4-FFF2-40B4-BE49-F238E27FC236}">
                  <a16:creationId xmlns:a16="http://schemas.microsoft.com/office/drawing/2014/main" id="{F9752995-5B96-408C-AFFB-F755D04C28DA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Crédit HT 11">
              <a:extLst>
                <a:ext uri="{FF2B5EF4-FFF2-40B4-BE49-F238E27FC236}">
                  <a16:creationId xmlns:a16="http://schemas.microsoft.com/office/drawing/2014/main" id="{BF205935-2C72-4648-9AB4-A2550A734567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VA collectée 11">
              <a:extLst>
                <a:ext uri="{FF2B5EF4-FFF2-40B4-BE49-F238E27FC236}">
                  <a16:creationId xmlns:a16="http://schemas.microsoft.com/office/drawing/2014/main" id="{99B22938-F831-4E30-BA20-33F1DDFEF46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180000</xdr:colOff>
      <xdr:row>0</xdr:row>
      <xdr:rowOff>180000</xdr:rowOff>
    </xdr:from>
    <xdr:to>
      <xdr:col>2</xdr:col>
      <xdr:colOff>212250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 12">
              <a:extLst>
                <a:ext uri="{FF2B5EF4-FFF2-40B4-BE49-F238E27FC236}">
                  <a16:creationId xmlns:a16="http://schemas.microsoft.com/office/drawing/2014/main" id="{9D3F12BE-B2B3-47F6-8023-06E9D03B11B5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000" y="180000"/>
              <a:ext cx="108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212250</xdr:colOff>
      <xdr:row>0</xdr:row>
      <xdr:rowOff>180000</xdr:rowOff>
    </xdr:from>
    <xdr:to>
      <xdr:col>4</xdr:col>
      <xdr:colOff>154875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de de règlement 12">
              <a:extLst>
                <a:ext uri="{FF2B5EF4-FFF2-40B4-BE49-F238E27FC236}">
                  <a16:creationId xmlns:a16="http://schemas.microsoft.com/office/drawing/2014/main" id="{A9515A8D-A455-4CAB-A2F8-010B17C4E69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154875</xdr:colOff>
      <xdr:row>0</xdr:row>
      <xdr:rowOff>180000</xdr:rowOff>
    </xdr:from>
    <xdr:to>
      <xdr:col>4</xdr:col>
      <xdr:colOff>2494875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Références réglement 12">
              <a:extLst>
                <a:ext uri="{FF2B5EF4-FFF2-40B4-BE49-F238E27FC236}">
                  <a16:creationId xmlns:a16="http://schemas.microsoft.com/office/drawing/2014/main" id="{98F0E64E-6390-4085-9EE8-FCFF67755EEC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férences réglement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000" y="180000"/>
              <a:ext cx="23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2494875</xdr:colOff>
      <xdr:row>0</xdr:row>
      <xdr:rowOff>180000</xdr:rowOff>
    </xdr:from>
    <xdr:to>
      <xdr:col>5</xdr:col>
      <xdr:colOff>3115500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En règlement de 12">
              <a:extLst>
                <a:ext uri="{FF2B5EF4-FFF2-40B4-BE49-F238E27FC236}">
                  <a16:creationId xmlns:a16="http://schemas.microsoft.com/office/drawing/2014/main" id="{7155A58E-F0CF-492E-BA4C-09433F20170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 règlement de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00000" y="180000"/>
              <a:ext cx="32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3115500</xdr:colOff>
      <xdr:row>0</xdr:row>
      <xdr:rowOff>180000</xdr:rowOff>
    </xdr:from>
    <xdr:to>
      <xdr:col>6</xdr:col>
      <xdr:colOff>2063625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Payé par 12">
              <a:extLst>
                <a:ext uri="{FF2B5EF4-FFF2-40B4-BE49-F238E27FC236}">
                  <a16:creationId xmlns:a16="http://schemas.microsoft.com/office/drawing/2014/main" id="{79CAAB9E-377C-4880-86E1-1EBC1705095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par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2063625</xdr:colOff>
      <xdr:row>0</xdr:row>
      <xdr:rowOff>180000</xdr:rowOff>
    </xdr:from>
    <xdr:to>
      <xdr:col>7</xdr:col>
      <xdr:colOff>1720500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Pièce comptable 12">
              <a:extLst>
                <a:ext uri="{FF2B5EF4-FFF2-40B4-BE49-F238E27FC236}">
                  <a16:creationId xmlns:a16="http://schemas.microsoft.com/office/drawing/2014/main" id="{4B670783-FC6A-406D-82C4-B451F5E35C2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èce comptable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00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1720500</xdr:colOff>
      <xdr:row>0</xdr:row>
      <xdr:rowOff>180000</xdr:rowOff>
    </xdr:from>
    <xdr:to>
      <xdr:col>8</xdr:col>
      <xdr:colOff>1499250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Commentaires 12">
              <a:extLst>
                <a:ext uri="{FF2B5EF4-FFF2-40B4-BE49-F238E27FC236}">
                  <a16:creationId xmlns:a16="http://schemas.microsoft.com/office/drawing/2014/main" id="{33313E15-50E9-4956-9B26-C88DDC72E72B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60000" y="180000"/>
              <a:ext cx="216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1499250</xdr:colOff>
      <xdr:row>0</xdr:row>
      <xdr:rowOff>180000</xdr:rowOff>
    </xdr:from>
    <xdr:to>
      <xdr:col>9</xdr:col>
      <xdr:colOff>685500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Payé à 12">
              <a:extLst>
                <a:ext uri="{FF2B5EF4-FFF2-40B4-BE49-F238E27FC236}">
                  <a16:creationId xmlns:a16="http://schemas.microsoft.com/office/drawing/2014/main" id="{7DC62AC4-8565-4BD4-93B7-C992601B159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é à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0000" y="180000"/>
              <a:ext cx="252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685500</xdr:colOff>
      <xdr:row>0</xdr:row>
      <xdr:rowOff>180000</xdr:rowOff>
    </xdr:from>
    <xdr:to>
      <xdr:col>9</xdr:col>
      <xdr:colOff>1981500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ébit 12">
              <a:extLst>
                <a:ext uri="{FF2B5EF4-FFF2-40B4-BE49-F238E27FC236}">
                  <a16:creationId xmlns:a16="http://schemas.microsoft.com/office/drawing/2014/main" id="{3FFE4B36-D212-423E-A8FD-38872545EDC3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4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1981500</xdr:colOff>
      <xdr:row>0</xdr:row>
      <xdr:rowOff>180000</xdr:rowOff>
    </xdr:from>
    <xdr:to>
      <xdr:col>11</xdr:col>
      <xdr:colOff>181875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Crédit 12">
              <a:extLst>
                <a:ext uri="{FF2B5EF4-FFF2-40B4-BE49-F238E27FC236}">
                  <a16:creationId xmlns:a16="http://schemas.microsoft.com/office/drawing/2014/main" id="{B2B060D4-A5FE-4DF5-A9E1-5F41CEB77E0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36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181875</xdr:colOff>
      <xdr:row>0</xdr:row>
      <xdr:rowOff>180000</xdr:rowOff>
    </xdr:from>
    <xdr:to>
      <xdr:col>12</xdr:col>
      <xdr:colOff>525375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Débit HT 12">
              <a:extLst>
                <a:ext uri="{FF2B5EF4-FFF2-40B4-BE49-F238E27FC236}">
                  <a16:creationId xmlns:a16="http://schemas.microsoft.com/office/drawing/2014/main" id="{E4315245-DE9D-4248-8C1A-63122AE8FE0E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it HT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32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12</xdr:col>
      <xdr:colOff>525375</xdr:colOff>
      <xdr:row>0</xdr:row>
      <xdr:rowOff>180000</xdr:rowOff>
    </xdr:from>
    <xdr:to>
      <xdr:col>14</xdr:col>
      <xdr:colOff>249750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VA déductible 12">
              <a:extLst>
                <a:ext uri="{FF2B5EF4-FFF2-40B4-BE49-F238E27FC236}">
                  <a16:creationId xmlns:a16="http://schemas.microsoft.com/office/drawing/2014/main" id="{4152BD44-0C27-4C75-AF41-FC89890BFC64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déductible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528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14</xdr:col>
      <xdr:colOff>249750</xdr:colOff>
      <xdr:row>0</xdr:row>
      <xdr:rowOff>180000</xdr:rowOff>
    </xdr:from>
    <xdr:to>
      <xdr:col>16</xdr:col>
      <xdr:colOff>307500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Crédit HT 12">
              <a:extLst>
                <a:ext uri="{FF2B5EF4-FFF2-40B4-BE49-F238E27FC236}">
                  <a16:creationId xmlns:a16="http://schemas.microsoft.com/office/drawing/2014/main" id="{0ED573D3-BDF7-4BF4-BB2E-F6189DB8BFC6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dit HT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24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16</xdr:col>
      <xdr:colOff>307500</xdr:colOff>
      <xdr:row>0</xdr:row>
      <xdr:rowOff>180000</xdr:rowOff>
    </xdr:from>
    <xdr:to>
      <xdr:col>17</xdr:col>
      <xdr:colOff>651000</xdr:colOff>
      <xdr:row>9</xdr:row>
      <xdr:rowOff>223500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VA collectée 12">
              <a:extLst>
                <a:ext uri="{FF2B5EF4-FFF2-40B4-BE49-F238E27FC236}">
                  <a16:creationId xmlns:a16="http://schemas.microsoft.com/office/drawing/2014/main" id="{C67748D3-2DFE-4968-9BD8-B4988071FC59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VA collectée 1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20000" y="180000"/>
              <a:ext cx="129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9525</xdr:rowOff>
    </xdr:from>
    <xdr:to>
      <xdr:col>2</xdr:col>
      <xdr:colOff>0</xdr:colOff>
      <xdr:row>2</xdr:row>
      <xdr:rowOff>0</xdr:rowOff>
    </xdr:to>
    <xdr:sp macro="[0]!ImporterTest" textlink="">
      <xdr:nvSpPr>
        <xdr:cNvPr id="2" name="Rectangle 1">
          <a:extLst>
            <a:ext uri="{FF2B5EF4-FFF2-40B4-BE49-F238E27FC236}">
              <a16:creationId xmlns:a16="http://schemas.microsoft.com/office/drawing/2014/main" id="{F72ECE2D-9A3E-4C7C-96EF-BA4D2731DD7E}"/>
            </a:ext>
          </a:extLst>
        </xdr:cNvPr>
        <xdr:cNvSpPr/>
      </xdr:nvSpPr>
      <xdr:spPr>
        <a:xfrm>
          <a:off x="190500" y="200025"/>
          <a:ext cx="857250" cy="466725"/>
        </a:xfrm>
        <a:prstGeom prst="rect">
          <a:avLst/>
        </a:prstGeom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0"/>
        <a:lstStyle/>
        <a:p>
          <a:pPr algn="ctr"/>
          <a:r>
            <a:rPr lang="fr-FR" sz="1200" b="1">
              <a:solidFill>
                <a:schemeClr val="bg1"/>
              </a:solidFill>
            </a:rPr>
            <a:t>Importer</a:t>
          </a:r>
        </a:p>
      </xdr:txBody>
    </xdr:sp>
    <xdr:clientData fPrintsWithSheet="0"/>
  </xdr:twoCellAnchor>
  <xdr:twoCellAnchor editAs="absolute">
    <xdr:from>
      <xdr:col>3</xdr:col>
      <xdr:colOff>0</xdr:colOff>
      <xdr:row>1</xdr:row>
      <xdr:rowOff>0</xdr:rowOff>
    </xdr:from>
    <xdr:to>
      <xdr:col>4</xdr:col>
      <xdr:colOff>0</xdr:colOff>
      <xdr:row>2</xdr:row>
      <xdr:rowOff>0</xdr:rowOff>
    </xdr:to>
    <xdr:sp macro="[0]!effacerTest" textlink="">
      <xdr:nvSpPr>
        <xdr:cNvPr id="3" name="Rectangle 2">
          <a:extLst>
            <a:ext uri="{FF2B5EF4-FFF2-40B4-BE49-F238E27FC236}">
              <a16:creationId xmlns:a16="http://schemas.microsoft.com/office/drawing/2014/main" id="{19F82663-1FD2-4359-81DB-E516ECEFF8DD}"/>
            </a:ext>
          </a:extLst>
        </xdr:cNvPr>
        <xdr:cNvSpPr/>
      </xdr:nvSpPr>
      <xdr:spPr>
        <a:xfrm>
          <a:off x="1619250" y="190500"/>
          <a:ext cx="1285875" cy="476250"/>
        </a:xfrm>
        <a:prstGeom prst="rect">
          <a:avLst/>
        </a:prstGeom>
        <a:ln>
          <a:noFill/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Effacer</a:t>
          </a:r>
        </a:p>
      </xdr:txBody>
    </xdr:sp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1" xr10:uid="{7112AA7C-CC32-428B-A281-E1752663DACE}" sourceName="Date">
  <extLst>
    <x:ext xmlns:x15="http://schemas.microsoft.com/office/spreadsheetml/2010/11/main" uri="{2F2917AC-EB37-4324-AD4E-5DD8C200BD13}">
      <x15:tableSlicerCache tableId="3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1" xr10:uid="{76DB593B-1E7E-4494-9162-199497206738}" sourceName="Mode de règlement">
  <extLst>
    <x:ext xmlns:x15="http://schemas.microsoft.com/office/spreadsheetml/2010/11/main" uri="{2F2917AC-EB37-4324-AD4E-5DD8C200BD13}">
      <x15:tableSlicerCache tableId="32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1" xr10:uid="{05072604-6838-4DAF-A0AA-DC6F58DE79C7}" sourceName="Références réglement">
  <extLst>
    <x:ext xmlns:x15="http://schemas.microsoft.com/office/spreadsheetml/2010/11/main" uri="{2F2917AC-EB37-4324-AD4E-5DD8C200BD13}">
      <x15:tableSlicerCache tableId="32" column="19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1" xr10:uid="{966418BB-A634-4800-BF8E-0723FC8F3936}" sourceName="Catégorie">
  <extLst>
    <x:ext xmlns:x15="http://schemas.microsoft.com/office/spreadsheetml/2010/11/main" uri="{2F2917AC-EB37-4324-AD4E-5DD8C200BD13}">
      <x15:tableSlicerCache tableId="32" column="3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1" xr10:uid="{942811B6-363A-485C-8FA2-0F0EC457E8BB}" sourceName="Payé par">
  <extLst>
    <x:ext xmlns:x15="http://schemas.microsoft.com/office/spreadsheetml/2010/11/main" uri="{2F2917AC-EB37-4324-AD4E-5DD8C200BD13}">
      <x15:tableSlicerCache tableId="32" column="4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1" xr10:uid="{84ADC521-2C14-4991-A7AE-31798FA7ADE5}" sourceName="Pièce comptable">
  <extLst>
    <x:ext xmlns:x15="http://schemas.microsoft.com/office/spreadsheetml/2010/11/main" uri="{2F2917AC-EB37-4324-AD4E-5DD8C200BD13}">
      <x15:tableSlicerCache tableId="32" column="20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1" xr10:uid="{66F20E0B-598D-4F7F-83AA-FA1B30248A1E}" sourceName="Commentaires">
  <extLst>
    <x:ext xmlns:x15="http://schemas.microsoft.com/office/spreadsheetml/2010/11/main" uri="{2F2917AC-EB37-4324-AD4E-5DD8C200BD13}">
      <x15:tableSlicerCache tableId="32" column="5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1" xr10:uid="{0F0688B9-3D4D-42E3-923C-3F4778CBE4E6}" sourceName="Payé à">
  <extLst>
    <x:ext xmlns:x15="http://schemas.microsoft.com/office/spreadsheetml/2010/11/main" uri="{2F2917AC-EB37-4324-AD4E-5DD8C200BD13}">
      <x15:tableSlicerCache tableId="32" column="6"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1" xr10:uid="{A6C77726-A6B7-45EE-BB92-C478B1D93D95}" sourceName="Débit">
  <extLst>
    <x:ext xmlns:x15="http://schemas.microsoft.com/office/spreadsheetml/2010/11/main" uri="{2F2917AC-EB37-4324-AD4E-5DD8C200BD13}">
      <x15:tableSlicerCache tableId="32" column="8"/>
    </x:ext>
  </extLst>
</slicerCacheDefinition>
</file>

<file path=xl/slicerCaches/slicerCache1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1" xr10:uid="{9AB7BE5A-6128-41FD-B879-5576EDECC6A8}" sourceName="Crédit">
  <extLst>
    <x:ext xmlns:x15="http://schemas.microsoft.com/office/spreadsheetml/2010/11/main" uri="{2F2917AC-EB37-4324-AD4E-5DD8C200BD13}">
      <x15:tableSlicerCache tableId="32" column="10"/>
    </x:ext>
  </extLst>
</slicerCacheDefinition>
</file>

<file path=xl/slicerCaches/slicerCache1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1" xr10:uid="{6896B23B-85D5-44C9-94B7-B1AED8D4C08B}" sourceName="Débit HT">
  <extLst>
    <x:ext xmlns:x15="http://schemas.microsoft.com/office/spreadsheetml/2010/11/main" uri="{2F2917AC-EB37-4324-AD4E-5DD8C200BD13}">
      <x15:tableSlicerCache tableId="32" column="7"/>
    </x:ext>
  </extLst>
</slicerCacheDefinition>
</file>

<file path=xl/slicerCaches/slicerCache1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1" xr10:uid="{72FAD615-23DD-4EEE-8C64-0F8216A90091}" sourceName="TVA déductible">
  <extLst>
    <x:ext xmlns:x15="http://schemas.microsoft.com/office/spreadsheetml/2010/11/main" uri="{2F2917AC-EB37-4324-AD4E-5DD8C200BD13}">
      <x15:tableSlicerCache tableId="32" column="13"/>
    </x:ext>
  </extLst>
</slicerCacheDefinition>
</file>

<file path=xl/slicerCaches/slicerCache1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1" xr10:uid="{EC6BC285-7169-46D0-BEA3-FA45532C9893}" sourceName="Crédit HT">
  <extLst>
    <x:ext xmlns:x15="http://schemas.microsoft.com/office/spreadsheetml/2010/11/main" uri="{2F2917AC-EB37-4324-AD4E-5DD8C200BD13}">
      <x15:tableSlicerCache tableId="32" column="9"/>
    </x:ext>
  </extLst>
</slicerCacheDefinition>
</file>

<file path=xl/slicerCaches/slicerCache1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1" xr10:uid="{B9749167-9F7C-42A1-B9D0-288D4E81E1A8}" sourceName="TVA collectée">
  <extLst>
    <x:ext xmlns:x15="http://schemas.microsoft.com/office/spreadsheetml/2010/11/main" uri="{2F2917AC-EB37-4324-AD4E-5DD8C200BD13}">
      <x15:tableSlicerCache tableId="32" column="15"/>
    </x:ext>
  </extLst>
</slicerCacheDefinition>
</file>

<file path=xl/slicerCaches/slicerCache1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2" xr10:uid="{A92DA9A8-B2A6-42AC-89BF-8392D62BB9F2}" sourceName="Date">
  <extLst>
    <x:ext xmlns:x15="http://schemas.microsoft.com/office/spreadsheetml/2010/11/main" uri="{2F2917AC-EB37-4324-AD4E-5DD8C200BD13}">
      <x15:tableSlicerCache tableId="33" column="1"/>
    </x:ext>
  </extLst>
</slicerCacheDefinition>
</file>

<file path=xl/slicerCaches/slicerCache1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2" xr10:uid="{97BB57FE-6573-4360-BB9E-3BCD15C76190}" sourceName="Mode de règlement">
  <extLst>
    <x:ext xmlns:x15="http://schemas.microsoft.com/office/spreadsheetml/2010/11/main" uri="{2F2917AC-EB37-4324-AD4E-5DD8C200BD13}">
      <x15:tableSlicerCache tableId="33" column="2"/>
    </x:ext>
  </extLst>
</slicerCacheDefinition>
</file>

<file path=xl/slicerCaches/slicerCache1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2" xr10:uid="{215037B2-879D-494D-BF36-E434826D63A5}" sourceName="Références réglement">
  <extLst>
    <x:ext xmlns:x15="http://schemas.microsoft.com/office/spreadsheetml/2010/11/main" uri="{2F2917AC-EB37-4324-AD4E-5DD8C200BD13}">
      <x15:tableSlicerCache tableId="33" column="19"/>
    </x:ext>
  </extLst>
</slicerCacheDefinition>
</file>

<file path=xl/slicerCaches/slicerCache1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2" xr10:uid="{78847ED0-874C-4FA1-8EC3-CC83EB476B2A}" sourceName="Catégorie">
  <extLst>
    <x:ext xmlns:x15="http://schemas.microsoft.com/office/spreadsheetml/2010/11/main" uri="{2F2917AC-EB37-4324-AD4E-5DD8C200BD13}">
      <x15:tableSlicerCache tableId="33" column="3"/>
    </x:ext>
  </extLst>
</slicerCacheDefinition>
</file>

<file path=xl/slicerCaches/slicerCache1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2" xr10:uid="{062FC4F2-ECC4-41E9-A756-1E927BC597A4}" sourceName="Payé par">
  <extLst>
    <x:ext xmlns:x15="http://schemas.microsoft.com/office/spreadsheetml/2010/11/main" uri="{2F2917AC-EB37-4324-AD4E-5DD8C200BD13}">
      <x15:tableSlicerCache tableId="33" column="4"/>
    </x:ext>
  </extLst>
</slicerCacheDefinition>
</file>

<file path=xl/slicerCaches/slicerCache2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2" xr10:uid="{C705C2D8-AA78-4789-BC79-AB54A0B9F344}" sourceName="Pièce comptable">
  <extLst>
    <x:ext xmlns:x15="http://schemas.microsoft.com/office/spreadsheetml/2010/11/main" uri="{2F2917AC-EB37-4324-AD4E-5DD8C200BD13}">
      <x15:tableSlicerCache tableId="33" column="20"/>
    </x:ext>
  </extLst>
</slicerCacheDefinition>
</file>

<file path=xl/slicerCaches/slicerCache2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2" xr10:uid="{00C5D9F4-7F14-44DE-A8CF-2F440EE72759}" sourceName="Commentaires">
  <extLst>
    <x:ext xmlns:x15="http://schemas.microsoft.com/office/spreadsheetml/2010/11/main" uri="{2F2917AC-EB37-4324-AD4E-5DD8C200BD13}">
      <x15:tableSlicerCache tableId="33" column="5"/>
    </x:ext>
  </extLst>
</slicerCacheDefinition>
</file>

<file path=xl/slicerCaches/slicerCache2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2" xr10:uid="{FE973261-3A45-4FF5-85B6-6EDF8D6921D7}" sourceName="Payé à">
  <extLst>
    <x:ext xmlns:x15="http://schemas.microsoft.com/office/spreadsheetml/2010/11/main" uri="{2F2917AC-EB37-4324-AD4E-5DD8C200BD13}">
      <x15:tableSlicerCache tableId="33" column="6"/>
    </x:ext>
  </extLst>
</slicerCacheDefinition>
</file>

<file path=xl/slicerCaches/slicerCache2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2" xr10:uid="{B9D779E7-E117-46CE-A7FC-3E87D7F91E78}" sourceName="Débit">
  <extLst>
    <x:ext xmlns:x15="http://schemas.microsoft.com/office/spreadsheetml/2010/11/main" uri="{2F2917AC-EB37-4324-AD4E-5DD8C200BD13}">
      <x15:tableSlicerCache tableId="33" column="8"/>
    </x:ext>
  </extLst>
</slicerCacheDefinition>
</file>

<file path=xl/slicerCaches/slicerCache2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2" xr10:uid="{90254E4A-F214-4DDA-AC84-3A5097C6B5C8}" sourceName="Crédit">
  <extLst>
    <x:ext xmlns:x15="http://schemas.microsoft.com/office/spreadsheetml/2010/11/main" uri="{2F2917AC-EB37-4324-AD4E-5DD8C200BD13}">
      <x15:tableSlicerCache tableId="33" column="10"/>
    </x:ext>
  </extLst>
</slicerCacheDefinition>
</file>

<file path=xl/slicerCaches/slicerCache2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2" xr10:uid="{23ADA0F2-B3C2-4C76-9162-ACB8D438D500}" sourceName="Débit HT">
  <extLst>
    <x:ext xmlns:x15="http://schemas.microsoft.com/office/spreadsheetml/2010/11/main" uri="{2F2917AC-EB37-4324-AD4E-5DD8C200BD13}">
      <x15:tableSlicerCache tableId="33" column="7"/>
    </x:ext>
  </extLst>
</slicerCacheDefinition>
</file>

<file path=xl/slicerCaches/slicerCache2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2" xr10:uid="{5C50150D-1CF6-4694-BB3B-533C93DC1FD6}" sourceName="TVA déductible">
  <extLst>
    <x:ext xmlns:x15="http://schemas.microsoft.com/office/spreadsheetml/2010/11/main" uri="{2F2917AC-EB37-4324-AD4E-5DD8C200BD13}">
      <x15:tableSlicerCache tableId="33" column="13"/>
    </x:ext>
  </extLst>
</slicerCacheDefinition>
</file>

<file path=xl/slicerCaches/slicerCache2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2" xr10:uid="{44D9342F-9D5B-4F4B-8C6F-CC20C31969FB}" sourceName="Crédit HT">
  <extLst>
    <x:ext xmlns:x15="http://schemas.microsoft.com/office/spreadsheetml/2010/11/main" uri="{2F2917AC-EB37-4324-AD4E-5DD8C200BD13}">
      <x15:tableSlicerCache tableId="33" column="9"/>
    </x:ext>
  </extLst>
</slicerCacheDefinition>
</file>

<file path=xl/slicerCaches/slicerCache2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2" xr10:uid="{96B7CEA1-0E52-4B8D-BC12-DD3D39E19F08}" sourceName="TVA collectée">
  <extLst>
    <x:ext xmlns:x15="http://schemas.microsoft.com/office/spreadsheetml/2010/11/main" uri="{2F2917AC-EB37-4324-AD4E-5DD8C200BD13}">
      <x15:tableSlicerCache tableId="33" column="15"/>
    </x:ext>
  </extLst>
</slicerCacheDefinition>
</file>

<file path=xl/slicerCaches/slicerCache2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3" xr10:uid="{272CF739-EAF6-46BF-A8A4-C36035FA30E0}" sourceName="Date">
  <extLst>
    <x:ext xmlns:x15="http://schemas.microsoft.com/office/spreadsheetml/2010/11/main" uri="{2F2917AC-EB37-4324-AD4E-5DD8C200BD13}">
      <x15:tableSlicerCache tableId="34" column="1"/>
    </x:ext>
  </extLst>
</slicerCacheDefinition>
</file>

<file path=xl/slicerCaches/slicerCache3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3" xr10:uid="{B17CAB14-386D-4DC6-AA2F-D7CF4AB9C3CB}" sourceName="Mode de règlement">
  <extLst>
    <x:ext xmlns:x15="http://schemas.microsoft.com/office/spreadsheetml/2010/11/main" uri="{2F2917AC-EB37-4324-AD4E-5DD8C200BD13}">
      <x15:tableSlicerCache tableId="34" column="2"/>
    </x:ext>
  </extLst>
</slicerCacheDefinition>
</file>

<file path=xl/slicerCaches/slicerCache3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3" xr10:uid="{5C6E7D17-D7FF-491F-A804-516439FBDF36}" sourceName="Références réglement">
  <extLst>
    <x:ext xmlns:x15="http://schemas.microsoft.com/office/spreadsheetml/2010/11/main" uri="{2F2917AC-EB37-4324-AD4E-5DD8C200BD13}">
      <x15:tableSlicerCache tableId="34" column="19"/>
    </x:ext>
  </extLst>
</slicerCacheDefinition>
</file>

<file path=xl/slicerCaches/slicerCache3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3" xr10:uid="{0857EF38-6C55-4A07-BB8E-AF38021DA67D}" sourceName="Catégorie">
  <extLst>
    <x:ext xmlns:x15="http://schemas.microsoft.com/office/spreadsheetml/2010/11/main" uri="{2F2917AC-EB37-4324-AD4E-5DD8C200BD13}">
      <x15:tableSlicerCache tableId="34" column="3"/>
    </x:ext>
  </extLst>
</slicerCacheDefinition>
</file>

<file path=xl/slicerCaches/slicerCache3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3" xr10:uid="{AA0CE766-EC5A-498C-889A-A0ECEAF1D627}" sourceName="Payé par">
  <extLst>
    <x:ext xmlns:x15="http://schemas.microsoft.com/office/spreadsheetml/2010/11/main" uri="{2F2917AC-EB37-4324-AD4E-5DD8C200BD13}">
      <x15:tableSlicerCache tableId="34" column="4"/>
    </x:ext>
  </extLst>
</slicerCacheDefinition>
</file>

<file path=xl/slicerCaches/slicerCache3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3" xr10:uid="{5A59DEC7-C135-4605-BC5C-AAABE2A2B14D}" sourceName="Pièce comptable">
  <extLst>
    <x:ext xmlns:x15="http://schemas.microsoft.com/office/spreadsheetml/2010/11/main" uri="{2F2917AC-EB37-4324-AD4E-5DD8C200BD13}">
      <x15:tableSlicerCache tableId="34" column="20"/>
    </x:ext>
  </extLst>
</slicerCacheDefinition>
</file>

<file path=xl/slicerCaches/slicerCache3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3" xr10:uid="{0C23619D-9C70-4BF3-8158-5ADD86998748}" sourceName="Commentaires">
  <extLst>
    <x:ext xmlns:x15="http://schemas.microsoft.com/office/spreadsheetml/2010/11/main" uri="{2F2917AC-EB37-4324-AD4E-5DD8C200BD13}">
      <x15:tableSlicerCache tableId="34" column="5"/>
    </x:ext>
  </extLst>
</slicerCacheDefinition>
</file>

<file path=xl/slicerCaches/slicerCache3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3" xr10:uid="{81ECA2A8-8571-4E5D-BC66-E4ED1935DE32}" sourceName="Payé à">
  <extLst>
    <x:ext xmlns:x15="http://schemas.microsoft.com/office/spreadsheetml/2010/11/main" uri="{2F2917AC-EB37-4324-AD4E-5DD8C200BD13}">
      <x15:tableSlicerCache tableId="34" column="6"/>
    </x:ext>
  </extLst>
</slicerCacheDefinition>
</file>

<file path=xl/slicerCaches/slicerCache3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3" xr10:uid="{3680360B-66C6-4DC0-893B-AFD79BF97692}" sourceName="Débit">
  <extLst>
    <x:ext xmlns:x15="http://schemas.microsoft.com/office/spreadsheetml/2010/11/main" uri="{2F2917AC-EB37-4324-AD4E-5DD8C200BD13}">
      <x15:tableSlicerCache tableId="34" column="8"/>
    </x:ext>
  </extLst>
</slicerCacheDefinition>
</file>

<file path=xl/slicerCaches/slicerCache3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3" xr10:uid="{E66CF23F-4FD8-410D-BC05-0212016BDC77}" sourceName="Crédit">
  <extLst>
    <x:ext xmlns:x15="http://schemas.microsoft.com/office/spreadsheetml/2010/11/main" uri="{2F2917AC-EB37-4324-AD4E-5DD8C200BD13}">
      <x15:tableSlicerCache tableId="34" column="10"/>
    </x:ext>
  </extLst>
</slicerCacheDefinition>
</file>

<file path=xl/slicerCaches/slicerCache3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3" xr10:uid="{B6D42CCE-B029-422E-A852-3678498161B0}" sourceName="Débit HT">
  <extLst>
    <x:ext xmlns:x15="http://schemas.microsoft.com/office/spreadsheetml/2010/11/main" uri="{2F2917AC-EB37-4324-AD4E-5DD8C200BD13}">
      <x15:tableSlicerCache tableId="34" column="7"/>
    </x:ext>
  </extLst>
</slicerCacheDefinition>
</file>

<file path=xl/slicerCaches/slicerCache4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3" xr10:uid="{AA27EDDC-77B9-4FD1-A158-6434092663E4}" sourceName="TVA déductible">
  <extLst>
    <x:ext xmlns:x15="http://schemas.microsoft.com/office/spreadsheetml/2010/11/main" uri="{2F2917AC-EB37-4324-AD4E-5DD8C200BD13}">
      <x15:tableSlicerCache tableId="34" column="13"/>
    </x:ext>
  </extLst>
</slicerCacheDefinition>
</file>

<file path=xl/slicerCaches/slicerCache4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3" xr10:uid="{513A3FFC-A472-4F5B-83AE-CB937232042C}" sourceName="Crédit HT">
  <extLst>
    <x:ext xmlns:x15="http://schemas.microsoft.com/office/spreadsheetml/2010/11/main" uri="{2F2917AC-EB37-4324-AD4E-5DD8C200BD13}">
      <x15:tableSlicerCache tableId="34" column="9"/>
    </x:ext>
  </extLst>
</slicerCacheDefinition>
</file>

<file path=xl/slicerCaches/slicerCache4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3" xr10:uid="{E46EA4FF-395C-4CEB-B64A-89752D9FB942}" sourceName="TVA collectée">
  <extLst>
    <x:ext xmlns:x15="http://schemas.microsoft.com/office/spreadsheetml/2010/11/main" uri="{2F2917AC-EB37-4324-AD4E-5DD8C200BD13}">
      <x15:tableSlicerCache tableId="34" column="15"/>
    </x:ext>
  </extLst>
</slicerCacheDefinition>
</file>

<file path=xl/slicerCaches/slicerCache4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4" xr10:uid="{D4F94AAD-F467-4E9D-B9E3-52CF026ED2BC}" sourceName="Date">
  <extLst>
    <x:ext xmlns:x15="http://schemas.microsoft.com/office/spreadsheetml/2010/11/main" uri="{2F2917AC-EB37-4324-AD4E-5DD8C200BD13}">
      <x15:tableSlicerCache tableId="35" column="1"/>
    </x:ext>
  </extLst>
</slicerCacheDefinition>
</file>

<file path=xl/slicerCaches/slicerCache4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4" xr10:uid="{81DB0C1D-7B05-4D00-99EE-23EEE0B53A67}" sourceName="Mode de règlement">
  <extLst>
    <x:ext xmlns:x15="http://schemas.microsoft.com/office/spreadsheetml/2010/11/main" uri="{2F2917AC-EB37-4324-AD4E-5DD8C200BD13}">
      <x15:tableSlicerCache tableId="35" column="2"/>
    </x:ext>
  </extLst>
</slicerCacheDefinition>
</file>

<file path=xl/slicerCaches/slicerCache4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4" xr10:uid="{3F6A8343-9552-4E56-89C3-DEF9EC82A398}" sourceName="Références réglement">
  <extLst>
    <x:ext xmlns:x15="http://schemas.microsoft.com/office/spreadsheetml/2010/11/main" uri="{2F2917AC-EB37-4324-AD4E-5DD8C200BD13}">
      <x15:tableSlicerCache tableId="35" column="19"/>
    </x:ext>
  </extLst>
</slicerCacheDefinition>
</file>

<file path=xl/slicerCaches/slicerCache4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4" xr10:uid="{3BB3F8AD-D9F3-4C8B-B753-47A7A651E662}" sourceName="Catégorie">
  <extLst>
    <x:ext xmlns:x15="http://schemas.microsoft.com/office/spreadsheetml/2010/11/main" uri="{2F2917AC-EB37-4324-AD4E-5DD8C200BD13}">
      <x15:tableSlicerCache tableId="35" column="3"/>
    </x:ext>
  </extLst>
</slicerCacheDefinition>
</file>

<file path=xl/slicerCaches/slicerCache4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4" xr10:uid="{C1493B4E-7278-43AD-BDB1-AF00F9267EFB}" sourceName="Payé par">
  <extLst>
    <x:ext xmlns:x15="http://schemas.microsoft.com/office/spreadsheetml/2010/11/main" uri="{2F2917AC-EB37-4324-AD4E-5DD8C200BD13}">
      <x15:tableSlicerCache tableId="35" column="4"/>
    </x:ext>
  </extLst>
</slicerCacheDefinition>
</file>

<file path=xl/slicerCaches/slicerCache4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4" xr10:uid="{A3E4DD1E-044E-4DBB-BD37-29626835FBAA}" sourceName="Pièce comptable">
  <extLst>
    <x:ext xmlns:x15="http://schemas.microsoft.com/office/spreadsheetml/2010/11/main" uri="{2F2917AC-EB37-4324-AD4E-5DD8C200BD13}">
      <x15:tableSlicerCache tableId="35" column="20"/>
    </x:ext>
  </extLst>
</slicerCacheDefinition>
</file>

<file path=xl/slicerCaches/slicerCache4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4" xr10:uid="{84A3D153-DCFA-4EA2-821F-165037047767}" sourceName="Commentaires">
  <extLst>
    <x:ext xmlns:x15="http://schemas.microsoft.com/office/spreadsheetml/2010/11/main" uri="{2F2917AC-EB37-4324-AD4E-5DD8C200BD13}">
      <x15:tableSlicerCache tableId="35" column="5"/>
    </x:ext>
  </extLst>
</slicerCacheDefinition>
</file>

<file path=xl/slicerCaches/slicerCache5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4" xr10:uid="{3CCA2AD2-337F-4B28-897F-744976F06CDA}" sourceName="Payé à">
  <extLst>
    <x:ext xmlns:x15="http://schemas.microsoft.com/office/spreadsheetml/2010/11/main" uri="{2F2917AC-EB37-4324-AD4E-5DD8C200BD13}">
      <x15:tableSlicerCache tableId="35" column="6"/>
    </x:ext>
  </extLst>
</slicerCacheDefinition>
</file>

<file path=xl/slicerCaches/slicerCache5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4" xr10:uid="{926A0F32-E9D3-4273-8E73-67FFF1209415}" sourceName="Débit">
  <extLst>
    <x:ext xmlns:x15="http://schemas.microsoft.com/office/spreadsheetml/2010/11/main" uri="{2F2917AC-EB37-4324-AD4E-5DD8C200BD13}">
      <x15:tableSlicerCache tableId="35" column="8"/>
    </x:ext>
  </extLst>
</slicerCacheDefinition>
</file>

<file path=xl/slicerCaches/slicerCache5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4" xr10:uid="{FEE2A417-83B7-4195-83E3-324C8A9616FD}" sourceName="Crédit">
  <extLst>
    <x:ext xmlns:x15="http://schemas.microsoft.com/office/spreadsheetml/2010/11/main" uri="{2F2917AC-EB37-4324-AD4E-5DD8C200BD13}">
      <x15:tableSlicerCache tableId="35" column="10"/>
    </x:ext>
  </extLst>
</slicerCacheDefinition>
</file>

<file path=xl/slicerCaches/slicerCache5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4" xr10:uid="{9C18FEAB-0C97-4F7C-A0A4-51B5B9CE1D6A}" sourceName="Débit HT">
  <extLst>
    <x:ext xmlns:x15="http://schemas.microsoft.com/office/spreadsheetml/2010/11/main" uri="{2F2917AC-EB37-4324-AD4E-5DD8C200BD13}">
      <x15:tableSlicerCache tableId="35" column="7"/>
    </x:ext>
  </extLst>
</slicerCacheDefinition>
</file>

<file path=xl/slicerCaches/slicerCache5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4" xr10:uid="{C4BFFC40-E112-4D4D-8A86-E4AB29AEEC62}" sourceName="TVA déductible">
  <extLst>
    <x:ext xmlns:x15="http://schemas.microsoft.com/office/spreadsheetml/2010/11/main" uri="{2F2917AC-EB37-4324-AD4E-5DD8C200BD13}">
      <x15:tableSlicerCache tableId="35" column="13"/>
    </x:ext>
  </extLst>
</slicerCacheDefinition>
</file>

<file path=xl/slicerCaches/slicerCache5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4" xr10:uid="{0297331A-FCA5-41E0-8D51-4E8A3F982082}" sourceName="Crédit HT">
  <extLst>
    <x:ext xmlns:x15="http://schemas.microsoft.com/office/spreadsheetml/2010/11/main" uri="{2F2917AC-EB37-4324-AD4E-5DD8C200BD13}">
      <x15:tableSlicerCache tableId="35" column="9"/>
    </x:ext>
  </extLst>
</slicerCacheDefinition>
</file>

<file path=xl/slicerCaches/slicerCache5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4" xr10:uid="{288818CC-9CB6-428B-AE02-7FDDC715071E}" sourceName="TVA collectée">
  <extLst>
    <x:ext xmlns:x15="http://schemas.microsoft.com/office/spreadsheetml/2010/11/main" uri="{2F2917AC-EB37-4324-AD4E-5DD8C200BD13}">
      <x15:tableSlicerCache tableId="35" column="15"/>
    </x:ext>
  </extLst>
</slicerCacheDefinition>
</file>

<file path=xl/slicerCaches/slicerCache5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5" xr10:uid="{1514E280-F785-47C3-8716-AC0E0649D83A}" sourceName="Date">
  <extLst>
    <x:ext xmlns:x15="http://schemas.microsoft.com/office/spreadsheetml/2010/11/main" uri="{2F2917AC-EB37-4324-AD4E-5DD8C200BD13}">
      <x15:tableSlicerCache tableId="36" column="1"/>
    </x:ext>
  </extLst>
</slicerCacheDefinition>
</file>

<file path=xl/slicerCaches/slicerCache5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5" xr10:uid="{9FAB5093-D0B2-432C-954E-048A4C9359A8}" sourceName="Mode de règlement">
  <extLst>
    <x:ext xmlns:x15="http://schemas.microsoft.com/office/spreadsheetml/2010/11/main" uri="{2F2917AC-EB37-4324-AD4E-5DD8C200BD13}">
      <x15:tableSlicerCache tableId="36" column="2"/>
    </x:ext>
  </extLst>
</slicerCacheDefinition>
</file>

<file path=xl/slicerCaches/slicerCache5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5" xr10:uid="{73DA14B2-C5A1-4495-9D96-864D958E7AAD}" sourceName="Références réglement">
  <extLst>
    <x:ext xmlns:x15="http://schemas.microsoft.com/office/spreadsheetml/2010/11/main" uri="{2F2917AC-EB37-4324-AD4E-5DD8C200BD13}">
      <x15:tableSlicerCache tableId="36" column="19"/>
    </x:ext>
  </extLst>
</slicerCacheDefinition>
</file>

<file path=xl/slicerCaches/slicerCache6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5" xr10:uid="{C482C561-4F2E-4FD9-941F-7FD706094C8F}" sourceName="Catégorie">
  <extLst>
    <x:ext xmlns:x15="http://schemas.microsoft.com/office/spreadsheetml/2010/11/main" uri="{2F2917AC-EB37-4324-AD4E-5DD8C200BD13}">
      <x15:tableSlicerCache tableId="36" column="3"/>
    </x:ext>
  </extLst>
</slicerCacheDefinition>
</file>

<file path=xl/slicerCaches/slicerCache6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5" xr10:uid="{183E8BC4-4B0F-4B4C-AB08-20A7BB2F1AE0}" sourceName="Payé par">
  <extLst>
    <x:ext xmlns:x15="http://schemas.microsoft.com/office/spreadsheetml/2010/11/main" uri="{2F2917AC-EB37-4324-AD4E-5DD8C200BD13}">
      <x15:tableSlicerCache tableId="36" column="4"/>
    </x:ext>
  </extLst>
</slicerCacheDefinition>
</file>

<file path=xl/slicerCaches/slicerCache6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5" xr10:uid="{C59494A7-F063-4E98-95C0-67D4557A866F}" sourceName="Pièce comptable">
  <extLst>
    <x:ext xmlns:x15="http://schemas.microsoft.com/office/spreadsheetml/2010/11/main" uri="{2F2917AC-EB37-4324-AD4E-5DD8C200BD13}">
      <x15:tableSlicerCache tableId="36" column="20"/>
    </x:ext>
  </extLst>
</slicerCacheDefinition>
</file>

<file path=xl/slicerCaches/slicerCache6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5" xr10:uid="{7443982A-80C1-4D59-90F3-43D832960B7C}" sourceName="Commentaires">
  <extLst>
    <x:ext xmlns:x15="http://schemas.microsoft.com/office/spreadsheetml/2010/11/main" uri="{2F2917AC-EB37-4324-AD4E-5DD8C200BD13}">
      <x15:tableSlicerCache tableId="36" column="5"/>
    </x:ext>
  </extLst>
</slicerCacheDefinition>
</file>

<file path=xl/slicerCaches/slicerCache6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5" xr10:uid="{6FFF72ED-BD19-47A4-BF26-8544E9B33896}" sourceName="Payé à">
  <extLst>
    <x:ext xmlns:x15="http://schemas.microsoft.com/office/spreadsheetml/2010/11/main" uri="{2F2917AC-EB37-4324-AD4E-5DD8C200BD13}">
      <x15:tableSlicerCache tableId="36" column="6"/>
    </x:ext>
  </extLst>
</slicerCacheDefinition>
</file>

<file path=xl/slicerCaches/slicerCache6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5" xr10:uid="{8C79D43E-F07F-486C-8328-23735E06639E}" sourceName="Débit">
  <extLst>
    <x:ext xmlns:x15="http://schemas.microsoft.com/office/spreadsheetml/2010/11/main" uri="{2F2917AC-EB37-4324-AD4E-5DD8C200BD13}">
      <x15:tableSlicerCache tableId="36" column="8"/>
    </x:ext>
  </extLst>
</slicerCacheDefinition>
</file>

<file path=xl/slicerCaches/slicerCache6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5" xr10:uid="{E360CF59-6501-490F-9FDD-A1ABD480FDB4}" sourceName="Crédit">
  <extLst>
    <x:ext xmlns:x15="http://schemas.microsoft.com/office/spreadsheetml/2010/11/main" uri="{2F2917AC-EB37-4324-AD4E-5DD8C200BD13}">
      <x15:tableSlicerCache tableId="36" column="10"/>
    </x:ext>
  </extLst>
</slicerCacheDefinition>
</file>

<file path=xl/slicerCaches/slicerCache6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5" xr10:uid="{9FE6AEDF-FADF-49EE-B34F-0F0F7810852F}" sourceName="Débit HT">
  <extLst>
    <x:ext xmlns:x15="http://schemas.microsoft.com/office/spreadsheetml/2010/11/main" uri="{2F2917AC-EB37-4324-AD4E-5DD8C200BD13}">
      <x15:tableSlicerCache tableId="36" column="7"/>
    </x:ext>
  </extLst>
</slicerCacheDefinition>
</file>

<file path=xl/slicerCaches/slicerCache6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5" xr10:uid="{0EBF16E7-14CE-46C8-8ED9-9AC42FE8F7EA}" sourceName="TVA déductible">
  <extLst>
    <x:ext xmlns:x15="http://schemas.microsoft.com/office/spreadsheetml/2010/11/main" uri="{2F2917AC-EB37-4324-AD4E-5DD8C200BD13}">
      <x15:tableSlicerCache tableId="36" column="13"/>
    </x:ext>
  </extLst>
</slicerCacheDefinition>
</file>

<file path=xl/slicerCaches/slicerCache6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5" xr10:uid="{F88A52E6-D681-4D85-A1B3-C8FD76351056}" sourceName="Crédit HT">
  <extLst>
    <x:ext xmlns:x15="http://schemas.microsoft.com/office/spreadsheetml/2010/11/main" uri="{2F2917AC-EB37-4324-AD4E-5DD8C200BD13}">
      <x15:tableSlicerCache tableId="36" column="9"/>
    </x:ext>
  </extLst>
</slicerCacheDefinition>
</file>

<file path=xl/slicerCaches/slicerCache7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5" xr10:uid="{82147339-AB37-4D4B-9B94-6BF35EAEDDF8}" sourceName="TVA collectée">
  <extLst>
    <x:ext xmlns:x15="http://schemas.microsoft.com/office/spreadsheetml/2010/11/main" uri="{2F2917AC-EB37-4324-AD4E-5DD8C200BD13}">
      <x15:tableSlicerCache tableId="36" column="15"/>
    </x:ext>
  </extLst>
</slicerCacheDefinition>
</file>

<file path=xl/slicerCaches/slicerCache7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6" xr10:uid="{7026E667-8B1F-486C-8506-7CA22A9F5A8D}" sourceName="Date">
  <extLst>
    <x:ext xmlns:x15="http://schemas.microsoft.com/office/spreadsheetml/2010/11/main" uri="{2F2917AC-EB37-4324-AD4E-5DD8C200BD13}">
      <x15:tableSlicerCache tableId="37" column="1"/>
    </x:ext>
  </extLst>
</slicerCacheDefinition>
</file>

<file path=xl/slicerCaches/slicerCache7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6" xr10:uid="{7F2E7DDE-54AF-4CAF-8664-031D4E6E53A6}" sourceName="Mode de règlement">
  <extLst>
    <x:ext xmlns:x15="http://schemas.microsoft.com/office/spreadsheetml/2010/11/main" uri="{2F2917AC-EB37-4324-AD4E-5DD8C200BD13}">
      <x15:tableSlicerCache tableId="37" column="2"/>
    </x:ext>
  </extLst>
</slicerCacheDefinition>
</file>

<file path=xl/slicerCaches/slicerCache7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6" xr10:uid="{314E7763-08E2-432C-9F7F-861A58C48C17}" sourceName="Références réglement">
  <extLst>
    <x:ext xmlns:x15="http://schemas.microsoft.com/office/spreadsheetml/2010/11/main" uri="{2F2917AC-EB37-4324-AD4E-5DD8C200BD13}">
      <x15:tableSlicerCache tableId="37" column="19"/>
    </x:ext>
  </extLst>
</slicerCacheDefinition>
</file>

<file path=xl/slicerCaches/slicerCache7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6" xr10:uid="{B4975190-415B-431B-AC48-4782544761F4}" sourceName="Catégorie">
  <extLst>
    <x:ext xmlns:x15="http://schemas.microsoft.com/office/spreadsheetml/2010/11/main" uri="{2F2917AC-EB37-4324-AD4E-5DD8C200BD13}">
      <x15:tableSlicerCache tableId="37" column="3"/>
    </x:ext>
  </extLst>
</slicerCacheDefinition>
</file>

<file path=xl/slicerCaches/slicerCache7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6" xr10:uid="{3E68BBD4-AA16-4F96-83AE-84C8F79E5A57}" sourceName="Payé par">
  <extLst>
    <x:ext xmlns:x15="http://schemas.microsoft.com/office/spreadsheetml/2010/11/main" uri="{2F2917AC-EB37-4324-AD4E-5DD8C200BD13}">
      <x15:tableSlicerCache tableId="37" column="4"/>
    </x:ext>
  </extLst>
</slicerCacheDefinition>
</file>

<file path=xl/slicerCaches/slicerCache7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6" xr10:uid="{4D6C3E45-B9B8-4264-B9DE-C2613A9DED4B}" sourceName="Pièce comptable">
  <extLst>
    <x:ext xmlns:x15="http://schemas.microsoft.com/office/spreadsheetml/2010/11/main" uri="{2F2917AC-EB37-4324-AD4E-5DD8C200BD13}">
      <x15:tableSlicerCache tableId="37" column="20"/>
    </x:ext>
  </extLst>
</slicerCacheDefinition>
</file>

<file path=xl/slicerCaches/slicerCache7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6" xr10:uid="{FFD2E97A-D0B4-446A-8BB4-74D742896838}" sourceName="Commentaires">
  <extLst>
    <x:ext xmlns:x15="http://schemas.microsoft.com/office/spreadsheetml/2010/11/main" uri="{2F2917AC-EB37-4324-AD4E-5DD8C200BD13}">
      <x15:tableSlicerCache tableId="37" column="5"/>
    </x:ext>
  </extLst>
</slicerCacheDefinition>
</file>

<file path=xl/slicerCaches/slicerCache7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6" xr10:uid="{B1449E1B-AA8D-48C5-B722-231BE1533E17}" sourceName="Payé à">
  <extLst>
    <x:ext xmlns:x15="http://schemas.microsoft.com/office/spreadsheetml/2010/11/main" uri="{2F2917AC-EB37-4324-AD4E-5DD8C200BD13}">
      <x15:tableSlicerCache tableId="37" column="6"/>
    </x:ext>
  </extLst>
</slicerCacheDefinition>
</file>

<file path=xl/slicerCaches/slicerCache7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6" xr10:uid="{95297DE4-5EE0-49A1-86D7-B9ADDBA06C81}" sourceName="Débit">
  <extLst>
    <x:ext xmlns:x15="http://schemas.microsoft.com/office/spreadsheetml/2010/11/main" uri="{2F2917AC-EB37-4324-AD4E-5DD8C200BD13}">
      <x15:tableSlicerCache tableId="37" column="8"/>
    </x:ext>
  </extLst>
</slicerCacheDefinition>
</file>

<file path=xl/slicerCaches/slicerCache8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6" xr10:uid="{8953296A-11C5-4AC5-A574-B68C8B503785}" sourceName="Crédit">
  <extLst>
    <x:ext xmlns:x15="http://schemas.microsoft.com/office/spreadsheetml/2010/11/main" uri="{2F2917AC-EB37-4324-AD4E-5DD8C200BD13}">
      <x15:tableSlicerCache tableId="37" column="10"/>
    </x:ext>
  </extLst>
</slicerCacheDefinition>
</file>

<file path=xl/slicerCaches/slicerCache8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6" xr10:uid="{EDEA06ED-495F-467C-B325-49D22F5FE837}" sourceName="Débit HT">
  <extLst>
    <x:ext xmlns:x15="http://schemas.microsoft.com/office/spreadsheetml/2010/11/main" uri="{2F2917AC-EB37-4324-AD4E-5DD8C200BD13}">
      <x15:tableSlicerCache tableId="37" column="7"/>
    </x:ext>
  </extLst>
</slicerCacheDefinition>
</file>

<file path=xl/slicerCaches/slicerCache8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6" xr10:uid="{8A7BB35B-3F5A-4632-97C6-85BE3915D2E3}" sourceName="TVA déductible">
  <extLst>
    <x:ext xmlns:x15="http://schemas.microsoft.com/office/spreadsheetml/2010/11/main" uri="{2F2917AC-EB37-4324-AD4E-5DD8C200BD13}">
      <x15:tableSlicerCache tableId="37" column="13"/>
    </x:ext>
  </extLst>
</slicerCacheDefinition>
</file>

<file path=xl/slicerCaches/slicerCache8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6" xr10:uid="{99FB14EE-2A76-41CC-BFCB-720DEDF17AD7}" sourceName="Crédit HT">
  <extLst>
    <x:ext xmlns:x15="http://schemas.microsoft.com/office/spreadsheetml/2010/11/main" uri="{2F2917AC-EB37-4324-AD4E-5DD8C200BD13}">
      <x15:tableSlicerCache tableId="37" column="9"/>
    </x:ext>
  </extLst>
</slicerCacheDefinition>
</file>

<file path=xl/slicerCaches/slicerCache8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6" xr10:uid="{AC2C12A7-82D2-42F4-8C64-D682A48F5A0F}" sourceName="TVA collectée">
  <extLst>
    <x:ext xmlns:x15="http://schemas.microsoft.com/office/spreadsheetml/2010/11/main" uri="{2F2917AC-EB37-4324-AD4E-5DD8C200BD13}">
      <x15:tableSlicerCache tableId="37" column="15"/>
    </x:ext>
  </extLst>
</slicerCacheDefinition>
</file>

<file path=xl/slicerCaches/slicerCache8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7" xr10:uid="{47C6258F-A310-426D-A2AB-7DC6742E46A7}" sourceName="Date">
  <extLst>
    <x:ext xmlns:x15="http://schemas.microsoft.com/office/spreadsheetml/2010/11/main" uri="{2F2917AC-EB37-4324-AD4E-5DD8C200BD13}">
      <x15:tableSlicerCache tableId="38" column="1"/>
    </x:ext>
  </extLst>
</slicerCacheDefinition>
</file>

<file path=xl/slicerCaches/slicerCache8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7" xr10:uid="{2256F06B-CEA6-4332-AAEE-CC8C50B3E8F9}" sourceName="Mode de règlement">
  <extLst>
    <x:ext xmlns:x15="http://schemas.microsoft.com/office/spreadsheetml/2010/11/main" uri="{2F2917AC-EB37-4324-AD4E-5DD8C200BD13}">
      <x15:tableSlicerCache tableId="38" column="2"/>
    </x:ext>
  </extLst>
</slicerCacheDefinition>
</file>

<file path=xl/slicerCaches/slicerCache8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7" xr10:uid="{0ED01B99-D7E7-4CB2-8ADC-0A47EA0D8D8E}" sourceName="Références réglement">
  <extLst>
    <x:ext xmlns:x15="http://schemas.microsoft.com/office/spreadsheetml/2010/11/main" uri="{2F2917AC-EB37-4324-AD4E-5DD8C200BD13}">
      <x15:tableSlicerCache tableId="38" column="19"/>
    </x:ext>
  </extLst>
</slicerCacheDefinition>
</file>

<file path=xl/slicerCaches/slicerCache8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7" xr10:uid="{E6D31D2A-65CE-4B1E-8B29-B3B342B7EA45}" sourceName="Catégorie">
  <extLst>
    <x:ext xmlns:x15="http://schemas.microsoft.com/office/spreadsheetml/2010/11/main" uri="{2F2917AC-EB37-4324-AD4E-5DD8C200BD13}">
      <x15:tableSlicerCache tableId="38" column="3"/>
    </x:ext>
  </extLst>
</slicerCacheDefinition>
</file>

<file path=xl/slicerCaches/slicerCache8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7" xr10:uid="{4B1E447E-5526-40BB-9350-C776462B3B4E}" sourceName="Payé par">
  <extLst>
    <x:ext xmlns:x15="http://schemas.microsoft.com/office/spreadsheetml/2010/11/main" uri="{2F2917AC-EB37-4324-AD4E-5DD8C200BD13}">
      <x15:tableSlicerCache tableId="38" column="4"/>
    </x:ext>
  </extLst>
</slicerCacheDefinition>
</file>

<file path=xl/slicerCaches/slicerCache9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7" xr10:uid="{F225FD4E-5C68-4C0B-8221-6DE5332ABE76}" sourceName="Pièce comptable">
  <extLst>
    <x:ext xmlns:x15="http://schemas.microsoft.com/office/spreadsheetml/2010/11/main" uri="{2F2917AC-EB37-4324-AD4E-5DD8C200BD13}">
      <x15:tableSlicerCache tableId="38" column="20"/>
    </x:ext>
  </extLst>
</slicerCacheDefinition>
</file>

<file path=xl/slicerCaches/slicerCache9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7" xr10:uid="{A3E23EE6-4ECC-4542-83B2-DF1D807943BC}" sourceName="Commentaires">
  <extLst>
    <x:ext xmlns:x15="http://schemas.microsoft.com/office/spreadsheetml/2010/11/main" uri="{2F2917AC-EB37-4324-AD4E-5DD8C200BD13}">
      <x15:tableSlicerCache tableId="38" column="5"/>
    </x:ext>
  </extLst>
</slicerCacheDefinition>
</file>

<file path=xl/slicerCaches/slicerCache9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7" xr10:uid="{52F6C44D-97CF-4EFD-AE28-3EBC3712E894}" sourceName="Payé à">
  <extLst>
    <x:ext xmlns:x15="http://schemas.microsoft.com/office/spreadsheetml/2010/11/main" uri="{2F2917AC-EB37-4324-AD4E-5DD8C200BD13}">
      <x15:tableSlicerCache tableId="38" column="6"/>
    </x:ext>
  </extLst>
</slicerCacheDefinition>
</file>

<file path=xl/slicerCaches/slicerCache9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7" xr10:uid="{20A6DB7E-8584-4D41-8951-2C15037605ED}" sourceName="Débit">
  <extLst>
    <x:ext xmlns:x15="http://schemas.microsoft.com/office/spreadsheetml/2010/11/main" uri="{2F2917AC-EB37-4324-AD4E-5DD8C200BD13}">
      <x15:tableSlicerCache tableId="38" column="8"/>
    </x:ext>
  </extLst>
</slicerCacheDefinition>
</file>

<file path=xl/slicerCaches/slicerCache9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7" xr10:uid="{0D988DFE-8B7C-45B0-94E7-A70B673F8BAB}" sourceName="Crédit">
  <extLst>
    <x:ext xmlns:x15="http://schemas.microsoft.com/office/spreadsheetml/2010/11/main" uri="{2F2917AC-EB37-4324-AD4E-5DD8C200BD13}">
      <x15:tableSlicerCache tableId="38" column="10"/>
    </x:ext>
  </extLst>
</slicerCacheDefinition>
</file>

<file path=xl/slicerCaches/slicerCache9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7" xr10:uid="{EA398608-C5D2-447A-8C56-A3C5F79BBC78}" sourceName="Débit HT">
  <extLst>
    <x:ext xmlns:x15="http://schemas.microsoft.com/office/spreadsheetml/2010/11/main" uri="{2F2917AC-EB37-4324-AD4E-5DD8C200BD13}">
      <x15:tableSlicerCache tableId="38" column="7"/>
    </x:ext>
  </extLst>
</slicerCacheDefinition>
</file>

<file path=xl/slicerCaches/slicerCache9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7" xr10:uid="{782540E7-AA0A-4B1C-A4BB-A2A5A681D374}" sourceName="TVA déductible">
  <extLst>
    <x:ext xmlns:x15="http://schemas.microsoft.com/office/spreadsheetml/2010/11/main" uri="{2F2917AC-EB37-4324-AD4E-5DD8C200BD13}">
      <x15:tableSlicerCache tableId="38" column="13"/>
    </x:ext>
  </extLst>
</slicerCacheDefinition>
</file>

<file path=xl/slicerCaches/slicerCache9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7" xr10:uid="{497F75A9-297A-4F29-AEE4-5CC671140AF3}" sourceName="Crédit HT">
  <extLst>
    <x:ext xmlns:x15="http://schemas.microsoft.com/office/spreadsheetml/2010/11/main" uri="{2F2917AC-EB37-4324-AD4E-5DD8C200BD13}">
      <x15:tableSlicerCache tableId="38" column="9"/>
    </x:ext>
  </extLst>
</slicerCacheDefinition>
</file>

<file path=xl/slicerCaches/slicerCache9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7" xr10:uid="{7C352E0A-926D-4B0F-B574-EECD80E0BA6B}" sourceName="TVA collectée">
  <extLst>
    <x:ext xmlns:x15="http://schemas.microsoft.com/office/spreadsheetml/2010/11/main" uri="{2F2917AC-EB37-4324-AD4E-5DD8C200BD13}">
      <x15:tableSlicerCache tableId="38" column="15"/>
    </x:ext>
  </extLst>
</slicerCacheDefinition>
</file>

<file path=xl/slicerCaches/slicerCache9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8" xr10:uid="{07911BC4-F996-4718-A12E-73E63ECE80D5}" sourceName="Date">
  <extLst>
    <x:ext xmlns:x15="http://schemas.microsoft.com/office/spreadsheetml/2010/11/main" uri="{2F2917AC-EB37-4324-AD4E-5DD8C200BD13}">
      <x15:tableSlicerCache tableId="39" column="1"/>
    </x:ext>
  </extLst>
</slicerCacheDefinition>
</file>

<file path=xl/slicerCaches/slicerCache10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8" xr10:uid="{FD90F325-4754-4ACE-920C-5DA3A0536925}" sourceName="Mode de règlement">
  <extLst>
    <x:ext xmlns:x15="http://schemas.microsoft.com/office/spreadsheetml/2010/11/main" uri="{2F2917AC-EB37-4324-AD4E-5DD8C200BD13}">
      <x15:tableSlicerCache tableId="39" column="2"/>
    </x:ext>
  </extLst>
</slicerCacheDefinition>
</file>

<file path=xl/slicerCaches/slicerCache10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8" xr10:uid="{74AAA171-D7C9-4829-B919-B6BD65309DEC}" sourceName="Références réglement">
  <extLst>
    <x:ext xmlns:x15="http://schemas.microsoft.com/office/spreadsheetml/2010/11/main" uri="{2F2917AC-EB37-4324-AD4E-5DD8C200BD13}">
      <x15:tableSlicerCache tableId="39" column="19"/>
    </x:ext>
  </extLst>
</slicerCacheDefinition>
</file>

<file path=xl/slicerCaches/slicerCache10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8" xr10:uid="{B6737354-DB91-41BD-AA3D-7E4DEE905210}" sourceName="Catégorie">
  <extLst>
    <x:ext xmlns:x15="http://schemas.microsoft.com/office/spreadsheetml/2010/11/main" uri="{2F2917AC-EB37-4324-AD4E-5DD8C200BD13}">
      <x15:tableSlicerCache tableId="39" column="3"/>
    </x:ext>
  </extLst>
</slicerCacheDefinition>
</file>

<file path=xl/slicerCaches/slicerCache10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8" xr10:uid="{9CB063B4-5E6B-4CEE-B567-4BDD43804F2A}" sourceName="Payé par">
  <extLst>
    <x:ext xmlns:x15="http://schemas.microsoft.com/office/spreadsheetml/2010/11/main" uri="{2F2917AC-EB37-4324-AD4E-5DD8C200BD13}">
      <x15:tableSlicerCache tableId="39" column="4"/>
    </x:ext>
  </extLst>
</slicerCacheDefinition>
</file>

<file path=xl/slicerCaches/slicerCache10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8" xr10:uid="{DAC53EA4-0F51-4738-B93C-04496A03DE8A}" sourceName="Pièce comptable">
  <extLst>
    <x:ext xmlns:x15="http://schemas.microsoft.com/office/spreadsheetml/2010/11/main" uri="{2F2917AC-EB37-4324-AD4E-5DD8C200BD13}">
      <x15:tableSlicerCache tableId="39" column="20"/>
    </x:ext>
  </extLst>
</slicerCacheDefinition>
</file>

<file path=xl/slicerCaches/slicerCache10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8" xr10:uid="{E224AD6F-E385-45F4-B56F-12BB710357B1}" sourceName="Commentaires">
  <extLst>
    <x:ext xmlns:x15="http://schemas.microsoft.com/office/spreadsheetml/2010/11/main" uri="{2F2917AC-EB37-4324-AD4E-5DD8C200BD13}">
      <x15:tableSlicerCache tableId="39" column="5"/>
    </x:ext>
  </extLst>
</slicerCacheDefinition>
</file>

<file path=xl/slicerCaches/slicerCache10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8" xr10:uid="{F3C6F709-1988-4990-9B3D-E05C7BDDD0FF}" sourceName="Payé à">
  <extLst>
    <x:ext xmlns:x15="http://schemas.microsoft.com/office/spreadsheetml/2010/11/main" uri="{2F2917AC-EB37-4324-AD4E-5DD8C200BD13}">
      <x15:tableSlicerCache tableId="39" column="6"/>
    </x:ext>
  </extLst>
</slicerCacheDefinition>
</file>

<file path=xl/slicerCaches/slicerCache10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8" xr10:uid="{BF1D52C0-2574-4CCF-9CC9-5F5D00BDB9E7}" sourceName="Débit">
  <extLst>
    <x:ext xmlns:x15="http://schemas.microsoft.com/office/spreadsheetml/2010/11/main" uri="{2F2917AC-EB37-4324-AD4E-5DD8C200BD13}">
      <x15:tableSlicerCache tableId="39" column="8"/>
    </x:ext>
  </extLst>
</slicerCacheDefinition>
</file>

<file path=xl/slicerCaches/slicerCache10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8" xr10:uid="{50DBB7B7-3D31-4DAB-BA97-FCB6A039B620}" sourceName="Crédit">
  <extLst>
    <x:ext xmlns:x15="http://schemas.microsoft.com/office/spreadsheetml/2010/11/main" uri="{2F2917AC-EB37-4324-AD4E-5DD8C200BD13}">
      <x15:tableSlicerCache tableId="39" column="10"/>
    </x:ext>
  </extLst>
</slicerCacheDefinition>
</file>

<file path=xl/slicerCaches/slicerCache10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8" xr10:uid="{3614F37B-6637-42C5-90D4-25008247787A}" sourceName="Débit HT">
  <extLst>
    <x:ext xmlns:x15="http://schemas.microsoft.com/office/spreadsheetml/2010/11/main" uri="{2F2917AC-EB37-4324-AD4E-5DD8C200BD13}">
      <x15:tableSlicerCache tableId="39" column="7"/>
    </x:ext>
  </extLst>
</slicerCacheDefinition>
</file>

<file path=xl/slicerCaches/slicerCache11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8" xr10:uid="{2E6DBED4-4BD6-48EA-8FA7-70F08D782E5F}" sourceName="TVA déductible">
  <extLst>
    <x:ext xmlns:x15="http://schemas.microsoft.com/office/spreadsheetml/2010/11/main" uri="{2F2917AC-EB37-4324-AD4E-5DD8C200BD13}">
      <x15:tableSlicerCache tableId="39" column="13"/>
    </x:ext>
  </extLst>
</slicerCacheDefinition>
</file>

<file path=xl/slicerCaches/slicerCache11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8" xr10:uid="{32BFA980-DAF4-4115-85D3-1976DB7077FC}" sourceName="Crédit HT">
  <extLst>
    <x:ext xmlns:x15="http://schemas.microsoft.com/office/spreadsheetml/2010/11/main" uri="{2F2917AC-EB37-4324-AD4E-5DD8C200BD13}">
      <x15:tableSlicerCache tableId="39" column="9"/>
    </x:ext>
  </extLst>
</slicerCacheDefinition>
</file>

<file path=xl/slicerCaches/slicerCache11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8" xr10:uid="{A8C0DBCF-9DD3-47BB-A42E-961B95FEAE99}" sourceName="TVA collectée">
  <extLst>
    <x:ext xmlns:x15="http://schemas.microsoft.com/office/spreadsheetml/2010/11/main" uri="{2F2917AC-EB37-4324-AD4E-5DD8C200BD13}">
      <x15:tableSlicerCache tableId="39" column="15"/>
    </x:ext>
  </extLst>
</slicerCacheDefinition>
</file>

<file path=xl/slicerCaches/slicerCache11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9" xr10:uid="{31C97D0A-3F96-4878-A8CD-375944EAB7A4}" sourceName="Date">
  <extLst>
    <x:ext xmlns:x15="http://schemas.microsoft.com/office/spreadsheetml/2010/11/main" uri="{2F2917AC-EB37-4324-AD4E-5DD8C200BD13}">
      <x15:tableSlicerCache tableId="40" column="1"/>
    </x:ext>
  </extLst>
</slicerCacheDefinition>
</file>

<file path=xl/slicerCaches/slicerCache11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9" xr10:uid="{B19B3676-DA11-4A49-B62D-A0915DC1F533}" sourceName="Mode de règlement">
  <extLst>
    <x:ext xmlns:x15="http://schemas.microsoft.com/office/spreadsheetml/2010/11/main" uri="{2F2917AC-EB37-4324-AD4E-5DD8C200BD13}">
      <x15:tableSlicerCache tableId="40" column="2"/>
    </x:ext>
  </extLst>
</slicerCacheDefinition>
</file>

<file path=xl/slicerCaches/slicerCache11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9" xr10:uid="{E6E57453-324A-4BDB-806D-F0FBCB1246B4}" sourceName="Références réglement">
  <extLst>
    <x:ext xmlns:x15="http://schemas.microsoft.com/office/spreadsheetml/2010/11/main" uri="{2F2917AC-EB37-4324-AD4E-5DD8C200BD13}">
      <x15:tableSlicerCache tableId="40" column="19"/>
    </x:ext>
  </extLst>
</slicerCacheDefinition>
</file>

<file path=xl/slicerCaches/slicerCache11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9" xr10:uid="{B536D8F6-218F-4043-A900-00F880958EF7}" sourceName="Catégorie">
  <extLst>
    <x:ext xmlns:x15="http://schemas.microsoft.com/office/spreadsheetml/2010/11/main" uri="{2F2917AC-EB37-4324-AD4E-5DD8C200BD13}">
      <x15:tableSlicerCache tableId="40" column="3"/>
    </x:ext>
  </extLst>
</slicerCacheDefinition>
</file>

<file path=xl/slicerCaches/slicerCache11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9" xr10:uid="{7A238F79-582F-4640-B205-0A851183CF66}" sourceName="Payé par">
  <extLst>
    <x:ext xmlns:x15="http://schemas.microsoft.com/office/spreadsheetml/2010/11/main" uri="{2F2917AC-EB37-4324-AD4E-5DD8C200BD13}">
      <x15:tableSlicerCache tableId="40" column="4"/>
    </x:ext>
  </extLst>
</slicerCacheDefinition>
</file>

<file path=xl/slicerCaches/slicerCache11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9" xr10:uid="{521217B3-5CBA-4E48-B099-1DA3BEB6353A}" sourceName="Pièce comptable">
  <extLst>
    <x:ext xmlns:x15="http://schemas.microsoft.com/office/spreadsheetml/2010/11/main" uri="{2F2917AC-EB37-4324-AD4E-5DD8C200BD13}">
      <x15:tableSlicerCache tableId="40" column="20"/>
    </x:ext>
  </extLst>
</slicerCacheDefinition>
</file>

<file path=xl/slicerCaches/slicerCache11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9" xr10:uid="{CA04EFD6-B217-4855-B3E5-6A4BB7B90242}" sourceName="Commentaires">
  <extLst>
    <x:ext xmlns:x15="http://schemas.microsoft.com/office/spreadsheetml/2010/11/main" uri="{2F2917AC-EB37-4324-AD4E-5DD8C200BD13}">
      <x15:tableSlicerCache tableId="40" column="5"/>
    </x:ext>
  </extLst>
</slicerCacheDefinition>
</file>

<file path=xl/slicerCaches/slicerCache12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9" xr10:uid="{7F96E066-509B-4B4E-BE4B-CC8C795E0877}" sourceName="Payé à">
  <extLst>
    <x:ext xmlns:x15="http://schemas.microsoft.com/office/spreadsheetml/2010/11/main" uri="{2F2917AC-EB37-4324-AD4E-5DD8C200BD13}">
      <x15:tableSlicerCache tableId="40" column="6"/>
    </x:ext>
  </extLst>
</slicerCacheDefinition>
</file>

<file path=xl/slicerCaches/slicerCache12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9" xr10:uid="{A5D73882-0DAD-4875-B39A-BC65B349668B}" sourceName="Débit">
  <extLst>
    <x:ext xmlns:x15="http://schemas.microsoft.com/office/spreadsheetml/2010/11/main" uri="{2F2917AC-EB37-4324-AD4E-5DD8C200BD13}">
      <x15:tableSlicerCache tableId="40" column="8"/>
    </x:ext>
  </extLst>
</slicerCacheDefinition>
</file>

<file path=xl/slicerCaches/slicerCache12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9" xr10:uid="{51860A5B-E6FE-492B-9E71-12D5E2C9558D}" sourceName="Crédit">
  <extLst>
    <x:ext xmlns:x15="http://schemas.microsoft.com/office/spreadsheetml/2010/11/main" uri="{2F2917AC-EB37-4324-AD4E-5DD8C200BD13}">
      <x15:tableSlicerCache tableId="40" column="10"/>
    </x:ext>
  </extLst>
</slicerCacheDefinition>
</file>

<file path=xl/slicerCaches/slicerCache12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9" xr10:uid="{69161071-82A7-4E76-9C5D-D3F121165038}" sourceName="Débit HT">
  <extLst>
    <x:ext xmlns:x15="http://schemas.microsoft.com/office/spreadsheetml/2010/11/main" uri="{2F2917AC-EB37-4324-AD4E-5DD8C200BD13}">
      <x15:tableSlicerCache tableId="40" column="7"/>
    </x:ext>
  </extLst>
</slicerCacheDefinition>
</file>

<file path=xl/slicerCaches/slicerCache12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9" xr10:uid="{2832DB51-A3E6-4178-835C-95BFFBC0E5CD}" sourceName="TVA déductible">
  <extLst>
    <x:ext xmlns:x15="http://schemas.microsoft.com/office/spreadsheetml/2010/11/main" uri="{2F2917AC-EB37-4324-AD4E-5DD8C200BD13}">
      <x15:tableSlicerCache tableId="40" column="13"/>
    </x:ext>
  </extLst>
</slicerCacheDefinition>
</file>

<file path=xl/slicerCaches/slicerCache12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9" xr10:uid="{2ED68599-6CE8-4CFE-81AF-0282F714C1D0}" sourceName="Crédit HT">
  <extLst>
    <x:ext xmlns:x15="http://schemas.microsoft.com/office/spreadsheetml/2010/11/main" uri="{2F2917AC-EB37-4324-AD4E-5DD8C200BD13}">
      <x15:tableSlicerCache tableId="40" column="9"/>
    </x:ext>
  </extLst>
</slicerCacheDefinition>
</file>

<file path=xl/slicerCaches/slicerCache12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9" xr10:uid="{B7D7ADBD-AAEF-46CB-BDFF-C68850279E99}" sourceName="TVA collectée">
  <extLst>
    <x:ext xmlns:x15="http://schemas.microsoft.com/office/spreadsheetml/2010/11/main" uri="{2F2917AC-EB37-4324-AD4E-5DD8C200BD13}">
      <x15:tableSlicerCache tableId="40" column="15"/>
    </x:ext>
  </extLst>
</slicerCacheDefinition>
</file>

<file path=xl/slicerCaches/slicerCache12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10" xr10:uid="{281018E2-5B5C-4ACC-B56D-E07480111B5C}" sourceName="Date">
  <extLst>
    <x:ext xmlns:x15="http://schemas.microsoft.com/office/spreadsheetml/2010/11/main" uri="{2F2917AC-EB37-4324-AD4E-5DD8C200BD13}">
      <x15:tableSlicerCache tableId="41" column="1"/>
    </x:ext>
  </extLst>
</slicerCacheDefinition>
</file>

<file path=xl/slicerCaches/slicerCache12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10" xr10:uid="{41D252B3-5B16-41C9-9575-07AE6297E45D}" sourceName="Mode de règlement">
  <extLst>
    <x:ext xmlns:x15="http://schemas.microsoft.com/office/spreadsheetml/2010/11/main" uri="{2F2917AC-EB37-4324-AD4E-5DD8C200BD13}">
      <x15:tableSlicerCache tableId="41" column="2"/>
    </x:ext>
  </extLst>
</slicerCacheDefinition>
</file>

<file path=xl/slicerCaches/slicerCache12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10" xr10:uid="{B3014E78-5A43-40AC-80A9-4EE1A5105548}" sourceName="Références réglement">
  <extLst>
    <x:ext xmlns:x15="http://schemas.microsoft.com/office/spreadsheetml/2010/11/main" uri="{2F2917AC-EB37-4324-AD4E-5DD8C200BD13}">
      <x15:tableSlicerCache tableId="41" column="19"/>
    </x:ext>
  </extLst>
</slicerCacheDefinition>
</file>

<file path=xl/slicerCaches/slicerCache13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10" xr10:uid="{6ED69CCD-337D-4A75-B19B-BA60CEA8AFA5}" sourceName="Catégorie">
  <extLst>
    <x:ext xmlns:x15="http://schemas.microsoft.com/office/spreadsheetml/2010/11/main" uri="{2F2917AC-EB37-4324-AD4E-5DD8C200BD13}">
      <x15:tableSlicerCache tableId="41" column="3"/>
    </x:ext>
  </extLst>
</slicerCacheDefinition>
</file>

<file path=xl/slicerCaches/slicerCache13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10" xr10:uid="{1D49DA8E-BF1A-4B02-9F8D-3418C95DCFF2}" sourceName="Payé par">
  <extLst>
    <x:ext xmlns:x15="http://schemas.microsoft.com/office/spreadsheetml/2010/11/main" uri="{2F2917AC-EB37-4324-AD4E-5DD8C200BD13}">
      <x15:tableSlicerCache tableId="41" column="4"/>
    </x:ext>
  </extLst>
</slicerCacheDefinition>
</file>

<file path=xl/slicerCaches/slicerCache13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10" xr10:uid="{F237CAA7-4ABD-4ADF-B7EE-512AB5B0AFA9}" sourceName="Pièce comptable">
  <extLst>
    <x:ext xmlns:x15="http://schemas.microsoft.com/office/spreadsheetml/2010/11/main" uri="{2F2917AC-EB37-4324-AD4E-5DD8C200BD13}">
      <x15:tableSlicerCache tableId="41" column="20"/>
    </x:ext>
  </extLst>
</slicerCacheDefinition>
</file>

<file path=xl/slicerCaches/slicerCache13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10" xr10:uid="{71C4AD53-A12B-4C94-9620-D6EF17D34235}" sourceName="Commentaires">
  <extLst>
    <x:ext xmlns:x15="http://schemas.microsoft.com/office/spreadsheetml/2010/11/main" uri="{2F2917AC-EB37-4324-AD4E-5DD8C200BD13}">
      <x15:tableSlicerCache tableId="41" column="5"/>
    </x:ext>
  </extLst>
</slicerCacheDefinition>
</file>

<file path=xl/slicerCaches/slicerCache13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10" xr10:uid="{15F76E55-4AC5-48B1-B606-AF79210FFE73}" sourceName="Payé à">
  <extLst>
    <x:ext xmlns:x15="http://schemas.microsoft.com/office/spreadsheetml/2010/11/main" uri="{2F2917AC-EB37-4324-AD4E-5DD8C200BD13}">
      <x15:tableSlicerCache tableId="41" column="6"/>
    </x:ext>
  </extLst>
</slicerCacheDefinition>
</file>

<file path=xl/slicerCaches/slicerCache13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10" xr10:uid="{DD19F017-4D97-4923-907E-3B230F3AC30A}" sourceName="Débit">
  <extLst>
    <x:ext xmlns:x15="http://schemas.microsoft.com/office/spreadsheetml/2010/11/main" uri="{2F2917AC-EB37-4324-AD4E-5DD8C200BD13}">
      <x15:tableSlicerCache tableId="41" column="8"/>
    </x:ext>
  </extLst>
</slicerCacheDefinition>
</file>

<file path=xl/slicerCaches/slicerCache13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10" xr10:uid="{AEA90B24-3D91-4CD8-87FA-654C7715BE32}" sourceName="Crédit">
  <extLst>
    <x:ext xmlns:x15="http://schemas.microsoft.com/office/spreadsheetml/2010/11/main" uri="{2F2917AC-EB37-4324-AD4E-5DD8C200BD13}">
      <x15:tableSlicerCache tableId="41" column="10"/>
    </x:ext>
  </extLst>
</slicerCacheDefinition>
</file>

<file path=xl/slicerCaches/slicerCache13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10" xr10:uid="{CAA7BB3B-85BB-4E4A-B21F-50A43FA014EC}" sourceName="Débit HT">
  <extLst>
    <x:ext xmlns:x15="http://schemas.microsoft.com/office/spreadsheetml/2010/11/main" uri="{2F2917AC-EB37-4324-AD4E-5DD8C200BD13}">
      <x15:tableSlicerCache tableId="41" column="7"/>
    </x:ext>
  </extLst>
</slicerCacheDefinition>
</file>

<file path=xl/slicerCaches/slicerCache13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10" xr10:uid="{D27F224E-F4E8-42CA-941C-14DD077BD8C3}" sourceName="TVA déductible">
  <extLst>
    <x:ext xmlns:x15="http://schemas.microsoft.com/office/spreadsheetml/2010/11/main" uri="{2F2917AC-EB37-4324-AD4E-5DD8C200BD13}">
      <x15:tableSlicerCache tableId="41" column="13"/>
    </x:ext>
  </extLst>
</slicerCacheDefinition>
</file>

<file path=xl/slicerCaches/slicerCache13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10" xr10:uid="{A9AF13D9-9E6A-4533-BDA4-39C477CC5A73}" sourceName="Crédit HT">
  <extLst>
    <x:ext xmlns:x15="http://schemas.microsoft.com/office/spreadsheetml/2010/11/main" uri="{2F2917AC-EB37-4324-AD4E-5DD8C200BD13}">
      <x15:tableSlicerCache tableId="41" column="9"/>
    </x:ext>
  </extLst>
</slicerCacheDefinition>
</file>

<file path=xl/slicerCaches/slicerCache14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10" xr10:uid="{CDE5A8D4-0C10-49AC-BBA4-2ACD7B4701EC}" sourceName="TVA collectée">
  <extLst>
    <x:ext xmlns:x15="http://schemas.microsoft.com/office/spreadsheetml/2010/11/main" uri="{2F2917AC-EB37-4324-AD4E-5DD8C200BD13}">
      <x15:tableSlicerCache tableId="41" column="15"/>
    </x:ext>
  </extLst>
</slicerCacheDefinition>
</file>

<file path=xl/slicerCaches/slicerCache14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11" xr10:uid="{0A9AE595-A8CD-4F2E-8413-03D6CB0D5350}" sourceName="Date">
  <extLst>
    <x:ext xmlns:x15="http://schemas.microsoft.com/office/spreadsheetml/2010/11/main" uri="{2F2917AC-EB37-4324-AD4E-5DD8C200BD13}">
      <x15:tableSlicerCache tableId="42" column="1"/>
    </x:ext>
  </extLst>
</slicerCacheDefinition>
</file>

<file path=xl/slicerCaches/slicerCache14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11" xr10:uid="{2FE9B9BA-D49A-48B5-93D5-CE8A704DB4EF}" sourceName="Mode de règlement">
  <extLst>
    <x:ext xmlns:x15="http://schemas.microsoft.com/office/spreadsheetml/2010/11/main" uri="{2F2917AC-EB37-4324-AD4E-5DD8C200BD13}">
      <x15:tableSlicerCache tableId="42" column="2"/>
    </x:ext>
  </extLst>
</slicerCacheDefinition>
</file>

<file path=xl/slicerCaches/slicerCache14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11" xr10:uid="{B86769AD-7100-40E5-AAF8-94F2EE3CD172}" sourceName="Références réglement">
  <extLst>
    <x:ext xmlns:x15="http://schemas.microsoft.com/office/spreadsheetml/2010/11/main" uri="{2F2917AC-EB37-4324-AD4E-5DD8C200BD13}">
      <x15:tableSlicerCache tableId="42" column="19"/>
    </x:ext>
  </extLst>
</slicerCacheDefinition>
</file>

<file path=xl/slicerCaches/slicerCache14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11" xr10:uid="{9BCE703C-70DE-4B6D-A975-4E64515669C7}" sourceName="Catégorie">
  <extLst>
    <x:ext xmlns:x15="http://schemas.microsoft.com/office/spreadsheetml/2010/11/main" uri="{2F2917AC-EB37-4324-AD4E-5DD8C200BD13}">
      <x15:tableSlicerCache tableId="42" column="3"/>
    </x:ext>
  </extLst>
</slicerCacheDefinition>
</file>

<file path=xl/slicerCaches/slicerCache14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11" xr10:uid="{11127991-86F9-4CD0-BD0B-CD84E918E237}" sourceName="Payé par">
  <extLst>
    <x:ext xmlns:x15="http://schemas.microsoft.com/office/spreadsheetml/2010/11/main" uri="{2F2917AC-EB37-4324-AD4E-5DD8C200BD13}">
      <x15:tableSlicerCache tableId="42" column="4"/>
    </x:ext>
  </extLst>
</slicerCacheDefinition>
</file>

<file path=xl/slicerCaches/slicerCache14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11" xr10:uid="{C31405DB-1C41-45D5-8FA2-852F26EFFA61}" sourceName="Pièce comptable">
  <extLst>
    <x:ext xmlns:x15="http://schemas.microsoft.com/office/spreadsheetml/2010/11/main" uri="{2F2917AC-EB37-4324-AD4E-5DD8C200BD13}">
      <x15:tableSlicerCache tableId="42" column="20"/>
    </x:ext>
  </extLst>
</slicerCacheDefinition>
</file>

<file path=xl/slicerCaches/slicerCache14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11" xr10:uid="{CDA94CF7-D19B-4AAB-B6A2-7503DDC51458}" sourceName="Commentaires">
  <extLst>
    <x:ext xmlns:x15="http://schemas.microsoft.com/office/spreadsheetml/2010/11/main" uri="{2F2917AC-EB37-4324-AD4E-5DD8C200BD13}">
      <x15:tableSlicerCache tableId="42" column="5"/>
    </x:ext>
  </extLst>
</slicerCacheDefinition>
</file>

<file path=xl/slicerCaches/slicerCache14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11" xr10:uid="{18C38485-24A6-487F-8513-D2E0452A236F}" sourceName="Payé à">
  <extLst>
    <x:ext xmlns:x15="http://schemas.microsoft.com/office/spreadsheetml/2010/11/main" uri="{2F2917AC-EB37-4324-AD4E-5DD8C200BD13}">
      <x15:tableSlicerCache tableId="42" column="6"/>
    </x:ext>
  </extLst>
</slicerCacheDefinition>
</file>

<file path=xl/slicerCaches/slicerCache14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11" xr10:uid="{73BB6CCD-E2FC-482A-A3E5-BE13E83075DA}" sourceName="Débit">
  <extLst>
    <x:ext xmlns:x15="http://schemas.microsoft.com/office/spreadsheetml/2010/11/main" uri="{2F2917AC-EB37-4324-AD4E-5DD8C200BD13}">
      <x15:tableSlicerCache tableId="42" column="8"/>
    </x:ext>
  </extLst>
</slicerCacheDefinition>
</file>

<file path=xl/slicerCaches/slicerCache15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11" xr10:uid="{66E9FEBD-F159-42BC-A36A-DDC8F85DE8E0}" sourceName="Crédit">
  <extLst>
    <x:ext xmlns:x15="http://schemas.microsoft.com/office/spreadsheetml/2010/11/main" uri="{2F2917AC-EB37-4324-AD4E-5DD8C200BD13}">
      <x15:tableSlicerCache tableId="42" column="10"/>
    </x:ext>
  </extLst>
</slicerCacheDefinition>
</file>

<file path=xl/slicerCaches/slicerCache15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11" xr10:uid="{C3E080D6-AE25-4D42-81A5-5AE07A0BC892}" sourceName="Débit HT">
  <extLst>
    <x:ext xmlns:x15="http://schemas.microsoft.com/office/spreadsheetml/2010/11/main" uri="{2F2917AC-EB37-4324-AD4E-5DD8C200BD13}">
      <x15:tableSlicerCache tableId="42" column="7"/>
    </x:ext>
  </extLst>
</slicerCacheDefinition>
</file>

<file path=xl/slicerCaches/slicerCache15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11" xr10:uid="{AFEE29BB-9DC0-4EBF-907E-757937F924B2}" sourceName="TVA déductible">
  <extLst>
    <x:ext xmlns:x15="http://schemas.microsoft.com/office/spreadsheetml/2010/11/main" uri="{2F2917AC-EB37-4324-AD4E-5DD8C200BD13}">
      <x15:tableSlicerCache tableId="42" column="13"/>
    </x:ext>
  </extLst>
</slicerCacheDefinition>
</file>

<file path=xl/slicerCaches/slicerCache15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11" xr10:uid="{F083ECDC-7F5E-44D1-AFCC-AB343A5C98BB}" sourceName="Crédit HT">
  <extLst>
    <x:ext xmlns:x15="http://schemas.microsoft.com/office/spreadsheetml/2010/11/main" uri="{2F2917AC-EB37-4324-AD4E-5DD8C200BD13}">
      <x15:tableSlicerCache tableId="42" column="9"/>
    </x:ext>
  </extLst>
</slicerCacheDefinition>
</file>

<file path=xl/slicerCaches/slicerCache15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11" xr10:uid="{9C32F757-2B95-4435-B48E-03EEF380D320}" sourceName="TVA collectée">
  <extLst>
    <x:ext xmlns:x15="http://schemas.microsoft.com/office/spreadsheetml/2010/11/main" uri="{2F2917AC-EB37-4324-AD4E-5DD8C200BD13}">
      <x15:tableSlicerCache tableId="42" column="15"/>
    </x:ext>
  </extLst>
</slicerCacheDefinition>
</file>

<file path=xl/slicerCaches/slicerCache15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12" xr10:uid="{500B1352-A7A9-40E2-B2A4-295DD6EA5D9E}" sourceName="Date">
  <extLst>
    <x:ext xmlns:x15="http://schemas.microsoft.com/office/spreadsheetml/2010/11/main" uri="{2F2917AC-EB37-4324-AD4E-5DD8C200BD13}">
      <x15:tableSlicerCache tableId="43" column="1"/>
    </x:ext>
  </extLst>
</slicerCacheDefinition>
</file>

<file path=xl/slicerCaches/slicerCache15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_de_règlement12" xr10:uid="{1D2C7367-CAC0-47C4-A6CE-C9130C15ADED}" sourceName="Mode de règlement">
  <extLst>
    <x:ext xmlns:x15="http://schemas.microsoft.com/office/spreadsheetml/2010/11/main" uri="{2F2917AC-EB37-4324-AD4E-5DD8C200BD13}">
      <x15:tableSlicerCache tableId="43" column="2"/>
    </x:ext>
  </extLst>
</slicerCacheDefinition>
</file>

<file path=xl/slicerCaches/slicerCache15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férences_réglement12" xr10:uid="{F50BAEEC-BBDD-4D7E-B665-6E304087E97D}" sourceName="Références réglement">
  <extLst>
    <x:ext xmlns:x15="http://schemas.microsoft.com/office/spreadsheetml/2010/11/main" uri="{2F2917AC-EB37-4324-AD4E-5DD8C200BD13}">
      <x15:tableSlicerCache tableId="43" column="19"/>
    </x:ext>
  </extLst>
</slicerCacheDefinition>
</file>

<file path=xl/slicerCaches/slicerCache15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_règlement_de12" xr10:uid="{F194AD80-46F7-4C4E-8F0E-97EDA3C125E5}" sourceName="Catégorie">
  <extLst>
    <x:ext xmlns:x15="http://schemas.microsoft.com/office/spreadsheetml/2010/11/main" uri="{2F2917AC-EB37-4324-AD4E-5DD8C200BD13}">
      <x15:tableSlicerCache tableId="43" column="3"/>
    </x:ext>
  </extLst>
</slicerCacheDefinition>
</file>

<file path=xl/slicerCaches/slicerCache15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par12" xr10:uid="{E7D31553-F6FF-4504-A103-ADDF7BE3EFF1}" sourceName="Payé par">
  <extLst>
    <x:ext xmlns:x15="http://schemas.microsoft.com/office/spreadsheetml/2010/11/main" uri="{2F2917AC-EB37-4324-AD4E-5DD8C200BD13}">
      <x15:tableSlicerCache tableId="43" column="4"/>
    </x:ext>
  </extLst>
</slicerCacheDefinition>
</file>

<file path=xl/slicerCaches/slicerCache16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èce_comptable12" xr10:uid="{D2ABB905-E0C2-4E44-9776-0FB32BD91B7F}" sourceName="Pièce comptable">
  <extLst>
    <x:ext xmlns:x15="http://schemas.microsoft.com/office/spreadsheetml/2010/11/main" uri="{2F2917AC-EB37-4324-AD4E-5DD8C200BD13}">
      <x15:tableSlicerCache tableId="43" column="20"/>
    </x:ext>
  </extLst>
</slicerCacheDefinition>
</file>

<file path=xl/slicerCaches/slicerCache16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12" xr10:uid="{13E67C27-4301-400A-80A3-177C26559DD2}" sourceName="Commentaires">
  <extLst>
    <x:ext xmlns:x15="http://schemas.microsoft.com/office/spreadsheetml/2010/11/main" uri="{2F2917AC-EB37-4324-AD4E-5DD8C200BD13}">
      <x15:tableSlicerCache tableId="43" column="5"/>
    </x:ext>
  </extLst>
</slicerCacheDefinition>
</file>

<file path=xl/slicerCaches/slicerCache16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é_à12" xr10:uid="{8E3FE437-6D07-4353-A16F-F1C1C54E10FC}" sourceName="Payé à">
  <extLst>
    <x:ext xmlns:x15="http://schemas.microsoft.com/office/spreadsheetml/2010/11/main" uri="{2F2917AC-EB37-4324-AD4E-5DD8C200BD13}">
      <x15:tableSlicerCache tableId="43" column="6"/>
    </x:ext>
  </extLst>
</slicerCacheDefinition>
</file>

<file path=xl/slicerCaches/slicerCache16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12" xr10:uid="{BD042E33-F130-4D65-AA09-24F0F9F641C6}" sourceName="Débit">
  <extLst>
    <x:ext xmlns:x15="http://schemas.microsoft.com/office/spreadsheetml/2010/11/main" uri="{2F2917AC-EB37-4324-AD4E-5DD8C200BD13}">
      <x15:tableSlicerCache tableId="43" column="8"/>
    </x:ext>
  </extLst>
</slicerCacheDefinition>
</file>

<file path=xl/slicerCaches/slicerCache16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12" xr10:uid="{68A6C890-52DF-4E95-ACD1-10190A7E1E07}" sourceName="Crédit">
  <extLst>
    <x:ext xmlns:x15="http://schemas.microsoft.com/office/spreadsheetml/2010/11/main" uri="{2F2917AC-EB37-4324-AD4E-5DD8C200BD13}">
      <x15:tableSlicerCache tableId="43" column="10"/>
    </x:ext>
  </extLst>
</slicerCacheDefinition>
</file>

<file path=xl/slicerCaches/slicerCache16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bit_HT12" xr10:uid="{D0805092-CBC2-4B25-BA9E-EE99AAF8106D}" sourceName="Débit HT">
  <extLst>
    <x:ext xmlns:x15="http://schemas.microsoft.com/office/spreadsheetml/2010/11/main" uri="{2F2917AC-EB37-4324-AD4E-5DD8C200BD13}">
      <x15:tableSlicerCache tableId="43" column="7"/>
    </x:ext>
  </extLst>
</slicerCacheDefinition>
</file>

<file path=xl/slicerCaches/slicerCache16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déductible12" xr10:uid="{349B940A-2960-4023-B90D-C7D694ACD046}" sourceName="TVA déductible">
  <extLst>
    <x:ext xmlns:x15="http://schemas.microsoft.com/office/spreadsheetml/2010/11/main" uri="{2F2917AC-EB37-4324-AD4E-5DD8C200BD13}">
      <x15:tableSlicerCache tableId="43" column="13"/>
    </x:ext>
  </extLst>
</slicerCacheDefinition>
</file>

<file path=xl/slicerCaches/slicerCache16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rédit_HT12" xr10:uid="{D9C014BF-C4FA-47FB-A056-9462BBC5B6BA}" sourceName="Crédit HT">
  <extLst>
    <x:ext xmlns:x15="http://schemas.microsoft.com/office/spreadsheetml/2010/11/main" uri="{2F2917AC-EB37-4324-AD4E-5DD8C200BD13}">
      <x15:tableSlicerCache tableId="43" column="9"/>
    </x:ext>
  </extLst>
</slicerCacheDefinition>
</file>

<file path=xl/slicerCaches/slicerCache16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VA_collectée12" xr10:uid="{F10E57F0-6A53-4006-97C0-4B68354886CF}" sourceName="TVA collectée">
  <extLst>
    <x:ext xmlns:x15="http://schemas.microsoft.com/office/spreadsheetml/2010/11/main" uri="{2F2917AC-EB37-4324-AD4E-5DD8C200BD13}">
      <x15:tableSlicerCache tableId="43" column="1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1" xr10:uid="{10F6EC93-AF3A-4949-9C9E-ACC9112A1B35}" cache="Segment_Date1" caption="Date" lockedPosition="1" rowHeight="241300"/>
  <slicer name="Mode de règlement 1" xr10:uid="{74ACE055-684D-45B9-A96D-244C12B90A2C}" cache="Segment_Mode_de_règlement1" caption="Mode de règlement" style="SlicerStyleDark2" lockedPosition="1" rowHeight="241300"/>
  <slicer name="Références réglement 1" xr10:uid="{7849E9BB-0D00-4AB3-8A3D-DBE6B5C3BE3A}" cache="Segment_Références_réglement1" caption="Références réglement" style="SlicerStyleDark3" lockedPosition="1" rowHeight="241300"/>
  <slicer name="En règlement de 1" xr10:uid="{57F7B81F-A9FF-4BE0-A067-5AEE4A57C6BF}" cache="Segment_En_règlement_de1" caption="Catégorie" style="SlicerStyleDark4" lockedPosition="1" rowHeight="241300"/>
  <slicer name="Payé par 1" xr10:uid="{29D2C87B-1C4C-44EF-B090-D95FE3AD07F6}" cache="Segment_Payé_par1" caption="Payé par" style="SlicerStyleDark5" lockedPosition="1" rowHeight="241300"/>
  <slicer name="Pièce comptable 1" xr10:uid="{1591B005-5875-4E76-9B1D-1FF5B83B5342}" cache="Segment_Pièce_comptable1" caption="Pièce comptable" style="SlicerStyleDark6" lockedPosition="1" rowHeight="241300"/>
  <slicer name="Commentaires 1" xr10:uid="{171D3509-8AD1-4C85-B105-6C99202A3F26}" cache="Segment_Commentaires1" caption="Commentaires" lockedPosition="1" rowHeight="241300"/>
  <slicer name="Payé à 1" xr10:uid="{6AC1E49E-3018-4685-A393-7AB9964471E5}" cache="Segment_Payé_à1" caption="Payé à" style="SlicerStyleDark2" lockedPosition="1" rowHeight="241300"/>
  <slicer name="Débit 1" xr10:uid="{DDBBC3F8-9DCF-422B-A181-19CAFB790AD9}" cache="Segment_Débit1" caption="Débit" style="SlicerStyleDark3" lockedPosition="1" rowHeight="241300"/>
  <slicer name="Crédit 1" xr10:uid="{4E58FEFF-1010-4A61-A579-5E4A6AD0F2EA}" cache="Segment_Crédit1" caption="Crédit" style="SlicerStyleDark4" lockedPosition="1" rowHeight="241300"/>
  <slicer name="Débit HT 1" xr10:uid="{6A568697-2E0B-4FD4-BACA-CEC2AF80C047}" cache="Segment_Débit_HT1" caption="Débit HT" style="SlicerStyleDark5" lockedPosition="1" rowHeight="241300"/>
  <slicer name="TVA déductible 1" xr10:uid="{04D2D5FA-C3A6-420A-8A1D-3AC19CEBFC22}" cache="Segment_TVA_déductible1" caption="TVA déductible" style="SlicerStyleDark6" lockedPosition="1" rowHeight="241300"/>
  <slicer name="Crédit HT 1" xr10:uid="{24D54311-F463-4C73-828C-5C1A69E7546F}" cache="Segment_Crédit_HT1" caption="Crédit HT" lockedPosition="1" rowHeight="241300"/>
  <slicer name="TVA collectée 1" xr10:uid="{3349EE51-7455-4146-A82E-C62D4918CFFA}" cache="Segment_TVA_collectée1" caption="TVA collectée" style="SlicerStyleDark2" lockedPosition="1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2" xr10:uid="{A3ACE4C2-AB42-4D35-8A4D-7908BAB6C391}" cache="Segment_Date2" caption="Date" lockedPosition="1" rowHeight="241300"/>
  <slicer name="Mode de règlement 2" xr10:uid="{94C94E55-82B3-421C-B86A-EB5E8E5DAF0F}" cache="Segment_Mode_de_règlement2" caption="Mode de règlement" style="SlicerStyleDark2" lockedPosition="1" rowHeight="241300"/>
  <slicer name="Références réglement 2" xr10:uid="{DD1DA535-D72E-493E-930F-EC02F08CA404}" cache="Segment_Références_réglement2" caption="Références réglement" style="SlicerStyleDark3" lockedPosition="1" rowHeight="241300"/>
  <slicer name="En règlement de 2" xr10:uid="{F8E19B78-8409-43A7-829F-A43CB044A447}" cache="Segment_En_règlement_de2" caption="Catégorie" style="SlicerStyleDark4" lockedPosition="1" rowHeight="241300"/>
  <slicer name="Payé par 2" xr10:uid="{68E9971E-3649-4BC6-8844-94AEC5F75283}" cache="Segment_Payé_par2" caption="Payé par" style="SlicerStyleDark5" lockedPosition="1" rowHeight="241300"/>
  <slicer name="Pièce comptable 2" xr10:uid="{B7EA5DAD-FA0B-4D3E-9C59-1D2AFA493492}" cache="Segment_Pièce_comptable2" caption="Pièce comptable" style="SlicerStyleDark6" lockedPosition="1" rowHeight="241300"/>
  <slicer name="Commentaires 2" xr10:uid="{F3A07C1D-8394-4AD3-B412-17293C48188A}" cache="Segment_Commentaires2" caption="Commentaires" lockedPosition="1" rowHeight="241300"/>
  <slicer name="Payé à 2" xr10:uid="{562320D6-B21C-49E1-A3E7-9E20E8D89817}" cache="Segment_Payé_à2" caption="Payé à" style="SlicerStyleDark2" lockedPosition="1" rowHeight="241300"/>
  <slicer name="Débit 2" xr10:uid="{3BDD28D2-A6B9-48B6-8E7B-D783A3A48525}" cache="Segment_Débit2" caption="Débit" style="SlicerStyleDark3" lockedPosition="1" rowHeight="241300"/>
  <slicer name="Crédit 2" xr10:uid="{5C33F486-2944-423F-9AD8-F23591A287AA}" cache="Segment_Crédit2" caption="Crédit" style="SlicerStyleDark4" lockedPosition="1" rowHeight="241300"/>
  <slicer name="Débit HT 2" xr10:uid="{6FCAC8B0-67A0-4523-977A-5FBF407654DB}" cache="Segment_Débit_HT2" caption="Débit HT" style="SlicerStyleDark5" lockedPosition="1" rowHeight="241300"/>
  <slicer name="TVA déductible 2" xr10:uid="{8F87474F-54ED-41E2-8BAF-F9194587524F}" cache="Segment_TVA_déductible2" caption="TVA déductible" style="SlicerStyleDark6" lockedPosition="1" rowHeight="241300"/>
  <slicer name="Crédit HT 2" xr10:uid="{39198CBF-B9F5-4222-8305-FFD92398E9C2}" cache="Segment_Crédit_HT2" caption="Crédit HT" lockedPosition="1" rowHeight="241300"/>
  <slicer name="TVA collectée 2" xr10:uid="{F20D66E3-045F-4BE7-A841-754CEEF5018D}" cache="Segment_TVA_collectée2" caption="TVA collectée" style="SlicerStyleDark2" lockedPosition="1" rowHeight="24130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3" xr10:uid="{13876EBF-184B-49CF-962F-7263F89AD34D}" cache="Segment_Date3" caption="Date" lockedPosition="1" rowHeight="241300"/>
  <slicer name="Mode de règlement 3" xr10:uid="{6F6672F3-7522-4E95-A070-C0032DFD3CAB}" cache="Segment_Mode_de_règlement3" caption="Mode de règlement" style="SlicerStyleDark2" lockedPosition="1" rowHeight="241300"/>
  <slicer name="Références réglement 3" xr10:uid="{8E2840C1-6334-4F08-A1CB-9DACF10D9EE5}" cache="Segment_Références_réglement3" caption="Références réglement" style="SlicerStyleDark3" lockedPosition="1" rowHeight="241300"/>
  <slicer name="En règlement de 3" xr10:uid="{3FF0DA1B-AFCD-4A97-BA4E-C0F8B9008828}" cache="Segment_En_règlement_de3" caption="Catégorie" style="SlicerStyleDark4" lockedPosition="1" rowHeight="241300"/>
  <slicer name="Payé par 3" xr10:uid="{52CAD0FD-A89B-40F1-A6D2-F2E60CCE4F02}" cache="Segment_Payé_par3" caption="Payé par" style="SlicerStyleDark5" lockedPosition="1" rowHeight="241300"/>
  <slicer name="Pièce comptable 3" xr10:uid="{91F35AB9-BDB2-40E7-9248-BA4045B572CA}" cache="Segment_Pièce_comptable3" caption="Pièce comptable" style="SlicerStyleDark6" lockedPosition="1" rowHeight="241300"/>
  <slicer name="Commentaires 3" xr10:uid="{4B23672D-7312-4375-8093-C7A414C17919}" cache="Segment_Commentaires3" caption="Commentaires" lockedPosition="1" rowHeight="241300"/>
  <slicer name="Payé à 3" xr10:uid="{E7A98635-1D9E-429D-B860-EB1D4A5C7652}" cache="Segment_Payé_à3" caption="Payé à" style="SlicerStyleDark2" lockedPosition="1" rowHeight="241300"/>
  <slicer name="Débit 3" xr10:uid="{BAEF906F-0F0F-474A-81E2-4B7604A44776}" cache="Segment_Débit3" caption="Débit" style="SlicerStyleDark3" lockedPosition="1" rowHeight="241300"/>
  <slicer name="Crédit 3" xr10:uid="{429145DF-01E8-4204-B73E-517CD4925B44}" cache="Segment_Crédit3" caption="Crédit" style="SlicerStyleDark4" lockedPosition="1" rowHeight="241300"/>
  <slicer name="Débit HT 3" xr10:uid="{55D6FD62-3F6A-4D50-A671-E9BDDB5B5A8B}" cache="Segment_Débit_HT3" caption="Débit HT" style="SlicerStyleDark5" lockedPosition="1" rowHeight="241300"/>
  <slicer name="TVA déductible 3" xr10:uid="{909EC429-7478-411D-82D5-E81C423AECA6}" cache="Segment_TVA_déductible3" caption="TVA déductible" style="SlicerStyleDark6" lockedPosition="1" rowHeight="241300"/>
  <slicer name="Crédit HT 3" xr10:uid="{A529D9C1-BC26-44E9-A41F-173E72CE6A6E}" cache="Segment_Crédit_HT3" caption="Crédit HT" lockedPosition="1" rowHeight="241300"/>
  <slicer name="TVA collectée 3" xr10:uid="{CB0058FC-C21A-4CE8-8312-983C1F498A11}" cache="Segment_TVA_collectée3" caption="TVA collectée" style="SlicerStyleDark2" lockedPosition="1" rowHeight="241300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4" xr10:uid="{9670CEFF-FE40-4CD9-826E-E662FDA3D002}" cache="Segment_Date4" caption="Date" lockedPosition="1" rowHeight="241300"/>
  <slicer name="Mode de règlement 4" xr10:uid="{9ABAF055-445B-4982-82AB-104BF3D82BAF}" cache="Segment_Mode_de_règlement4" caption="Mode de règlement" style="SlicerStyleDark2" lockedPosition="1" rowHeight="241300"/>
  <slicer name="Références réglement 4" xr10:uid="{298AAB59-1E25-4A95-947F-B36DB3EA6952}" cache="Segment_Références_réglement4" caption="Références réglement" style="SlicerStyleDark3" lockedPosition="1" rowHeight="241300"/>
  <slicer name="En règlement de 4" xr10:uid="{E67DFB2C-D3B0-42CC-9612-97F2D59D72D0}" cache="Segment_En_règlement_de4" caption="Catégorie" style="SlicerStyleDark4" lockedPosition="1" rowHeight="241300"/>
  <slicer name="Payé par 4" xr10:uid="{4857ADBF-FCA2-4CDE-9716-1F9299EA79C8}" cache="Segment_Payé_par4" caption="Payé par" style="SlicerStyleDark5" lockedPosition="1" rowHeight="241300"/>
  <slicer name="Pièce comptable 4" xr10:uid="{22B2CF6C-8CDA-4198-9FF9-9826C1125539}" cache="Segment_Pièce_comptable4" caption="Pièce comptable" style="SlicerStyleDark6" lockedPosition="1" rowHeight="241300"/>
  <slicer name="Commentaires 4" xr10:uid="{07DD8807-0418-4BA7-8767-B7BCBBD2B7E1}" cache="Segment_Commentaires4" caption="Commentaires" lockedPosition="1" rowHeight="241300"/>
  <slicer name="Payé à 4" xr10:uid="{B2CE9248-FE3D-4608-90A4-FAB557F87466}" cache="Segment_Payé_à4" caption="Payé à" style="SlicerStyleDark2" lockedPosition="1" rowHeight="241300"/>
  <slicer name="Débit 4" xr10:uid="{35C0F17E-5CAB-4219-AD11-EF444520F8D1}" cache="Segment_Débit4" caption="Débit" style="SlicerStyleDark3" lockedPosition="1" rowHeight="241300"/>
  <slicer name="Crédit 4" xr10:uid="{09358DD5-25DF-452B-8CD7-CF0734AD6E6D}" cache="Segment_Crédit4" caption="Crédit" style="SlicerStyleDark4" lockedPosition="1" rowHeight="241300"/>
  <slicer name="Débit HT 4" xr10:uid="{208C89C8-7908-4A62-AA5A-05724763B92F}" cache="Segment_Débit_HT4" caption="Débit HT" style="SlicerStyleDark5" lockedPosition="1" rowHeight="241300"/>
  <slicer name="TVA déductible 4" xr10:uid="{8318BC60-15F1-4080-8C69-83CFDDE0EEB1}" cache="Segment_TVA_déductible4" caption="TVA déductible" style="SlicerStyleDark6" lockedPosition="1" rowHeight="241300"/>
  <slicer name="Crédit HT 4" xr10:uid="{B6D364D1-CE99-41F5-B8A6-C40104744193}" cache="Segment_Crédit_HT4" caption="Crédit HT" lockedPosition="1" rowHeight="241300"/>
  <slicer name="TVA collectée 4" xr10:uid="{BD561FA2-A3BC-4337-ACB3-8EF3A4FAFBED}" cache="Segment_TVA_collectée4" caption="TVA collectée" style="SlicerStyleDark2" lockedPosition="1" rowHeight="241300"/>
</slicers>
</file>

<file path=xl/slicers/slicer5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5" xr10:uid="{9CD01FD7-D228-4F0B-A10B-9EA381DA01EF}" cache="Segment_Date5" caption="Date" lockedPosition="1" rowHeight="241300"/>
  <slicer name="Mode de règlement 5" xr10:uid="{D360F0CD-F04E-4461-A6F9-ABB95DB15AF5}" cache="Segment_Mode_de_règlement5" caption="Mode de règlement" style="SlicerStyleDark2" lockedPosition="1" rowHeight="241300"/>
  <slicer name="Références réglement 5" xr10:uid="{EFCB2056-FD69-46C6-8B94-2F84FC2A34A3}" cache="Segment_Références_réglement5" caption="Références réglement" style="SlicerStyleDark3" lockedPosition="1" rowHeight="241300"/>
  <slicer name="En règlement de 5" xr10:uid="{E45AC598-D0E7-4DE3-AC04-2A9D59B320FF}" cache="Segment_En_règlement_de5" caption="Catégorie" style="SlicerStyleDark4" lockedPosition="1" rowHeight="241300"/>
  <slicer name="Payé par 5" xr10:uid="{E5C2EC9F-23CA-4445-8436-5C0DB5FBEE1D}" cache="Segment_Payé_par5" caption="Payé par" style="SlicerStyleDark5" lockedPosition="1" rowHeight="241300"/>
  <slicer name="Pièce comptable 5" xr10:uid="{CFFA6F1B-57A1-4098-8C6C-7D63C030DF1D}" cache="Segment_Pièce_comptable5" caption="Pièce comptable" style="SlicerStyleDark6" lockedPosition="1" rowHeight="241300"/>
  <slicer name="Commentaires 5" xr10:uid="{4E7512B4-3B46-49BF-898F-3EDEB58DDBEE}" cache="Segment_Commentaires5" caption="Commentaires" lockedPosition="1" rowHeight="241300"/>
  <slicer name="Payé à 5" xr10:uid="{72855570-8414-475C-9ABD-1B3747B43864}" cache="Segment_Payé_à5" caption="Payé à" style="SlicerStyleDark2" lockedPosition="1" rowHeight="241300"/>
  <slicer name="Débit 5" xr10:uid="{9371DDAB-F464-41A0-B442-0CCDD4DED412}" cache="Segment_Débit5" caption="Débit" style="SlicerStyleDark3" lockedPosition="1" rowHeight="241300"/>
  <slicer name="Crédit 5" xr10:uid="{7B79DEF0-E441-4C84-8D47-68CFDF4DF93B}" cache="Segment_Crédit5" caption="Crédit" style="SlicerStyleDark4" lockedPosition="1" rowHeight="241300"/>
  <slicer name="Débit HT 5" xr10:uid="{1C98568B-79BB-43CA-B871-819531F09F9C}" cache="Segment_Débit_HT5" caption="Débit HT" style="SlicerStyleDark5" lockedPosition="1" rowHeight="241300"/>
  <slicer name="TVA déductible 5" xr10:uid="{7B68E1D4-F763-4F6C-8CAB-895CA55D8E0A}" cache="Segment_TVA_déductible5" caption="TVA déductible" style="SlicerStyleDark6" lockedPosition="1" rowHeight="241300"/>
  <slicer name="Crédit HT 5" xr10:uid="{4EEA1C28-7556-438C-A815-9FAC28915F0B}" cache="Segment_Crédit_HT5" caption="Crédit HT" lockedPosition="1" rowHeight="241300"/>
  <slicer name="TVA collectée 5" xr10:uid="{37B0B0A2-DE95-4C09-9A75-3D7933BEA908}" cache="Segment_TVA_collectée5" caption="TVA collectée" style="SlicerStyleDark2" lockedPosition="1" rowHeight="241300"/>
</slicers>
</file>

<file path=xl/slicers/slicer6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6" xr10:uid="{86B496D8-AD24-4FF9-9945-5C5D025FFC9F}" cache="Segment_Date6" caption="Date" rowHeight="241300"/>
  <slicer name="Mode de règlement 6" xr10:uid="{D07D982B-33E0-436F-878A-68BDA6A37998}" cache="Segment_Mode_de_règlement6" caption="Mode de règlement" style="SlicerStyleDark2" lockedPosition="1" rowHeight="241300"/>
  <slicer name="Références réglement 6" xr10:uid="{A626AD94-E92B-42AC-BEB5-6FAA324B39D1}" cache="Segment_Références_réglement6" caption="Références réglement" style="SlicerStyleDark3" lockedPosition="1" rowHeight="241300"/>
  <slicer name="En règlement de 6" xr10:uid="{70BDE852-ED17-47CE-B7F5-F1FDBF46127B}" cache="Segment_En_règlement_de6" caption="Catégorie" style="SlicerStyleDark4" lockedPosition="1" rowHeight="241300"/>
  <slicer name="Payé par 6" xr10:uid="{DE237A56-76A7-46B3-BEAF-93F57E6709AF}" cache="Segment_Payé_par6" caption="Payé par" style="SlicerStyleDark5" lockedPosition="1" rowHeight="241300"/>
  <slicer name="Pièce comptable 6" xr10:uid="{210FD19B-AFB4-4E6B-8495-4CB80F4B2860}" cache="Segment_Pièce_comptable6" caption="Pièce comptable" style="SlicerStyleDark6" lockedPosition="1" rowHeight="241300"/>
  <slicer name="Commentaires 6" xr10:uid="{1EE53C9A-9837-4BA3-A37D-FAF607E28521}" cache="Segment_Commentaires6" caption="Commentaires" lockedPosition="1" rowHeight="241300"/>
  <slicer name="Payé à 6" xr10:uid="{84E78DDF-BEB0-4F1A-948B-F7459F2898EE}" cache="Segment_Payé_à6" caption="Payé à" style="SlicerStyleDark2" lockedPosition="1" rowHeight="241300"/>
  <slicer name="Débit 6" xr10:uid="{CE47F37D-F1D0-4C45-A95B-006ABEE40F77}" cache="Segment_Débit6" caption="Débit" style="SlicerStyleDark3" lockedPosition="1" rowHeight="241300"/>
  <slicer name="Crédit 6" xr10:uid="{D733CB18-5B0F-4021-A057-75DD481A0A46}" cache="Segment_Crédit6" caption="Crédit" style="SlicerStyleDark4" lockedPosition="1" rowHeight="241300"/>
  <slicer name="Débit HT 6" xr10:uid="{7E6C1744-97FD-43B6-BBB5-6F824FCF4476}" cache="Segment_Débit_HT6" caption="Débit HT" style="SlicerStyleDark5" lockedPosition="1" rowHeight="241300"/>
  <slicer name="TVA déductible 6" xr10:uid="{0930B01B-F6F5-4689-8A11-437C41E9F8FC}" cache="Segment_TVA_déductible6" caption="TVA déductible" style="SlicerStyleDark6" lockedPosition="1" rowHeight="241300"/>
  <slicer name="Crédit HT 6" xr10:uid="{9B720A2A-6B17-4C60-B6AB-556E1C08AC60}" cache="Segment_Crédit_HT6" caption="Crédit HT" lockedPosition="1" rowHeight="241300"/>
  <slicer name="TVA collectée 6" xr10:uid="{C6AD043A-628A-41C0-ABFB-8D515FBBD45F}" cache="Segment_TVA_collectée6" caption="TVA collectée" style="SlicerStyleDark2" lockedPosition="1" rowHeight="241300"/>
</slicers>
</file>

<file path=xl/slicers/slicer7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7" xr10:uid="{6A0768E8-632F-4133-9568-9084F6B306AB}" cache="Segment_Date7" caption="Date" lockedPosition="1" rowHeight="241300"/>
  <slicer name="Mode de règlement 7" xr10:uid="{BEAF93ED-1763-49B6-AEDA-57261D5B0113}" cache="Segment_Mode_de_règlement7" caption="Mode de règlement" style="SlicerStyleDark2" lockedPosition="1" rowHeight="241300"/>
  <slicer name="Références réglement 7" xr10:uid="{BD53B9DA-A42B-41D2-8B4B-2B77D66D7F08}" cache="Segment_Références_réglement7" caption="Références réglement" style="SlicerStyleDark3" lockedPosition="1" rowHeight="241300"/>
  <slicer name="En règlement de 7" xr10:uid="{5CC12494-4CA0-435C-9AB6-FDA3966BEBC9}" cache="Segment_En_règlement_de7" caption="Catégorie" style="SlicerStyleDark4" lockedPosition="1" rowHeight="241300"/>
  <slicer name="Payé par 7" xr10:uid="{6BB373E8-3775-4DCE-872E-B14E074B6CAE}" cache="Segment_Payé_par7" caption="Payé par" style="SlicerStyleDark5" lockedPosition="1" rowHeight="241300"/>
  <slicer name="Pièce comptable 7" xr10:uid="{4D11F0D6-68FE-4C45-8797-BE26DD2644DC}" cache="Segment_Pièce_comptable7" caption="Pièce comptable" style="SlicerStyleDark6" lockedPosition="1" rowHeight="241300"/>
  <slicer name="Commentaires 7" xr10:uid="{45F29733-C517-4E1D-B2BD-33A932E1404C}" cache="Segment_Commentaires7" caption="Commentaires" lockedPosition="1" rowHeight="241300"/>
  <slicer name="Payé à 7" xr10:uid="{DF2530FA-375E-4F41-8770-1D670C57BE48}" cache="Segment_Payé_à7" caption="Payé à" style="SlicerStyleDark2" lockedPosition="1" rowHeight="241300"/>
  <slicer name="Débit 7" xr10:uid="{1D9238B7-DF03-4364-87CA-8782D2D2FF3C}" cache="Segment_Débit7" caption="Débit" style="SlicerStyleDark3" lockedPosition="1" rowHeight="241300"/>
  <slicer name="Crédit 7" xr10:uid="{2B673E1C-0AD3-445A-9334-D9CF6F0A246F}" cache="Segment_Crédit7" caption="Crédit" style="SlicerStyleDark4" lockedPosition="1" rowHeight="241300"/>
  <slicer name="Débit HT 7" xr10:uid="{1ACBF3B1-61DD-4E68-BCA5-CBEA05A4AF7F}" cache="Segment_Débit_HT7" caption="Débit HT" style="SlicerStyleDark5" lockedPosition="1" rowHeight="241300"/>
  <slicer name="TVA déductible 7" xr10:uid="{5B521FD9-45EA-4304-92BB-722E4492C59E}" cache="Segment_TVA_déductible7" caption="TVA déductible" style="SlicerStyleDark6" lockedPosition="1" rowHeight="241300"/>
  <slicer name="Crédit HT 7" xr10:uid="{7CF7E0D0-AE41-47FF-A1D9-97BF456B86BE}" cache="Segment_Crédit_HT7" caption="Crédit HT" lockedPosition="1" rowHeight="241300"/>
  <slicer name="TVA collectée 7" xr10:uid="{D8DD7D55-2007-4C85-8681-A0AF9B9B0E0D}" cache="Segment_TVA_collectée7" caption="TVA collectée" style="SlicerStyleDark2" lockedPosition="1" rowHeight="241300"/>
</slicers>
</file>

<file path=xl/slicers/slicer8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8" xr10:uid="{5AB31469-3EBE-4C7A-87DB-FD13F5E79A5A}" cache="Segment_Date8" caption="Date" lockedPosition="1" rowHeight="241300"/>
  <slicer name="Mode de règlement 8" xr10:uid="{216201C9-2B3E-4DC3-B552-2D10EC4BB6BC}" cache="Segment_Mode_de_règlement8" caption="Mode de règlement" style="SlicerStyleDark2" lockedPosition="1" rowHeight="241300"/>
  <slicer name="Références réglement 8" xr10:uid="{4C3D9B79-C9A0-498D-AA5C-A1EC4A916B74}" cache="Segment_Références_réglement8" caption="Références réglement" style="SlicerStyleDark3" lockedPosition="1" rowHeight="241300"/>
  <slicer name="En règlement de 8" xr10:uid="{53CE22EC-9C0D-49BF-AAB2-98DA49B8D13F}" cache="Segment_En_règlement_de8" caption="Catégorie" style="SlicerStyleDark4" lockedPosition="1" rowHeight="241300"/>
  <slicer name="Payé par 8" xr10:uid="{8FE8A07C-03FF-4D6D-9103-3369C944B818}" cache="Segment_Payé_par8" caption="Payé par" style="SlicerStyleDark5" lockedPosition="1" rowHeight="241300"/>
  <slicer name="Pièce comptable 8" xr10:uid="{2616637F-C1E3-49BC-B270-5CDA525D1764}" cache="Segment_Pièce_comptable8" caption="Pièce comptable" style="SlicerStyleDark6" lockedPosition="1" rowHeight="241300"/>
  <slicer name="Commentaires 8" xr10:uid="{20491BDC-514A-454C-AE38-27D4DBB008AB}" cache="Segment_Commentaires8" caption="Commentaires" lockedPosition="1" rowHeight="241300"/>
  <slicer name="Payé à 8" xr10:uid="{E9710600-0969-4C05-913F-71A13A147E1E}" cache="Segment_Payé_à8" caption="Payé à" style="SlicerStyleDark2" lockedPosition="1" rowHeight="241300"/>
  <slicer name="Débit 8" xr10:uid="{4C7E8EF8-0DC7-4AB7-8690-1AA4C361AACD}" cache="Segment_Débit8" caption="Débit" style="SlicerStyleDark3" lockedPosition="1" rowHeight="241300"/>
  <slicer name="Crédit 8" xr10:uid="{916753E3-5643-4A53-B905-1D3A20AA605C}" cache="Segment_Crédit8" caption="Crédit" style="SlicerStyleDark4" lockedPosition="1" rowHeight="241300"/>
  <slicer name="Débit HT 8" xr10:uid="{FE0F80FB-AFA8-4E7C-9AB0-6FFA3BC9A7E8}" cache="Segment_Débit_HT8" caption="Débit HT" style="SlicerStyleDark5" lockedPosition="1" rowHeight="241300"/>
  <slicer name="TVA déductible 8" xr10:uid="{14E779E3-7103-47E5-9B49-86E54E3131F2}" cache="Segment_TVA_déductible8" caption="TVA déductible" style="SlicerStyleDark6" lockedPosition="1" rowHeight="241300"/>
  <slicer name="Crédit HT 8" xr10:uid="{2FFB621C-3931-4808-A4CD-AA9FDD30CEE7}" cache="Segment_Crédit_HT8" caption="Crédit HT" lockedPosition="1" rowHeight="241300"/>
  <slicer name="TVA collectée 8" xr10:uid="{B406A5D6-A815-49A8-ACD0-DB502F2B48DB}" cache="Segment_TVA_collectée8" caption="TVA collectée" style="SlicerStyleDark2" lockedPosition="1" rowHeight="241300"/>
</slicers>
</file>

<file path=xl/slicers/slicer9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9" xr10:uid="{D190531C-DE92-4765-B629-57230F8333FF}" cache="Segment_Date9" caption="Date" lockedPosition="1" rowHeight="241300"/>
  <slicer name="Mode de règlement 9" xr10:uid="{02BC32A9-673A-4F33-9A8E-2461E2EAABA8}" cache="Segment_Mode_de_règlement9" caption="Mode de règlement" style="SlicerStyleDark2" lockedPosition="1" rowHeight="241300"/>
  <slicer name="Références réglement 9" xr10:uid="{CA97BD64-BD52-4236-8362-DCFAF12193FA}" cache="Segment_Références_réglement9" caption="Références réglement" style="SlicerStyleDark3" lockedPosition="1" rowHeight="241300"/>
  <slicer name="En règlement de 9" xr10:uid="{849804A7-F52E-46A7-BE33-BFC38E62AE22}" cache="Segment_En_règlement_de9" caption="Catégorie" style="SlicerStyleDark4" lockedPosition="1" rowHeight="241300"/>
  <slicer name="Payé par 9" xr10:uid="{54E14817-7109-4089-A50C-BE1E9055910B}" cache="Segment_Payé_par9" caption="Payé par" style="SlicerStyleDark5" lockedPosition="1" rowHeight="241300"/>
  <slicer name="Pièce comptable 9" xr10:uid="{334CDBB5-32C0-46B5-8497-A54D111A7FB9}" cache="Segment_Pièce_comptable9" caption="Pièce comptable" style="SlicerStyleDark6" lockedPosition="1" rowHeight="241300"/>
  <slicer name="Commentaires 9" xr10:uid="{FBFEAA41-4450-41D0-8D7B-9C5176180678}" cache="Segment_Commentaires9" caption="Commentaires" lockedPosition="1" rowHeight="241300"/>
  <slicer name="Payé à 9" xr10:uid="{65720F78-B509-4D25-8876-E2E107538004}" cache="Segment_Payé_à9" caption="Payé à" style="SlicerStyleDark2" lockedPosition="1" rowHeight="241300"/>
  <slicer name="Débit 9" xr10:uid="{15640EFA-69E3-4526-A7AF-7BBC8BD56AF1}" cache="Segment_Débit9" caption="Débit" style="SlicerStyleDark3" lockedPosition="1" rowHeight="241300"/>
  <slicer name="Crédit 9" xr10:uid="{DED33C21-BB37-4A7B-906E-59BE392E1395}" cache="Segment_Crédit9" caption="Crédit" style="SlicerStyleDark4" lockedPosition="1" rowHeight="241300"/>
  <slicer name="Débit HT 9" xr10:uid="{9F3E6EF6-DF83-47D0-A863-4941E1EEAC31}" cache="Segment_Débit_HT9" caption="Débit HT" style="SlicerStyleDark5" lockedPosition="1" rowHeight="241300"/>
  <slicer name="TVA déductible 9" xr10:uid="{D7358AFD-6A92-4636-A073-B9919F3AF490}" cache="Segment_TVA_déductible9" caption="TVA déductible" style="SlicerStyleDark6" lockedPosition="1" rowHeight="241300"/>
  <slicer name="Crédit HT 9" xr10:uid="{C8AA60AA-5069-47E7-BC76-1AF85647283E}" cache="Segment_Crédit_HT9" caption="Crédit HT" lockedPosition="1" rowHeight="241300"/>
  <slicer name="TVA collectée 9" xr10:uid="{0288767D-A2B2-44A6-9FB5-CD17D8F82C8D}" cache="Segment_TVA_collectée9" caption="TVA collectée" style="SlicerStyleDark2" lockedPosition="1" rowHeight="241300"/>
</slicers>
</file>

<file path=xl/slicers/slicer10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10" xr10:uid="{C962F047-55B3-49DD-BAA2-62ED4EE9BC7B}" cache="Segment_Date10" caption="Date" lockedPosition="1" rowHeight="241300"/>
  <slicer name="Mode de règlement 10" xr10:uid="{0B3630C3-6562-4EF0-86DE-E33DC66387D2}" cache="Segment_Mode_de_règlement10" caption="Mode de règlement" style="SlicerStyleDark2" lockedPosition="1" rowHeight="241300"/>
  <slicer name="Références réglement 10" xr10:uid="{EABCF20F-F53E-4743-BFD5-A961986A08E5}" cache="Segment_Références_réglement10" caption="Références réglement" style="SlicerStyleDark3" lockedPosition="1" rowHeight="241300"/>
  <slicer name="En règlement de 10" xr10:uid="{6F60952E-084C-412E-A468-644792B36128}" cache="Segment_En_règlement_de10" caption="Catégorie" style="SlicerStyleDark4" lockedPosition="1" rowHeight="241300"/>
  <slicer name="Payé par 10" xr10:uid="{E4BC1977-3A8F-4E99-84EB-78E4D5315934}" cache="Segment_Payé_par10" caption="Payé par" style="SlicerStyleDark5" lockedPosition="1" rowHeight="241300"/>
  <slicer name="Pièce comptable 10" xr10:uid="{856CF594-C504-45AC-BD40-AF11534D91B1}" cache="Segment_Pièce_comptable10" caption="Pièce comptable" style="SlicerStyleDark6" lockedPosition="1" rowHeight="241300"/>
  <slicer name="Commentaires 10" xr10:uid="{E0C45769-434C-460F-8835-394DBE8D78D4}" cache="Segment_Commentaires10" caption="Commentaires" lockedPosition="1" rowHeight="241300"/>
  <slicer name="Payé à 10" xr10:uid="{F59C601E-F9AE-4CE2-A452-B208F2BF37D9}" cache="Segment_Payé_à10" caption="Payé à" style="SlicerStyleDark2" lockedPosition="1" rowHeight="241300"/>
  <slicer name="Débit 10" xr10:uid="{F4FB5078-9530-48C1-ADCE-B1BEA2E1F6E4}" cache="Segment_Débit10" caption="Débit" style="SlicerStyleDark3" lockedPosition="1" rowHeight="241300"/>
  <slicer name="Crédit 10" xr10:uid="{343EB833-B5E8-41F3-9864-C32385F8E05A}" cache="Segment_Crédit10" caption="Crédit" style="SlicerStyleDark4" lockedPosition="1" rowHeight="241300"/>
  <slicer name="Débit HT 10" xr10:uid="{FF9F18B4-97B1-4A94-B3A5-35EE33CED4CE}" cache="Segment_Débit_HT10" caption="Débit HT" style="SlicerStyleDark5" lockedPosition="1" rowHeight="241300"/>
  <slicer name="TVA déductible 10" xr10:uid="{2A810C07-6F81-4847-B701-D4B43D1199D5}" cache="Segment_TVA_déductible10" caption="TVA déductible" style="SlicerStyleDark6" lockedPosition="1" rowHeight="241300"/>
  <slicer name="Crédit HT 10" xr10:uid="{14B63794-8252-40A3-9DFB-CD2D9909FB1D}" cache="Segment_Crédit_HT10" caption="Crédit HT" lockedPosition="1" rowHeight="241300"/>
  <slicer name="TVA collectée 10" xr10:uid="{53C096EA-9AA3-4D03-B103-D2D3B96E6C91}" cache="Segment_TVA_collectée10" caption="TVA collectée" style="SlicerStyleDark2" lockedPosition="1" rowHeight="241300"/>
</slicers>
</file>

<file path=xl/slicers/slicer1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11" xr10:uid="{032034DE-1904-4C2C-A35B-FEC492D72A30}" cache="Segment_Date11" caption="Date" lockedPosition="1" rowHeight="241300"/>
  <slicer name="Mode de règlement 11" xr10:uid="{ACD302C2-8B96-4AF8-952F-DE4163DF0E88}" cache="Segment_Mode_de_règlement11" caption="Mode de règlement" style="SlicerStyleDark2" lockedPosition="1" rowHeight="241300"/>
  <slicer name="Références réglement 11" xr10:uid="{6B2F8993-FD31-46BA-925F-E7145BBC357D}" cache="Segment_Références_réglement11" caption="Références réglement" style="SlicerStyleDark3" lockedPosition="1" rowHeight="241300"/>
  <slicer name="En règlement de 11" xr10:uid="{C2A0FE27-4C30-44A0-9637-2A48DB49A644}" cache="Segment_En_règlement_de11" caption="Catégorie" style="SlicerStyleDark4" lockedPosition="1" rowHeight="241300"/>
  <slicer name="Payé par 11" xr10:uid="{D337DA15-A42B-4577-97D1-9F7FF70EC1A9}" cache="Segment_Payé_par11" caption="Payé par" style="SlicerStyleDark5" lockedPosition="1" rowHeight="241300"/>
  <slicer name="Pièce comptable 11" xr10:uid="{33B89F76-36EE-4FEB-A079-59D6FFEAD688}" cache="Segment_Pièce_comptable11" caption="Pièce comptable" style="SlicerStyleDark6" lockedPosition="1" rowHeight="241300"/>
  <slicer name="Commentaires 11" xr10:uid="{F633F139-303D-4066-A25F-E64E65C85F80}" cache="Segment_Commentaires11" caption="Commentaires" lockedPosition="1" rowHeight="241300"/>
  <slicer name="Payé à 11" xr10:uid="{9FBAFE94-BB74-46E3-83F7-C0DE2BB10876}" cache="Segment_Payé_à11" caption="Payé à" style="SlicerStyleDark2" lockedPosition="1" rowHeight="241300"/>
  <slicer name="Débit 11" xr10:uid="{68D9C8B8-017D-46DD-8A12-FDB81C4122E6}" cache="Segment_Débit11" caption="Débit" style="SlicerStyleDark3" lockedPosition="1" rowHeight="241300"/>
  <slicer name="Crédit 11" xr10:uid="{97DAA900-BA72-413A-AEEE-E44021F89449}" cache="Segment_Crédit11" caption="Crédit" style="SlicerStyleDark4" lockedPosition="1" rowHeight="241300"/>
  <slicer name="Débit HT 11" xr10:uid="{50C1C2E7-82F3-4F15-8983-7B21EEADBC14}" cache="Segment_Débit_HT11" caption="Débit HT" style="SlicerStyleDark5" lockedPosition="1" rowHeight="241300"/>
  <slicer name="TVA déductible 11" xr10:uid="{7DF0CE9D-3677-4B71-916A-84507A324B87}" cache="Segment_TVA_déductible11" caption="TVA déductible" style="SlicerStyleDark6" lockedPosition="1" rowHeight="241300"/>
  <slicer name="Crédit HT 11" xr10:uid="{87174403-D5E1-443F-AD8A-965B5115048D}" cache="Segment_Crédit_HT11" caption="Crédit HT" lockedPosition="1" rowHeight="241300"/>
  <slicer name="TVA collectée 11" xr10:uid="{DF4E43DD-0334-4B06-AA26-98B8928D687A}" cache="Segment_TVA_collectée11" caption="TVA collectée" style="SlicerStyleDark2" lockedPosition="1" rowHeight="241300"/>
</slicers>
</file>

<file path=xl/slicers/slicer1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12" xr10:uid="{7FB33620-5A95-45FA-ADAF-9728BD20BCF8}" cache="Segment_Date12" caption="Date" lockedPosition="1" rowHeight="241300"/>
  <slicer name="Mode de règlement 12" xr10:uid="{4830E351-4B55-48A0-B9EA-D27138F3007F}" cache="Segment_Mode_de_règlement12" caption="Mode de règlement" style="SlicerStyleDark2" lockedPosition="1" rowHeight="241300"/>
  <slicer name="Références réglement 12" xr10:uid="{9475296D-675D-4716-B9E9-413765FAF00B}" cache="Segment_Références_réglement12" caption="Références réglement" style="SlicerStyleDark3" lockedPosition="1" rowHeight="241300"/>
  <slicer name="En règlement de 12" xr10:uid="{003C63F5-E5D7-48C9-8978-848C8C4E02FD}" cache="Segment_En_règlement_de12" caption="Catégorie" style="SlicerStyleDark4" lockedPosition="1" rowHeight="241300"/>
  <slicer name="Payé par 12" xr10:uid="{BB3610C2-F7B5-498A-A1B9-604A752EE225}" cache="Segment_Payé_par12" caption="Payé par" style="SlicerStyleDark5" lockedPosition="1" rowHeight="241300"/>
  <slicer name="Pièce comptable 12" xr10:uid="{303CA72D-7E7C-4941-B4AB-D5CD4DE1CF54}" cache="Segment_Pièce_comptable12" caption="Pièce comptable" style="SlicerStyleDark6" lockedPosition="1" rowHeight="241300"/>
  <slicer name="Commentaires 12" xr10:uid="{21EBE3C6-9A3B-4F71-B0AE-D529CC99C94F}" cache="Segment_Commentaires12" caption="Commentaires" lockedPosition="1" rowHeight="241300"/>
  <slicer name="Payé à 12" xr10:uid="{FAE15104-963B-43D7-BA0C-305D41F8BF47}" cache="Segment_Payé_à12" caption="Payé à" style="SlicerStyleDark2" lockedPosition="1" rowHeight="241300"/>
  <slicer name="Débit 12" xr10:uid="{E7206562-7D5F-4AA6-9BA2-A07A1C395F79}" cache="Segment_Débit12" caption="Débit" style="SlicerStyleDark3" lockedPosition="1" rowHeight="241300"/>
  <slicer name="Crédit 12" xr10:uid="{98E7C8BA-EA45-4BEF-B31A-8C12EF5FE326}" cache="Segment_Crédit12" caption="Crédit" style="SlicerStyleDark4" lockedPosition="1" rowHeight="241300"/>
  <slicer name="Débit HT 12" xr10:uid="{24D75F9A-C93E-45A5-A714-475F17DB799C}" cache="Segment_Débit_HT12" caption="Débit HT" style="SlicerStyleDark5" lockedPosition="1" rowHeight="241300"/>
  <slicer name="TVA déductible 12" xr10:uid="{84D7894B-7E03-43FE-AE95-D434F0E93A51}" cache="Segment_TVA_déductible12" caption="TVA déductible" style="SlicerStyleDark6" lockedPosition="1" rowHeight="241300"/>
  <slicer name="Crédit HT 12" xr10:uid="{69EA0C79-112D-4428-90DC-7EE999A3E1B2}" cache="Segment_Crédit_HT12" caption="Crédit HT" lockedPosition="1" rowHeight="241300"/>
  <slicer name="TVA collectée 12" xr10:uid="{5FBC9A99-A136-42AE-8C6B-31F58E608411}" cache="Segment_TVA_collectée12" caption="TVA collectée" style="SlicerStyleDark2" lockedPosition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4B0DB9-4E29-4386-B7B7-567A8FAEE78F}" name="TABLEAUANNEE" displayName="TABLEAUANNEE" ref="A1:A26" totalsRowShown="0" headerRowDxfId="925" dataDxfId="924">
  <autoFilter ref="A1:A26" xr:uid="{952433EE-AB6E-4586-A90B-BDB79E4F30D5}"/>
  <tableColumns count="1">
    <tableColumn id="1" xr3:uid="{5B9A1653-B7FB-45FC-9DAE-CB45F4B65C15}" name="ANNEE" dataDxfId="923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FA5C62C-5D1C-4DDC-BB66-D818303807E0}" name="TABLEAUMOIS" displayName="TABLEAUMOIS" ref="B1:B13" totalsRowShown="0" headerRowDxfId="922" dataDxfId="921">
  <autoFilter ref="B1:B13" xr:uid="{B3952139-D249-4CE8-B2B2-911055390D5A}"/>
  <tableColumns count="1">
    <tableColumn id="1" xr3:uid="{47F2AFCC-D294-497A-9DC0-09B731C99D6B}" name="MOIS" dataDxfId="92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89AFA44-A796-4600-B035-30071E748D7B}" name="TABLEAUJOURFERIE" displayName="TABLEAUJOURFERIE" ref="C1:C14" totalsRowShown="0" headerRowDxfId="919" dataDxfId="918">
  <autoFilter ref="C1:C14" xr:uid="{72E08EDD-7511-4C72-A370-325FC70C4C4B}"/>
  <tableColumns count="1">
    <tableColumn id="1" xr3:uid="{324A0C94-DACF-4C65-A20E-D1A4DB62CEAD}" name="JOURSFERIE" dataDxfId="917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37F7EA1-A0D8-4A76-A07C-035B94D479D1}" name="TABLEAUDATEFERIE" displayName="TABLEAUDATEFERIE" ref="D1:D14" totalsRowShown="0" headerRowDxfId="916" dataDxfId="915">
  <autoFilter ref="D1:D14" xr:uid="{6C143D64-C21C-4F57-9495-3B2D831D567D}"/>
  <tableColumns count="1">
    <tableColumn id="1" xr3:uid="{5314F016-1A63-4CCE-9E37-DB65E1E04287}" name="DATEFERIE" dataDxfId="914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A1D1503-CA52-467B-A5B6-39ABE70B776D}" name="TABLEAUPREMIERJOURMOIS" displayName="TABLEAUPREMIERJOURMOIS" ref="G1:G13" totalsRowShown="0" headerRowDxfId="913" dataDxfId="911" headerRowBorderDxfId="912" tableBorderDxfId="910" totalsRowBorderDxfId="909">
  <autoFilter ref="G1:G13" xr:uid="{0CD95703-3311-4DFF-A78E-077F3AFE6932}"/>
  <tableColumns count="1">
    <tableColumn id="1" xr3:uid="{0C751DF4-3101-4578-9167-702395863299}" name="1ERJOURMOIS" dataDxfId="908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47EC148-EB7B-446E-93D2-0094312B60C7}" name="MATRICETVA" displayName="MATRICETVA" ref="E1:F7" totalsRowShown="0" headerRowDxfId="907" dataDxfId="906">
  <autoFilter ref="E1:F7" xr:uid="{069542B0-5A9A-4D3B-BE4C-2393456C31C2}"/>
  <tableColumns count="2">
    <tableColumn id="1" xr3:uid="{DBA171D6-C589-4F2A-984D-82AB6F47E19D}" name="CODETVA" dataDxfId="905"/>
    <tableColumn id="2" xr3:uid="{7BF61EDB-8100-475E-9668-FD8A8206D673}" name="TAUXTVA" dataDxfId="904" dataCellStyle="Pourcentage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47D0743A-272E-41D4-8720-9157AB0E2581}" name="TABLEAUMODEDEREGLEMENT" displayName="TABLEAUMODEDEREGLEMENT" ref="H1:H13" totalsRowShown="0" headerRowDxfId="903" dataDxfId="902" tableBorderDxfId="901">
  <autoFilter ref="H1:H13" xr:uid="{506B4C9E-0495-4953-8295-4BFA075A870E}"/>
  <sortState xmlns:xlrd2="http://schemas.microsoft.com/office/spreadsheetml/2017/richdata2" ref="H2:H13">
    <sortCondition ref="H1:H13"/>
  </sortState>
  <tableColumns count="1">
    <tableColumn id="1" xr3:uid="{79BE20F2-4B0A-4AEB-AD70-412CB3A98D5B}" name="MODEDEREGLEMENT" dataDxfId="900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19FEF5C1-4383-4AEF-BDD1-8AAE20DE7FF9}" name="TABLEAUTIERS" displayName="TABLEAUTIERS" ref="I1:I2" totalsRowShown="0" headerRowDxfId="899" dataDxfId="898" tableBorderDxfId="897">
  <autoFilter ref="I1:I2" xr:uid="{77D6798F-E698-4357-9F31-1C24A9032893}"/>
  <sortState xmlns:xlrd2="http://schemas.microsoft.com/office/spreadsheetml/2017/richdata2" ref="I2">
    <sortCondition ref="I1:I2"/>
  </sortState>
  <tableColumns count="1">
    <tableColumn id="1" xr3:uid="{C65E47C7-6D46-4D96-94A0-4DFAFC2F2C1E}" name="TIERS" dataDxfId="896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3A0A2FE-32C8-49AE-914C-88B1A68C9944}" name="MATRICECATEGORIE" displayName="MATRICECATEGORIE" ref="J1:K2" totalsRowShown="0" headerRowDxfId="895" dataDxfId="894">
  <autoFilter ref="J1:K2" xr:uid="{9FC14D22-6C65-4D2D-BAA1-7749C05F854B}"/>
  <sortState xmlns:xlrd2="http://schemas.microsoft.com/office/spreadsheetml/2017/richdata2" ref="J2:K2">
    <sortCondition ref="J1:J2"/>
  </sortState>
  <tableColumns count="2">
    <tableColumn id="1" xr3:uid="{7F3EA984-C3E6-44B6-A87E-C88155F9E877}" name="CATEGORIE" dataDxfId="893"/>
    <tableColumn id="2" xr3:uid="{46E928E9-6E9C-43CE-AF31-B341EEB54899}" name="CODECTVA" dataDxfId="892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F4A6197-149C-468E-847F-C8AE225D717D}" name="TABLEAUECHEANCE" displayName="TABLEAUECHEANCE" ref="L1:O2" totalsRowShown="0" headerRowDxfId="891" dataDxfId="890">
  <autoFilter ref="L1:O2" xr:uid="{50F64550-B157-403E-A5B0-A35E4385750D}"/>
  <sortState xmlns:xlrd2="http://schemas.microsoft.com/office/spreadsheetml/2017/richdata2" ref="L2:O2">
    <sortCondition ref="L1:L2"/>
  </sortState>
  <tableColumns count="4">
    <tableColumn id="1" xr3:uid="{3AADF5B5-1DF9-441D-B5BF-970E7DF5F92C}" name="CATEGORIEECHEANCE" dataDxfId="889"/>
    <tableColumn id="2" xr3:uid="{42B4FC8C-D2CD-48AB-8F90-9F8F151FC4B7}" name="TIERSECHEANCE" dataDxfId="888"/>
    <tableColumn id="3" xr3:uid="{9405EA49-8B98-4F30-9D6B-A5C7D1164290}" name="NBECHEANCE" dataDxfId="887"/>
    <tableColumn id="4" xr3:uid="{82A79F71-CD20-48CD-B609-E11586D67CF2}" name="1EREECHEANCE" dataDxfId="886"/>
  </tableColumns>
  <tableStyleInfo name="TableStyleMedium3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49D2CD3E-BBAE-4C17-BF1B-BC65968F6E32}" name="TABLEAUJ01" displayName="TABLEAUJ01" ref="B14:AD16" totalsRowCount="1" headerRowDxfId="885" totalsRowDxfId="882" headerRowBorderDxfId="884" tableBorderDxfId="883" totalsRowBorderDxfId="881">
  <autoFilter ref="B14:AD15" xr:uid="{82BA4212-D7AD-4FBA-982A-FF73E57D785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152078F8-7239-4C2F-8512-E7CA7DB1F380}" name="Date" totalsRowLabel="Totaux" dataDxfId="880" totalsRowDxfId="57"/>
    <tableColumn id="17" xr3:uid="{732C6DA3-9C72-49C0-8DFD-11A94AA4FB65}" name="Échéancier" dataDxfId="879" totalsRowDxfId="56">
      <calculatedColumnFormula array="1">IFERROR(IF(TABLEAUJ01[[#This Row],[Date]]="","",IF(YEAR(TABLEAUJ01[[#This Row],[Date]])*12+MONTH(TABLEAUJ01[[#This Row],[Date]])-YEAR(INDEX(TABLEAUECHEANCE[1EREECHEANCE],MATCH(1,(TABLEAUECHEANCE[CATEGORIEECHEANCE]=TABLEAUJ01[[#This Row],[Catégorie]])*(TABLEAUECHEANCE[TIERSECHEANCE]=TABLEAUJ01[[#This Row],[Payé à]]),0)) )*12-MONTH(INDEX(TABLEAUECHEANCE[1EREECHEANCE],MATCH(1,(TABLEAUECHEANCE[CATEGORIEECHEANCE]=TABLEAUJ01[[#This Row],[Catégorie]])*(TABLEAUECHEANCE[TIERSECHEANCE]=TABLEAUJ01[[#This Row],[Payé à]]),0)) )+1&gt;INDEX(TABLEAUECHEANCE[NBECHEANCE],MATCH(1,(TABLEAUECHEANCE[CATEGORIEECHEANCE]=TABLEAUJ01[[#This Row],[Catégorie]])*(TABLEAUECHEANCE[TIERSECHEANCE]=TABLEAUJ01[[#This Row],[Payé à]]),0)),"HE",CONCATENATE(IF(INDEX(TABLEAUECHEANCE[1EREECHEANCE],MATCH(1,(TABLEAUECHEANCE[CATEGORIEECHEANCE]=TABLEAUJ01[[#This Row],[Catégorie]])*(TABLEAUECHEANCE[TIERSECHEANCE]=TABLEAUJ01[[#This Row],[Payé à]]),0)) ="","",YEAR(TABLEAUJ01[[#This Row],[Date]])*12+MONTH(TABLEAUJ01[[#This Row],[Date]])-YEAR(INDEX(TABLEAUECHEANCE[1EREECHEANCE],MATCH(1,(TABLEAUECHEANCE[CATEGORIEECHEANCE]=TABLEAUJ01[[#This Row],[Catégorie]])*(TABLEAUECHEANCE[TIERSECHEANCE]=TABLEAUJ01[[#This Row],[Payé à]]),0)) )*12-MONTH(INDEX(TABLEAUECHEANCE[1EREECHEANCE],MATCH(1,(TABLEAUECHEANCE[CATEGORIEECHEANCE]=TABLEAUJ01[[#This Row],[Catégorie]])*(TABLEAUECHEANCE[TIERSECHEANCE]=TABLEAUJ01[[#This Row],[Payé à]]),0)) )+1)," sur ",INDEX(TABLEAUECHEANCE[NBECHEANCE],MATCH(1,(TABLEAUECHEANCE[CATEGORIEECHEANCE]=TABLEAUJ01[[#This Row],[Catégorie]])*(TABLEAUECHEANCE[TIERSECHEANCE]=TABLEAUJ01[[#This Row],[Payé à]]),0))))),"")</calculatedColumnFormula>
    </tableColumn>
    <tableColumn id="2" xr3:uid="{23B3D196-8660-45AC-8470-70D81B463940}" name="Mode de règlement" dataDxfId="878" totalsRowDxfId="55"/>
    <tableColumn id="19" xr3:uid="{1B9B9807-5673-4F46-A618-F30BB7A02023}" name="Références réglement" dataDxfId="877" totalsRowDxfId="54"/>
    <tableColumn id="3" xr3:uid="{C40D210B-8FE1-46F8-9B95-9A6A4F16267D}" name="Catégorie" dataDxfId="876" totalsRowDxfId="53"/>
    <tableColumn id="4" xr3:uid="{73F4D112-BBD9-4FDD-A445-546EEFE92D09}" name="Payé par" dataDxfId="875" totalsRowDxfId="52"/>
    <tableColumn id="20" xr3:uid="{F465D31E-DDA3-47CA-8BE0-000331454699}" name="Pièce comptable" dataDxfId="874" totalsRowDxfId="51"/>
    <tableColumn id="5" xr3:uid="{8E61F023-D56D-4696-9D80-58F6870979F9}" name="Commentaires" dataDxfId="873" totalsRowDxfId="50"/>
    <tableColumn id="6" xr3:uid="{A1C7EC14-13AC-4969-8F17-D9580A61A4CC}" name="Payé à" dataDxfId="872" totalsRowDxfId="49"/>
    <tableColumn id="8" xr3:uid="{355E1FD2-8876-4F0C-A808-7C5D7EA98B8D}" name="Débit" totalsRowFunction="custom" dataDxfId="871" totalsRowDxfId="48" dataCellStyle="Monétaire">
      <totalsRowFormula>IFERROR(SUBTOTAL(109,TABLEAUJ01[Débit]),"")</totalsRowFormula>
    </tableColumn>
    <tableColumn id="10" xr3:uid="{1FA3CB92-B862-4F33-A2C8-5CA5E51AE201}" name="Crédit" totalsRowFunction="custom" dataDxfId="870" totalsRowDxfId="47" dataCellStyle="Monétaire">
      <totalsRowFormula>IFERROR(SUBTOTAL(109,TABLEAUJ01[Crédit]),"")</totalsRowFormula>
    </tableColumn>
    <tableColumn id="11" xr3:uid="{52BC7736-4A2B-4C71-BE0E-BB0B986BA12C}" name="Solde bancaire" totalsRowFunction="custom" dataDxfId="869" totalsRowDxfId="46" dataCellStyle="Monétaire">
      <calculatedColumnFormula>IFERROR(IF(ROW()=ROW($B$15),SUM($M$12,-TABLEAUJ01[[#This Row],[Débit]],TABLEAUJ01[[#This Row],[Crédit]]),SUM(M14,-TABLEAUJ01[[#This Row],[Débit]],TABLEAUJ01[[#This Row],[Crédit]])),"")</calculatedColumnFormula>
      <totalsRowFormula>IFERROR(SUM($M$12,-TABLEAUJ01[[#Totals],[Débit]],TABLEAUJ01[[#Totals],[Crédit]]),"")</totalsRowFormula>
    </tableColumn>
    <tableColumn id="21" xr3:uid="{E19A9B3D-EFF4-46D3-BE58-0EED5CD83993}" name="Contrôle 1" totalsRowFunction="custom" dataDxfId="868" totalsRowDxfId="45" dataCellStyle="Normal">
      <calculatedColumnFormula>IFERROR(IF(OR(TABLEAUJ01[[#This Row],[Code TVA D]]="",TABLEAUJ01[[#This Row],[Code TVA D]]="NA"),TRUE,SUM(TABLEAUJ01[[#This Row],[Débit HT]],TABLEAUJ01[[#This Row],[TVA déductible]])=TABLEAUJ01[[#This Row],[Débit TTC]]),"")</calculatedColumnFormula>
      <totalsRowFormula>IFERROR(SUM(TABLEAUJ01[[#Totals],[Débit HT]],TABLEAUJ01[[#Totals],[TVA déductible]])=TABLEAUJ01[[#Totals],[Débit TTC]],"")</totalsRowFormula>
    </tableColumn>
    <tableColumn id="7" xr3:uid="{0011C70D-BAF6-45C0-9E0F-C7CD97534859}" name="Débit HT" totalsRowFunction="custom" dataDxfId="867" totalsRowDxfId="44" dataCellStyle="Monétaire">
      <calculatedColumnFormula>IFERROR(IF(OR(TABLEAUJ01[[#This Row],[Code TVA D]]="",TABLEAUJ01[[#This Row],[Code TVA D]]="NA"),"",TABLEAUJ01[[#This Row],[Débit TTC]]/(1+(VLOOKUP(TABLEAUJ01[[#This Row],[Code TVA D]],MATRICETVA[],2,FALSE)))),"")</calculatedColumnFormula>
      <totalsRowFormula>IFERROR(SUBTOTAL(109,TABLEAUJ01[Débit HT]),"")</totalsRowFormula>
    </tableColumn>
    <tableColumn id="12" xr3:uid="{B45DEC20-4B0B-489E-8981-079041DC329B}" name="Code TVA D" dataDxfId="866" totalsRowDxfId="43" dataCellStyle="Monétaire">
      <calculatedColumnFormula>IFERROR(IF(TABLEAUJ01[[#This Row],[Débit]]&lt;&gt;"",IF(TABLEAUJ01[[#This Row],[Code TVA M]]&lt;&gt;"",TABLEAUJ01[[#This Row],[Code TVA M]],TABLEAUJ01[[#This Row],[Code TVA A]]),""),"")</calculatedColumnFormula>
    </tableColumn>
    <tableColumn id="13" xr3:uid="{8DE28958-96DC-40C5-B146-95CF689B7346}" name="TVA déductible" totalsRowFunction="custom" dataDxfId="865" totalsRowDxfId="42" dataCellStyle="Monétaire">
      <calculatedColumnFormula>IFERROR(IF(OR(TABLEAUJ01[[#This Row],[Code TVA D]]="",TABLEAUJ01[[#This Row],[Code TVA D]]="NA"),"",TABLEAUJ01[[#This Row],[Débit TTC]]/(1+VLOOKUP(TABLEAUJ01[[#This Row],[Code TVA D]],MATRICETVA[],2,FALSE))*VLOOKUP(TABLEAUJ01[[#This Row],[Code TVA D]],MATRICETVA[],2,FALSE)),"")</calculatedColumnFormula>
      <totalsRowFormula>IFERROR(SUBTOTAL(109,TABLEAUJ01[TVA déductible]),"")</totalsRowFormula>
    </tableColumn>
    <tableColumn id="22" xr3:uid="{1871A7E0-1DF8-4297-8BCE-79A2A5D1450D}" name="Débit TTC" totalsRowFunction="custom" dataDxfId="864" totalsRowDxfId="41" dataCellStyle="Monétaire">
      <calculatedColumnFormula>IFERROR(IF(OR(TABLEAUJ01[[#This Row],[Code TVA D]]="",TABLEAUJ01[[#This Row],[Code TVA D]]="NA"),"",TABLEAUJ01[[#This Row],[Débit]]),"")</calculatedColumnFormula>
      <totalsRowFormula>IFERROR(SUBTOTAL(109,TABLEAUJ01[Débit TTC]),"")</totalsRowFormula>
    </tableColumn>
    <tableColumn id="23" xr3:uid="{CDBF6A7B-2974-42D5-8A3B-251BB737A073}" name="Contrôle 2" totalsRowFunction="custom" dataDxfId="863" totalsRowDxfId="40" dataCellStyle="Normal">
      <calculatedColumnFormula>IFERROR(IF(OR(TABLEAUJ01[[#This Row],[Code TVA C]]="",TABLEAUJ01[[#This Row],[Code TVA C]]="NA"),TRUE,SUM(TABLEAUJ01[[#This Row],[Crédit HT]],TABLEAUJ01[[#This Row],[TVA collectée]])=TABLEAUJ01[[#This Row],[Crédit TTC]]),"")</calculatedColumnFormula>
      <totalsRowFormula>IFERROR(SUM(TABLEAUJ01[[#Totals],[Crédit HT]],TABLEAUJ01[[#Totals],[TVA collectée]])=TABLEAUJ01[[#Totals],[Crédit TTC]],"")</totalsRowFormula>
    </tableColumn>
    <tableColumn id="9" xr3:uid="{478493CF-6EE8-4905-877A-973FE7860488}" name="Crédit HT" totalsRowFunction="custom" dataDxfId="862" totalsRowDxfId="39" dataCellStyle="Monétaire">
      <calculatedColumnFormula>IFERROR(IF(OR(TABLEAUJ01[[#This Row],[Code TVA C]]="",TABLEAUJ01[[#This Row],[Code TVA C]]="NA"),"",TABLEAUJ01[[#This Row],[Crédit TTC]]/(1+(VLOOKUP(TABLEAUJ01[[#This Row],[Code TVA C]],MATRICETVA[],2,FALSE)))),"")</calculatedColumnFormula>
      <totalsRowFormula>IFERROR(SUBTOTAL(109,TABLEAUJ01[Crédit HT]),"")</totalsRowFormula>
    </tableColumn>
    <tableColumn id="14" xr3:uid="{60480FBD-B129-48E2-ACE7-B710F4D6CD16}" name="Code TVA C" dataDxfId="861" totalsRowDxfId="38" dataCellStyle="Monétaire">
      <calculatedColumnFormula>IFERROR(IF(TABLEAUJ01[[#This Row],[Crédit]]&lt;&gt;"",IF(TABLEAUJ01[[#This Row],[Code TVA M]]&lt;&gt;"",TABLEAUJ01[[#This Row],[Code TVA M]],TABLEAUJ01[[#This Row],[Code TVA A]]),""),"")</calculatedColumnFormula>
    </tableColumn>
    <tableColumn id="15" xr3:uid="{BDC060B6-E8C3-4C7D-9FDF-BE42B0C0272A}" name="TVA collectée" totalsRowFunction="custom" dataDxfId="860" totalsRowDxfId="37" dataCellStyle="Monétaire">
      <calculatedColumnFormula>IFERROR(IF(OR(TABLEAUJ01[[#This Row],[Code TVA C]]="",TABLEAUJ01[[#This Row],[Code TVA C]]="NA"),"",TABLEAUJ01[[#This Row],[Crédit TTC]]/(1+VLOOKUP(TABLEAUJ01[[#This Row],[Code TVA C]],MATRICETVA[],2,FALSE))*VLOOKUP(TABLEAUJ01[[#This Row],[Code TVA C]],MATRICETVA[],2,FALSE)),"")</calculatedColumnFormula>
      <totalsRowFormula>IFERROR(SUBTOTAL(109,TABLEAUJ01[TVA collectée]),"")</totalsRowFormula>
    </tableColumn>
    <tableColumn id="24" xr3:uid="{AC3896C0-059F-4BED-B6C3-F5C781C9E4FA}" name="Crédit TTC" totalsRowFunction="custom" dataDxfId="859" totalsRowDxfId="36" dataCellStyle="Monétaire">
      <calculatedColumnFormula>IFERROR(IF(OR(TABLEAUJ01[[#This Row],[Code TVA C]]="",TABLEAUJ01[[#This Row],[Code TVA C]]="NA"),"",TABLEAUJ01[[#This Row],[Crédit]]),"")</calculatedColumnFormula>
      <totalsRowFormula>IFERROR(SUBTOTAL(109,TABLEAUJ01[Crédit TTC]),"")</totalsRowFormula>
    </tableColumn>
    <tableColumn id="25" xr3:uid="{75D26E03-C567-495B-A21B-C654C0DE134D}" name="Contrôle 3" dataDxfId="858" totalsRowDxfId="35" dataCellStyle="Monétaire">
      <calculatedColumnFormula>IFERROR(IF(AND(TABLEAUJ01[[#This Row],[Débit]]&lt;&gt;"",TABLEAUJ01[[#This Row],[Crédit]]&lt;&gt;""),FALSE,TRUE),"")</calculatedColumnFormula>
    </tableColumn>
    <tableColumn id="26" xr3:uid="{BA7288F2-2961-46A2-817C-5DF6286FBB19}" name="Code TVA A" dataDxfId="857" totalsRowDxfId="34" dataCellStyle="Monétaire">
      <calculatedColumnFormula>IFERROR(VLOOKUP(TABLEAUJ01[[#This Row],[Catégorie]],MATRICECATEGORIE[],2,FALSE),"")</calculatedColumnFormula>
    </tableColumn>
    <tableColumn id="27" xr3:uid="{5D688D4A-483E-4729-AD47-2BDF56DD4945}" name="Code TVA M" dataDxfId="856" totalsRowDxfId="33" dataCellStyle="Monétaire"/>
    <tableColumn id="16" xr3:uid="{894438FB-E71F-479D-BDA0-21B73EA1C604}" name="Contrôle 4" dataDxfId="855" totalsRowDxfId="32" dataCellStyle="Normal">
      <calculatedColumnFormula>IFERROR(IF(AND(TABLEAUJ01[[#This Row],[Code TVA D]]&lt;&gt;"",TABLEAUJ01[[#This Row],[Code TVA C]]&lt;&gt;""),FALSE,TRUE),"")</calculatedColumnFormula>
    </tableColumn>
    <tableColumn id="31" xr3:uid="{0D099CF6-A028-4038-A8C7-488C848D465E}" name="Contrôle 5" dataDxfId="854" totalsRowDxfId="31"/>
    <tableColumn id="32" xr3:uid="{86496FA6-2B4E-419F-93EC-CE07BC99A79F}" name="Contrôle 6" dataDxfId="853" totalsRowDxfId="30"/>
    <tableColumn id="18" xr3:uid="{00DE972F-A98E-4DAE-A509-B3BE1B20DA77}" name="AJOUT DE LIGNE" dataDxfId="852" totalsRowDxfId="29"/>
  </tableColumns>
  <tableStyleInfo name="Style de tableau 1" showFirstColumn="0" showLastColumn="0" showRowStripes="0" showColumnStripes="1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C921FFBF-EA87-4041-967A-93D6EDA885D9}" name="TABLEAUJ02" displayName="TABLEAUJ02" ref="B14:AD16" totalsRowCount="1" headerRowDxfId="851" totalsRowDxfId="848" headerRowBorderDxfId="850" tableBorderDxfId="849" totalsRowBorderDxfId="847">
  <autoFilter ref="B14:AD15" xr:uid="{CBF7864F-C8F0-4F36-969B-2F97D849211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CEBBE5FE-2126-4C9C-BC84-6C9BAB3236E2}" name="Date" totalsRowLabel="Totaux" dataDxfId="846" totalsRowDxfId="28"/>
    <tableColumn id="17" xr3:uid="{307F8C13-7F1B-4E4F-8A41-6495BDD92B4F}" name="Échéancier" dataDxfId="845" totalsRowDxfId="27">
      <calculatedColumnFormula array="1">IFERROR(IF(TABLEAUJ02[[#This Row],[Date]]="","",IF(YEAR(TABLEAUJ02[[#This Row],[Date]])*12+MONTH(TABLEAUJ02[[#This Row],[Date]])-YEAR(INDEX(TABLEAUECHEANCE[1EREECHEANCE],MATCH(1,(TABLEAUECHEANCE[CATEGORIEECHEANCE]=TABLEAUJ02[[#This Row],[Catégorie]])*(TABLEAUECHEANCE[TIERSECHEANCE]=TABLEAUJ02[[#This Row],[Payé à]]),0)) )*12-MONTH(INDEX(TABLEAUECHEANCE[1EREECHEANCE],MATCH(1,(TABLEAUECHEANCE[CATEGORIEECHEANCE]=TABLEAUJ02[[#This Row],[Catégorie]])*(TABLEAUECHEANCE[TIERSECHEANCE]=TABLEAUJ02[[#This Row],[Payé à]]),0)) )+1&gt;INDEX(TABLEAUECHEANCE[NBECHEANCE],MATCH(1,(TABLEAUECHEANCE[CATEGORIEECHEANCE]=TABLEAUJ02[[#This Row],[Catégorie]])*(TABLEAUECHEANCE[TIERSECHEANCE]=TABLEAUJ02[[#This Row],[Payé à]]),0)),"HE",CONCATENATE(IF(INDEX(TABLEAUECHEANCE[1EREECHEANCE],MATCH(1,(TABLEAUECHEANCE[CATEGORIEECHEANCE]=TABLEAUJ02[[#This Row],[Catégorie]])*(TABLEAUECHEANCE[TIERSECHEANCE]=TABLEAUJ02[[#This Row],[Payé à]]),0)) ="","",YEAR(TABLEAUJ02[[#This Row],[Date]])*12+MONTH(TABLEAUJ02[[#This Row],[Date]])-YEAR(INDEX(TABLEAUECHEANCE[1EREECHEANCE],MATCH(1,(TABLEAUECHEANCE[CATEGORIEECHEANCE]=TABLEAUJ02[[#This Row],[Catégorie]])*(TABLEAUECHEANCE[TIERSECHEANCE]=TABLEAUJ02[[#This Row],[Payé à]]),0)) )*12-MONTH(INDEX(TABLEAUECHEANCE[1EREECHEANCE],MATCH(1,(TABLEAUECHEANCE[CATEGORIEECHEANCE]=TABLEAUJ02[[#This Row],[Catégorie]])*(TABLEAUECHEANCE[TIERSECHEANCE]=TABLEAUJ02[[#This Row],[Payé à]]),0)) )+1)," sur ",INDEX(TABLEAUECHEANCE[NBECHEANCE],MATCH(1,(TABLEAUECHEANCE[CATEGORIEECHEANCE]=TABLEAUJ02[[#This Row],[Catégorie]])*(TABLEAUECHEANCE[TIERSECHEANCE]=TABLEAUJ02[[#This Row],[Payé à]]),0))))),"")</calculatedColumnFormula>
    </tableColumn>
    <tableColumn id="2" xr3:uid="{C4CA90CC-C177-4183-A7A4-EE71E64A409D}" name="Mode de règlement" dataDxfId="844" totalsRowDxfId="26"/>
    <tableColumn id="19" xr3:uid="{0CDBCFD7-6400-4E57-92F7-A5307F802B98}" name="Références réglement" dataDxfId="843" totalsRowDxfId="25"/>
    <tableColumn id="3" xr3:uid="{BC1C1BF5-94DE-45FB-9FE8-50D679025BBD}" name="Catégorie" dataDxfId="842" totalsRowDxfId="24"/>
    <tableColumn id="4" xr3:uid="{182FC03E-F7A5-4E11-A5C4-B265C8E274C6}" name="Payé par" dataDxfId="841" totalsRowDxfId="23"/>
    <tableColumn id="20" xr3:uid="{D03E47E6-0F00-4A32-8498-A341AC93D3A8}" name="Pièce comptable" dataDxfId="840" totalsRowDxfId="22"/>
    <tableColumn id="5" xr3:uid="{9D5AFEBA-5602-4508-A3EE-2F38EDA39FFF}" name="Commentaires" dataDxfId="839" totalsRowDxfId="21"/>
    <tableColumn id="6" xr3:uid="{F2E5FEA1-03CD-4206-890A-A6087BA67C09}" name="Payé à" dataDxfId="838" totalsRowDxfId="20"/>
    <tableColumn id="8" xr3:uid="{305538FA-1A4B-43C3-8CB1-DFA0B01E04B2}" name="Débit" totalsRowFunction="custom" dataDxfId="837" totalsRowDxfId="19" dataCellStyle="Monétaire">
      <totalsRowFormula>IFERROR(SUBTOTAL(109,TABLEAUJ02[Débit]),"")</totalsRowFormula>
    </tableColumn>
    <tableColumn id="10" xr3:uid="{B2B76C16-9513-470E-A623-5F15C025DADE}" name="Crédit" totalsRowFunction="custom" dataDxfId="836" totalsRowDxfId="18" dataCellStyle="Monétaire">
      <totalsRowFormula>IFERROR(SUBTOTAL(109,TABLEAUJ02[Crédit]),"")</totalsRowFormula>
    </tableColumn>
    <tableColumn id="11" xr3:uid="{0FF2FD73-C248-4A01-988D-1C3E8A3B9C1C}" name="Solde bancaire" totalsRowFunction="custom" dataDxfId="835" totalsRowDxfId="17" dataCellStyle="Monétaire">
      <calculatedColumnFormula>IFERROR(IF(ROW()=ROW($B$15),SUM($M$12,-TABLEAUJ02[[#This Row],[Débit]],TABLEAUJ02[[#This Row],[Crédit]]),SUM(M14,-TABLEAUJ02[[#This Row],[Débit]],TABLEAUJ02[[#This Row],[Crédit]])),"")</calculatedColumnFormula>
      <totalsRowFormula>IFERROR(SUM($M$12,-TABLEAUJ02[[#Totals],[Débit]],TABLEAUJ02[[#Totals],[Crédit]]),"")</totalsRowFormula>
    </tableColumn>
    <tableColumn id="21" xr3:uid="{C06C8434-2135-4397-B47F-0E35A8304EEF}" name="Contrôle 1" totalsRowFunction="custom" dataDxfId="834" totalsRowDxfId="16" dataCellStyle="Normal">
      <calculatedColumnFormula>IFERROR(IF(OR(TABLEAUJ02[[#This Row],[Code TVA D]]="",TABLEAUJ02[[#This Row],[Code TVA D]]="NA"),TRUE,SUM(TABLEAUJ02[[#This Row],[Débit HT]],TABLEAUJ02[[#This Row],[TVA déductible]])=TABLEAUJ02[[#This Row],[Débit TTC]]),"")</calculatedColumnFormula>
      <totalsRowFormula>IFERROR(SUM(TABLEAUJ02[[#Totals],[Débit HT]],TABLEAUJ02[[#Totals],[TVA déductible]])=TABLEAUJ02[[#Totals],[Débit TTC]],"")</totalsRowFormula>
    </tableColumn>
    <tableColumn id="7" xr3:uid="{669EB5EA-5C1B-4AD9-9A97-3D67D50099C3}" name="Débit HT" totalsRowFunction="custom" dataDxfId="833" totalsRowDxfId="15" dataCellStyle="Monétaire">
      <calculatedColumnFormula>IFERROR(IF(OR(TABLEAUJ02[[#This Row],[Code TVA D]]="",TABLEAUJ02[[#This Row],[Code TVA D]]="NA"),"",TABLEAUJ02[[#This Row],[Débit TTC]]/(1+(VLOOKUP(TABLEAUJ02[[#This Row],[Code TVA D]],MATRICETVA[],2,FALSE)))),"")</calculatedColumnFormula>
      <totalsRowFormula>IFERROR(SUBTOTAL(109,TABLEAUJ02[Débit HT]),"")</totalsRowFormula>
    </tableColumn>
    <tableColumn id="12" xr3:uid="{3A97B738-9F3D-4FFB-861F-6F4F163D9131}" name="Code TVA D" dataDxfId="832" totalsRowDxfId="14" dataCellStyle="Monétaire">
      <calculatedColumnFormula>IFERROR(IF(TABLEAUJ02[[#This Row],[Débit]]&lt;&gt;"",IF(TABLEAUJ02[[#This Row],[Code TVA M]]&lt;&gt;"",TABLEAUJ02[[#This Row],[Code TVA M]],TABLEAUJ02[[#This Row],[Code TVA A]]),""),"")</calculatedColumnFormula>
    </tableColumn>
    <tableColumn id="13" xr3:uid="{1212ECD4-51EB-4E14-9173-0E19B27B04D6}" name="TVA déductible" totalsRowFunction="custom" dataDxfId="831" totalsRowDxfId="13" dataCellStyle="Monétaire">
      <calculatedColumnFormula>IFERROR(IF(OR(TABLEAUJ02[[#This Row],[Code TVA D]]="",TABLEAUJ02[[#This Row],[Code TVA D]]="NA"),"",TABLEAUJ02[[#This Row],[Débit TTC]]/(1+VLOOKUP(TABLEAUJ02[[#This Row],[Code TVA D]],MATRICETVA[],2,FALSE))*VLOOKUP(TABLEAUJ02[[#This Row],[Code TVA D]],MATRICETVA[],2,FALSE)),"")</calculatedColumnFormula>
      <totalsRowFormula>IFERROR(SUBTOTAL(109,TABLEAUJ02[TVA déductible]),"")</totalsRowFormula>
    </tableColumn>
    <tableColumn id="22" xr3:uid="{A0E9B9B5-65F9-4733-8A64-28A577D02DCE}" name="Débit TTC" totalsRowFunction="custom" dataDxfId="830" totalsRowDxfId="12" dataCellStyle="Monétaire">
      <calculatedColumnFormula>IFERROR(IF(OR(TABLEAUJ02[[#This Row],[Code TVA D]]="",TABLEAUJ02[[#This Row],[Code TVA D]]="NA"),"",TABLEAUJ02[[#This Row],[Débit]]),"")</calculatedColumnFormula>
      <totalsRowFormula>IFERROR(SUBTOTAL(109,TABLEAUJ02[Débit TTC]),"")</totalsRowFormula>
    </tableColumn>
    <tableColumn id="23" xr3:uid="{B15564E9-54B9-4542-8566-768025E1BB90}" name="Contrôle 2" totalsRowFunction="custom" dataDxfId="829" totalsRowDxfId="11" dataCellStyle="Normal">
      <calculatedColumnFormula>IFERROR(IF(OR(TABLEAUJ02[[#This Row],[Code TVA C]]="",TABLEAUJ02[[#This Row],[Code TVA C]]="NA"),TRUE,SUM(TABLEAUJ02[[#This Row],[Crédit HT]],TABLEAUJ02[[#This Row],[TVA collectée]])=TABLEAUJ02[[#This Row],[Crédit TTC]]),"")</calculatedColumnFormula>
      <totalsRowFormula>IFERROR(SUM(TABLEAUJ02[[#Totals],[Crédit HT]],TABLEAUJ02[[#Totals],[TVA collectée]])=TABLEAUJ02[[#Totals],[Crédit TTC]],"")</totalsRowFormula>
    </tableColumn>
    <tableColumn id="9" xr3:uid="{A16DA384-4FB6-4E6E-B99F-006DBF2E279E}" name="Crédit HT" totalsRowFunction="custom" dataDxfId="828" totalsRowDxfId="10" dataCellStyle="Monétaire">
      <calculatedColumnFormula>IFERROR(IF(OR(TABLEAUJ02[[#This Row],[Code TVA C]]="",TABLEAUJ02[[#This Row],[Code TVA C]]="NA"),"",TABLEAUJ02[[#This Row],[Crédit TTC]]/(1+(VLOOKUP(TABLEAUJ02[[#This Row],[Code TVA C]],MATRICETVA[],2,FALSE)))),"")</calculatedColumnFormula>
      <totalsRowFormula>IFERROR(SUBTOTAL(109,TABLEAUJ02[Crédit HT]),"")</totalsRowFormula>
    </tableColumn>
    <tableColumn id="14" xr3:uid="{31D0BD11-B4F3-490F-80D0-F6279BF3D4FD}" name="Code TVA C" dataDxfId="827" totalsRowDxfId="9" dataCellStyle="Monétaire">
      <calculatedColumnFormula>IFERROR(IF(TABLEAUJ02[[#This Row],[Crédit]]&lt;&gt;"",IF(TABLEAUJ02[[#This Row],[Code TVA M]]&lt;&gt;"",TABLEAUJ02[[#This Row],[Code TVA M]],TABLEAUJ02[[#This Row],[Code TVA A]]),""),"")</calculatedColumnFormula>
    </tableColumn>
    <tableColumn id="15" xr3:uid="{CF6656CB-2E7B-4880-AE3E-8845ECF1530B}" name="TVA collectée" totalsRowFunction="custom" dataDxfId="826" totalsRowDxfId="8" dataCellStyle="Monétaire">
      <calculatedColumnFormula>IFERROR(IF(OR(TABLEAUJ02[[#This Row],[Code TVA C]]="",TABLEAUJ02[[#This Row],[Code TVA C]]="NA"),"",TABLEAUJ02[[#This Row],[Crédit TTC]]/(1+VLOOKUP(TABLEAUJ02[[#This Row],[Code TVA C]],MATRICETVA[],2,FALSE))*VLOOKUP(TABLEAUJ02[[#This Row],[Code TVA C]],MATRICETVA[],2,FALSE)),"")</calculatedColumnFormula>
      <totalsRowFormula>IFERROR(SUBTOTAL(109,TABLEAUJ02[TVA collectée]),"")</totalsRowFormula>
    </tableColumn>
    <tableColumn id="24" xr3:uid="{12C6C325-1432-477D-89FD-1359536FB913}" name="Crédit TTC" totalsRowFunction="custom" dataDxfId="825" totalsRowDxfId="7" dataCellStyle="Monétaire">
      <calculatedColumnFormula>IFERROR(IF(OR(TABLEAUJ02[[#This Row],[Code TVA C]]="",TABLEAUJ02[[#This Row],[Code TVA C]]="NA"),"",TABLEAUJ02[[#This Row],[Crédit]]),"")</calculatedColumnFormula>
      <totalsRowFormula>IFERROR(SUBTOTAL(109,TABLEAUJ02[Crédit TTC]),"")</totalsRowFormula>
    </tableColumn>
    <tableColumn id="25" xr3:uid="{1D39ED7F-2B70-44CA-9524-81E519C91F7E}" name="Contrôle 3" dataDxfId="824" totalsRowDxfId="6" dataCellStyle="Monétaire">
      <calculatedColumnFormula>IFERROR(IF(AND(TABLEAUJ02[[#This Row],[Débit]]&lt;&gt;"",TABLEAUJ02[[#This Row],[Crédit]]&lt;&gt;""),FALSE,TRUE),"")</calculatedColumnFormula>
    </tableColumn>
    <tableColumn id="26" xr3:uid="{1F4FE47E-D100-4EC4-8955-D1C71626038D}" name="Code TVA A" dataDxfId="823" totalsRowDxfId="5" dataCellStyle="Monétaire">
      <calculatedColumnFormula>IFERROR(VLOOKUP(TABLEAUJ02[[#This Row],[Catégorie]],MATRICECATEGORIE[],2,FALSE),"")</calculatedColumnFormula>
    </tableColumn>
    <tableColumn id="27" xr3:uid="{92C02A88-9BEE-4573-A530-933613E100F9}" name="Code TVA M" dataDxfId="822" totalsRowDxfId="4" dataCellStyle="Monétaire"/>
    <tableColumn id="16" xr3:uid="{51BC696C-01BA-45E3-83B1-6528A8361AD0}" name="Contrôle 4" dataDxfId="821" totalsRowDxfId="3" dataCellStyle="Normal">
      <calculatedColumnFormula>IFERROR(IF(AND(TABLEAUJ02[[#This Row],[Code TVA D]]&lt;&gt;"",TABLEAUJ02[[#This Row],[Code TVA C]]&lt;&gt;""),FALSE,TRUE),"")</calculatedColumnFormula>
    </tableColumn>
    <tableColumn id="31" xr3:uid="{9A60D94E-2CCB-441F-BAB5-7EAFE2A183B8}" name="Contrôle 5" dataDxfId="820" totalsRowDxfId="2"/>
    <tableColumn id="32" xr3:uid="{EDEF2758-A594-4554-95CC-00302C6E47AC}" name="Contrôle 6" dataDxfId="819" totalsRowDxfId="1"/>
    <tableColumn id="18" xr3:uid="{FE6E86A2-A8AF-461E-98FC-DCD282AF0A82}" name="AJOUT DE LIGNE" dataDxfId="818" totalsRowDxfId="0"/>
  </tableColumns>
  <tableStyleInfo name="Style de tableau 1" showFirstColumn="0" showLastColumn="0" showRowStripes="0" showColumnStripes="1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8F0E2CF2-D0F4-4E0E-A7C3-6FBCACA350A6}" name="TABLEAUJ03" displayName="TABLEAUJ03" ref="B14:AD16" totalsRowCount="1" headerRowDxfId="817" totalsRowDxfId="814" headerRowBorderDxfId="816" tableBorderDxfId="815" totalsRowBorderDxfId="813">
  <autoFilter ref="B14:AD15" xr:uid="{88D25E0D-9C14-4C1F-852E-134D135D4D8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8AAA1A0D-26EC-4DF3-9D1E-1CE0956344CB}" name="Date" totalsRowLabel="Totaux" dataDxfId="812" totalsRowDxfId="811"/>
    <tableColumn id="17" xr3:uid="{CC6B8004-055E-49A5-A713-35B2488FFFCC}" name="Échéancier" dataDxfId="810" totalsRowDxfId="809">
      <calculatedColumnFormula array="1">IFERROR(IF(TABLEAUJ03[[#This Row],[Date]]="","",IF(YEAR(TABLEAUJ03[[#This Row],[Date]])*12+MONTH(TABLEAUJ03[[#This Row],[Date]])-YEAR(INDEX(TABLEAUECHEANCE[1EREECHEANCE],MATCH(1,(TABLEAUECHEANCE[CATEGORIEECHEANCE]=TABLEAUJ03[[#This Row],[Catégorie]])*(TABLEAUECHEANCE[TIERSECHEANCE]=TABLEAUJ03[[#This Row],[Payé à]]),0)) )*12-MONTH(INDEX(TABLEAUECHEANCE[1EREECHEANCE],MATCH(1,(TABLEAUECHEANCE[CATEGORIEECHEANCE]=TABLEAUJ03[[#This Row],[Catégorie]])*(TABLEAUECHEANCE[TIERSECHEANCE]=TABLEAUJ03[[#This Row],[Payé à]]),0)) )+1&gt;INDEX(TABLEAUECHEANCE[NBECHEANCE],MATCH(1,(TABLEAUECHEANCE[CATEGORIEECHEANCE]=TABLEAUJ03[[#This Row],[Catégorie]])*(TABLEAUECHEANCE[TIERSECHEANCE]=TABLEAUJ03[[#This Row],[Payé à]]),0)),"HE",CONCATENATE(IF(INDEX(TABLEAUECHEANCE[1EREECHEANCE],MATCH(1,(TABLEAUECHEANCE[CATEGORIEECHEANCE]=TABLEAUJ03[[#This Row],[Catégorie]])*(TABLEAUECHEANCE[TIERSECHEANCE]=TABLEAUJ03[[#This Row],[Payé à]]),0)) ="","",YEAR(TABLEAUJ03[[#This Row],[Date]])*12+MONTH(TABLEAUJ03[[#This Row],[Date]])-YEAR(INDEX(TABLEAUECHEANCE[1EREECHEANCE],MATCH(1,(TABLEAUECHEANCE[CATEGORIEECHEANCE]=TABLEAUJ03[[#This Row],[Catégorie]])*(TABLEAUECHEANCE[TIERSECHEANCE]=TABLEAUJ03[[#This Row],[Payé à]]),0)) )*12-MONTH(INDEX(TABLEAUECHEANCE[1EREECHEANCE],MATCH(1,(TABLEAUECHEANCE[CATEGORIEECHEANCE]=TABLEAUJ03[[#This Row],[Catégorie]])*(TABLEAUECHEANCE[TIERSECHEANCE]=TABLEAUJ03[[#This Row],[Payé à]]),0)) )+1)," sur ",INDEX(TABLEAUECHEANCE[NBECHEANCE],MATCH(1,(TABLEAUECHEANCE[CATEGORIEECHEANCE]=TABLEAUJ03[[#This Row],[Catégorie]])*(TABLEAUECHEANCE[TIERSECHEANCE]=TABLEAUJ03[[#This Row],[Payé à]]),0))))),"")</calculatedColumnFormula>
    </tableColumn>
    <tableColumn id="2" xr3:uid="{F12FCFBD-274F-4942-B976-FCFF8CE547AA}" name="Mode de règlement" dataDxfId="808" totalsRowDxfId="807"/>
    <tableColumn id="19" xr3:uid="{8540641E-0FA5-4FF1-BED9-90140282C8F7}" name="Références réglement" dataDxfId="806" totalsRowDxfId="805"/>
    <tableColumn id="3" xr3:uid="{ED5F5C92-9A21-4630-8552-D63762FBAF7E}" name="Catégorie" dataDxfId="804" totalsRowDxfId="803"/>
    <tableColumn id="4" xr3:uid="{211CF4FA-5E33-4615-B722-3EC17318BFA6}" name="Payé par" dataDxfId="802" totalsRowDxfId="801"/>
    <tableColumn id="20" xr3:uid="{7F27EACD-1523-42C6-A82A-0A4CE32C6EF5}" name="Pièce comptable" dataDxfId="800" totalsRowDxfId="799"/>
    <tableColumn id="5" xr3:uid="{83E07C3D-8B99-4A64-AB3F-DC722E325E78}" name="Commentaires" dataDxfId="798" totalsRowDxfId="797"/>
    <tableColumn id="6" xr3:uid="{03482358-7FFC-410B-B385-F001EC54F236}" name="Payé à" dataDxfId="796" totalsRowDxfId="795"/>
    <tableColumn id="8" xr3:uid="{8A008F36-552B-46C8-AD26-C1A17521FAF7}" name="Débit" totalsRowFunction="custom" dataDxfId="794" totalsRowDxfId="793" dataCellStyle="Monétaire">
      <totalsRowFormula>IFERROR(SUBTOTAL(109,TABLEAUJ03[Débit]),"")</totalsRowFormula>
    </tableColumn>
    <tableColumn id="10" xr3:uid="{4042A609-0E3C-4933-AF23-8E6BD90BC0E1}" name="Crédit" totalsRowFunction="custom" dataDxfId="792" totalsRowDxfId="791" dataCellStyle="Monétaire">
      <totalsRowFormula>IFERROR(SUBTOTAL(109,TABLEAUJ03[Crédit]),"")</totalsRowFormula>
    </tableColumn>
    <tableColumn id="11" xr3:uid="{832A3123-40E3-4CC6-9A7F-4E468DBEE4A3}" name="Solde bancaire" totalsRowFunction="custom" dataDxfId="790" totalsRowDxfId="789" dataCellStyle="Monétaire">
      <calculatedColumnFormula>IFERROR(IF(ROW()=ROW($B$15),SUM($M$12,-TABLEAUJ03[[#This Row],[Débit]],TABLEAUJ03[[#This Row],[Crédit]]),SUM(M14,-TABLEAUJ03[[#This Row],[Débit]],TABLEAUJ03[[#This Row],[Crédit]])),"")</calculatedColumnFormula>
      <totalsRowFormula>IFERROR(SUM($M$12,-TABLEAUJ03[[#Totals],[Débit]],TABLEAUJ03[[#Totals],[Crédit]]),"")</totalsRowFormula>
    </tableColumn>
    <tableColumn id="21" xr3:uid="{46B1B95F-2B8F-41FC-AE17-3A4030204A1C}" name="Contrôle 1" totalsRowFunction="custom" dataDxfId="788" totalsRowDxfId="787" dataCellStyle="Normal">
      <calculatedColumnFormula>IFERROR(IF(OR(TABLEAUJ03[[#This Row],[Code TVA D]]="",TABLEAUJ03[[#This Row],[Code TVA D]]="NA"),TRUE,SUM(TABLEAUJ03[[#This Row],[Débit HT]],TABLEAUJ03[[#This Row],[TVA déductible]])=TABLEAUJ03[[#This Row],[Débit TTC]]),"")</calculatedColumnFormula>
      <totalsRowFormula>IFERROR(SUM(TABLEAUJ03[[#Totals],[Débit HT]],TABLEAUJ03[[#Totals],[TVA déductible]])=TABLEAUJ03[[#Totals],[Débit TTC]],"")</totalsRowFormula>
    </tableColumn>
    <tableColumn id="7" xr3:uid="{54954587-A47E-4784-9228-C8C5B2BE43D5}" name="Débit HT" totalsRowFunction="custom" dataDxfId="786" totalsRowDxfId="785" dataCellStyle="Monétaire">
      <calculatedColumnFormula>IFERROR(IF(OR(TABLEAUJ03[[#This Row],[Code TVA D]]="",TABLEAUJ03[[#This Row],[Code TVA D]]="NA"),"",TABLEAUJ03[[#This Row],[Débit TTC]]/(1+(VLOOKUP(TABLEAUJ03[[#This Row],[Code TVA D]],MATRICETVA[],2,FALSE)))),"")</calculatedColumnFormula>
      <totalsRowFormula>IFERROR(SUBTOTAL(109,TABLEAUJ03[Débit HT]),"")</totalsRowFormula>
    </tableColumn>
    <tableColumn id="12" xr3:uid="{34EFD1A1-27CD-45E1-A65C-B49C63855033}" name="Code TVA D" dataDxfId="784" totalsRowDxfId="783" dataCellStyle="Monétaire">
      <calculatedColumnFormula>IFERROR(IF(TABLEAUJ03[[#This Row],[Débit]]&lt;&gt;"",IF(TABLEAUJ03[[#This Row],[Code TVA M]]&lt;&gt;"",TABLEAUJ03[[#This Row],[Code TVA M]],TABLEAUJ03[[#This Row],[Code TVA A]]),""),"")</calculatedColumnFormula>
    </tableColumn>
    <tableColumn id="13" xr3:uid="{F2B6CA25-EB1E-4C2A-A8AD-ACDE6D1E600B}" name="TVA déductible" totalsRowFunction="custom" dataDxfId="782" totalsRowDxfId="781" dataCellStyle="Monétaire">
      <calculatedColumnFormula>IFERROR(IF(OR(TABLEAUJ03[[#This Row],[Code TVA D]]="",TABLEAUJ03[[#This Row],[Code TVA D]]="NA"),"",TABLEAUJ03[[#This Row],[Débit TTC]]/(1+VLOOKUP(TABLEAUJ03[[#This Row],[Code TVA D]],MATRICETVA[],2,FALSE))*VLOOKUP(TABLEAUJ03[[#This Row],[Code TVA D]],MATRICETVA[],2,FALSE)),"")</calculatedColumnFormula>
      <totalsRowFormula>IFERROR(SUBTOTAL(109,TABLEAUJ03[TVA déductible]),"")</totalsRowFormula>
    </tableColumn>
    <tableColumn id="22" xr3:uid="{AFE83A06-5540-4510-B306-169BF8F06A50}" name="Débit TTC" totalsRowFunction="custom" dataDxfId="780" totalsRowDxfId="779" dataCellStyle="Monétaire">
      <calculatedColumnFormula>IFERROR(IF(OR(TABLEAUJ03[[#This Row],[Code TVA D]]="",TABLEAUJ03[[#This Row],[Code TVA D]]="NA"),"",TABLEAUJ03[[#This Row],[Débit]]),"")</calculatedColumnFormula>
      <totalsRowFormula>IFERROR(SUBTOTAL(109,TABLEAUJ03[Débit TTC]),"")</totalsRowFormula>
    </tableColumn>
    <tableColumn id="23" xr3:uid="{9109D96B-46D4-42CB-9811-D3E3B4587C4E}" name="Contrôle 2" totalsRowFunction="custom" dataDxfId="778" totalsRowDxfId="777" dataCellStyle="Normal">
      <calculatedColumnFormula>IFERROR(IF(OR(TABLEAUJ03[[#This Row],[Code TVA C]]="",TABLEAUJ03[[#This Row],[Code TVA C]]="NA"),TRUE,SUM(TABLEAUJ03[[#This Row],[Crédit HT]],TABLEAUJ03[[#This Row],[TVA collectée]])=TABLEAUJ03[[#This Row],[Crédit TTC]]),"")</calculatedColumnFormula>
      <totalsRowFormula>IFERROR(SUM(TABLEAUJ03[[#Totals],[Crédit HT]],TABLEAUJ03[[#Totals],[TVA collectée]])=TABLEAUJ03[[#Totals],[Crédit TTC]],"")</totalsRowFormula>
    </tableColumn>
    <tableColumn id="9" xr3:uid="{400CC8D2-239F-48A8-B3DD-8396C135E289}" name="Crédit HT" totalsRowFunction="custom" dataDxfId="776" totalsRowDxfId="775" dataCellStyle="Monétaire">
      <calculatedColumnFormula>IFERROR(IF(OR(TABLEAUJ03[[#This Row],[Code TVA C]]="",TABLEAUJ03[[#This Row],[Code TVA C]]="NA"),"",TABLEAUJ03[[#This Row],[Crédit TTC]]/(1+(VLOOKUP(TABLEAUJ03[[#This Row],[Code TVA C]],MATRICETVA[],2,FALSE)))),"")</calculatedColumnFormula>
      <totalsRowFormula>IFERROR(SUBTOTAL(109,TABLEAUJ03[Crédit HT]),"")</totalsRowFormula>
    </tableColumn>
    <tableColumn id="14" xr3:uid="{32743D5B-CB60-404C-B2B3-BDB2E7149FD2}" name="Code TVA C" dataDxfId="774" totalsRowDxfId="773" dataCellStyle="Monétaire">
      <calculatedColumnFormula>IFERROR(IF(TABLEAUJ03[[#This Row],[Crédit]]&lt;&gt;"",IF(TABLEAUJ03[[#This Row],[Code TVA M]]&lt;&gt;"",TABLEAUJ03[[#This Row],[Code TVA M]],TABLEAUJ03[[#This Row],[Code TVA A]]),""),"")</calculatedColumnFormula>
    </tableColumn>
    <tableColumn id="15" xr3:uid="{029F8F6B-5AAD-400E-B882-C0E2B5005679}" name="TVA collectée" totalsRowFunction="custom" dataDxfId="772" totalsRowDxfId="771" dataCellStyle="Monétaire">
      <calculatedColumnFormula>IFERROR(IF(OR(TABLEAUJ03[[#This Row],[Code TVA C]]="",TABLEAUJ03[[#This Row],[Code TVA C]]="NA"),"",TABLEAUJ03[[#This Row],[Crédit TTC]]/(1+VLOOKUP(TABLEAUJ03[[#This Row],[Code TVA C]],MATRICETVA[],2,FALSE))*VLOOKUP(TABLEAUJ03[[#This Row],[Code TVA C]],MATRICETVA[],2,FALSE)),"")</calculatedColumnFormula>
      <totalsRowFormula>IFERROR(SUBTOTAL(109,TABLEAUJ03[TVA collectée]),"")</totalsRowFormula>
    </tableColumn>
    <tableColumn id="24" xr3:uid="{B691CE9F-CFBB-4C5A-B8B2-40D564734CA6}" name="Crédit TTC" totalsRowFunction="custom" dataDxfId="770" totalsRowDxfId="769" dataCellStyle="Monétaire">
      <calculatedColumnFormula>IFERROR(IF(OR(TABLEAUJ03[[#This Row],[Code TVA C]]="",TABLEAUJ03[[#This Row],[Code TVA C]]="NA"),"",TABLEAUJ03[[#This Row],[Crédit]]),"")</calculatedColumnFormula>
      <totalsRowFormula>IFERROR(SUBTOTAL(109,TABLEAUJ03[Crédit TTC]),"")</totalsRowFormula>
    </tableColumn>
    <tableColumn id="25" xr3:uid="{EE4D9194-F6D9-4CC3-8064-A489B41200B3}" name="Contrôle 3" dataDxfId="768" totalsRowDxfId="767" dataCellStyle="Monétaire">
      <calculatedColumnFormula>IFERROR(IF(AND(TABLEAUJ03[[#This Row],[Débit]]&lt;&gt;"",TABLEAUJ03[[#This Row],[Crédit]]&lt;&gt;""),FALSE,TRUE),"")</calculatedColumnFormula>
    </tableColumn>
    <tableColumn id="26" xr3:uid="{6F7E7E25-0BBF-4271-B280-D20521D0AFD8}" name="Code TVA A" dataDxfId="766" totalsRowDxfId="765" dataCellStyle="Monétaire">
      <calculatedColumnFormula>IFERROR(VLOOKUP(TABLEAUJ03[[#This Row],[Catégorie]],MATRICECATEGORIE[],2,FALSE),"")</calculatedColumnFormula>
    </tableColumn>
    <tableColumn id="27" xr3:uid="{0077A694-B246-4AF3-91D3-473094CACF5A}" name="Code TVA M" dataDxfId="764" totalsRowDxfId="763" dataCellStyle="Monétaire"/>
    <tableColumn id="16" xr3:uid="{6E924F14-E1B5-443B-BA5A-58C4974A219E}" name="Contrôle 4" dataDxfId="762" totalsRowDxfId="761" dataCellStyle="Normal">
      <calculatedColumnFormula>IFERROR(IF(AND(TABLEAUJ03[[#This Row],[Code TVA D]]&lt;&gt;"",TABLEAUJ03[[#This Row],[Code TVA C]]&lt;&gt;""),FALSE,TRUE),"")</calculatedColumnFormula>
    </tableColumn>
    <tableColumn id="31" xr3:uid="{BFC618DC-80FA-4EAA-BF40-2F5C824CD5C4}" name="Contrôle 5" dataDxfId="760" totalsRowDxfId="759"/>
    <tableColumn id="32" xr3:uid="{7B8B3C15-D5FF-41CF-8242-3F3B9DCB7252}" name="Contrôle 6" dataDxfId="758" totalsRowDxfId="757"/>
    <tableColumn id="18" xr3:uid="{4C1AD8D6-F2EC-4EB1-A2CD-D17D54CA2BA9}" name="AJOUT DE LIGNE" dataDxfId="756" totalsRowDxfId="755"/>
  </tableColumns>
  <tableStyleInfo name="Style de tableau 1" showFirstColumn="0" showLastColumn="0" showRowStripes="0" showColumnStripes="1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050E7D59-4207-4F2D-8786-9E119C16951D}" name="TABLEAUJ04" displayName="TABLEAUJ04" ref="B14:AD16" totalsRowCount="1" headerRowDxfId="754" totalsRowDxfId="751" headerRowBorderDxfId="753" tableBorderDxfId="752" totalsRowBorderDxfId="750">
  <autoFilter ref="B14:AD15" xr:uid="{258CBC08-D595-4B91-827B-13E638BD2A1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73FDB675-363D-4591-8C88-411BBBD63599}" name="Date" totalsRowLabel="Totaux" dataDxfId="749" totalsRowDxfId="748"/>
    <tableColumn id="17" xr3:uid="{68E88A5F-9370-43AF-BA9F-857BCADCA6DA}" name="Échéancier" dataDxfId="747" totalsRowDxfId="746">
      <calculatedColumnFormula array="1">IFERROR(IF(TABLEAUJ04[[#This Row],[Date]]="","",IF(YEAR(TABLEAUJ04[[#This Row],[Date]])*12+MONTH(TABLEAUJ04[[#This Row],[Date]])-YEAR(INDEX(TABLEAUECHEANCE[1EREECHEANCE],MATCH(1,(TABLEAUECHEANCE[CATEGORIEECHEANCE]=TABLEAUJ04[[#This Row],[Catégorie]])*(TABLEAUECHEANCE[TIERSECHEANCE]=TABLEAUJ04[[#This Row],[Payé à]]),0)) )*12-MONTH(INDEX(TABLEAUECHEANCE[1EREECHEANCE],MATCH(1,(TABLEAUECHEANCE[CATEGORIEECHEANCE]=TABLEAUJ04[[#This Row],[Catégorie]])*(TABLEAUECHEANCE[TIERSECHEANCE]=TABLEAUJ04[[#This Row],[Payé à]]),0)) )+1&gt;INDEX(TABLEAUECHEANCE[NBECHEANCE],MATCH(1,(TABLEAUECHEANCE[CATEGORIEECHEANCE]=TABLEAUJ04[[#This Row],[Catégorie]])*(TABLEAUECHEANCE[TIERSECHEANCE]=TABLEAUJ04[[#This Row],[Payé à]]),0)),"HE",CONCATENATE(IF(INDEX(TABLEAUECHEANCE[1EREECHEANCE],MATCH(1,(TABLEAUECHEANCE[CATEGORIEECHEANCE]=TABLEAUJ04[[#This Row],[Catégorie]])*(TABLEAUECHEANCE[TIERSECHEANCE]=TABLEAUJ04[[#This Row],[Payé à]]),0)) ="","",YEAR(TABLEAUJ04[[#This Row],[Date]])*12+MONTH(TABLEAUJ04[[#This Row],[Date]])-YEAR(INDEX(TABLEAUECHEANCE[1EREECHEANCE],MATCH(1,(TABLEAUECHEANCE[CATEGORIEECHEANCE]=TABLEAUJ04[[#This Row],[Catégorie]])*(TABLEAUECHEANCE[TIERSECHEANCE]=TABLEAUJ04[[#This Row],[Payé à]]),0)) )*12-MONTH(INDEX(TABLEAUECHEANCE[1EREECHEANCE],MATCH(1,(TABLEAUECHEANCE[CATEGORIEECHEANCE]=TABLEAUJ04[[#This Row],[Catégorie]])*(TABLEAUECHEANCE[TIERSECHEANCE]=TABLEAUJ04[[#This Row],[Payé à]]),0)) )+1)," sur ",INDEX(TABLEAUECHEANCE[NBECHEANCE],MATCH(1,(TABLEAUECHEANCE[CATEGORIEECHEANCE]=TABLEAUJ04[[#This Row],[Catégorie]])*(TABLEAUECHEANCE[TIERSECHEANCE]=TABLEAUJ04[[#This Row],[Payé à]]),0))))),"")</calculatedColumnFormula>
    </tableColumn>
    <tableColumn id="2" xr3:uid="{7D7CBCF4-A98D-4145-81E4-9E0DB7649CE3}" name="Mode de règlement" dataDxfId="745" totalsRowDxfId="744"/>
    <tableColumn id="19" xr3:uid="{9E463554-D809-43B3-83E2-FF9DEF2AED8C}" name="Références réglement" dataDxfId="743" totalsRowDxfId="742"/>
    <tableColumn id="3" xr3:uid="{6B9CFD66-2718-482E-8AFF-62148CC701EC}" name="Catégorie" dataDxfId="741" totalsRowDxfId="740"/>
    <tableColumn id="4" xr3:uid="{12F6428B-691B-40D5-A8BD-EC55D76A98A1}" name="Payé par" dataDxfId="739" totalsRowDxfId="738"/>
    <tableColumn id="20" xr3:uid="{58CFECC1-E636-4E92-9DD1-FB75E6C973F0}" name="Pièce comptable" dataDxfId="737" totalsRowDxfId="736"/>
    <tableColumn id="5" xr3:uid="{FA002CE2-8F10-4D05-AF3F-746A139DC428}" name="Commentaires" dataDxfId="735" totalsRowDxfId="734"/>
    <tableColumn id="6" xr3:uid="{C79A7664-49E8-4EAC-8CDF-9BE68B12F38D}" name="Payé à" dataDxfId="733" totalsRowDxfId="732"/>
    <tableColumn id="8" xr3:uid="{5B5BF349-3BE3-4897-BF61-95D4B6B4EBB8}" name="Débit" totalsRowFunction="custom" dataDxfId="731" totalsRowDxfId="730" dataCellStyle="Monétaire">
      <totalsRowFormula>IFERROR(SUBTOTAL(109,TABLEAUJ04[Débit]),"")</totalsRowFormula>
    </tableColumn>
    <tableColumn id="10" xr3:uid="{0F4456DD-A7CA-4ECC-9049-F3D6FDC040C3}" name="Crédit" totalsRowFunction="custom" dataDxfId="729" totalsRowDxfId="728" dataCellStyle="Monétaire">
      <totalsRowFormula>IFERROR(SUBTOTAL(109,TABLEAUJ04[Crédit]),"")</totalsRowFormula>
    </tableColumn>
    <tableColumn id="11" xr3:uid="{534FDD32-07AC-480D-BD80-BD0F64114DF8}" name="Solde bancaire" totalsRowFunction="custom" dataDxfId="727" totalsRowDxfId="726" dataCellStyle="Monétaire">
      <calculatedColumnFormula>IFERROR(IF(ROW()=ROW($B$15),SUM($M$12,-TABLEAUJ04[[#This Row],[Débit]],TABLEAUJ04[[#This Row],[Crédit]]),SUM(M14,-TABLEAUJ04[[#This Row],[Débit]],TABLEAUJ04[[#This Row],[Crédit]])),"")</calculatedColumnFormula>
      <totalsRowFormula>IFERROR(SUM($M$12,-TABLEAUJ04[[#Totals],[Débit]],TABLEAUJ04[[#Totals],[Crédit]]),"")</totalsRowFormula>
    </tableColumn>
    <tableColumn id="21" xr3:uid="{F19C59D8-59AE-495A-844D-E4913C8118CE}" name="Contrôle 1" totalsRowFunction="custom" dataDxfId="725" totalsRowDxfId="724" dataCellStyle="Normal">
      <calculatedColumnFormula>IFERROR(IF(OR(TABLEAUJ04[[#This Row],[Code TVA D]]="",TABLEAUJ04[[#This Row],[Code TVA D]]="NA"),TRUE,SUM(TABLEAUJ04[[#This Row],[Débit HT]],TABLEAUJ04[[#This Row],[TVA déductible]])=TABLEAUJ04[[#This Row],[Débit TTC]]),"")</calculatedColumnFormula>
      <totalsRowFormula>IFERROR(SUM(TABLEAUJ04[[#Totals],[Débit HT]],TABLEAUJ04[[#Totals],[TVA déductible]])=TABLEAUJ04[[#Totals],[Débit TTC]],"")</totalsRowFormula>
    </tableColumn>
    <tableColumn id="7" xr3:uid="{FBC622CF-C913-4933-BAB9-27E472526840}" name="Débit HT" totalsRowFunction="custom" dataDxfId="723" totalsRowDxfId="722" dataCellStyle="Monétaire">
      <calculatedColumnFormula>IFERROR(IF(OR(TABLEAUJ04[[#This Row],[Code TVA D]]="",TABLEAUJ04[[#This Row],[Code TVA D]]="NA"),"",TABLEAUJ04[[#This Row],[Débit TTC]]/(1+(VLOOKUP(TABLEAUJ04[[#This Row],[Code TVA D]],MATRICETVA[],2,FALSE)))),"")</calculatedColumnFormula>
      <totalsRowFormula>IFERROR(SUBTOTAL(109,TABLEAUJ04[Débit HT]),"")</totalsRowFormula>
    </tableColumn>
    <tableColumn id="12" xr3:uid="{8539F9CB-6E22-48AC-91B3-093CE28C7A80}" name="Code TVA D" dataDxfId="721" totalsRowDxfId="720" dataCellStyle="Monétaire">
      <calculatedColumnFormula>IFERROR(IF(TABLEAUJ04[[#This Row],[Débit]]&lt;&gt;"",IF(TABLEAUJ04[[#This Row],[Code TVA M]]&lt;&gt;"",TABLEAUJ04[[#This Row],[Code TVA M]],TABLEAUJ04[[#This Row],[Code TVA A]]),""),"")</calculatedColumnFormula>
    </tableColumn>
    <tableColumn id="13" xr3:uid="{95AE9A06-B2E5-4B35-8C37-38E84DFB8AFC}" name="TVA déductible" totalsRowFunction="custom" dataDxfId="719" totalsRowDxfId="718" dataCellStyle="Monétaire">
      <calculatedColumnFormula>IFERROR(IF(OR(TABLEAUJ04[[#This Row],[Code TVA D]]="",TABLEAUJ04[[#This Row],[Code TVA D]]="NA"),"",TABLEAUJ04[[#This Row],[Débit TTC]]/(1+VLOOKUP(TABLEAUJ04[[#This Row],[Code TVA D]],MATRICETVA[],2,FALSE))*VLOOKUP(TABLEAUJ04[[#This Row],[Code TVA D]],MATRICETVA[],2,FALSE)),"")</calculatedColumnFormula>
      <totalsRowFormula>IFERROR(SUBTOTAL(109,TABLEAUJ04[TVA déductible]),"")</totalsRowFormula>
    </tableColumn>
    <tableColumn id="22" xr3:uid="{17228F7F-8C52-42EE-AE6B-CC6241F70087}" name="Débit TTC" totalsRowFunction="custom" dataDxfId="717" totalsRowDxfId="716" dataCellStyle="Monétaire">
      <calculatedColumnFormula>IFERROR(IF(OR(TABLEAUJ04[[#This Row],[Code TVA D]]="",TABLEAUJ04[[#This Row],[Code TVA D]]="NA"),"",TABLEAUJ04[[#This Row],[Débit]]),"")</calculatedColumnFormula>
      <totalsRowFormula>IFERROR(SUBTOTAL(109,TABLEAUJ04[Débit TTC]),"")</totalsRowFormula>
    </tableColumn>
    <tableColumn id="23" xr3:uid="{63556685-D6F8-4E8A-8F54-4F18163A5998}" name="Contrôle 2" totalsRowFunction="custom" dataDxfId="715" totalsRowDxfId="714" dataCellStyle="Normal">
      <calculatedColumnFormula>IFERROR(IF(OR(TABLEAUJ04[[#This Row],[Code TVA C]]="",TABLEAUJ04[[#This Row],[Code TVA C]]="NA"),TRUE,SUM(TABLEAUJ04[[#This Row],[Crédit HT]],TABLEAUJ04[[#This Row],[TVA collectée]])=TABLEAUJ04[[#This Row],[Crédit TTC]]),"")</calculatedColumnFormula>
      <totalsRowFormula>IFERROR(SUM(TABLEAUJ04[[#Totals],[Crédit HT]],TABLEAUJ04[[#Totals],[TVA collectée]])=TABLEAUJ04[[#Totals],[Crédit TTC]],"")</totalsRowFormula>
    </tableColumn>
    <tableColumn id="9" xr3:uid="{4CF5FC35-445E-4479-B272-DD386127DCB6}" name="Crédit HT" totalsRowFunction="custom" dataDxfId="713" totalsRowDxfId="712" dataCellStyle="Monétaire">
      <calculatedColumnFormula>IFERROR(IF(OR(TABLEAUJ04[[#This Row],[Code TVA C]]="",TABLEAUJ04[[#This Row],[Code TVA C]]="NA"),"",TABLEAUJ04[[#This Row],[Crédit TTC]]/(1+(VLOOKUP(TABLEAUJ04[[#This Row],[Code TVA C]],MATRICETVA[],2,FALSE)))),"")</calculatedColumnFormula>
      <totalsRowFormula>IFERROR(SUBTOTAL(109,TABLEAUJ04[Crédit HT]),"")</totalsRowFormula>
    </tableColumn>
    <tableColumn id="14" xr3:uid="{6A105E0E-BB0F-4C78-9C04-777630C52277}" name="Code TVA C" dataDxfId="711" totalsRowDxfId="710" dataCellStyle="Monétaire">
      <calculatedColumnFormula>IFERROR(IF(TABLEAUJ04[[#This Row],[Crédit]]&lt;&gt;"",IF(TABLEAUJ04[[#This Row],[Code TVA M]]&lt;&gt;"",TABLEAUJ04[[#This Row],[Code TVA M]],TABLEAUJ04[[#This Row],[Code TVA A]]),""),"")</calculatedColumnFormula>
    </tableColumn>
    <tableColumn id="15" xr3:uid="{82D7F6F6-6156-4DE9-96F2-C8C13AAECD42}" name="TVA collectée" totalsRowFunction="custom" dataDxfId="709" totalsRowDxfId="708" dataCellStyle="Monétaire">
      <calculatedColumnFormula>IFERROR(IF(OR(TABLEAUJ04[[#This Row],[Code TVA C]]="",TABLEAUJ04[[#This Row],[Code TVA C]]="NA"),"",TABLEAUJ04[[#This Row],[Crédit TTC]]/(1+VLOOKUP(TABLEAUJ04[[#This Row],[Code TVA C]],MATRICETVA[],2,FALSE))*VLOOKUP(TABLEAUJ04[[#This Row],[Code TVA C]],MATRICETVA[],2,FALSE)),"")</calculatedColumnFormula>
      <totalsRowFormula>IFERROR(SUBTOTAL(109,TABLEAUJ04[TVA collectée]),"")</totalsRowFormula>
    </tableColumn>
    <tableColumn id="24" xr3:uid="{3A613022-472B-485F-BE04-9D225630045A}" name="Crédit TTC" totalsRowFunction="custom" dataDxfId="707" totalsRowDxfId="706" dataCellStyle="Monétaire">
      <calculatedColumnFormula>IFERROR(IF(OR(TABLEAUJ04[[#This Row],[Code TVA C]]="",TABLEAUJ04[[#This Row],[Code TVA C]]="NA"),"",TABLEAUJ04[[#This Row],[Crédit]]),"")</calculatedColumnFormula>
      <totalsRowFormula>IFERROR(SUBTOTAL(109,TABLEAUJ04[Crédit TTC]),"")</totalsRowFormula>
    </tableColumn>
    <tableColumn id="25" xr3:uid="{7848BFE4-63CA-4119-A330-BCCDC483CADF}" name="Contrôle 3" dataDxfId="705" totalsRowDxfId="704" dataCellStyle="Monétaire">
      <calculatedColumnFormula>IFERROR(IF(AND(TABLEAUJ04[[#This Row],[Débit]]&lt;&gt;"",TABLEAUJ04[[#This Row],[Crédit]]&lt;&gt;""),FALSE,TRUE),"")</calculatedColumnFormula>
    </tableColumn>
    <tableColumn id="26" xr3:uid="{1DB20A7E-045D-4F74-B639-19BB026409F7}" name="Code TVA A" dataDxfId="703" totalsRowDxfId="702" dataCellStyle="Monétaire">
      <calculatedColumnFormula>IFERROR(VLOOKUP(TABLEAUJ04[[#This Row],[Catégorie]],MATRICECATEGORIE[],2,FALSE),"")</calculatedColumnFormula>
    </tableColumn>
    <tableColumn id="27" xr3:uid="{C82B26AB-7370-4237-AEB7-7F56000B4854}" name="Code TVA M" dataDxfId="701" totalsRowDxfId="700" dataCellStyle="Monétaire"/>
    <tableColumn id="16" xr3:uid="{A6540241-B7ED-4A89-AE9F-B30FE04BCA9B}" name="Contrôle 4" dataDxfId="699" totalsRowDxfId="698" dataCellStyle="Normal">
      <calculatedColumnFormula>IFERROR(IF(AND(TABLEAUJ04[[#This Row],[Code TVA D]]&lt;&gt;"",TABLEAUJ04[[#This Row],[Code TVA C]]&lt;&gt;""),FALSE,TRUE),"")</calculatedColumnFormula>
    </tableColumn>
    <tableColumn id="31" xr3:uid="{EA2AEEBC-7C03-4775-B8BC-6DA3E9F5B7EA}" name="Contrôle 5" dataDxfId="697" totalsRowDxfId="696"/>
    <tableColumn id="32" xr3:uid="{DD24D94E-8CD9-40F7-A8BD-CC97BC7081DD}" name="Contrôle 6" dataDxfId="695" totalsRowDxfId="694"/>
    <tableColumn id="18" xr3:uid="{4ED0B0E7-A191-4233-86E2-02072EAD3854}" name="AJOUT DE LIGNE" dataDxfId="693" totalsRowDxfId="692"/>
  </tableColumns>
  <tableStyleInfo name="Style de tableau 1" showFirstColumn="0" showLastColumn="0" showRowStripes="0" showColumnStripes="1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333B13D4-FD3F-4677-82DF-8EE7EFC478F8}" name="TABLEAUJ05" displayName="TABLEAUJ05" ref="B14:AD16" totalsRowCount="1" headerRowDxfId="691" totalsRowDxfId="688" headerRowBorderDxfId="690" tableBorderDxfId="689" totalsRowBorderDxfId="687">
  <autoFilter ref="B14:AD15" xr:uid="{CEA07D99-B16F-41FB-9BC0-2F2DB108672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999F6981-C581-4BDB-8D6C-0AAA052CC435}" name="Date" totalsRowLabel="Totaux" dataDxfId="686" totalsRowDxfId="685"/>
    <tableColumn id="17" xr3:uid="{49661513-7C34-4601-9FE6-3100A2CDE8A6}" name="Échéancier" dataDxfId="684" totalsRowDxfId="683">
      <calculatedColumnFormula array="1">IFERROR(IF(TABLEAUJ05[[#This Row],[Date]]="","",IF(YEAR(TABLEAUJ05[[#This Row],[Date]])*12+MONTH(TABLEAUJ05[[#This Row],[Date]])-YEAR(INDEX(TABLEAUECHEANCE[1EREECHEANCE],MATCH(1,(TABLEAUECHEANCE[CATEGORIEECHEANCE]=TABLEAUJ05[[#This Row],[Catégorie]])*(TABLEAUECHEANCE[TIERSECHEANCE]=TABLEAUJ05[[#This Row],[Payé à]]),0)) )*12-MONTH(INDEX(TABLEAUECHEANCE[1EREECHEANCE],MATCH(1,(TABLEAUECHEANCE[CATEGORIEECHEANCE]=TABLEAUJ05[[#This Row],[Catégorie]])*(TABLEAUECHEANCE[TIERSECHEANCE]=TABLEAUJ05[[#This Row],[Payé à]]),0)) )+1&gt;INDEX(TABLEAUECHEANCE[NBECHEANCE],MATCH(1,(TABLEAUECHEANCE[CATEGORIEECHEANCE]=TABLEAUJ05[[#This Row],[Catégorie]])*(TABLEAUECHEANCE[TIERSECHEANCE]=TABLEAUJ05[[#This Row],[Payé à]]),0)),"HE",CONCATENATE(IF(INDEX(TABLEAUECHEANCE[1EREECHEANCE],MATCH(1,(TABLEAUECHEANCE[CATEGORIEECHEANCE]=TABLEAUJ05[[#This Row],[Catégorie]])*(TABLEAUECHEANCE[TIERSECHEANCE]=TABLEAUJ05[[#This Row],[Payé à]]),0)) ="","",YEAR(TABLEAUJ05[[#This Row],[Date]])*12+MONTH(TABLEAUJ05[[#This Row],[Date]])-YEAR(INDEX(TABLEAUECHEANCE[1EREECHEANCE],MATCH(1,(TABLEAUECHEANCE[CATEGORIEECHEANCE]=TABLEAUJ05[[#This Row],[Catégorie]])*(TABLEAUECHEANCE[TIERSECHEANCE]=TABLEAUJ05[[#This Row],[Payé à]]),0)) )*12-MONTH(INDEX(TABLEAUECHEANCE[1EREECHEANCE],MATCH(1,(TABLEAUECHEANCE[CATEGORIEECHEANCE]=TABLEAUJ05[[#This Row],[Catégorie]])*(TABLEAUECHEANCE[TIERSECHEANCE]=TABLEAUJ05[[#This Row],[Payé à]]),0)) )+1)," sur ",INDEX(TABLEAUECHEANCE[NBECHEANCE],MATCH(1,(TABLEAUECHEANCE[CATEGORIEECHEANCE]=TABLEAUJ05[[#This Row],[Catégorie]])*(TABLEAUECHEANCE[TIERSECHEANCE]=TABLEAUJ05[[#This Row],[Payé à]]),0))))),"")</calculatedColumnFormula>
    </tableColumn>
    <tableColumn id="2" xr3:uid="{61DCC488-C010-4775-AA1E-DCB588A50E83}" name="Mode de règlement" dataDxfId="682" totalsRowDxfId="681"/>
    <tableColumn id="19" xr3:uid="{11264DAB-C48D-4719-93CF-94105193C1A4}" name="Références réglement" dataDxfId="680" totalsRowDxfId="679"/>
    <tableColumn id="3" xr3:uid="{4F3B503C-EA73-4B87-91F9-0CE712BC55DF}" name="Catégorie" dataDxfId="678" totalsRowDxfId="677"/>
    <tableColumn id="4" xr3:uid="{85E030D0-17F9-4A9F-B569-4FB08E1E4C36}" name="Payé par" dataDxfId="676" totalsRowDxfId="675"/>
    <tableColumn id="20" xr3:uid="{5E48DD92-9DD9-4F70-84D1-C0B49C05DAFD}" name="Pièce comptable" dataDxfId="674" totalsRowDxfId="673"/>
    <tableColumn id="5" xr3:uid="{177E919E-EA1E-4F00-95FF-B773B3F90483}" name="Commentaires" dataDxfId="672" totalsRowDxfId="671"/>
    <tableColumn id="6" xr3:uid="{0124E3E9-FD45-4ECE-AE59-8D0D53D05BFB}" name="Payé à" dataDxfId="670" totalsRowDxfId="669"/>
    <tableColumn id="8" xr3:uid="{E0DABE18-10ED-436E-8860-65284E54C9B2}" name="Débit" dataDxfId="668" totalsRowDxfId="667" dataCellStyle="Monétaire"/>
    <tableColumn id="10" xr3:uid="{37FADA82-9FE5-47B1-8BAE-82D548195D43}" name="Crédit" totalsRowFunction="custom" dataDxfId="666" totalsRowDxfId="665" dataCellStyle="Monétaire">
      <totalsRowFormula>IFERROR(SUBTOTAL(109,TABLEAUJ05[Crédit]),"")</totalsRowFormula>
    </tableColumn>
    <tableColumn id="11" xr3:uid="{E5BD3E1C-12AF-4044-B13D-C4888638BDAF}" name="Solde bancaire" totalsRowFunction="custom" dataDxfId="664" totalsRowDxfId="663" dataCellStyle="Monétaire">
      <calculatedColumnFormula>IFERROR(IF(ROW()=ROW($B$15),SUM($M$12,-TABLEAUJ05[[#This Row],[Débit]],TABLEAUJ05[[#This Row],[Crédit]]),SUM(M14,-TABLEAUJ05[[#This Row],[Débit]],TABLEAUJ05[[#This Row],[Crédit]])),"")</calculatedColumnFormula>
      <totalsRowFormula>IFERROR(SUM($M$12,-TABLEAUJ05[[#Totals],[Débit]],TABLEAUJ05[[#Totals],[Crédit]]),"")</totalsRowFormula>
    </tableColumn>
    <tableColumn id="21" xr3:uid="{A7481991-C3E4-4197-B513-6DDB4745F7FD}" name="Contrôle 1" totalsRowFunction="custom" dataDxfId="662" totalsRowDxfId="661" dataCellStyle="Normal">
      <calculatedColumnFormula>IFERROR(IF(OR(TABLEAUJ05[[#This Row],[Code TVA D]]="",TABLEAUJ05[[#This Row],[Code TVA D]]="NA"),TRUE,SUM(TABLEAUJ05[[#This Row],[Débit HT]],TABLEAUJ05[[#This Row],[TVA déductible]])=TABLEAUJ05[[#This Row],[Débit TTC]]),"")</calculatedColumnFormula>
      <totalsRowFormula>IFERROR(SUM(TABLEAUJ05[[#Totals],[Débit HT]],TABLEAUJ05[[#Totals],[TVA déductible]])=TABLEAUJ05[[#Totals],[Débit TTC]],"")</totalsRowFormula>
    </tableColumn>
    <tableColumn id="7" xr3:uid="{4D38D153-5E78-4E08-BD3E-8C806CAFB513}" name="Débit HT" totalsRowFunction="custom" dataDxfId="660" totalsRowDxfId="659" dataCellStyle="Monétaire">
      <calculatedColumnFormula>IFERROR(IF(OR(TABLEAUJ05[[#This Row],[Code TVA D]]="",TABLEAUJ05[[#This Row],[Code TVA D]]="NA"),"",TABLEAUJ05[[#This Row],[Débit TTC]]/(1+(VLOOKUP(TABLEAUJ05[[#This Row],[Code TVA D]],MATRICETVA[],2,FALSE)))),"")</calculatedColumnFormula>
      <totalsRowFormula>IFERROR(SUBTOTAL(109,TABLEAUJ05[Débit HT]),"")</totalsRowFormula>
    </tableColumn>
    <tableColumn id="12" xr3:uid="{5A4F8F89-26AA-4E5D-BD00-5BC3B8F38A69}" name="Code TVA D" dataDxfId="658" totalsRowDxfId="657" dataCellStyle="Monétaire">
      <calculatedColumnFormula>IFERROR(IF(TABLEAUJ05[[#This Row],[Débit]]&lt;&gt;"",IF(TABLEAUJ05[[#This Row],[Code TVA M]]&lt;&gt;"",TABLEAUJ05[[#This Row],[Code TVA M]],TABLEAUJ05[[#This Row],[Code TVA A]]),""),"")</calculatedColumnFormula>
    </tableColumn>
    <tableColumn id="13" xr3:uid="{53768AAF-DF7F-41F6-AD90-93CC2A719C38}" name="TVA déductible" totalsRowFunction="custom" dataDxfId="656" totalsRowDxfId="655" dataCellStyle="Monétaire">
      <calculatedColumnFormula>IFERROR(IF(OR(TABLEAUJ05[[#This Row],[Code TVA D]]="",TABLEAUJ05[[#This Row],[Code TVA D]]="NA"),"",TABLEAUJ05[[#This Row],[Débit TTC]]/(1+VLOOKUP(TABLEAUJ05[[#This Row],[Code TVA D]],MATRICETVA[],2,FALSE))*VLOOKUP(TABLEAUJ05[[#This Row],[Code TVA D]],MATRICETVA[],2,FALSE)),"")</calculatedColumnFormula>
      <totalsRowFormula>IFERROR(SUBTOTAL(109,TABLEAUJ05[TVA déductible]),"")</totalsRowFormula>
    </tableColumn>
    <tableColumn id="22" xr3:uid="{9A1FA11F-A334-4DE7-A49A-C10E265E381D}" name="Débit TTC" totalsRowFunction="custom" dataDxfId="654" totalsRowDxfId="653" dataCellStyle="Monétaire">
      <calculatedColumnFormula>IFERROR(IF(OR(TABLEAUJ05[[#This Row],[Code TVA D]]="",TABLEAUJ05[[#This Row],[Code TVA D]]="NA"),"",TABLEAUJ05[[#This Row],[Débit]]),"")</calculatedColumnFormula>
      <totalsRowFormula>IFERROR(SUBTOTAL(109,TABLEAUJ05[Débit TTC]),"")</totalsRowFormula>
    </tableColumn>
    <tableColumn id="23" xr3:uid="{61652723-17AE-42E1-954D-5E76E2454640}" name="Contrôle 2" totalsRowFunction="custom" dataDxfId="652" totalsRowDxfId="651" dataCellStyle="Normal">
      <calculatedColumnFormula>IFERROR(IF(OR(TABLEAUJ05[[#This Row],[Code TVA C]]="",TABLEAUJ05[[#This Row],[Code TVA C]]="NA"),TRUE,SUM(TABLEAUJ05[[#This Row],[Crédit HT]],TABLEAUJ05[[#This Row],[TVA collectée]])=TABLEAUJ05[[#This Row],[Crédit TTC]]),"")</calculatedColumnFormula>
      <totalsRowFormula>IFERROR(SUM(TABLEAUJ05[[#Totals],[Crédit HT]],TABLEAUJ05[[#Totals],[TVA collectée]])=TABLEAUJ05[[#Totals],[Crédit TTC]],"")</totalsRowFormula>
    </tableColumn>
    <tableColumn id="9" xr3:uid="{E6874DE8-571B-43B0-B0D3-DE80BC9AA85D}" name="Crédit HT" totalsRowFunction="custom" dataDxfId="650" totalsRowDxfId="649" dataCellStyle="Monétaire">
      <calculatedColumnFormula>IFERROR(IF(OR(TABLEAUJ05[[#This Row],[Code TVA C]]="",TABLEAUJ05[[#This Row],[Code TVA C]]="NA"),"",TABLEAUJ05[[#This Row],[Crédit TTC]]/(1+(VLOOKUP(TABLEAUJ05[[#This Row],[Code TVA C]],MATRICETVA[],2,FALSE)))),"")</calculatedColumnFormula>
      <totalsRowFormula>IFERROR(SUBTOTAL(109,TABLEAUJ05[Crédit HT]),"")</totalsRowFormula>
    </tableColumn>
    <tableColumn id="14" xr3:uid="{E5D1951D-8339-4A94-BEF1-39F20CF902E9}" name="Code TVA C" dataDxfId="648" totalsRowDxfId="647" dataCellStyle="Monétaire">
      <calculatedColumnFormula>IFERROR(IF(TABLEAUJ05[[#This Row],[Crédit]]&lt;&gt;"",IF(TABLEAUJ05[[#This Row],[Code TVA M]]&lt;&gt;"",TABLEAUJ05[[#This Row],[Code TVA M]],TABLEAUJ05[[#This Row],[Code TVA A]]),""),"")</calculatedColumnFormula>
    </tableColumn>
    <tableColumn id="15" xr3:uid="{D2399403-9036-43F2-8497-8723E2B47FF7}" name="TVA collectée" totalsRowFunction="custom" dataDxfId="646" totalsRowDxfId="645" dataCellStyle="Monétaire">
      <calculatedColumnFormula>IFERROR(IF(OR(TABLEAUJ05[[#This Row],[Code TVA C]]="",TABLEAUJ05[[#This Row],[Code TVA C]]="NA"),"",TABLEAUJ05[[#This Row],[Crédit TTC]]/(1+VLOOKUP(TABLEAUJ05[[#This Row],[Code TVA C]],MATRICETVA[],2,FALSE))*VLOOKUP(TABLEAUJ05[[#This Row],[Code TVA C]],MATRICETVA[],2,FALSE)),"")</calculatedColumnFormula>
      <totalsRowFormula>IFERROR(SUBTOTAL(109,TABLEAUJ05[TVA collectée]),"")</totalsRowFormula>
    </tableColumn>
    <tableColumn id="24" xr3:uid="{70E48D76-CDCE-448D-B585-D047FA0A933E}" name="Crédit TTC" totalsRowFunction="custom" dataDxfId="644" totalsRowDxfId="643" dataCellStyle="Monétaire">
      <calculatedColumnFormula>IFERROR(IF(OR(TABLEAUJ05[[#This Row],[Code TVA C]]="",TABLEAUJ05[[#This Row],[Code TVA C]]="NA"),"",TABLEAUJ05[[#This Row],[Crédit]]),"")</calculatedColumnFormula>
      <totalsRowFormula>IFERROR(SUBTOTAL(109,TABLEAUJ05[Crédit TTC]),"")</totalsRowFormula>
    </tableColumn>
    <tableColumn id="25" xr3:uid="{055FA7BE-6ED0-41EE-9130-C07E7C0A3CB0}" name="Contrôle 3" dataDxfId="642" totalsRowDxfId="641" dataCellStyle="Monétaire">
      <calculatedColumnFormula>IFERROR(IF(AND(TABLEAUJ05[[#This Row],[Débit]]&lt;&gt;"",TABLEAUJ05[[#This Row],[Crédit]]&lt;&gt;""),FALSE,TRUE),"")</calculatedColumnFormula>
    </tableColumn>
    <tableColumn id="26" xr3:uid="{2BAFB07A-E9BC-4109-8DD7-CE34E8F73E62}" name="Code TVA A" dataDxfId="640" totalsRowDxfId="639" dataCellStyle="Monétaire">
      <calculatedColumnFormula>IFERROR(VLOOKUP(TABLEAUJ05[[#This Row],[Catégorie]],MATRICECATEGORIE[],2,FALSE),"")</calculatedColumnFormula>
    </tableColumn>
    <tableColumn id="27" xr3:uid="{269F28CE-D968-484D-99A8-431094539460}" name="Code TVA M" dataDxfId="638" totalsRowDxfId="637" dataCellStyle="Monétaire"/>
    <tableColumn id="16" xr3:uid="{4AD146B5-5825-4E58-8279-A555A040D485}" name="Contrôle 4" dataDxfId="636" totalsRowDxfId="635" dataCellStyle="Normal">
      <calculatedColumnFormula>IFERROR(IF(AND(TABLEAUJ05[[#This Row],[Code TVA D]]&lt;&gt;"",TABLEAUJ05[[#This Row],[Code TVA C]]&lt;&gt;""),FALSE,TRUE),"")</calculatedColumnFormula>
    </tableColumn>
    <tableColumn id="31" xr3:uid="{A31231FA-CF26-4FD9-A4AC-19B3C7EF4D64}" name="Contrôle 5" dataDxfId="634" totalsRowDxfId="633"/>
    <tableColumn id="32" xr3:uid="{AA0D752A-BFE3-4AAD-86B0-61760C7C3DAA}" name="Contrôle 6" dataDxfId="632" totalsRowDxfId="631"/>
    <tableColumn id="18" xr3:uid="{6CEBD68E-A1B7-4044-8451-788E22057506}" name="AJOUT DE LIGNE" dataDxfId="630" totalsRowDxfId="629"/>
  </tableColumns>
  <tableStyleInfo name="Style de tableau 1" showFirstColumn="0" showLastColumn="0" showRowStripes="0" showColumnStripes="1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260C8A1F-B353-4D0A-83C6-B2A0D0727B5A}" name="TABLEAUJ06" displayName="TABLEAUJ06" ref="B14:AD16" totalsRowCount="1" headerRowDxfId="628" totalsRowDxfId="625" headerRowBorderDxfId="627" tableBorderDxfId="626" totalsRowBorderDxfId="624">
  <autoFilter ref="B14:AD15" xr:uid="{C3AC5D47-DE54-45AB-9EA3-0BA04B1141C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AF4B9528-6475-41B5-8A82-B71E55B42018}" name="Date" totalsRowLabel="Totaux" dataDxfId="623" totalsRowDxfId="622"/>
    <tableColumn id="17" xr3:uid="{E7E99BD2-65FB-4612-955D-F5EBAF581EF3}" name="Échéancier" dataDxfId="621" totalsRowDxfId="620">
      <calculatedColumnFormula array="1">IFERROR(IF(TABLEAUJ06[[#This Row],[Date]]="","",IF(YEAR(TABLEAUJ06[[#This Row],[Date]])*12+MONTH(TABLEAUJ06[[#This Row],[Date]])-YEAR(INDEX(TABLEAUECHEANCE[1EREECHEANCE],MATCH(1,(TABLEAUECHEANCE[CATEGORIEECHEANCE]=TABLEAUJ06[[#This Row],[Catégorie]])*(TABLEAUECHEANCE[TIERSECHEANCE]=TABLEAUJ06[[#This Row],[Payé à]]),0)) )*12-MONTH(INDEX(TABLEAUECHEANCE[1EREECHEANCE],MATCH(1,(TABLEAUECHEANCE[CATEGORIEECHEANCE]=TABLEAUJ06[[#This Row],[Catégorie]])*(TABLEAUECHEANCE[TIERSECHEANCE]=TABLEAUJ06[[#This Row],[Payé à]]),0)) )+1&gt;INDEX(TABLEAUECHEANCE[NBECHEANCE],MATCH(1,(TABLEAUECHEANCE[CATEGORIEECHEANCE]=TABLEAUJ06[[#This Row],[Catégorie]])*(TABLEAUECHEANCE[TIERSECHEANCE]=TABLEAUJ06[[#This Row],[Payé à]]),0)),"HE",CONCATENATE(IF(INDEX(TABLEAUECHEANCE[1EREECHEANCE],MATCH(1,(TABLEAUECHEANCE[CATEGORIEECHEANCE]=TABLEAUJ06[[#This Row],[Catégorie]])*(TABLEAUECHEANCE[TIERSECHEANCE]=TABLEAUJ06[[#This Row],[Payé à]]),0)) ="","",YEAR(TABLEAUJ06[[#This Row],[Date]])*12+MONTH(TABLEAUJ06[[#This Row],[Date]])-YEAR(INDEX(TABLEAUECHEANCE[1EREECHEANCE],MATCH(1,(TABLEAUECHEANCE[CATEGORIEECHEANCE]=TABLEAUJ06[[#This Row],[Catégorie]])*(TABLEAUECHEANCE[TIERSECHEANCE]=TABLEAUJ06[[#This Row],[Payé à]]),0)) )*12-MONTH(INDEX(TABLEAUECHEANCE[1EREECHEANCE],MATCH(1,(TABLEAUECHEANCE[CATEGORIEECHEANCE]=TABLEAUJ06[[#This Row],[Catégorie]])*(TABLEAUECHEANCE[TIERSECHEANCE]=TABLEAUJ06[[#This Row],[Payé à]]),0)) )+1)," sur ",INDEX(TABLEAUECHEANCE[NBECHEANCE],MATCH(1,(TABLEAUECHEANCE[CATEGORIEECHEANCE]=TABLEAUJ06[[#This Row],[Catégorie]])*(TABLEAUECHEANCE[TIERSECHEANCE]=TABLEAUJ06[[#This Row],[Payé à]]),0))))),"")</calculatedColumnFormula>
    </tableColumn>
    <tableColumn id="2" xr3:uid="{35B65896-66A7-4365-9740-B7E42F36FB11}" name="Mode de règlement" dataDxfId="619" totalsRowDxfId="618"/>
    <tableColumn id="19" xr3:uid="{F82C1761-1ABD-4F7C-BEDB-708ED046F512}" name="Références réglement" dataDxfId="617" totalsRowDxfId="616"/>
    <tableColumn id="3" xr3:uid="{1D483969-0A64-44EE-9BEE-D25DFBC37DBC}" name="Catégorie" dataDxfId="615" totalsRowDxfId="614"/>
    <tableColumn id="4" xr3:uid="{653BA4E6-B8FC-44E7-BD09-5F2674EFDE28}" name="Payé par" dataDxfId="613" totalsRowDxfId="612"/>
    <tableColumn id="20" xr3:uid="{E6817524-45FA-44BA-BD74-C896CCCD608A}" name="Pièce comptable" dataDxfId="611" totalsRowDxfId="610"/>
    <tableColumn id="5" xr3:uid="{5EFAECDA-5C72-4F06-9BC2-CD808A7EA387}" name="Commentaires" dataDxfId="609" totalsRowDxfId="608"/>
    <tableColumn id="6" xr3:uid="{928C99EF-B848-4781-99C4-006CD97CE881}" name="Payé à" dataDxfId="607" totalsRowDxfId="606"/>
    <tableColumn id="8" xr3:uid="{1371648A-4A17-41FF-A78E-672A62A2DE22}" name="Débit" totalsRowFunction="custom" dataDxfId="605" totalsRowDxfId="604" dataCellStyle="Monétaire">
      <totalsRowFormula>IFERROR(SUBTOTAL(109,TABLEAUJ06[Débit]),"")</totalsRowFormula>
    </tableColumn>
    <tableColumn id="10" xr3:uid="{3705B3E4-B35F-4447-9BAC-20BEB9662F81}" name="Crédit" totalsRowFunction="custom" dataDxfId="603" totalsRowDxfId="602" dataCellStyle="Monétaire">
      <totalsRowFormula>IFERROR(SUBTOTAL(109,TABLEAUJ06[Crédit]),"")</totalsRowFormula>
    </tableColumn>
    <tableColumn id="11" xr3:uid="{17236561-957A-4549-BD76-ADC391F0491F}" name="Solde bancaire" totalsRowFunction="custom" dataDxfId="601" totalsRowDxfId="600" dataCellStyle="Monétaire">
      <calculatedColumnFormula>IFERROR(IF(ROW()=ROW($B$15),SUM($M$12,-TABLEAUJ06[[#This Row],[Débit]],TABLEAUJ06[[#This Row],[Crédit]]),SUM(M14,-TABLEAUJ06[[#This Row],[Débit]],TABLEAUJ06[[#This Row],[Crédit]])),"")</calculatedColumnFormula>
      <totalsRowFormula>IFERROR(SUM($M$12,-TABLEAUJ06[[#Totals],[Débit]],TABLEAUJ06[[#Totals],[Crédit]]),"")</totalsRowFormula>
    </tableColumn>
    <tableColumn id="21" xr3:uid="{18DD7A96-FB39-4CB3-9A44-97234F1D3BFC}" name="Contrôle 1" totalsRowFunction="custom" dataDxfId="599" totalsRowDxfId="598" dataCellStyle="Normal">
      <calculatedColumnFormula>IFERROR(IF(OR(TABLEAUJ06[[#This Row],[Code TVA D]]="",TABLEAUJ06[[#This Row],[Code TVA D]]="NA"),TRUE,SUM(TABLEAUJ06[[#This Row],[Débit HT]],TABLEAUJ06[[#This Row],[TVA déductible]])=TABLEAUJ06[[#This Row],[Débit TTC]]),"")</calculatedColumnFormula>
      <totalsRowFormula>IFERROR(SUM(TABLEAUJ06[[#Totals],[Débit HT]],TABLEAUJ06[[#Totals],[TVA déductible]])=TABLEAUJ06[[#Totals],[Débit TTC]],"")</totalsRowFormula>
    </tableColumn>
    <tableColumn id="7" xr3:uid="{69B99A8E-10E0-4A9F-8413-2E2FDB2B7C5F}" name="Débit HT" totalsRowFunction="custom" dataDxfId="597" totalsRowDxfId="596" dataCellStyle="Monétaire">
      <calculatedColumnFormula>IFERROR(IF(OR(TABLEAUJ06[[#This Row],[Code TVA D]]="",TABLEAUJ06[[#This Row],[Code TVA D]]="NA"),"",TABLEAUJ06[[#This Row],[Débit TTC]]/(1+(VLOOKUP(TABLEAUJ06[[#This Row],[Code TVA D]],MATRICETVA[],2,FALSE)))),"")</calculatedColumnFormula>
      <totalsRowFormula>IFERROR(SUBTOTAL(109,TABLEAUJ06[Débit HT]),"")</totalsRowFormula>
    </tableColumn>
    <tableColumn id="12" xr3:uid="{06BC574A-6888-43B9-A677-FD2F5DD20726}" name="Code TVA D" dataDxfId="595" totalsRowDxfId="594" dataCellStyle="Monétaire">
      <calculatedColumnFormula>IFERROR(IF(TABLEAUJ06[[#This Row],[Débit]]&lt;&gt;"",IF(TABLEAUJ06[[#This Row],[Code TVA M]]&lt;&gt;"",TABLEAUJ06[[#This Row],[Code TVA M]],TABLEAUJ06[[#This Row],[Code TVA A]]),""),"")</calculatedColumnFormula>
    </tableColumn>
    <tableColumn id="13" xr3:uid="{E1474B55-FE3D-49C6-BE70-1375D45E040C}" name="TVA déductible" totalsRowFunction="custom" dataDxfId="593" totalsRowDxfId="592" dataCellStyle="Monétaire">
      <calculatedColumnFormula>IFERROR(IF(OR(TABLEAUJ06[[#This Row],[Code TVA D]]="",TABLEAUJ06[[#This Row],[Code TVA D]]="NA"),"",TABLEAUJ06[[#This Row],[Débit TTC]]/(1+VLOOKUP(TABLEAUJ06[[#This Row],[Code TVA D]],MATRICETVA[],2,FALSE))*VLOOKUP(TABLEAUJ06[[#This Row],[Code TVA D]],MATRICETVA[],2,FALSE)),"")</calculatedColumnFormula>
      <totalsRowFormula>IFERROR(SUBTOTAL(109,TABLEAUJ06[TVA déductible]),"")</totalsRowFormula>
    </tableColumn>
    <tableColumn id="22" xr3:uid="{7C934C01-6911-4D1D-ADF5-8C83FFA04C72}" name="Débit TTC" totalsRowFunction="custom" dataDxfId="591" totalsRowDxfId="590" dataCellStyle="Monétaire">
      <calculatedColumnFormula>IFERROR(IF(OR(TABLEAUJ06[[#This Row],[Code TVA D]]="",TABLEAUJ06[[#This Row],[Code TVA D]]="NA"),"",TABLEAUJ06[[#This Row],[Débit]]),"")</calculatedColumnFormula>
      <totalsRowFormula>IFERROR(SUBTOTAL(109,TABLEAUJ06[Débit TTC]),"")</totalsRowFormula>
    </tableColumn>
    <tableColumn id="23" xr3:uid="{98D79E87-DFD3-40D0-AFD8-AA660D3EF7B1}" name="Contrôle 2" totalsRowFunction="custom" dataDxfId="589" totalsRowDxfId="588" dataCellStyle="Normal">
      <calculatedColumnFormula>IFERROR(IF(OR(TABLEAUJ06[[#This Row],[Code TVA C]]="",TABLEAUJ06[[#This Row],[Code TVA C]]="NA"),TRUE,SUM(TABLEAUJ06[[#This Row],[Crédit HT]],TABLEAUJ06[[#This Row],[TVA collectée]])=TABLEAUJ06[[#This Row],[Crédit TTC]]),"")</calculatedColumnFormula>
      <totalsRowFormula>IFERROR(SUM(TABLEAUJ06[[#Totals],[Crédit HT]],TABLEAUJ06[[#Totals],[TVA collectée]])=TABLEAUJ06[[#Totals],[Crédit TTC]],"")</totalsRowFormula>
    </tableColumn>
    <tableColumn id="9" xr3:uid="{3CF0713C-0266-4AB3-B586-BCFB01B27443}" name="Crédit HT" totalsRowFunction="custom" dataDxfId="587" totalsRowDxfId="586" dataCellStyle="Monétaire">
      <calculatedColumnFormula>IFERROR(IF(OR(TABLEAUJ06[[#This Row],[Code TVA C]]="",TABLEAUJ06[[#This Row],[Code TVA C]]="NA"),"",TABLEAUJ06[[#This Row],[Crédit TTC]]/(1+(VLOOKUP(TABLEAUJ06[[#This Row],[Code TVA C]],MATRICETVA[],2,FALSE)))),"")</calculatedColumnFormula>
      <totalsRowFormula>IFERROR(SUBTOTAL(109,TABLEAUJ06[Crédit HT]),"")</totalsRowFormula>
    </tableColumn>
    <tableColumn id="14" xr3:uid="{CF755919-9A1C-4939-BDEB-35D8FFBF92D0}" name="Code TVA C" dataDxfId="585" totalsRowDxfId="584" dataCellStyle="Monétaire">
      <calculatedColumnFormula>IFERROR(IF(TABLEAUJ06[[#This Row],[Crédit]]&lt;&gt;"",IF(TABLEAUJ06[[#This Row],[Code TVA M]]&lt;&gt;"",TABLEAUJ06[[#This Row],[Code TVA M]],TABLEAUJ06[[#This Row],[Code TVA A]]),""),"")</calculatedColumnFormula>
    </tableColumn>
    <tableColumn id="15" xr3:uid="{834A368D-C69D-4EFE-B3D8-F661647FA33C}" name="TVA collectée" totalsRowFunction="custom" dataDxfId="583" totalsRowDxfId="582" dataCellStyle="Monétaire">
      <calculatedColumnFormula>IFERROR(IF(OR(TABLEAUJ06[[#This Row],[Code TVA C]]="",TABLEAUJ06[[#This Row],[Code TVA C]]="NA"),"",TABLEAUJ06[[#This Row],[Crédit TTC]]/(1+VLOOKUP(TABLEAUJ06[[#This Row],[Code TVA C]],MATRICETVA[],2,FALSE))*VLOOKUP(TABLEAUJ06[[#This Row],[Code TVA C]],MATRICETVA[],2,FALSE)),"")</calculatedColumnFormula>
      <totalsRowFormula>IFERROR(SUBTOTAL(109,TABLEAUJ06[TVA collectée]),"")</totalsRowFormula>
    </tableColumn>
    <tableColumn id="24" xr3:uid="{3F27B68C-ABEE-4453-8F77-4FAC3CD84550}" name="Crédit TTC" totalsRowFunction="custom" dataDxfId="581" totalsRowDxfId="580" dataCellStyle="Monétaire">
      <calculatedColumnFormula>IFERROR(IF(OR(TABLEAUJ06[[#This Row],[Code TVA C]]="",TABLEAUJ06[[#This Row],[Code TVA C]]="NA"),"",TABLEAUJ06[[#This Row],[Crédit]]),"")</calculatedColumnFormula>
      <totalsRowFormula>IFERROR(SUBTOTAL(109,TABLEAUJ06[Crédit TTC]),"")</totalsRowFormula>
    </tableColumn>
    <tableColumn id="25" xr3:uid="{D8003752-7158-4D38-9BBE-F9F006CF265A}" name="Contrôle 3" dataDxfId="579" totalsRowDxfId="578" dataCellStyle="Monétaire">
      <calculatedColumnFormula>IFERROR(IF(AND(TABLEAUJ06[[#This Row],[Débit]]&lt;&gt;"",TABLEAUJ06[[#This Row],[Crédit]]&lt;&gt;""),FALSE,TRUE),"")</calculatedColumnFormula>
    </tableColumn>
    <tableColumn id="26" xr3:uid="{AB10B682-ACCB-43AD-8D1F-E180CBDE8948}" name="Code TVA A" dataDxfId="577" totalsRowDxfId="576" dataCellStyle="Monétaire">
      <calculatedColumnFormula>IFERROR(VLOOKUP(TABLEAUJ06[[#This Row],[Catégorie]],MATRICECATEGORIE[],2,FALSE),"")</calculatedColumnFormula>
    </tableColumn>
    <tableColumn id="27" xr3:uid="{B204781B-4632-4657-AF3B-005D08C2ED10}" name="Code TVA M" dataDxfId="575" totalsRowDxfId="574" dataCellStyle="Monétaire"/>
    <tableColumn id="16" xr3:uid="{88A73DC3-E79D-4E00-B739-732725B0C158}" name="Contrôle 4" dataDxfId="573" totalsRowDxfId="572" dataCellStyle="Normal">
      <calculatedColumnFormula>IFERROR(IF(AND(TABLEAUJ06[[#This Row],[Code TVA D]]&lt;&gt;"",TABLEAUJ06[[#This Row],[Code TVA C]]&lt;&gt;""),FALSE,TRUE),"")</calculatedColumnFormula>
    </tableColumn>
    <tableColumn id="31" xr3:uid="{65B07A77-B002-4A4D-9CE6-D02B87DD2341}" name="Contrôle 5" dataDxfId="571" totalsRowDxfId="570"/>
    <tableColumn id="32" xr3:uid="{290D14FB-290B-4195-AEAE-77E3FFFE252D}" name="Contrôle 6" dataDxfId="569" totalsRowDxfId="568"/>
    <tableColumn id="18" xr3:uid="{800A3EF0-EE4A-4FCA-9385-25AEC661E7F4}" name="AJOUT DE LIGNE" dataDxfId="567" totalsRowDxfId="566"/>
  </tableColumns>
  <tableStyleInfo name="Style de tableau 1" showFirstColumn="0" showLastColumn="0" showRowStripes="0" showColumnStripes="1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E2F56F1B-676E-48E4-814E-7BB95BAECD6A}" name="TABLEAUJ07" displayName="TABLEAUJ07" ref="B14:AD16" totalsRowCount="1" headerRowDxfId="565" totalsRowDxfId="562" headerRowBorderDxfId="564" tableBorderDxfId="563" totalsRowBorderDxfId="561">
  <autoFilter ref="B14:AD15" xr:uid="{9E694CD6-33AA-4815-93D2-71C041A2B98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6007FDBE-C004-4144-8D33-174C255952A6}" name="Date" totalsRowLabel="Totaux" dataDxfId="560" totalsRowDxfId="559"/>
    <tableColumn id="17" xr3:uid="{6FD1E88F-C49E-4943-A669-12F02D6B1D21}" name="Échéancier" dataDxfId="558" totalsRowDxfId="557">
      <calculatedColumnFormula array="1">IFERROR(IF(TABLEAUJ07[[#This Row],[Date]]="","",IF(YEAR(TABLEAUJ07[[#This Row],[Date]])*12+MONTH(TABLEAUJ07[[#This Row],[Date]])-YEAR(INDEX(TABLEAUECHEANCE[1EREECHEANCE],MATCH(1,(TABLEAUECHEANCE[CATEGORIEECHEANCE]=TABLEAUJ07[[#This Row],[Catégorie]])*(TABLEAUECHEANCE[TIERSECHEANCE]=TABLEAUJ07[[#This Row],[Payé à]]),0)) )*12-MONTH(INDEX(TABLEAUECHEANCE[1EREECHEANCE],MATCH(1,(TABLEAUECHEANCE[CATEGORIEECHEANCE]=TABLEAUJ07[[#This Row],[Catégorie]])*(TABLEAUECHEANCE[TIERSECHEANCE]=TABLEAUJ07[[#This Row],[Payé à]]),0)) )+1&gt;INDEX(TABLEAUECHEANCE[NBECHEANCE],MATCH(1,(TABLEAUECHEANCE[CATEGORIEECHEANCE]=TABLEAUJ07[[#This Row],[Catégorie]])*(TABLEAUECHEANCE[TIERSECHEANCE]=TABLEAUJ07[[#This Row],[Payé à]]),0)),"HE",CONCATENATE(IF(INDEX(TABLEAUECHEANCE[1EREECHEANCE],MATCH(1,(TABLEAUECHEANCE[CATEGORIEECHEANCE]=TABLEAUJ07[[#This Row],[Catégorie]])*(TABLEAUECHEANCE[TIERSECHEANCE]=TABLEAUJ07[[#This Row],[Payé à]]),0)) ="","",YEAR(TABLEAUJ07[[#This Row],[Date]])*12+MONTH(TABLEAUJ07[[#This Row],[Date]])-YEAR(INDEX(TABLEAUECHEANCE[1EREECHEANCE],MATCH(1,(TABLEAUECHEANCE[CATEGORIEECHEANCE]=TABLEAUJ07[[#This Row],[Catégorie]])*(TABLEAUECHEANCE[TIERSECHEANCE]=TABLEAUJ07[[#This Row],[Payé à]]),0)) )*12-MONTH(INDEX(TABLEAUECHEANCE[1EREECHEANCE],MATCH(1,(TABLEAUECHEANCE[CATEGORIEECHEANCE]=TABLEAUJ07[[#This Row],[Catégorie]])*(TABLEAUECHEANCE[TIERSECHEANCE]=TABLEAUJ07[[#This Row],[Payé à]]),0)) )+1)," sur ",INDEX(TABLEAUECHEANCE[NBECHEANCE],MATCH(1,(TABLEAUECHEANCE[CATEGORIEECHEANCE]=TABLEAUJ07[[#This Row],[Catégorie]])*(TABLEAUECHEANCE[TIERSECHEANCE]=TABLEAUJ07[[#This Row],[Payé à]]),0))))),"")</calculatedColumnFormula>
    </tableColumn>
    <tableColumn id="2" xr3:uid="{872B16A3-EB58-4375-AAB7-1718B4869F10}" name="Mode de règlement" dataDxfId="556" totalsRowDxfId="555"/>
    <tableColumn id="19" xr3:uid="{EEF884FB-9D48-48D7-BE29-9986627233B5}" name="Références réglement" dataDxfId="554" totalsRowDxfId="553"/>
    <tableColumn id="3" xr3:uid="{3A2D938C-1BCE-49DE-9760-D86021B8E4CE}" name="Catégorie" dataDxfId="552" totalsRowDxfId="551"/>
    <tableColumn id="4" xr3:uid="{85C4CB0C-122B-44E7-AE8E-141BF11F5C63}" name="Payé par" dataDxfId="550" totalsRowDxfId="549"/>
    <tableColumn id="20" xr3:uid="{A1B28D34-5EBD-4BC8-BDF0-D524994AF651}" name="Pièce comptable" dataDxfId="548" totalsRowDxfId="547"/>
    <tableColumn id="5" xr3:uid="{4247D45B-BDAA-4A4E-8CE8-BB32E396D8EE}" name="Commentaires" dataDxfId="546" totalsRowDxfId="545"/>
    <tableColumn id="6" xr3:uid="{95A6E607-2ABA-4C83-A1B2-B86B3F53ED9F}" name="Payé à" dataDxfId="544" totalsRowDxfId="543"/>
    <tableColumn id="8" xr3:uid="{8FE46627-DBB8-42E9-9366-98E4C546A37B}" name="Débit" totalsRowFunction="custom" dataDxfId="542" totalsRowDxfId="541" dataCellStyle="Monétaire">
      <totalsRowFormula>IFERROR(SUBTOTAL(109,TABLEAUJ07[Débit]),"")</totalsRowFormula>
    </tableColumn>
    <tableColumn id="10" xr3:uid="{F6E698B9-0A17-4528-8DC6-DE9771C8F8C5}" name="Crédit" totalsRowFunction="custom" dataDxfId="540" totalsRowDxfId="539" dataCellStyle="Monétaire">
      <totalsRowFormula>IFERROR(SUBTOTAL(109,TABLEAUJ07[Crédit]),"")</totalsRowFormula>
    </tableColumn>
    <tableColumn id="11" xr3:uid="{38DBBC30-A9D2-46B8-836B-9EB0F0F9BF83}" name="Solde bancaire" totalsRowFunction="custom" dataDxfId="538" totalsRowDxfId="537" dataCellStyle="Monétaire">
      <calculatedColumnFormula>IFERROR(IF(ROW()=ROW($B$15),SUM($M$12,-TABLEAUJ07[[#This Row],[Débit]],TABLEAUJ07[[#This Row],[Crédit]]),SUM(M14,-TABLEAUJ07[[#This Row],[Débit]],TABLEAUJ07[[#This Row],[Crédit]])),"")</calculatedColumnFormula>
      <totalsRowFormula>IFERROR(SUM($M$12,-TABLEAUJ07[[#Totals],[Débit]],TABLEAUJ07[[#Totals],[Crédit]]),"")</totalsRowFormula>
    </tableColumn>
    <tableColumn id="21" xr3:uid="{79630856-B9F3-4B12-BAA1-181D05A5E415}" name="Contrôle 1" totalsRowFunction="custom" dataDxfId="536" totalsRowDxfId="535" dataCellStyle="Normal">
      <calculatedColumnFormula>IFERROR(IF(OR(TABLEAUJ07[[#This Row],[Code TVA D]]="",TABLEAUJ07[[#This Row],[Code TVA D]]="NA"),TRUE,SUM(TABLEAUJ07[[#This Row],[Débit HT]],TABLEAUJ07[[#This Row],[TVA déductible]])=TABLEAUJ07[[#This Row],[Débit TTC]]),"")</calculatedColumnFormula>
      <totalsRowFormula>IFERROR(SUM(TABLEAUJ07[[#Totals],[Débit HT]],TABLEAUJ07[[#Totals],[TVA déductible]])=TABLEAUJ07[[#Totals],[Débit TTC]],"")</totalsRowFormula>
    </tableColumn>
    <tableColumn id="7" xr3:uid="{45A33241-6CD9-4ECE-8B47-0F459BC25EFB}" name="Débit HT" totalsRowFunction="custom" dataDxfId="534" totalsRowDxfId="533" dataCellStyle="Monétaire">
      <calculatedColumnFormula>IFERROR(IF(OR(TABLEAUJ07[[#This Row],[Code TVA D]]="",TABLEAUJ07[[#This Row],[Code TVA D]]="NA"),"",TABLEAUJ07[[#This Row],[Débit TTC]]/(1+(VLOOKUP(TABLEAUJ07[[#This Row],[Code TVA D]],MATRICETVA[],2,FALSE)))),"")</calculatedColumnFormula>
      <totalsRowFormula>IFERROR(SUBTOTAL(109,TABLEAUJ07[Débit HT]),"")</totalsRowFormula>
    </tableColumn>
    <tableColumn id="12" xr3:uid="{BBCE916E-464F-41D2-815E-D7068D633E3F}" name="Code TVA D" dataDxfId="532" totalsRowDxfId="531" dataCellStyle="Monétaire">
      <calculatedColumnFormula>IFERROR(IF(TABLEAUJ07[[#This Row],[Débit]]&lt;&gt;"",IF(TABLEAUJ07[[#This Row],[Code TVA M]]&lt;&gt;"",TABLEAUJ07[[#This Row],[Code TVA M]],TABLEAUJ07[[#This Row],[Code TVA A]]),""),"")</calculatedColumnFormula>
    </tableColumn>
    <tableColumn id="13" xr3:uid="{D05EC256-0996-49F3-83C6-F9810F1AA129}" name="TVA déductible" totalsRowFunction="custom" dataDxfId="530" totalsRowDxfId="529" dataCellStyle="Monétaire">
      <calculatedColumnFormula>IFERROR(IF(OR(TABLEAUJ07[[#This Row],[Code TVA D]]="",TABLEAUJ07[[#This Row],[Code TVA D]]="NA"),"",TABLEAUJ07[[#This Row],[Débit TTC]]/(1+VLOOKUP(TABLEAUJ07[[#This Row],[Code TVA D]],MATRICETVA[],2,FALSE))*VLOOKUP(TABLEAUJ07[[#This Row],[Code TVA D]],MATRICETVA[],2,FALSE)),"")</calculatedColumnFormula>
      <totalsRowFormula>IFERROR(SUBTOTAL(109,TABLEAUJ07[TVA déductible]),"")</totalsRowFormula>
    </tableColumn>
    <tableColumn id="22" xr3:uid="{0952AAEB-D87E-4D91-A482-C864A399DA44}" name="Débit TTC" totalsRowFunction="custom" dataDxfId="528" totalsRowDxfId="527" dataCellStyle="Monétaire">
      <calculatedColumnFormula>IFERROR(IF(OR(TABLEAUJ07[[#This Row],[Code TVA D]]="",TABLEAUJ07[[#This Row],[Code TVA D]]="NA"),"",TABLEAUJ07[[#This Row],[Débit]]),"")</calculatedColumnFormula>
      <totalsRowFormula>IFERROR(SUBTOTAL(109,TABLEAUJ07[Débit TTC]),"")</totalsRowFormula>
    </tableColumn>
    <tableColumn id="23" xr3:uid="{392D5AEA-3B43-4162-A6C8-41DBC771A293}" name="Contrôle 2" totalsRowFunction="custom" dataDxfId="526" totalsRowDxfId="525" dataCellStyle="Normal">
      <calculatedColumnFormula>IFERROR(IF(OR(TABLEAUJ07[[#This Row],[Code TVA C]]="",TABLEAUJ07[[#This Row],[Code TVA C]]="NA"),TRUE,SUM(TABLEAUJ07[[#This Row],[Crédit HT]],TABLEAUJ07[[#This Row],[TVA collectée]])=TABLEAUJ07[[#This Row],[Crédit TTC]]),"")</calculatedColumnFormula>
      <totalsRowFormula>IFERROR(SUM(TABLEAUJ07[[#Totals],[Crédit HT]],TABLEAUJ07[[#Totals],[TVA collectée]])=TABLEAUJ07[[#Totals],[Crédit TTC]],"")</totalsRowFormula>
    </tableColumn>
    <tableColumn id="9" xr3:uid="{D6A2AC12-E060-46FA-A170-5C07FCAA8D38}" name="Crédit HT" totalsRowFunction="custom" dataDxfId="524" totalsRowDxfId="523" dataCellStyle="Monétaire">
      <calculatedColumnFormula>IFERROR(IF(OR(TABLEAUJ07[[#This Row],[Code TVA C]]="",TABLEAUJ07[[#This Row],[Code TVA C]]="NA"),"",TABLEAUJ07[[#This Row],[Crédit TTC]]/(1+(VLOOKUP(TABLEAUJ07[[#This Row],[Code TVA C]],MATRICETVA[],2,FALSE)))),"")</calculatedColumnFormula>
      <totalsRowFormula>IFERROR(SUBTOTAL(109,TABLEAUJ07[Crédit HT]),"")</totalsRowFormula>
    </tableColumn>
    <tableColumn id="14" xr3:uid="{CE02AF42-513F-4285-9BA6-94D61D94C5CF}" name="Code TVA C" dataDxfId="522" totalsRowDxfId="521" dataCellStyle="Monétaire">
      <calculatedColumnFormula>IFERROR(IF(TABLEAUJ07[[#This Row],[Crédit]]&lt;&gt;"",IF(TABLEAUJ07[[#This Row],[Code TVA M]]&lt;&gt;"",TABLEAUJ07[[#This Row],[Code TVA M]],TABLEAUJ07[[#This Row],[Code TVA A]]),""),"")</calculatedColumnFormula>
    </tableColumn>
    <tableColumn id="15" xr3:uid="{84B2D5A0-7DBB-482D-BC86-13FEF9130DD5}" name="TVA collectée" totalsRowFunction="custom" dataDxfId="520" totalsRowDxfId="519" dataCellStyle="Monétaire">
      <calculatedColumnFormula>IFERROR(IF(OR(TABLEAUJ07[[#This Row],[Code TVA C]]="",TABLEAUJ07[[#This Row],[Code TVA C]]="NA"),"",TABLEAUJ07[[#This Row],[Crédit TTC]]/(1+VLOOKUP(TABLEAUJ07[[#This Row],[Code TVA C]],MATRICETVA[],2,FALSE))*VLOOKUP(TABLEAUJ07[[#This Row],[Code TVA C]],MATRICETVA[],2,FALSE)),"")</calculatedColumnFormula>
      <totalsRowFormula>IFERROR(SUBTOTAL(109,TABLEAUJ07[TVA collectée]),"")</totalsRowFormula>
    </tableColumn>
    <tableColumn id="24" xr3:uid="{46CF556B-4EDE-432E-AC68-451C92D6575C}" name="Crédit TTC" totalsRowFunction="custom" dataDxfId="518" totalsRowDxfId="517" dataCellStyle="Monétaire">
      <calculatedColumnFormula>IFERROR(IF(OR(TABLEAUJ07[[#This Row],[Code TVA C]]="",TABLEAUJ07[[#This Row],[Code TVA C]]="NA"),"",TABLEAUJ07[[#This Row],[Crédit]]),"")</calculatedColumnFormula>
      <totalsRowFormula>IFERROR(SUBTOTAL(109,TABLEAUJ07[Crédit TTC]),"")</totalsRowFormula>
    </tableColumn>
    <tableColumn id="25" xr3:uid="{5B08CC11-DD52-47F1-A54F-DF87385ADD7D}" name="Contrôle 3" dataDxfId="516" totalsRowDxfId="515" dataCellStyle="Monétaire">
      <calculatedColumnFormula>IFERROR(IF(AND(TABLEAUJ07[[#This Row],[Débit]]&lt;&gt;"",TABLEAUJ07[[#This Row],[Crédit]]&lt;&gt;""),FALSE,TRUE),"")</calculatedColumnFormula>
    </tableColumn>
    <tableColumn id="26" xr3:uid="{FCC6E756-B019-40EE-9BF6-909AB3010B1C}" name="Code TVA A" dataDxfId="514" totalsRowDxfId="513" dataCellStyle="Monétaire">
      <calculatedColumnFormula>IFERROR(VLOOKUP(TABLEAUJ07[[#This Row],[Catégorie]],MATRICECATEGORIE[],2,FALSE),"")</calculatedColumnFormula>
    </tableColumn>
    <tableColumn id="27" xr3:uid="{F7B2B182-AA11-4263-AEAF-5036E43D4546}" name="Code TVA M" dataDxfId="512" totalsRowDxfId="511" dataCellStyle="Monétaire"/>
    <tableColumn id="16" xr3:uid="{1EFF4C94-2BA9-4C1A-92B4-0BA0AC9CAB4A}" name="Contrôle 4" dataDxfId="510" totalsRowDxfId="509" dataCellStyle="Normal">
      <calculatedColumnFormula>IFERROR(IF(AND(TABLEAUJ07[[#This Row],[Code TVA D]]&lt;&gt;"",TABLEAUJ07[[#This Row],[Code TVA C]]&lt;&gt;""),FALSE,TRUE),"")</calculatedColumnFormula>
    </tableColumn>
    <tableColumn id="31" xr3:uid="{6CE0C427-F5FE-4817-BA5C-EFAA7ACD1ED3}" name="Contrôle 5" dataDxfId="508" totalsRowDxfId="507"/>
    <tableColumn id="32" xr3:uid="{36B50085-27F5-4C2C-B318-EBAE527FBDA8}" name="Contrôle 6" dataDxfId="506" totalsRowDxfId="505"/>
    <tableColumn id="18" xr3:uid="{424F4D69-A4B7-45D6-9B7A-8230125DCCA8}" name="AJOUT DE LIGNE" dataDxfId="504" totalsRowDxfId="503"/>
  </tableColumns>
  <tableStyleInfo name="Style de tableau 1" showFirstColumn="0" showLastColumn="0" showRowStripes="0" showColumnStripes="1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0F25FC6C-13C5-4597-A6C3-DE47099277F3}" name="TABLEAUJ08" displayName="TABLEAUJ08" ref="B14:AD16" totalsRowCount="1" headerRowDxfId="502" totalsRowDxfId="499" headerRowBorderDxfId="501" tableBorderDxfId="500" totalsRowBorderDxfId="498">
  <autoFilter ref="B14:AD15" xr:uid="{F9868B9D-D0FA-484F-A124-A4F9312AC53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2AFEE045-BBB1-4B5E-AFEE-5E40311D2C5F}" name="Date" totalsRowLabel="Totaux" dataDxfId="497" totalsRowDxfId="496"/>
    <tableColumn id="17" xr3:uid="{95A0A6BE-626B-45A0-AFAC-57D64689D9D8}" name="Échéancier" dataDxfId="495" totalsRowDxfId="494">
      <calculatedColumnFormula array="1">IFERROR(IF(TABLEAUJ08[[#This Row],[Date]]="","",IF(YEAR(TABLEAUJ08[[#This Row],[Date]])*12+MONTH(TABLEAUJ08[[#This Row],[Date]])-YEAR(INDEX(TABLEAUECHEANCE[1EREECHEANCE],MATCH(1,(TABLEAUECHEANCE[CATEGORIEECHEANCE]=TABLEAUJ08[[#This Row],[Catégorie]])*(TABLEAUECHEANCE[TIERSECHEANCE]=TABLEAUJ08[[#This Row],[Payé à]]),0)) )*12-MONTH(INDEX(TABLEAUECHEANCE[1EREECHEANCE],MATCH(1,(TABLEAUECHEANCE[CATEGORIEECHEANCE]=TABLEAUJ08[[#This Row],[Catégorie]])*(TABLEAUECHEANCE[TIERSECHEANCE]=TABLEAUJ08[[#This Row],[Payé à]]),0)) )+1&gt;INDEX(TABLEAUECHEANCE[NBECHEANCE],MATCH(1,(TABLEAUECHEANCE[CATEGORIEECHEANCE]=TABLEAUJ08[[#This Row],[Catégorie]])*(TABLEAUECHEANCE[TIERSECHEANCE]=TABLEAUJ08[[#This Row],[Payé à]]),0)),"HE",CONCATENATE(IF(INDEX(TABLEAUECHEANCE[1EREECHEANCE],MATCH(1,(TABLEAUECHEANCE[CATEGORIEECHEANCE]=TABLEAUJ08[[#This Row],[Catégorie]])*(TABLEAUECHEANCE[TIERSECHEANCE]=TABLEAUJ08[[#This Row],[Payé à]]),0)) ="","",YEAR(TABLEAUJ08[[#This Row],[Date]])*12+MONTH(TABLEAUJ08[[#This Row],[Date]])-YEAR(INDEX(TABLEAUECHEANCE[1EREECHEANCE],MATCH(1,(TABLEAUECHEANCE[CATEGORIEECHEANCE]=TABLEAUJ08[[#This Row],[Catégorie]])*(TABLEAUECHEANCE[TIERSECHEANCE]=TABLEAUJ08[[#This Row],[Payé à]]),0)) )*12-MONTH(INDEX(TABLEAUECHEANCE[1EREECHEANCE],MATCH(1,(TABLEAUECHEANCE[CATEGORIEECHEANCE]=TABLEAUJ08[[#This Row],[Catégorie]])*(TABLEAUECHEANCE[TIERSECHEANCE]=TABLEAUJ08[[#This Row],[Payé à]]),0)) )+1)," sur ",INDEX(TABLEAUECHEANCE[NBECHEANCE],MATCH(1,(TABLEAUECHEANCE[CATEGORIEECHEANCE]=TABLEAUJ08[[#This Row],[Catégorie]])*(TABLEAUECHEANCE[TIERSECHEANCE]=TABLEAUJ08[[#This Row],[Payé à]]),0))))),"")</calculatedColumnFormula>
    </tableColumn>
    <tableColumn id="2" xr3:uid="{36DA3638-45A9-4620-B4E9-54D821777A48}" name="Mode de règlement" dataDxfId="493" totalsRowDxfId="492"/>
    <tableColumn id="19" xr3:uid="{4F34DE07-9FA3-4AC0-9698-C9685EF007D2}" name="Références réglement" dataDxfId="491" totalsRowDxfId="490"/>
    <tableColumn id="3" xr3:uid="{66631B45-8E47-4063-BB64-62F2E5933E20}" name="Catégorie" dataDxfId="489" totalsRowDxfId="488"/>
    <tableColumn id="4" xr3:uid="{A90E3F37-D92A-4B2F-888C-F370F2935D76}" name="Payé par" dataDxfId="487" totalsRowDxfId="486"/>
    <tableColumn id="20" xr3:uid="{A4A0FF0B-7E5C-4487-9F3F-D73CFDCD5CEB}" name="Pièce comptable" dataDxfId="485" totalsRowDxfId="484"/>
    <tableColumn id="5" xr3:uid="{1D9F17C9-98F3-453B-B150-D1B7A46A4E7D}" name="Commentaires" dataDxfId="483" totalsRowDxfId="482"/>
    <tableColumn id="6" xr3:uid="{46DA73DF-C865-41D1-A303-AEFFC5B58392}" name="Payé à" dataDxfId="481" totalsRowDxfId="480"/>
    <tableColumn id="8" xr3:uid="{3E6FCCC8-E350-4BF9-8E04-C6CDAC3688E8}" name="Débit" totalsRowFunction="custom" dataDxfId="479" totalsRowDxfId="478" dataCellStyle="Monétaire">
      <totalsRowFormula>IFERROR(SUBTOTAL(109,TABLEAUJ08[Débit]),"")</totalsRowFormula>
    </tableColumn>
    <tableColumn id="10" xr3:uid="{E22350A9-F51F-4291-B162-EFFC5A1A3D16}" name="Crédit" totalsRowFunction="custom" dataDxfId="477" totalsRowDxfId="476" dataCellStyle="Monétaire">
      <totalsRowFormula>IFERROR(SUBTOTAL(109,TABLEAUJ08[Crédit]),"")</totalsRowFormula>
    </tableColumn>
    <tableColumn id="11" xr3:uid="{1CE746F5-D395-45C3-9A95-89CD5ECDDD17}" name="Solde bancaire" totalsRowFunction="custom" dataDxfId="475" totalsRowDxfId="474" dataCellStyle="Monétaire">
      <calculatedColumnFormula>IFERROR(IF(ROW()=ROW($B$15),SUM($M$12,-TABLEAUJ08[[#This Row],[Débit]],TABLEAUJ08[[#This Row],[Crédit]]),SUM(M14,-TABLEAUJ08[[#This Row],[Débit]],TABLEAUJ08[[#This Row],[Crédit]])),"")</calculatedColumnFormula>
      <totalsRowFormula>IFERROR(SUM($M$12,-TABLEAUJ08[[#Totals],[Débit]],TABLEAUJ08[[#Totals],[Crédit]]),"")</totalsRowFormula>
    </tableColumn>
    <tableColumn id="21" xr3:uid="{E2B9DE59-82DF-4491-895F-EB4146CE2925}" name="Contrôle 1" totalsRowFunction="custom" dataDxfId="473" totalsRowDxfId="472" dataCellStyle="Normal">
      <calculatedColumnFormula>IFERROR(IF(OR(TABLEAUJ08[[#This Row],[Code TVA D]]="",TABLEAUJ08[[#This Row],[Code TVA D]]="NA"),TRUE,SUM(TABLEAUJ08[[#This Row],[Débit HT]],TABLEAUJ08[[#This Row],[TVA déductible]])=TABLEAUJ08[[#This Row],[Débit TTC]]),"")</calculatedColumnFormula>
      <totalsRowFormula>IFERROR(SUM(TABLEAUJ08[[#Totals],[Débit HT]],TABLEAUJ08[[#Totals],[TVA déductible]])=TABLEAUJ08[[#Totals],[Débit TTC]],"")</totalsRowFormula>
    </tableColumn>
    <tableColumn id="7" xr3:uid="{56BC99E1-EC98-486A-9AC1-380BE513C7B5}" name="Débit HT" totalsRowFunction="custom" dataDxfId="471" totalsRowDxfId="470" dataCellStyle="Monétaire">
      <calculatedColumnFormula>IFERROR(IF(OR(TABLEAUJ08[[#This Row],[Code TVA D]]="",TABLEAUJ08[[#This Row],[Code TVA D]]="NA"),"",TABLEAUJ08[[#This Row],[Débit TTC]]/(1+(VLOOKUP(TABLEAUJ08[[#This Row],[Code TVA D]],MATRICETVA[],2,FALSE)))),"")</calculatedColumnFormula>
      <totalsRowFormula>IFERROR(SUBTOTAL(109,TABLEAUJ08[Débit HT]),"")</totalsRowFormula>
    </tableColumn>
    <tableColumn id="12" xr3:uid="{275CDCEA-4B2F-4018-A262-EEDD7A56759A}" name="Code TVA D" dataDxfId="469" totalsRowDxfId="468" dataCellStyle="Monétaire">
      <calculatedColumnFormula>IFERROR(IF(TABLEAUJ08[[#This Row],[Débit]]&lt;&gt;"",IF(TABLEAUJ08[[#This Row],[Code TVA M]]&lt;&gt;"",TABLEAUJ08[[#This Row],[Code TVA M]],TABLEAUJ08[[#This Row],[Code TVA A]]),""),"")</calculatedColumnFormula>
    </tableColumn>
    <tableColumn id="13" xr3:uid="{952472B3-DBF2-4926-A0F8-B0E2709F33B1}" name="TVA déductible" totalsRowFunction="custom" dataDxfId="467" totalsRowDxfId="466" dataCellStyle="Monétaire">
      <calculatedColumnFormula>IFERROR(IF(OR(TABLEAUJ08[[#This Row],[Code TVA D]]="",TABLEAUJ08[[#This Row],[Code TVA D]]="NA"),"",TABLEAUJ08[[#This Row],[Débit TTC]]/(1+VLOOKUP(TABLEAUJ08[[#This Row],[Code TVA D]],MATRICETVA[],2,FALSE))*VLOOKUP(TABLEAUJ08[[#This Row],[Code TVA D]],MATRICETVA[],2,FALSE)),"")</calculatedColumnFormula>
      <totalsRowFormula>IFERROR(SUBTOTAL(109,TABLEAUJ08[TVA déductible]),"")</totalsRowFormula>
    </tableColumn>
    <tableColumn id="22" xr3:uid="{6A9AEA7D-93A8-4C7F-B586-A171CF922A6A}" name="Débit TTC" totalsRowFunction="custom" dataDxfId="465" totalsRowDxfId="464" dataCellStyle="Monétaire">
      <calculatedColumnFormula>IFERROR(IF(OR(TABLEAUJ08[[#This Row],[Code TVA D]]="",TABLEAUJ08[[#This Row],[Code TVA D]]="NA"),"",TABLEAUJ08[[#This Row],[Débit]]),"")</calculatedColumnFormula>
      <totalsRowFormula>IFERROR(SUBTOTAL(109,TABLEAUJ08[Débit TTC]),"")</totalsRowFormula>
    </tableColumn>
    <tableColumn id="23" xr3:uid="{2B645B12-52AE-4984-8092-74471F88AA95}" name="Contrôle 2" totalsRowFunction="custom" dataDxfId="463" totalsRowDxfId="462" dataCellStyle="Normal">
      <calculatedColumnFormula>IFERROR(IF(OR(TABLEAUJ08[[#This Row],[Code TVA C]]="",TABLEAUJ08[[#This Row],[Code TVA C]]="NA"),TRUE,SUM(TABLEAUJ08[[#This Row],[Crédit HT]],TABLEAUJ08[[#This Row],[TVA collectée]])=TABLEAUJ08[[#This Row],[Crédit TTC]]),"")</calculatedColumnFormula>
      <totalsRowFormula>IFERROR(SUM(TABLEAUJ08[[#Totals],[Crédit HT]],TABLEAUJ08[[#Totals],[TVA collectée]])=TABLEAUJ08[[#Totals],[Crédit TTC]],"")</totalsRowFormula>
    </tableColumn>
    <tableColumn id="9" xr3:uid="{F24A3C1C-1425-46A2-B85B-C0586DF5CC76}" name="Crédit HT" totalsRowFunction="custom" dataDxfId="461" totalsRowDxfId="460" dataCellStyle="Monétaire">
      <calculatedColumnFormula>IFERROR(IF(OR(TABLEAUJ08[[#This Row],[Code TVA C]]="",TABLEAUJ08[[#This Row],[Code TVA C]]="NA"),"",TABLEAUJ08[[#This Row],[Crédit TTC]]/(1+(VLOOKUP(TABLEAUJ08[[#This Row],[Code TVA C]],MATRICETVA[],2,FALSE)))),"")</calculatedColumnFormula>
      <totalsRowFormula>IFERROR(SUBTOTAL(109,TABLEAUJ08[Crédit HT]),"")</totalsRowFormula>
    </tableColumn>
    <tableColumn id="14" xr3:uid="{596CB88B-DF09-45C9-A855-5885B6691EF2}" name="Code TVA C" dataDxfId="459" totalsRowDxfId="458" dataCellStyle="Monétaire">
      <calculatedColumnFormula>IFERROR(IF(TABLEAUJ08[[#This Row],[Crédit]]&lt;&gt;"",IF(TABLEAUJ08[[#This Row],[Code TVA M]]&lt;&gt;"",TABLEAUJ08[[#This Row],[Code TVA M]],TABLEAUJ08[[#This Row],[Code TVA A]]),""),"")</calculatedColumnFormula>
    </tableColumn>
    <tableColumn id="15" xr3:uid="{58316720-48C6-408E-8035-B1D6F6DF0DD2}" name="TVA collectée" totalsRowFunction="custom" dataDxfId="457" totalsRowDxfId="456" dataCellStyle="Monétaire">
      <calculatedColumnFormula>IFERROR(IF(OR(TABLEAUJ08[[#This Row],[Code TVA C]]="",TABLEAUJ08[[#This Row],[Code TVA C]]="NA"),"",TABLEAUJ08[[#This Row],[Crédit TTC]]/(1+VLOOKUP(TABLEAUJ08[[#This Row],[Code TVA C]],MATRICETVA[],2,FALSE))*VLOOKUP(TABLEAUJ08[[#This Row],[Code TVA C]],MATRICETVA[],2,FALSE)),"")</calculatedColumnFormula>
      <totalsRowFormula>IFERROR(SUBTOTAL(109,TABLEAUJ08[TVA collectée]),"")</totalsRowFormula>
    </tableColumn>
    <tableColumn id="24" xr3:uid="{94CA7A31-6AEE-43FE-B946-7B2BDC8B6B8D}" name="Crédit TTC" totalsRowFunction="custom" dataDxfId="455" totalsRowDxfId="454" dataCellStyle="Monétaire">
      <calculatedColumnFormula>IFERROR(IF(OR(TABLEAUJ08[[#This Row],[Code TVA C]]="",TABLEAUJ08[[#This Row],[Code TVA C]]="NA"),"",TABLEAUJ08[[#This Row],[Crédit]]),"")</calculatedColumnFormula>
      <totalsRowFormula>IFERROR(SUBTOTAL(109,TABLEAUJ08[Crédit TTC]),"")</totalsRowFormula>
    </tableColumn>
    <tableColumn id="25" xr3:uid="{75DEA50C-C5B7-4432-ACF9-731AE1D12B1D}" name="Contrôle 3" dataDxfId="453" totalsRowDxfId="452" dataCellStyle="Monétaire">
      <calculatedColumnFormula>IFERROR(IF(AND(TABLEAUJ08[[#This Row],[Débit]]&lt;&gt;"",TABLEAUJ08[[#This Row],[Crédit]]&lt;&gt;""),FALSE,TRUE),"")</calculatedColumnFormula>
    </tableColumn>
    <tableColumn id="26" xr3:uid="{2D3493C1-1544-44C3-B5B2-647BD5D8BDD7}" name="Code TVA A" dataDxfId="451" totalsRowDxfId="450" dataCellStyle="Monétaire">
      <calculatedColumnFormula>IFERROR(VLOOKUP(TABLEAUJ08[[#This Row],[Catégorie]],MATRICECATEGORIE[],2,FALSE),"")</calculatedColumnFormula>
    </tableColumn>
    <tableColumn id="27" xr3:uid="{8EC7CAFB-48AD-4352-B7D2-AB6727DA4DE2}" name="Code TVA M" dataDxfId="449" totalsRowDxfId="448" dataCellStyle="Monétaire"/>
    <tableColumn id="16" xr3:uid="{0D0D1A39-35F8-45F8-9230-D680690D6E39}" name="Contrôle 4" dataDxfId="447" totalsRowDxfId="446" dataCellStyle="Normal">
      <calculatedColumnFormula>IFERROR(IF(AND(TABLEAUJ08[[#This Row],[Code TVA D]]&lt;&gt;"",TABLEAUJ08[[#This Row],[Code TVA C]]&lt;&gt;""),FALSE,TRUE),"")</calculatedColumnFormula>
    </tableColumn>
    <tableColumn id="31" xr3:uid="{93004B16-3502-434A-9FD6-762BB5123016}" name="Contrôle 5" dataDxfId="445" totalsRowDxfId="444"/>
    <tableColumn id="32" xr3:uid="{3A8F5211-EA1D-4F49-A235-D30F8F70C88D}" name="Contrôle 6" dataDxfId="443" totalsRowDxfId="442"/>
    <tableColumn id="18" xr3:uid="{8434F258-E1FF-44B2-A0D7-EB131FA3A9FB}" name="AJOUT DE LIGNE" dataDxfId="441" totalsRowDxfId="440"/>
  </tableColumns>
  <tableStyleInfo name="Style de tableau 1" showFirstColumn="0" showLastColumn="0" showRowStripes="0" showColumnStripes="1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ADFBF060-D1D7-41D7-AC07-988BC6BE1A09}" name="TABLEAUJ09" displayName="TABLEAUJ09" ref="B14:AD16" totalsRowCount="1" headerRowDxfId="439" totalsRowDxfId="436" headerRowBorderDxfId="438" tableBorderDxfId="437" totalsRowBorderDxfId="435">
  <autoFilter ref="B14:AD15" xr:uid="{E3CED2A6-9DCC-4061-8BFF-7CEA3CAAEAD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1ACA1C57-3E73-45CA-9652-18B8B9BF8355}" name="Date" totalsRowLabel="Totaux" dataDxfId="434" totalsRowDxfId="433"/>
    <tableColumn id="17" xr3:uid="{1C35BCD2-784D-4B69-9486-556A31A7A25A}" name="Échéancier" dataDxfId="432" totalsRowDxfId="431">
      <calculatedColumnFormula array="1">IFERROR(IF(TABLEAUJ09[[#This Row],[Date]]="","",IF(YEAR(TABLEAUJ09[[#This Row],[Date]])*12+MONTH(TABLEAUJ09[[#This Row],[Date]])-YEAR(INDEX(TABLEAUECHEANCE[1EREECHEANCE],MATCH(1,(TABLEAUECHEANCE[CATEGORIEECHEANCE]=TABLEAUJ09[[#This Row],[Catégorie]])*(TABLEAUECHEANCE[TIERSECHEANCE]=TABLEAUJ09[[#This Row],[Payé à]]),0)) )*12-MONTH(INDEX(TABLEAUECHEANCE[1EREECHEANCE],MATCH(1,(TABLEAUECHEANCE[CATEGORIEECHEANCE]=TABLEAUJ09[[#This Row],[Catégorie]])*(TABLEAUECHEANCE[TIERSECHEANCE]=TABLEAUJ09[[#This Row],[Payé à]]),0)) )+1&gt;INDEX(TABLEAUECHEANCE[NBECHEANCE],MATCH(1,(TABLEAUECHEANCE[CATEGORIEECHEANCE]=TABLEAUJ09[[#This Row],[Catégorie]])*(TABLEAUECHEANCE[TIERSECHEANCE]=TABLEAUJ09[[#This Row],[Payé à]]),0)),"HE",CONCATENATE(IF(INDEX(TABLEAUECHEANCE[1EREECHEANCE],MATCH(1,(TABLEAUECHEANCE[CATEGORIEECHEANCE]=TABLEAUJ09[[#This Row],[Catégorie]])*(TABLEAUECHEANCE[TIERSECHEANCE]=TABLEAUJ09[[#This Row],[Payé à]]),0)) ="","",YEAR(TABLEAUJ09[[#This Row],[Date]])*12+MONTH(TABLEAUJ09[[#This Row],[Date]])-YEAR(INDEX(TABLEAUECHEANCE[1EREECHEANCE],MATCH(1,(TABLEAUECHEANCE[CATEGORIEECHEANCE]=TABLEAUJ09[[#This Row],[Catégorie]])*(TABLEAUECHEANCE[TIERSECHEANCE]=TABLEAUJ09[[#This Row],[Payé à]]),0)) )*12-MONTH(INDEX(TABLEAUECHEANCE[1EREECHEANCE],MATCH(1,(TABLEAUECHEANCE[CATEGORIEECHEANCE]=TABLEAUJ09[[#This Row],[Catégorie]])*(TABLEAUECHEANCE[TIERSECHEANCE]=TABLEAUJ09[[#This Row],[Payé à]]),0)) )+1)," sur ",INDEX(TABLEAUECHEANCE[NBECHEANCE],MATCH(1,(TABLEAUECHEANCE[CATEGORIEECHEANCE]=TABLEAUJ09[[#This Row],[Catégorie]])*(TABLEAUECHEANCE[TIERSECHEANCE]=TABLEAUJ09[[#This Row],[Payé à]]),0))))),"")</calculatedColumnFormula>
    </tableColumn>
    <tableColumn id="2" xr3:uid="{56F8C4E2-5D3F-406E-9FE0-EE18488559A0}" name="Mode de règlement" dataDxfId="430" totalsRowDxfId="429"/>
    <tableColumn id="19" xr3:uid="{FB9E686A-EB66-4C30-B2D2-BEA8CF70BA8B}" name="Références réglement" dataDxfId="428" totalsRowDxfId="427"/>
    <tableColumn id="3" xr3:uid="{ABAFF3B4-AD45-4EAD-8344-1056BBD24CCA}" name="Catégorie" dataDxfId="426" totalsRowDxfId="425"/>
    <tableColumn id="4" xr3:uid="{F8D428DC-6F9E-45A2-B3A7-4A8C1D5E6477}" name="Payé par" dataDxfId="424" totalsRowDxfId="423"/>
    <tableColumn id="20" xr3:uid="{03A2A442-97E4-429B-98E3-6B07B37F3F37}" name="Pièce comptable" dataDxfId="422" totalsRowDxfId="421"/>
    <tableColumn id="5" xr3:uid="{3D653749-71E1-4E30-B8D8-C4B54CC15EDD}" name="Commentaires" dataDxfId="420" totalsRowDxfId="419"/>
    <tableColumn id="6" xr3:uid="{5871507A-4089-4F60-B35F-7AD0FDAB558F}" name="Payé à" dataDxfId="418" totalsRowDxfId="417"/>
    <tableColumn id="8" xr3:uid="{C26DE8E9-6319-4469-B310-C317AFABFCC3}" name="Débit" totalsRowFunction="custom" dataDxfId="416" totalsRowDxfId="415" dataCellStyle="Monétaire">
      <totalsRowFormula>IFERROR(SUBTOTAL(109,TABLEAUJ09[Débit]),"")</totalsRowFormula>
    </tableColumn>
    <tableColumn id="10" xr3:uid="{016869B8-2FE3-41AE-816A-745B5355E25B}" name="Crédit" totalsRowFunction="custom" dataDxfId="414" totalsRowDxfId="413" dataCellStyle="Monétaire">
      <totalsRowFormula>IFERROR(SUBTOTAL(109,TABLEAUJ09[Crédit]),"")</totalsRowFormula>
    </tableColumn>
    <tableColumn id="11" xr3:uid="{FDB1E387-8272-4A9D-9327-CC5B4F3B26AB}" name="Solde bancaire" totalsRowFunction="custom" dataDxfId="412" totalsRowDxfId="411" dataCellStyle="Monétaire">
      <calculatedColumnFormula>IFERROR(IF(ROW()=ROW($B$15),SUM($M$12,-TABLEAUJ09[[#This Row],[Débit]],TABLEAUJ09[[#This Row],[Crédit]]),SUM(M14,-TABLEAUJ09[[#This Row],[Débit]],TABLEAUJ09[[#This Row],[Crédit]])),"")</calculatedColumnFormula>
      <totalsRowFormula>IFERROR(SUM($M$12,-TABLEAUJ09[[#Totals],[Débit]],TABLEAUJ09[[#Totals],[Crédit]]),"")</totalsRowFormula>
    </tableColumn>
    <tableColumn id="21" xr3:uid="{D028E37A-899F-439E-BB6E-5C8AAC9AE254}" name="Contrôle 1" totalsRowFunction="custom" dataDxfId="410" totalsRowDxfId="409" dataCellStyle="Normal">
      <calculatedColumnFormula>IFERROR(IF(OR(TABLEAUJ09[[#This Row],[Code TVA D]]="",TABLEAUJ09[[#This Row],[Code TVA D]]="NA"),TRUE,SUM(TABLEAUJ09[[#This Row],[Débit HT]],TABLEAUJ09[[#This Row],[TVA déductible]])=TABLEAUJ09[[#This Row],[Débit TTC]]),"")</calculatedColumnFormula>
      <totalsRowFormula>IFERROR(SUM(TABLEAUJ09[[#Totals],[Débit HT]],TABLEAUJ09[[#Totals],[TVA déductible]])=TABLEAUJ09[[#Totals],[Débit TTC]],"")</totalsRowFormula>
    </tableColumn>
    <tableColumn id="7" xr3:uid="{41F5864C-6167-4052-A594-132D697C3621}" name="Débit HT" totalsRowFunction="custom" dataDxfId="408" totalsRowDxfId="407" dataCellStyle="Monétaire">
      <calculatedColumnFormula>IFERROR(IF(OR(TABLEAUJ09[[#This Row],[Code TVA D]]="",TABLEAUJ09[[#This Row],[Code TVA D]]="NA"),"",TABLEAUJ09[[#This Row],[Débit TTC]]/(1+(VLOOKUP(TABLEAUJ09[[#This Row],[Code TVA D]],MATRICETVA[],2,FALSE)))),"")</calculatedColumnFormula>
      <totalsRowFormula>IFERROR(SUBTOTAL(109,TABLEAUJ09[Débit HT]),"")</totalsRowFormula>
    </tableColumn>
    <tableColumn id="12" xr3:uid="{B48B1D56-8855-41C8-9833-86C53FAAD66E}" name="Code TVA D" dataDxfId="406" totalsRowDxfId="405" dataCellStyle="Monétaire">
      <calculatedColumnFormula>IFERROR(IF(TABLEAUJ09[[#This Row],[Débit]]&lt;&gt;"",IF(TABLEAUJ09[[#This Row],[Code TVA M]]&lt;&gt;"",TABLEAUJ09[[#This Row],[Code TVA M]],TABLEAUJ09[[#This Row],[Code TVA A]]),""),"")</calculatedColumnFormula>
    </tableColumn>
    <tableColumn id="13" xr3:uid="{B8B44951-B20B-4858-B7F7-B8F5EAF68F03}" name="TVA déductible" totalsRowFunction="custom" dataDxfId="404" totalsRowDxfId="403" dataCellStyle="Monétaire">
      <calculatedColumnFormula>IFERROR(IF(OR(TABLEAUJ09[[#This Row],[Code TVA D]]="",TABLEAUJ09[[#This Row],[Code TVA D]]="NA"),"",TABLEAUJ09[[#This Row],[Débit TTC]]/(1+VLOOKUP(TABLEAUJ09[[#This Row],[Code TVA D]],MATRICETVA[],2,FALSE))*VLOOKUP(TABLEAUJ09[[#This Row],[Code TVA D]],MATRICETVA[],2,FALSE)),"")</calculatedColumnFormula>
      <totalsRowFormula>IFERROR(SUBTOTAL(109,TABLEAUJ09[TVA déductible]),"")</totalsRowFormula>
    </tableColumn>
    <tableColumn id="22" xr3:uid="{90E0C305-F30E-4894-B061-5D3D0AA86347}" name="Débit TTC" totalsRowFunction="custom" dataDxfId="402" totalsRowDxfId="401" dataCellStyle="Monétaire">
      <calculatedColumnFormula>IFERROR(IF(OR(TABLEAUJ09[[#This Row],[Code TVA D]]="",TABLEAUJ09[[#This Row],[Code TVA D]]="NA"),"",TABLEAUJ09[[#This Row],[Débit]]),"")</calculatedColumnFormula>
      <totalsRowFormula>IFERROR(SUBTOTAL(109,TABLEAUJ09[Débit TTC]),"")</totalsRowFormula>
    </tableColumn>
    <tableColumn id="23" xr3:uid="{F69D5F1C-55BC-4AB0-A498-420C483DF887}" name="Contrôle 2" totalsRowFunction="custom" dataDxfId="400" totalsRowDxfId="399" dataCellStyle="Normal">
      <calculatedColumnFormula>IFERROR(IF(OR(TABLEAUJ09[[#This Row],[Code TVA C]]="",TABLEAUJ09[[#This Row],[Code TVA C]]="NA"),TRUE,SUM(TABLEAUJ09[[#This Row],[Crédit HT]],TABLEAUJ09[[#This Row],[TVA collectée]])=TABLEAUJ09[[#This Row],[Crédit TTC]]),"")</calculatedColumnFormula>
      <totalsRowFormula>IFERROR(SUM(TABLEAUJ09[[#Totals],[Crédit HT]],TABLEAUJ09[[#Totals],[TVA collectée]])=TABLEAUJ09[[#Totals],[Crédit TTC]],"")</totalsRowFormula>
    </tableColumn>
    <tableColumn id="9" xr3:uid="{137CCB28-D1D7-4CAF-8F1E-7460B1F3874A}" name="Crédit HT" totalsRowFunction="custom" dataDxfId="398" totalsRowDxfId="397" dataCellStyle="Monétaire">
      <calculatedColumnFormula>IFERROR(IF(OR(TABLEAUJ09[[#This Row],[Code TVA C]]="",TABLEAUJ09[[#This Row],[Code TVA C]]="NA"),"",TABLEAUJ09[[#This Row],[Crédit TTC]]/(1+(VLOOKUP(TABLEAUJ09[[#This Row],[Code TVA C]],MATRICETVA[],2,FALSE)))),"")</calculatedColumnFormula>
      <totalsRowFormula>IFERROR(SUBTOTAL(109,TABLEAUJ09[Crédit HT]),"")</totalsRowFormula>
    </tableColumn>
    <tableColumn id="14" xr3:uid="{8E379099-16E6-4016-B784-E8C60D2A9ACE}" name="Code TVA C" dataDxfId="396" totalsRowDxfId="395" dataCellStyle="Monétaire">
      <calculatedColumnFormula>IFERROR(IF(TABLEAUJ09[[#This Row],[Crédit]]&lt;&gt;"",IF(TABLEAUJ09[[#This Row],[Code TVA M]]&lt;&gt;"",TABLEAUJ09[[#This Row],[Code TVA M]],TABLEAUJ09[[#This Row],[Code TVA A]]),""),"")</calculatedColumnFormula>
    </tableColumn>
    <tableColumn id="15" xr3:uid="{B12DCFB7-1488-4012-ADD7-D6009C210406}" name="TVA collectée" totalsRowFunction="custom" dataDxfId="394" totalsRowDxfId="393" dataCellStyle="Monétaire">
      <calculatedColumnFormula>IFERROR(IF(OR(TABLEAUJ09[[#This Row],[Code TVA C]]="",TABLEAUJ09[[#This Row],[Code TVA C]]="NA"),"",TABLEAUJ09[[#This Row],[Crédit TTC]]/(1+VLOOKUP(TABLEAUJ09[[#This Row],[Code TVA C]],MATRICETVA[],2,FALSE))*VLOOKUP(TABLEAUJ09[[#This Row],[Code TVA C]],MATRICETVA[],2,FALSE)),"")</calculatedColumnFormula>
      <totalsRowFormula>IFERROR(SUBTOTAL(109,TABLEAUJ09[TVA collectée]),"")</totalsRowFormula>
    </tableColumn>
    <tableColumn id="24" xr3:uid="{4F846E08-2370-477B-A4D3-36B3F74B6C2A}" name="Crédit TTC" totalsRowFunction="custom" dataDxfId="392" totalsRowDxfId="391" dataCellStyle="Monétaire">
      <calculatedColumnFormula>IFERROR(IF(OR(TABLEAUJ09[[#This Row],[Code TVA C]]="",TABLEAUJ09[[#This Row],[Code TVA C]]="NA"),"",TABLEAUJ09[[#This Row],[Crédit]]),"")</calculatedColumnFormula>
      <totalsRowFormula>IFERROR(SUBTOTAL(109,TABLEAUJ09[Crédit TTC]),"")</totalsRowFormula>
    </tableColumn>
    <tableColumn id="25" xr3:uid="{98267163-ED93-43A3-A17A-5F47EB9AEEB4}" name="Contrôle 3" dataDxfId="390" totalsRowDxfId="389" dataCellStyle="Monétaire">
      <calculatedColumnFormula>IFERROR(IF(AND(TABLEAUJ09[[#This Row],[Débit]]&lt;&gt;"",TABLEAUJ09[[#This Row],[Crédit]]&lt;&gt;""),FALSE,TRUE),"")</calculatedColumnFormula>
    </tableColumn>
    <tableColumn id="26" xr3:uid="{176C1EC5-C127-402D-B221-4AD0461A2F43}" name="Code TVA A" dataDxfId="388" totalsRowDxfId="387" dataCellStyle="Monétaire">
      <calculatedColumnFormula>IFERROR(VLOOKUP(TABLEAUJ09[[#This Row],[Catégorie]],MATRICECATEGORIE[],2,FALSE),"")</calculatedColumnFormula>
    </tableColumn>
    <tableColumn id="27" xr3:uid="{9AD41C71-8726-4588-8112-5E862C2B0BEA}" name="Code TVA M" dataDxfId="386" totalsRowDxfId="385" dataCellStyle="Monétaire"/>
    <tableColumn id="16" xr3:uid="{97F3B45B-2C9D-459A-9AF4-508B3E809AEE}" name="Contrôle 4" dataDxfId="384" totalsRowDxfId="383" dataCellStyle="Normal">
      <calculatedColumnFormula>IFERROR(IF(AND(TABLEAUJ09[[#This Row],[Code TVA D]]&lt;&gt;"",TABLEAUJ09[[#This Row],[Code TVA C]]&lt;&gt;""),FALSE,TRUE),"")</calculatedColumnFormula>
    </tableColumn>
    <tableColumn id="31" xr3:uid="{55FFF0B1-268D-40AF-9198-265F56242DF5}" name="Contrôle 5" dataDxfId="382" totalsRowDxfId="381"/>
    <tableColumn id="32" xr3:uid="{24786858-F31C-49C3-95B0-C5C2A98B5415}" name="Contrôle 6" dataDxfId="380" totalsRowDxfId="379"/>
    <tableColumn id="18" xr3:uid="{DDE07204-DE6C-412F-AC4E-6A85D4CD0F21}" name="AJOUT DE LIGNE" dataDxfId="378" totalsRowDxfId="377"/>
  </tableColumns>
  <tableStyleInfo name="Style de tableau 1" showFirstColumn="0" showLastColumn="0" showRowStripes="0" showColumnStripes="1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D4990044-C185-498F-B521-FE9F6D84DE00}" name="TABLEAUJ10" displayName="TABLEAUJ10" ref="B14:AD16" totalsRowCount="1" headerRowDxfId="376" totalsRowDxfId="373" headerRowBorderDxfId="375" tableBorderDxfId="374" totalsRowBorderDxfId="372">
  <autoFilter ref="B14:AD15" xr:uid="{7E8D76E5-2D27-4567-AA37-37E06B0A831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DF202488-E9FC-4A69-A504-D1540FD42F53}" name="Date" totalsRowLabel="Totaux" dataDxfId="371" totalsRowDxfId="370"/>
    <tableColumn id="17" xr3:uid="{98574779-BEC7-4003-B523-2F8F261AD016}" name="Échéancier" dataDxfId="369" totalsRowDxfId="368">
      <calculatedColumnFormula array="1">IFERROR(IF(TABLEAUJ10[[#This Row],[Date]]="","",IF(YEAR(TABLEAUJ10[[#This Row],[Date]])*12+MONTH(TABLEAUJ10[[#This Row],[Date]])-YEAR(INDEX(TABLEAUECHEANCE[1EREECHEANCE],MATCH(1,(TABLEAUECHEANCE[CATEGORIEECHEANCE]=TABLEAUJ10[[#This Row],[Catégorie]])*(TABLEAUECHEANCE[TIERSECHEANCE]=TABLEAUJ10[[#This Row],[Payé à]]),0)) )*12-MONTH(INDEX(TABLEAUECHEANCE[1EREECHEANCE],MATCH(1,(TABLEAUECHEANCE[CATEGORIEECHEANCE]=TABLEAUJ10[[#This Row],[Catégorie]])*(TABLEAUECHEANCE[TIERSECHEANCE]=TABLEAUJ10[[#This Row],[Payé à]]),0)) )+1&gt;INDEX(TABLEAUECHEANCE[NBECHEANCE],MATCH(1,(TABLEAUECHEANCE[CATEGORIEECHEANCE]=TABLEAUJ10[[#This Row],[Catégorie]])*(TABLEAUECHEANCE[TIERSECHEANCE]=TABLEAUJ10[[#This Row],[Payé à]]),0)),"HE",CONCATENATE(IF(INDEX(TABLEAUECHEANCE[1EREECHEANCE],MATCH(1,(TABLEAUECHEANCE[CATEGORIEECHEANCE]=TABLEAUJ10[[#This Row],[Catégorie]])*(TABLEAUECHEANCE[TIERSECHEANCE]=TABLEAUJ10[[#This Row],[Payé à]]),0)) ="","",YEAR(TABLEAUJ10[[#This Row],[Date]])*12+MONTH(TABLEAUJ10[[#This Row],[Date]])-YEAR(INDEX(TABLEAUECHEANCE[1EREECHEANCE],MATCH(1,(TABLEAUECHEANCE[CATEGORIEECHEANCE]=TABLEAUJ10[[#This Row],[Catégorie]])*(TABLEAUECHEANCE[TIERSECHEANCE]=TABLEAUJ10[[#This Row],[Payé à]]),0)) )*12-MONTH(INDEX(TABLEAUECHEANCE[1EREECHEANCE],MATCH(1,(TABLEAUECHEANCE[CATEGORIEECHEANCE]=TABLEAUJ10[[#This Row],[Catégorie]])*(TABLEAUECHEANCE[TIERSECHEANCE]=TABLEAUJ10[[#This Row],[Payé à]]),0)) )+1)," sur ",INDEX(TABLEAUECHEANCE[NBECHEANCE],MATCH(1,(TABLEAUECHEANCE[CATEGORIEECHEANCE]=TABLEAUJ10[[#This Row],[Catégorie]])*(TABLEAUECHEANCE[TIERSECHEANCE]=TABLEAUJ10[[#This Row],[Payé à]]),0))))),"")</calculatedColumnFormula>
    </tableColumn>
    <tableColumn id="2" xr3:uid="{33D05C21-40EE-4364-B86B-3D5DC62CE658}" name="Mode de règlement" dataDxfId="367" totalsRowDxfId="366"/>
    <tableColumn id="19" xr3:uid="{12755451-34F4-4870-AEA8-AD3CBFF98119}" name="Références réglement" dataDxfId="365" totalsRowDxfId="364"/>
    <tableColumn id="3" xr3:uid="{AC7C2D39-671D-42B1-A77D-DDDD3F29D11A}" name="Catégorie" dataDxfId="363" totalsRowDxfId="362"/>
    <tableColumn id="4" xr3:uid="{09308501-5158-472B-BF57-EFE6B7FAF499}" name="Payé par" dataDxfId="361" totalsRowDxfId="360"/>
    <tableColumn id="20" xr3:uid="{75A8ADBD-40C1-4140-99F5-E2305CFD9D46}" name="Pièce comptable" dataDxfId="359" totalsRowDxfId="358"/>
    <tableColumn id="5" xr3:uid="{30CAE6B2-2842-4CF9-B30B-E56CD994D7BE}" name="Commentaires" dataDxfId="357" totalsRowDxfId="356"/>
    <tableColumn id="6" xr3:uid="{49D26D42-56AD-489C-B2A8-CF87FF91BFED}" name="Payé à" dataDxfId="355" totalsRowDxfId="354"/>
    <tableColumn id="8" xr3:uid="{8AF8E316-6334-4A25-87C6-40B560E8818C}" name="Débit" totalsRowFunction="custom" dataDxfId="353" totalsRowDxfId="352" dataCellStyle="Monétaire">
      <totalsRowFormula>IFERROR(SUBTOTAL(109,TABLEAUJ10[Débit]),"")</totalsRowFormula>
    </tableColumn>
    <tableColumn id="10" xr3:uid="{C46E367F-C1FA-4BEF-83CD-6EB911D4E8C6}" name="Crédit" totalsRowFunction="custom" dataDxfId="351" totalsRowDxfId="350" dataCellStyle="Monétaire">
      <totalsRowFormula>IFERROR(SUBTOTAL(109,TABLEAUJ10[Crédit]),"")</totalsRowFormula>
    </tableColumn>
    <tableColumn id="11" xr3:uid="{613CF059-3DD8-4988-AC9B-5B2779A3A62F}" name="Solde bancaire" totalsRowFunction="custom" dataDxfId="349" totalsRowDxfId="348" dataCellStyle="Monétaire">
      <calculatedColumnFormula>IFERROR(IF(ROW()=ROW($B$15),SUM($M$12,-TABLEAUJ10[[#This Row],[Débit]],TABLEAUJ10[[#This Row],[Crédit]]),SUM(M14,-TABLEAUJ10[[#This Row],[Débit]],TABLEAUJ10[[#This Row],[Crédit]])),"")</calculatedColumnFormula>
      <totalsRowFormula>IFERROR(SUM($M$12,-TABLEAUJ10[[#Totals],[Débit]],TABLEAUJ10[[#Totals],[Crédit]]),"")</totalsRowFormula>
    </tableColumn>
    <tableColumn id="21" xr3:uid="{FC0B74E2-9D2E-463F-AFCE-96030F4259E6}" name="Contrôle 1" totalsRowFunction="custom" dataDxfId="347" totalsRowDxfId="346" dataCellStyle="Normal">
      <calculatedColumnFormula>IFERROR(IF(OR(TABLEAUJ10[[#This Row],[Code TVA D]]="",TABLEAUJ10[[#This Row],[Code TVA D]]="NA"),TRUE,SUM(TABLEAUJ10[[#This Row],[Débit HT]],TABLEAUJ10[[#This Row],[TVA déductible]])=TABLEAUJ10[[#This Row],[Débit TTC]]),"")</calculatedColumnFormula>
      <totalsRowFormula>IFERROR(SUM(TABLEAUJ10[[#Totals],[Débit HT]],TABLEAUJ10[[#Totals],[TVA déductible]])=TABLEAUJ10[[#Totals],[Débit TTC]],"")</totalsRowFormula>
    </tableColumn>
    <tableColumn id="7" xr3:uid="{99B28993-A5EA-4CCF-B14A-600FBFFF7E68}" name="Débit HT" totalsRowFunction="custom" dataDxfId="345" totalsRowDxfId="344" dataCellStyle="Monétaire">
      <calculatedColumnFormula>IFERROR(IF(OR(TABLEAUJ10[[#This Row],[Code TVA D]]="",TABLEAUJ10[[#This Row],[Code TVA D]]="NA"),"",TABLEAUJ10[[#This Row],[Débit TTC]]/(1+(VLOOKUP(TABLEAUJ10[[#This Row],[Code TVA D]],MATRICETVA[],2,FALSE)))),"")</calculatedColumnFormula>
      <totalsRowFormula>IFERROR(SUBTOTAL(109,TABLEAUJ10[Débit HT]),"")</totalsRowFormula>
    </tableColumn>
    <tableColumn id="12" xr3:uid="{420FC5C1-192A-4937-A2B9-56F625C524C6}" name="Code TVA D" dataDxfId="343" totalsRowDxfId="342" dataCellStyle="Monétaire">
      <calculatedColumnFormula>IFERROR(IF(TABLEAUJ10[[#This Row],[Débit]]&lt;&gt;"",IF(TABLEAUJ10[[#This Row],[Code TVA M]]&lt;&gt;"",TABLEAUJ10[[#This Row],[Code TVA M]],TABLEAUJ10[[#This Row],[Code TVA A]]),""),"")</calculatedColumnFormula>
    </tableColumn>
    <tableColumn id="13" xr3:uid="{671E1D66-711D-4B62-963D-A1D4E7D432BD}" name="TVA déductible" totalsRowFunction="custom" dataDxfId="341" totalsRowDxfId="340" dataCellStyle="Monétaire">
      <calculatedColumnFormula>IFERROR(IF(OR(TABLEAUJ10[[#This Row],[Code TVA D]]="",TABLEAUJ10[[#This Row],[Code TVA D]]="NA"),"",TABLEAUJ10[[#This Row],[Débit TTC]]/(1+VLOOKUP(TABLEAUJ10[[#This Row],[Code TVA D]],MATRICETVA[],2,FALSE))*VLOOKUP(TABLEAUJ10[[#This Row],[Code TVA D]],MATRICETVA[],2,FALSE)),"")</calculatedColumnFormula>
      <totalsRowFormula>IFERROR(SUBTOTAL(109,TABLEAUJ10[TVA déductible]),"")</totalsRowFormula>
    </tableColumn>
    <tableColumn id="22" xr3:uid="{14C4B8B9-85E9-4748-BC05-318F83C09097}" name="Débit TTC" totalsRowFunction="custom" dataDxfId="339" totalsRowDxfId="338" dataCellStyle="Monétaire">
      <calculatedColumnFormula>IFERROR(IF(OR(TABLEAUJ10[[#This Row],[Code TVA D]]="",TABLEAUJ10[[#This Row],[Code TVA D]]="NA"),"",TABLEAUJ10[[#This Row],[Débit]]),"")</calculatedColumnFormula>
      <totalsRowFormula>IFERROR(SUBTOTAL(109,TABLEAUJ10[Débit TTC]),"")</totalsRowFormula>
    </tableColumn>
    <tableColumn id="23" xr3:uid="{1569B040-D226-472B-AE2D-08A06B278773}" name="Contrôle 2" totalsRowFunction="custom" dataDxfId="337" totalsRowDxfId="336" dataCellStyle="Normal">
      <calculatedColumnFormula>IFERROR(IF(OR(TABLEAUJ10[[#This Row],[Code TVA C]]="",TABLEAUJ10[[#This Row],[Code TVA C]]="NA"),TRUE,SUM(TABLEAUJ10[[#This Row],[Crédit HT]],TABLEAUJ10[[#This Row],[TVA collectée]])=TABLEAUJ10[[#This Row],[Crédit TTC]]),"")</calculatedColumnFormula>
      <totalsRowFormula>IFERROR(SUM(TABLEAUJ10[[#Totals],[Crédit HT]],TABLEAUJ10[[#Totals],[TVA collectée]])=TABLEAUJ10[[#Totals],[Crédit TTC]],"")</totalsRowFormula>
    </tableColumn>
    <tableColumn id="9" xr3:uid="{22028C7A-8B05-4544-9F22-4B830ED5C3EE}" name="Crédit HT" totalsRowFunction="custom" dataDxfId="335" totalsRowDxfId="334" dataCellStyle="Monétaire">
      <calculatedColumnFormula>IFERROR(IF(OR(TABLEAUJ10[[#This Row],[Code TVA C]]="",TABLEAUJ10[[#This Row],[Code TVA C]]="NA"),"",TABLEAUJ10[[#This Row],[Crédit TTC]]/(1+(VLOOKUP(TABLEAUJ10[[#This Row],[Code TVA C]],MATRICETVA[],2,FALSE)))),"")</calculatedColumnFormula>
      <totalsRowFormula>IFERROR(SUBTOTAL(109,TABLEAUJ10[Crédit HT]),"")</totalsRowFormula>
    </tableColumn>
    <tableColumn id="14" xr3:uid="{04D285C4-1F15-4C92-B444-C26ED96D438A}" name="Code TVA C" dataDxfId="333" totalsRowDxfId="332" dataCellStyle="Monétaire">
      <calculatedColumnFormula>IFERROR(IF(TABLEAUJ10[[#This Row],[Crédit]]&lt;&gt;"",IF(TABLEAUJ10[[#This Row],[Code TVA M]]&lt;&gt;"",TABLEAUJ10[[#This Row],[Code TVA M]],TABLEAUJ10[[#This Row],[Code TVA A]]),""),"")</calculatedColumnFormula>
    </tableColumn>
    <tableColumn id="15" xr3:uid="{03B430A2-D9F0-4A42-99B8-8C2A9E528025}" name="TVA collectée" totalsRowFunction="custom" dataDxfId="331" totalsRowDxfId="330" dataCellStyle="Monétaire">
      <calculatedColumnFormula>IFERROR(IF(OR(TABLEAUJ10[[#This Row],[Code TVA C]]="",TABLEAUJ10[[#This Row],[Code TVA C]]="NA"),"",TABLEAUJ10[[#This Row],[Crédit TTC]]/(1+VLOOKUP(TABLEAUJ10[[#This Row],[Code TVA C]],MATRICETVA[],2,FALSE))*VLOOKUP(TABLEAUJ10[[#This Row],[Code TVA C]],MATRICETVA[],2,FALSE)),"")</calculatedColumnFormula>
      <totalsRowFormula>IFERROR(SUBTOTAL(109,TABLEAUJ10[TVA collectée]),"")</totalsRowFormula>
    </tableColumn>
    <tableColumn id="24" xr3:uid="{56851D44-FFD7-4776-B179-1B12EC98F035}" name="Crédit TTC" totalsRowFunction="custom" dataDxfId="329" totalsRowDxfId="328" dataCellStyle="Monétaire">
      <calculatedColumnFormula>IFERROR(IF(OR(TABLEAUJ10[[#This Row],[Code TVA C]]="",TABLEAUJ10[[#This Row],[Code TVA C]]="NA"),"",TABLEAUJ10[[#This Row],[Crédit]]),"")</calculatedColumnFormula>
      <totalsRowFormula>IFERROR(SUBTOTAL(109,TABLEAUJ10[Crédit TTC]),"")</totalsRowFormula>
    </tableColumn>
    <tableColumn id="25" xr3:uid="{93CBF61C-65E6-40D3-AC96-BE632FE82717}" name="Contrôle 3" dataDxfId="327" totalsRowDxfId="326" dataCellStyle="Monétaire">
      <calculatedColumnFormula>IFERROR(IF(AND(TABLEAUJ10[[#This Row],[Débit]]&lt;&gt;"",TABLEAUJ10[[#This Row],[Crédit]]&lt;&gt;""),FALSE,TRUE),"")</calculatedColumnFormula>
    </tableColumn>
    <tableColumn id="26" xr3:uid="{D857B7E6-7DC4-44AD-BE1B-B81AB29C39BC}" name="Code TVA A" dataDxfId="325" totalsRowDxfId="324" dataCellStyle="Monétaire">
      <calculatedColumnFormula>IFERROR(VLOOKUP(TABLEAUJ10[[#This Row],[Catégorie]],MATRICECATEGORIE[],2,FALSE),"")</calculatedColumnFormula>
    </tableColumn>
    <tableColumn id="27" xr3:uid="{8509AE5E-B496-4500-B36A-54933C2E7D23}" name="Code TVA M" dataDxfId="323" totalsRowDxfId="322" dataCellStyle="Monétaire"/>
    <tableColumn id="16" xr3:uid="{FA5883BB-C88F-41B1-87B7-0A5D00BC941F}" name="Contrôle 4" dataDxfId="321" totalsRowDxfId="320" dataCellStyle="Normal">
      <calculatedColumnFormula>IFERROR(IF(AND(TABLEAUJ10[[#This Row],[Code TVA D]]&lt;&gt;"",TABLEAUJ10[[#This Row],[Code TVA C]]&lt;&gt;""),FALSE,TRUE),"")</calculatedColumnFormula>
    </tableColumn>
    <tableColumn id="31" xr3:uid="{7B1A1747-B2F4-4953-930A-7301971D0607}" name="Contrôle 5" dataDxfId="319" totalsRowDxfId="318"/>
    <tableColumn id="32" xr3:uid="{FB2A60CB-3523-4990-B277-628CD81A941A}" name="Contrôle 6" dataDxfId="317" totalsRowDxfId="316"/>
    <tableColumn id="18" xr3:uid="{2E5CAB81-D9D3-48F3-AAB8-5A7A5F41BD72}" name="AJOUT DE LIGNE" dataDxfId="315" totalsRowDxfId="314"/>
  </tableColumns>
  <tableStyleInfo name="Style de tableau 1" showFirstColumn="0" showLastColumn="0" showRowStripes="0" showColumnStripes="1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A65F9105-423B-404E-934E-01436587BE5D}" name="TABLEAUJ11" displayName="TABLEAUJ11" ref="B14:AD16" totalsRowCount="1" headerRowDxfId="313" totalsRowDxfId="310" headerRowBorderDxfId="312" tableBorderDxfId="311" totalsRowBorderDxfId="309">
  <autoFilter ref="B14:AD15" xr:uid="{450FFA28-373E-4CBA-A075-480F10179D3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4BD054F2-3861-498E-8C54-0E2A57AE5830}" name="Date" totalsRowLabel="Totaux" dataDxfId="308" totalsRowDxfId="307"/>
    <tableColumn id="17" xr3:uid="{E134961E-A0FA-4921-9772-140E6CA1F88E}" name="Échéancier" dataDxfId="306" totalsRowDxfId="305">
      <calculatedColumnFormula array="1">IFERROR(IF(TABLEAUJ11[[#This Row],[Date]]="","",IF(YEAR(TABLEAUJ11[[#This Row],[Date]])*12+MONTH(TABLEAUJ11[[#This Row],[Date]])-YEAR(INDEX(TABLEAUECHEANCE[1EREECHEANCE],MATCH(1,(TABLEAUECHEANCE[CATEGORIEECHEANCE]=TABLEAUJ11[[#This Row],[Catégorie]])*(TABLEAUECHEANCE[TIERSECHEANCE]=TABLEAUJ11[[#This Row],[Payé à]]),0)) )*12-MONTH(INDEX(TABLEAUECHEANCE[1EREECHEANCE],MATCH(1,(TABLEAUECHEANCE[CATEGORIEECHEANCE]=TABLEAUJ11[[#This Row],[Catégorie]])*(TABLEAUECHEANCE[TIERSECHEANCE]=TABLEAUJ11[[#This Row],[Payé à]]),0)) )+1&gt;INDEX(TABLEAUECHEANCE[NBECHEANCE],MATCH(1,(TABLEAUECHEANCE[CATEGORIEECHEANCE]=TABLEAUJ11[[#This Row],[Catégorie]])*(TABLEAUECHEANCE[TIERSECHEANCE]=TABLEAUJ11[[#This Row],[Payé à]]),0)),"HE",CONCATENATE(IF(INDEX(TABLEAUECHEANCE[1EREECHEANCE],MATCH(1,(TABLEAUECHEANCE[CATEGORIEECHEANCE]=TABLEAUJ11[[#This Row],[Catégorie]])*(TABLEAUECHEANCE[TIERSECHEANCE]=TABLEAUJ11[[#This Row],[Payé à]]),0)) ="","",YEAR(TABLEAUJ11[[#This Row],[Date]])*12+MONTH(TABLEAUJ11[[#This Row],[Date]])-YEAR(INDEX(TABLEAUECHEANCE[1EREECHEANCE],MATCH(1,(TABLEAUECHEANCE[CATEGORIEECHEANCE]=TABLEAUJ11[[#This Row],[Catégorie]])*(TABLEAUECHEANCE[TIERSECHEANCE]=TABLEAUJ11[[#This Row],[Payé à]]),0)) )*12-MONTH(INDEX(TABLEAUECHEANCE[1EREECHEANCE],MATCH(1,(TABLEAUECHEANCE[CATEGORIEECHEANCE]=TABLEAUJ11[[#This Row],[Catégorie]])*(TABLEAUECHEANCE[TIERSECHEANCE]=TABLEAUJ11[[#This Row],[Payé à]]),0)) )+1)," sur ",INDEX(TABLEAUECHEANCE[NBECHEANCE],MATCH(1,(TABLEAUECHEANCE[CATEGORIEECHEANCE]=TABLEAUJ11[[#This Row],[Catégorie]])*(TABLEAUECHEANCE[TIERSECHEANCE]=TABLEAUJ11[[#This Row],[Payé à]]),0))))),"")</calculatedColumnFormula>
    </tableColumn>
    <tableColumn id="2" xr3:uid="{4CBD17EE-863B-499D-9E85-6F7F66DE3E31}" name="Mode de règlement" dataDxfId="304" totalsRowDxfId="303"/>
    <tableColumn id="19" xr3:uid="{1D39026E-028D-4F7F-853C-A53844011AFD}" name="Références réglement" dataDxfId="302" totalsRowDxfId="301"/>
    <tableColumn id="3" xr3:uid="{99EF0A46-1C46-4F81-AD7D-071AD2E31E0C}" name="Catégorie" dataDxfId="300" totalsRowDxfId="299"/>
    <tableColumn id="4" xr3:uid="{594A22B5-7A75-48E9-89A8-11904CA1A499}" name="Payé par" dataDxfId="298" totalsRowDxfId="297"/>
    <tableColumn id="20" xr3:uid="{2FC4A64E-73D8-4F09-9D50-27C47CA8BB24}" name="Pièce comptable" dataDxfId="296" totalsRowDxfId="295"/>
    <tableColumn id="5" xr3:uid="{7CEFFB77-0A0D-4131-8D31-2CEB4E8184AC}" name="Commentaires" dataDxfId="294" totalsRowDxfId="293"/>
    <tableColumn id="6" xr3:uid="{06A40C97-FC2B-4AD7-A02E-B13AD9764168}" name="Payé à" dataDxfId="292" totalsRowDxfId="291"/>
    <tableColumn id="8" xr3:uid="{9DE83D88-2864-4012-B9A6-168FC53E5ABE}" name="Débit" totalsRowFunction="custom" dataDxfId="290" totalsRowDxfId="289" dataCellStyle="Monétaire">
      <totalsRowFormula>IFERROR(SUBTOTAL(109,TABLEAUJ11[Débit]),"")</totalsRowFormula>
    </tableColumn>
    <tableColumn id="10" xr3:uid="{A2B8239B-B758-4096-BED6-2B4CFEA87252}" name="Crédit" totalsRowFunction="custom" dataDxfId="288" totalsRowDxfId="287" dataCellStyle="Monétaire">
      <totalsRowFormula>IFERROR(SUBTOTAL(109,TABLEAUJ11[Crédit]),"")</totalsRowFormula>
    </tableColumn>
    <tableColumn id="11" xr3:uid="{4AB7F217-8E87-461B-81F8-C66CDB1A8496}" name="Solde bancaire" totalsRowFunction="custom" dataDxfId="286" totalsRowDxfId="285" dataCellStyle="Monétaire">
      <calculatedColumnFormula>IFERROR(IF(ROW()=ROW($B$15),SUM($M$12,-TABLEAUJ11[[#This Row],[Débit]],TABLEAUJ11[[#This Row],[Crédit]]),SUM(M14,-TABLEAUJ11[[#This Row],[Débit]],TABLEAUJ11[[#This Row],[Crédit]])),"")</calculatedColumnFormula>
      <totalsRowFormula>IFERROR(SUM($M$12,-TABLEAUJ11[[#Totals],[Débit]],TABLEAUJ11[[#Totals],[Crédit]]),"")</totalsRowFormula>
    </tableColumn>
    <tableColumn id="21" xr3:uid="{CD386380-D474-417A-B806-BC63A75323AA}" name="Contrôle 1" totalsRowFunction="custom" dataDxfId="284" totalsRowDxfId="283" dataCellStyle="Normal">
      <calculatedColumnFormula>IFERROR(IF(OR(TABLEAUJ11[[#This Row],[Code TVA D]]="",TABLEAUJ11[[#This Row],[Code TVA D]]="NA"),TRUE,SUM(TABLEAUJ11[[#This Row],[Débit HT]],TABLEAUJ11[[#This Row],[TVA déductible]])=TABLEAUJ11[[#This Row],[Débit TTC]]),"")</calculatedColumnFormula>
      <totalsRowFormula>IFERROR(SUM(TABLEAUJ11[[#Totals],[Débit HT]],TABLEAUJ11[[#Totals],[TVA déductible]])=TABLEAUJ11[[#Totals],[Débit TTC]],"")</totalsRowFormula>
    </tableColumn>
    <tableColumn id="7" xr3:uid="{B68205D7-ADB4-48C9-A361-D6E147C25699}" name="Débit HT" totalsRowFunction="custom" dataDxfId="282" totalsRowDxfId="281" dataCellStyle="Monétaire">
      <calculatedColumnFormula>IFERROR(IF(OR(TABLEAUJ11[[#This Row],[Code TVA D]]="",TABLEAUJ11[[#This Row],[Code TVA D]]="NA"),"",TABLEAUJ11[[#This Row],[Débit TTC]]/(1+(VLOOKUP(TABLEAUJ11[[#This Row],[Code TVA D]],MATRICETVA[],2,FALSE)))),"")</calculatedColumnFormula>
      <totalsRowFormula>IFERROR(SUBTOTAL(109,TABLEAUJ11[Débit HT]),"")</totalsRowFormula>
    </tableColumn>
    <tableColumn id="12" xr3:uid="{2E8EC6DC-263F-4BF3-978F-CFDB674D4C10}" name="Code TVA D" dataDxfId="280" totalsRowDxfId="279" dataCellStyle="Monétaire">
      <calculatedColumnFormula>IFERROR(IF(TABLEAUJ11[[#This Row],[Débit]]&lt;&gt;"",IF(TABLEAUJ11[[#This Row],[Code TVA M]]&lt;&gt;"",TABLEAUJ11[[#This Row],[Code TVA M]],TABLEAUJ11[[#This Row],[Code TVA A]]),""),"")</calculatedColumnFormula>
    </tableColumn>
    <tableColumn id="13" xr3:uid="{0E59A38B-B4D2-4010-9F86-82A76F2323DA}" name="TVA déductible" totalsRowFunction="custom" dataDxfId="278" totalsRowDxfId="277" dataCellStyle="Monétaire">
      <calculatedColumnFormula>IFERROR(IF(OR(TABLEAUJ11[[#This Row],[Code TVA D]]="",TABLEAUJ11[[#This Row],[Code TVA D]]="NA"),"",TABLEAUJ11[[#This Row],[Débit TTC]]/(1+VLOOKUP(TABLEAUJ11[[#This Row],[Code TVA D]],MATRICETVA[],2,FALSE))*VLOOKUP(TABLEAUJ11[[#This Row],[Code TVA D]],MATRICETVA[],2,FALSE)),"")</calculatedColumnFormula>
      <totalsRowFormula>IFERROR(SUBTOTAL(109,TABLEAUJ11[TVA déductible]),"")</totalsRowFormula>
    </tableColumn>
    <tableColumn id="22" xr3:uid="{47ABA258-DD0A-4C27-A481-92DF3E5ADE82}" name="Débit TTC" totalsRowFunction="custom" dataDxfId="276" totalsRowDxfId="275" dataCellStyle="Monétaire">
      <calculatedColumnFormula>IFERROR(IF(OR(TABLEAUJ11[[#This Row],[Code TVA D]]="",TABLEAUJ11[[#This Row],[Code TVA D]]="NA"),"",TABLEAUJ11[[#This Row],[Débit]]),"")</calculatedColumnFormula>
      <totalsRowFormula>IFERROR(SUBTOTAL(109,TABLEAUJ11[Débit TTC]),"")</totalsRowFormula>
    </tableColumn>
    <tableColumn id="23" xr3:uid="{FD6D69F1-6105-40A3-AA24-1F3C624D3178}" name="Contrôle 2" totalsRowFunction="custom" dataDxfId="274" totalsRowDxfId="273" dataCellStyle="Normal">
      <calculatedColumnFormula>IFERROR(IF(OR(TABLEAUJ11[[#This Row],[Code TVA C]]="",TABLEAUJ11[[#This Row],[Code TVA C]]="NA"),TRUE,SUM(TABLEAUJ11[[#This Row],[Crédit HT]],TABLEAUJ11[[#This Row],[TVA collectée]])=TABLEAUJ11[[#This Row],[Crédit TTC]]),"")</calculatedColumnFormula>
      <totalsRowFormula>IFERROR(SUM(TABLEAUJ11[[#Totals],[Crédit HT]],TABLEAUJ11[[#Totals],[TVA collectée]])=TABLEAUJ11[[#Totals],[Crédit TTC]],"")</totalsRowFormula>
    </tableColumn>
    <tableColumn id="9" xr3:uid="{51E94803-FB80-493E-81F8-8322E4D457EA}" name="Crédit HT" totalsRowFunction="custom" dataDxfId="272" totalsRowDxfId="271" dataCellStyle="Monétaire">
      <calculatedColumnFormula>IFERROR(IF(OR(TABLEAUJ11[[#This Row],[Code TVA C]]="",TABLEAUJ11[[#This Row],[Code TVA C]]="NA"),"",TABLEAUJ11[[#This Row],[Crédit TTC]]/(1+(VLOOKUP(TABLEAUJ11[[#This Row],[Code TVA C]],MATRICETVA[],2,FALSE)))),"")</calculatedColumnFormula>
      <totalsRowFormula>IFERROR(SUBTOTAL(109,TABLEAUJ11[Crédit HT]),"")</totalsRowFormula>
    </tableColumn>
    <tableColumn id="14" xr3:uid="{4580076D-31B4-4545-9BA7-71480E83F9EB}" name="Code TVA C" dataDxfId="270" totalsRowDxfId="269" dataCellStyle="Monétaire">
      <calculatedColumnFormula>IFERROR(IF(TABLEAUJ11[[#This Row],[Crédit]]&lt;&gt;"",IF(TABLEAUJ11[[#This Row],[Code TVA M]]&lt;&gt;"",TABLEAUJ11[[#This Row],[Code TVA M]],TABLEAUJ11[[#This Row],[Code TVA A]]),""),"")</calculatedColumnFormula>
    </tableColumn>
    <tableColumn id="15" xr3:uid="{71BF89D1-D974-4833-A360-EB5CEDB5138E}" name="TVA collectée" totalsRowFunction="custom" dataDxfId="268" totalsRowDxfId="267" dataCellStyle="Monétaire">
      <calculatedColumnFormula>IFERROR(IF(OR(TABLEAUJ11[[#This Row],[Code TVA C]]="",TABLEAUJ11[[#This Row],[Code TVA C]]="NA"),"",TABLEAUJ11[[#This Row],[Crédit TTC]]/(1+VLOOKUP(TABLEAUJ11[[#This Row],[Code TVA C]],MATRICETVA[],2,FALSE))*VLOOKUP(TABLEAUJ11[[#This Row],[Code TVA C]],MATRICETVA[],2,FALSE)),"")</calculatedColumnFormula>
      <totalsRowFormula>IFERROR(SUBTOTAL(109,TABLEAUJ11[TVA collectée]),"")</totalsRowFormula>
    </tableColumn>
    <tableColumn id="24" xr3:uid="{629CF824-AF63-41BD-9FE0-E355A1B90EAE}" name="Crédit TTC" totalsRowFunction="custom" dataDxfId="266" totalsRowDxfId="265" dataCellStyle="Monétaire">
      <calculatedColumnFormula>IFERROR(IF(OR(TABLEAUJ11[[#This Row],[Code TVA C]]="",TABLEAUJ11[[#This Row],[Code TVA C]]="NA"),"",TABLEAUJ11[[#This Row],[Crédit]]),"")</calculatedColumnFormula>
      <totalsRowFormula>IFERROR(SUBTOTAL(109,TABLEAUJ11[Crédit TTC]),"")</totalsRowFormula>
    </tableColumn>
    <tableColumn id="25" xr3:uid="{406CF98C-3B35-4DF5-83E9-E7296FD9388A}" name="Contrôle 3" dataDxfId="264" totalsRowDxfId="263" dataCellStyle="Monétaire">
      <calculatedColumnFormula>IFERROR(IF(AND(TABLEAUJ11[[#This Row],[Débit]]&lt;&gt;"",TABLEAUJ11[[#This Row],[Crédit]]&lt;&gt;""),FALSE,TRUE),"")</calculatedColumnFormula>
    </tableColumn>
    <tableColumn id="26" xr3:uid="{C0BDBB3A-01BC-4AF8-9348-3B1F57381EA8}" name="Code TVA A" dataDxfId="262" totalsRowDxfId="261" dataCellStyle="Monétaire">
      <calculatedColumnFormula>IFERROR(VLOOKUP(TABLEAUJ11[[#This Row],[Catégorie]],MATRICECATEGORIE[],2,FALSE),"")</calculatedColumnFormula>
    </tableColumn>
    <tableColumn id="27" xr3:uid="{BFC465A7-3DD9-45A2-B3D0-E2F61723B866}" name="Code TVA M" dataDxfId="260" totalsRowDxfId="259" dataCellStyle="Monétaire"/>
    <tableColumn id="16" xr3:uid="{1D947A4A-922C-4996-BAF7-83DEA425C411}" name="Contrôle 4" dataDxfId="258" totalsRowDxfId="257" dataCellStyle="Normal">
      <calculatedColumnFormula>IFERROR(IF(AND(TABLEAUJ11[[#This Row],[Code TVA D]]&lt;&gt;"",TABLEAUJ11[[#This Row],[Code TVA C]]&lt;&gt;""),FALSE,TRUE),"")</calculatedColumnFormula>
    </tableColumn>
    <tableColumn id="31" xr3:uid="{C9ED76DE-88E4-4AB9-A06D-1C1409618F8F}" name="Contrôle 5" dataDxfId="256" totalsRowDxfId="255"/>
    <tableColumn id="32" xr3:uid="{0F156314-7AD5-4432-8E71-A41880007D39}" name="Contrôle 6" dataDxfId="254" totalsRowDxfId="253"/>
    <tableColumn id="18" xr3:uid="{1FFD879F-FAA4-4EA8-9432-3066F4DA7341}" name="AJOUT DE LIGNE" dataDxfId="252" totalsRowDxfId="251"/>
  </tableColumns>
  <tableStyleInfo name="Style de tableau 1" showFirstColumn="0" showLastColumn="0" showRowStripes="0" showColumnStripes="1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2E0AB8B9-0AAE-49A3-A87D-4A31AEFA8CFD}" name="TABLEAUJ12" displayName="TABLEAUJ12" ref="B14:AD16" totalsRowCount="1" headerRowDxfId="250" totalsRowDxfId="247" headerRowBorderDxfId="249" tableBorderDxfId="248" totalsRowBorderDxfId="246">
  <autoFilter ref="B14:AD15" xr:uid="{2941EBDC-0FAB-419E-B24C-EAF9E374716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xr3:uid="{4F45FF4E-F1B5-43C7-A1E4-52180E9484C2}" name="Date" totalsRowLabel="Totaux" dataDxfId="245" totalsRowDxfId="244"/>
    <tableColumn id="17" xr3:uid="{78E4DC47-1FE8-46E8-BA11-ED78FCDCCB7C}" name="Échéancier" dataDxfId="243" totalsRowDxfId="242">
      <calculatedColumnFormula array="1">IFERROR(IF(TABLEAUJ12[[#This Row],[Date]]="","",IF(YEAR(TABLEAUJ12[[#This Row],[Date]])*12+MONTH(TABLEAUJ12[[#This Row],[Date]])-YEAR(INDEX(TABLEAUECHEANCE[1EREECHEANCE],MATCH(1,(TABLEAUECHEANCE[CATEGORIEECHEANCE]=TABLEAUJ12[[#This Row],[Catégorie]])*(TABLEAUECHEANCE[TIERSECHEANCE]=TABLEAUJ12[[#This Row],[Payé à]]),0)) )*12-MONTH(INDEX(TABLEAUECHEANCE[1EREECHEANCE],MATCH(1,(TABLEAUECHEANCE[CATEGORIEECHEANCE]=TABLEAUJ12[[#This Row],[Catégorie]])*(TABLEAUECHEANCE[TIERSECHEANCE]=TABLEAUJ12[[#This Row],[Payé à]]),0)) )+1&gt;INDEX(TABLEAUECHEANCE[NBECHEANCE],MATCH(1,(TABLEAUECHEANCE[CATEGORIEECHEANCE]=TABLEAUJ12[[#This Row],[Catégorie]])*(TABLEAUECHEANCE[TIERSECHEANCE]=TABLEAUJ12[[#This Row],[Payé à]]),0)),"HE",CONCATENATE(IF(INDEX(TABLEAUECHEANCE[1EREECHEANCE],MATCH(1,(TABLEAUECHEANCE[CATEGORIEECHEANCE]=TABLEAUJ12[[#This Row],[Catégorie]])*(TABLEAUECHEANCE[TIERSECHEANCE]=TABLEAUJ12[[#This Row],[Payé à]]),0)) ="","",YEAR(TABLEAUJ12[[#This Row],[Date]])*12+MONTH(TABLEAUJ12[[#This Row],[Date]])-YEAR(INDEX(TABLEAUECHEANCE[1EREECHEANCE],MATCH(1,(TABLEAUECHEANCE[CATEGORIEECHEANCE]=TABLEAUJ12[[#This Row],[Catégorie]])*(TABLEAUECHEANCE[TIERSECHEANCE]=TABLEAUJ12[[#This Row],[Payé à]]),0)) )*12-MONTH(INDEX(TABLEAUECHEANCE[1EREECHEANCE],MATCH(1,(TABLEAUECHEANCE[CATEGORIEECHEANCE]=TABLEAUJ12[[#This Row],[Catégorie]])*(TABLEAUECHEANCE[TIERSECHEANCE]=TABLEAUJ12[[#This Row],[Payé à]]),0)) )+1)," sur ",INDEX(TABLEAUECHEANCE[NBECHEANCE],MATCH(1,(TABLEAUECHEANCE[CATEGORIEECHEANCE]=TABLEAUJ12[[#This Row],[Catégorie]])*(TABLEAUECHEANCE[TIERSECHEANCE]=TABLEAUJ12[[#This Row],[Payé à]]),0))))),"")</calculatedColumnFormula>
    </tableColumn>
    <tableColumn id="2" xr3:uid="{299C777F-5A01-4550-90D1-BA3894FB984E}" name="Mode de règlement" dataDxfId="241" totalsRowDxfId="240"/>
    <tableColumn id="19" xr3:uid="{53384992-C223-4034-A12B-934B6426F5AF}" name="Références réglement" dataDxfId="239" totalsRowDxfId="238"/>
    <tableColumn id="3" xr3:uid="{0DCD78A6-93B3-4104-88B1-C7903E8C3F3D}" name="Catégorie" dataDxfId="237" totalsRowDxfId="236"/>
    <tableColumn id="4" xr3:uid="{AD096B8C-1FB1-46BA-AC21-D8F1001158CF}" name="Payé par" dataDxfId="235" totalsRowDxfId="234"/>
    <tableColumn id="20" xr3:uid="{A82BB8EA-5737-4166-81FA-AE9073A62894}" name="Pièce comptable" dataDxfId="233" totalsRowDxfId="232"/>
    <tableColumn id="5" xr3:uid="{C906715D-9410-496E-B8DA-876420AE3E9A}" name="Commentaires" dataDxfId="231" totalsRowDxfId="230"/>
    <tableColumn id="6" xr3:uid="{ACDE86D4-9F14-48D3-97CC-DD0D4864F32D}" name="Payé à" dataDxfId="229" totalsRowDxfId="228"/>
    <tableColumn id="8" xr3:uid="{3CBEE806-87DA-4D83-9AB9-9BE49EED9489}" name="Débit" totalsRowFunction="custom" dataDxfId="227" totalsRowDxfId="226" dataCellStyle="Monétaire">
      <totalsRowFormula>IFERROR(SUBTOTAL(109,TABLEAUJ12[Débit]),"")</totalsRowFormula>
    </tableColumn>
    <tableColumn id="10" xr3:uid="{427EB8CF-5019-41C8-B9B7-5C6F80E8820C}" name="Crédit" totalsRowFunction="custom" dataDxfId="225" totalsRowDxfId="224" dataCellStyle="Monétaire">
      <totalsRowFormula>IFERROR(SUBTOTAL(109,TABLEAUJ12[Crédit]),"")</totalsRowFormula>
    </tableColumn>
    <tableColumn id="11" xr3:uid="{E069DA28-6021-4EB4-80B8-1D71F387B797}" name="Solde bancaire" totalsRowFunction="custom" dataDxfId="223" totalsRowDxfId="222" dataCellStyle="Monétaire">
      <calculatedColumnFormula>IFERROR(IF(ROW()=ROW($B$15),SUM($M$12,-TABLEAUJ12[[#This Row],[Débit]],TABLEAUJ12[[#This Row],[Crédit]]),SUM(M14,-TABLEAUJ12[[#This Row],[Débit]],TABLEAUJ12[[#This Row],[Crédit]])),"")</calculatedColumnFormula>
      <totalsRowFormula>IFERROR(SUM($M$12,-TABLEAUJ12[[#Totals],[Débit]],TABLEAUJ12[[#Totals],[Crédit]]),"")</totalsRowFormula>
    </tableColumn>
    <tableColumn id="21" xr3:uid="{836CA6D0-39D2-4E1F-B6FE-03A8C6E2A6AD}" name="Contrôle 1" totalsRowFunction="custom" dataDxfId="221" totalsRowDxfId="220" dataCellStyle="Normal">
      <calculatedColumnFormula>IFERROR(IF(OR(TABLEAUJ12[[#This Row],[Code TVA D]]="",TABLEAUJ12[[#This Row],[Code TVA D]]="NA"),TRUE,SUM(TABLEAUJ12[[#This Row],[Débit HT]],TABLEAUJ12[[#This Row],[TVA déductible]])=TABLEAUJ12[[#This Row],[Débit TTC]]),"")</calculatedColumnFormula>
      <totalsRowFormula>IFERROR(SUM(TABLEAUJ12[[#Totals],[Débit HT]],TABLEAUJ12[[#Totals],[TVA déductible]])=TABLEAUJ12[[#Totals],[Débit TTC]],"")</totalsRowFormula>
    </tableColumn>
    <tableColumn id="7" xr3:uid="{7BE7851B-4742-40E2-8F4A-3BC911E6B7F0}" name="Débit HT" totalsRowFunction="custom" dataDxfId="219" totalsRowDxfId="218" dataCellStyle="Monétaire">
      <calculatedColumnFormula>IFERROR(IF(OR(TABLEAUJ12[[#This Row],[Code TVA D]]="",TABLEAUJ12[[#This Row],[Code TVA D]]="NA"),"",TABLEAUJ12[[#This Row],[Débit TTC]]/(1+(VLOOKUP(TABLEAUJ12[[#This Row],[Code TVA D]],MATRICETVA[],2,FALSE)))),"")</calculatedColumnFormula>
      <totalsRowFormula>IFERROR(SUBTOTAL(109,TABLEAUJ12[Débit HT]),"")</totalsRowFormula>
    </tableColumn>
    <tableColumn id="12" xr3:uid="{FA6E6C46-FED4-475C-8677-9D19A91521B3}" name="Code TVA D" dataDxfId="217" totalsRowDxfId="216" dataCellStyle="Monétaire">
      <calculatedColumnFormula>IFERROR(IF(TABLEAUJ12[[#This Row],[Débit]]&lt;&gt;"",IF(TABLEAUJ12[[#This Row],[Code TVA M]]&lt;&gt;"",TABLEAUJ12[[#This Row],[Code TVA M]],TABLEAUJ12[[#This Row],[Code TVA A]]),""),"")</calculatedColumnFormula>
    </tableColumn>
    <tableColumn id="13" xr3:uid="{87BC010E-8D69-455B-B16F-6AB2171CACB2}" name="TVA déductible" totalsRowFunction="custom" dataDxfId="215" totalsRowDxfId="214" dataCellStyle="Monétaire">
      <calculatedColumnFormula>IFERROR(IF(OR(TABLEAUJ12[[#This Row],[Code TVA D]]="",TABLEAUJ12[[#This Row],[Code TVA D]]="NA"),"",TABLEAUJ12[[#This Row],[Débit TTC]]/(1+VLOOKUP(TABLEAUJ12[[#This Row],[Code TVA D]],MATRICETVA[],2,FALSE))*VLOOKUP(TABLEAUJ12[[#This Row],[Code TVA D]],MATRICETVA[],2,FALSE)),"")</calculatedColumnFormula>
      <totalsRowFormula>IFERROR(SUBTOTAL(109,TABLEAUJ12[TVA déductible]),"")</totalsRowFormula>
    </tableColumn>
    <tableColumn id="22" xr3:uid="{10D2DA54-70CF-4206-B2A7-9FB61F16A995}" name="Débit TTC" totalsRowFunction="custom" dataDxfId="213" totalsRowDxfId="212" dataCellStyle="Monétaire">
      <calculatedColumnFormula>IFERROR(IF(OR(TABLEAUJ12[[#This Row],[Code TVA D]]="",TABLEAUJ12[[#This Row],[Code TVA D]]="NA"),"",TABLEAUJ12[[#This Row],[Débit]]),"")</calculatedColumnFormula>
      <totalsRowFormula>IFERROR(SUBTOTAL(109,TABLEAUJ12[Débit TTC]),"")</totalsRowFormula>
    </tableColumn>
    <tableColumn id="23" xr3:uid="{6B15BF0A-9475-4DB9-9D2F-E348BA87FE42}" name="Contrôle 2" totalsRowFunction="custom" dataDxfId="211" totalsRowDxfId="210" dataCellStyle="Normal">
      <calculatedColumnFormula>IFERROR(IF(OR(TABLEAUJ12[[#This Row],[Code TVA C]]="",TABLEAUJ12[[#This Row],[Code TVA C]]="NA"),TRUE,SUM(TABLEAUJ12[[#This Row],[Crédit HT]],TABLEAUJ12[[#This Row],[TVA collectée]])=TABLEAUJ12[[#This Row],[Crédit TTC]]),"")</calculatedColumnFormula>
      <totalsRowFormula>IFERROR(SUM(TABLEAUJ12[[#Totals],[Crédit HT]],TABLEAUJ12[[#Totals],[TVA collectée]])=TABLEAUJ12[[#Totals],[Crédit TTC]],"")</totalsRowFormula>
    </tableColumn>
    <tableColumn id="9" xr3:uid="{C6043653-649E-4A92-9796-41B8499D5F6A}" name="Crédit HT" totalsRowFunction="custom" dataDxfId="209" totalsRowDxfId="208" dataCellStyle="Monétaire">
      <calculatedColumnFormula>IFERROR(IF(OR(TABLEAUJ12[[#This Row],[Code TVA C]]="",TABLEAUJ12[[#This Row],[Code TVA C]]="NA"),"",TABLEAUJ12[[#This Row],[Crédit TTC]]/(1+(VLOOKUP(TABLEAUJ12[[#This Row],[Code TVA C]],MATRICETVA[],2,FALSE)))),"")</calculatedColumnFormula>
      <totalsRowFormula>IFERROR(SUBTOTAL(109,TABLEAUJ12[Crédit HT]),"")</totalsRowFormula>
    </tableColumn>
    <tableColumn id="14" xr3:uid="{35B1B621-6AF4-44D0-96C5-98871755311D}" name="Code TVA C" dataDxfId="207" totalsRowDxfId="206" dataCellStyle="Monétaire">
      <calculatedColumnFormula>IFERROR(IF(TABLEAUJ12[[#This Row],[Crédit]]&lt;&gt;"",IF(TABLEAUJ12[[#This Row],[Code TVA M]]&lt;&gt;"",TABLEAUJ12[[#This Row],[Code TVA M]],TABLEAUJ12[[#This Row],[Code TVA A]]),""),"")</calculatedColumnFormula>
    </tableColumn>
    <tableColumn id="15" xr3:uid="{D5820B08-A68F-4505-9962-037D2E082D18}" name="TVA collectée" totalsRowFunction="custom" dataDxfId="205" totalsRowDxfId="204" dataCellStyle="Monétaire">
      <calculatedColumnFormula>IFERROR(IF(OR(TABLEAUJ12[[#This Row],[Code TVA C]]="",TABLEAUJ12[[#This Row],[Code TVA C]]="NA"),"",TABLEAUJ12[[#This Row],[Crédit TTC]]/(1+VLOOKUP(TABLEAUJ12[[#This Row],[Code TVA C]],MATRICETVA[],2,FALSE))*VLOOKUP(TABLEAUJ12[[#This Row],[Code TVA C]],MATRICETVA[],2,FALSE)),"")</calculatedColumnFormula>
      <totalsRowFormula>IFERROR(SUBTOTAL(109,TABLEAUJ12[TVA collectée]),"")</totalsRowFormula>
    </tableColumn>
    <tableColumn id="24" xr3:uid="{02811EC4-A589-4A64-B506-97640644CEB6}" name="Crédit TTC" totalsRowFunction="custom" dataDxfId="203" totalsRowDxfId="202" dataCellStyle="Monétaire">
      <calculatedColumnFormula>IFERROR(IF(OR(TABLEAUJ12[[#This Row],[Code TVA C]]="",TABLEAUJ12[[#This Row],[Code TVA C]]="NA"),"",TABLEAUJ12[[#This Row],[Crédit]]),"")</calculatedColumnFormula>
      <totalsRowFormula>IFERROR(SUBTOTAL(109,TABLEAUJ12[Crédit TTC]),"")</totalsRowFormula>
    </tableColumn>
    <tableColumn id="25" xr3:uid="{14ED52EE-549A-408B-9374-7F7E4C93BD89}" name="Contrôle 3" dataDxfId="201" totalsRowDxfId="200" dataCellStyle="Monétaire">
      <calculatedColumnFormula>IFERROR(IF(AND(TABLEAUJ12[[#This Row],[Débit]]&lt;&gt;"",TABLEAUJ12[[#This Row],[Crédit]]&lt;&gt;""),FALSE,TRUE),"")</calculatedColumnFormula>
    </tableColumn>
    <tableColumn id="26" xr3:uid="{2AAA5941-4914-472B-A0CA-B56C356B87CB}" name="Code TVA A" dataDxfId="199" totalsRowDxfId="198" dataCellStyle="Monétaire">
      <calculatedColumnFormula>IFERROR(VLOOKUP(TABLEAUJ12[[#This Row],[Catégorie]],MATRICECATEGORIE[],2,FALSE),"")</calculatedColumnFormula>
    </tableColumn>
    <tableColumn id="27" xr3:uid="{A56D3FFD-F4DF-4A59-8C00-5F5BE18BFAF1}" name="Code TVA M" dataDxfId="197" totalsRowDxfId="196" dataCellStyle="Monétaire"/>
    <tableColumn id="16" xr3:uid="{AD68DD8F-93D0-4856-ABC9-9B1DC9E6AF84}" name="Contrôle 4" dataDxfId="195" totalsRowDxfId="194" dataCellStyle="Normal">
      <calculatedColumnFormula>IFERROR(IF(AND(TABLEAUJ12[[#This Row],[Code TVA D]]&lt;&gt;"",TABLEAUJ12[[#This Row],[Code TVA C]]&lt;&gt;""),FALSE,TRUE),"")</calculatedColumnFormula>
    </tableColumn>
    <tableColumn id="31" xr3:uid="{476AAC42-7C2D-47EB-B605-30FFDA1BC135}" name="Contrôle 5" dataDxfId="193" totalsRowDxfId="192"/>
    <tableColumn id="32" xr3:uid="{8C48D438-97FD-4631-A86B-CF5B317B1FE7}" name="Contrôle 6" dataDxfId="191" totalsRowDxfId="190"/>
    <tableColumn id="18" xr3:uid="{0CD135AB-5A25-4BCB-BC7A-AB2076CDF273}" name="AJOUT DE LIGNE" dataDxfId="189" totalsRowDxfId="188"/>
  </tableColumns>
  <tableStyleInfo name="Style de tableau 1" showFirstColumn="0" showLastColumn="0" showRowStripes="0" showColumnStripes="1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5206F3E3-373C-4851-9770-AF3657186596}" name="TABLEAUSOLDERDM" displayName="TABLEAUSOLDERDM" ref="N4:P61" totalsRowCount="1" headerRowDxfId="187" totalsRowDxfId="184" headerRowBorderDxfId="186" tableBorderDxfId="185" totalsRowBorderDxfId="183">
  <autoFilter ref="N4:P60" xr:uid="{2963CC42-AA2F-4C6B-8E78-3B0326FADD36}">
    <filterColumn colId="0" hiddenButton="1"/>
    <filterColumn colId="1" hiddenButton="1"/>
    <filterColumn colId="2" hiddenButton="1"/>
  </autoFilter>
  <tableColumns count="3">
    <tableColumn id="1" xr3:uid="{E8F1776F-F885-4D37-9820-01F40A9A4826}" name="Cumul" totalsRowFunction="custom" dataDxfId="182" totalsRowDxfId="181">
      <calculatedColumnFormula>IFERROR(IF(ROW()=ROW($B$5),SUM($L$2,K5,-L5),SUM(N4,K5,-L5)),"")</calculatedColumnFormula>
      <totalsRowFormula>IFERROR(N60,"")</totalsRowFormula>
    </tableColumn>
    <tableColumn id="2" xr3:uid="{B4E7D9D6-4F1B-4269-9083-7216A2831DAA}" name="Solde débiteur" totalsRowFunction="custom" dataDxfId="180" totalsRowDxfId="179">
      <calculatedColumnFormula>IFERROR(IF(TABLEAUSOLDERDM[[#This Row],[Cumul]]&gt;0,TABLEAUSOLDERDM[[#This Row],[Cumul]],""),"")</calculatedColumnFormula>
      <totalsRowFormula>IFERROR(O60,"")</totalsRowFormula>
    </tableColumn>
    <tableColumn id="3" xr3:uid="{A05BEF1B-21BC-4C28-A5C7-7FD7BBFC4799}" name="Solde créditeur" totalsRowFunction="custom" dataDxfId="178" totalsRowDxfId="177">
      <calculatedColumnFormula>IFERROR(IF(TABLEAUSOLDERDM[[#This Row],[Cumul]]&lt;0,-TABLEAUSOLDERDM[[#This Row],[Cumul]],""),"")</calculatedColumnFormula>
      <totalsRowFormula>IFERROR(P60,"")</totalsRow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microsoft.com/office/2007/relationships/slicer" Target="../slicers/slicer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microsoft.com/office/2007/relationships/slicer" Target="../slicers/slicer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microsoft.com/office/2007/relationships/slicer" Target="../slicers/slicer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microsoft.com/office/2007/relationships/slicer" Target="../slicers/slicer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microsoft.com/office/2007/relationships/slicer" Target="../slicers/slicer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4" Type="http://schemas.microsoft.com/office/2007/relationships/slicer" Target="../slicers/slicer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8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4" Type="http://schemas.microsoft.com/office/2007/relationships/slicer" Target="../slicers/slicer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9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4" Type="http://schemas.microsoft.com/office/2007/relationships/slicer" Target="../slicers/slicer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0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4" Type="http://schemas.microsoft.com/office/2007/relationships/slicer" Target="../slicers/slicer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4" Type="http://schemas.microsoft.com/office/2007/relationships/slicer" Target="../slicers/slicer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2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4" Type="http://schemas.microsoft.com/office/2007/relationships/slicer" Target="../slicers/slicer12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3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C435BA-8089-43E3-A07D-70FEE1F30BA8}">
  <sheetPr codeName="Feuil127"/>
  <dimension ref="A1:W185"/>
  <sheetViews>
    <sheetView showGridLines="0" tabSelected="1" workbookViewId="0">
      <selection activeCell="J24" sqref="J24"/>
    </sheetView>
  </sheetViews>
  <sheetFormatPr baseColWidth="10" defaultRowHeight="15" x14ac:dyDescent="0.25"/>
  <cols>
    <col min="1" max="1" width="9.42578125" style="1" bestFit="1" customWidth="1"/>
    <col min="2" max="2" width="10.7109375" style="1" bestFit="1" customWidth="1"/>
    <col min="3" max="3" width="18.28515625" style="1" bestFit="1" customWidth="1"/>
    <col min="4" max="4" width="25.7109375" style="1" bestFit="1" customWidth="1"/>
    <col min="5" max="6" width="14" style="1" bestFit="1" customWidth="1"/>
    <col min="7" max="7" width="18.28515625" style="1" bestFit="1" customWidth="1"/>
    <col min="8" max="8" width="19.28515625" style="1" customWidth="1"/>
    <col min="9" max="9" width="32.140625" style="1" customWidth="1"/>
    <col min="10" max="10" width="53.5703125" style="1" customWidth="1"/>
    <col min="11" max="11" width="15.140625" style="1" bestFit="1" customWidth="1"/>
    <col min="12" max="12" width="53.5703125" style="1" customWidth="1"/>
    <col min="13" max="13" width="32.140625" style="1" customWidth="1"/>
    <col min="14" max="14" width="17.42578125" style="1" bestFit="1" customWidth="1"/>
    <col min="15" max="15" width="19" style="1" bestFit="1" customWidth="1"/>
    <col min="16" max="16" width="11.42578125" style="1"/>
    <col min="17" max="17" width="14.28515625" style="1" customWidth="1"/>
    <col min="18" max="18" width="0" style="1" hidden="1" customWidth="1"/>
    <col min="19" max="19" width="4.28515625" style="1" customWidth="1"/>
    <col min="20" max="23" width="14.28515625" style="1" customWidth="1"/>
    <col min="24" max="16384" width="11.42578125" style="1"/>
  </cols>
  <sheetData>
    <row r="1" spans="1:23" ht="22.5" customHeight="1" x14ac:dyDescent="0.25">
      <c r="A1" s="5" t="s">
        <v>8</v>
      </c>
      <c r="B1" s="5" t="s">
        <v>9</v>
      </c>
      <c r="C1" s="5" t="s">
        <v>10</v>
      </c>
      <c r="D1" s="5" t="s">
        <v>11</v>
      </c>
      <c r="E1" s="1" t="s">
        <v>25</v>
      </c>
      <c r="F1" s="1" t="s">
        <v>26</v>
      </c>
      <c r="G1" s="8" t="s">
        <v>27</v>
      </c>
      <c r="H1" s="11" t="s">
        <v>29</v>
      </c>
      <c r="I1" s="40" t="s">
        <v>30</v>
      </c>
      <c r="J1" s="11" t="s">
        <v>60</v>
      </c>
      <c r="K1" s="55" t="s">
        <v>73</v>
      </c>
      <c r="L1" s="1" t="s">
        <v>79</v>
      </c>
      <c r="M1" s="1" t="s">
        <v>80</v>
      </c>
      <c r="N1" s="1" t="s">
        <v>81</v>
      </c>
      <c r="O1" s="1" t="s">
        <v>82</v>
      </c>
      <c r="Q1" s="43" t="s">
        <v>55</v>
      </c>
      <c r="R1" s="42" t="b">
        <f>IFERROR(IF(Q2="OUI",TRUE,IF(Q2="NON",FALSE,IF(Q2="",""))),"")</f>
        <v>0</v>
      </c>
      <c r="T1" s="15" t="s">
        <v>37</v>
      </c>
      <c r="U1" s="16" t="s">
        <v>38</v>
      </c>
      <c r="V1" s="13" t="s">
        <v>39</v>
      </c>
      <c r="W1" s="17" t="s">
        <v>40</v>
      </c>
    </row>
    <row r="2" spans="1:23" ht="15.75" x14ac:dyDescent="0.25">
      <c r="A2" s="1">
        <v>2010</v>
      </c>
      <c r="B2" s="45">
        <v>43831</v>
      </c>
      <c r="C2" s="1" t="s">
        <v>12</v>
      </c>
      <c r="D2" s="46">
        <f>DATE(ANNEEN,1,1)</f>
        <v>43831</v>
      </c>
      <c r="E2" s="56" t="s">
        <v>41</v>
      </c>
      <c r="F2" s="7"/>
      <c r="G2" s="9">
        <f>DATE(ANNEEN,1,1)</f>
        <v>43831</v>
      </c>
      <c r="H2" s="58" t="s">
        <v>43</v>
      </c>
      <c r="I2" s="52"/>
      <c r="J2" s="52" t="s">
        <v>88</v>
      </c>
      <c r="K2" s="52">
        <v>4</v>
      </c>
      <c r="L2" s="56"/>
      <c r="M2" s="56"/>
      <c r="N2" s="56"/>
      <c r="O2" s="57"/>
      <c r="Q2" s="44" t="s">
        <v>84</v>
      </c>
      <c r="R2" s="41"/>
      <c r="T2" s="18">
        <v>500</v>
      </c>
      <c r="U2" s="19">
        <v>0.2</v>
      </c>
      <c r="V2" s="20">
        <f>T2*U2</f>
        <v>100</v>
      </c>
      <c r="W2" s="21">
        <f>T2*(1+U2)</f>
        <v>600</v>
      </c>
    </row>
    <row r="3" spans="1:23" x14ac:dyDescent="0.25">
      <c r="A3" s="1">
        <v>2011</v>
      </c>
      <c r="B3" s="45">
        <v>43862</v>
      </c>
      <c r="C3" s="1" t="s">
        <v>13</v>
      </c>
      <c r="D3" s="46">
        <f>D$13+1</f>
        <v>43934</v>
      </c>
      <c r="E3" s="56">
        <v>0</v>
      </c>
      <c r="F3" s="7">
        <v>0</v>
      </c>
      <c r="G3" s="9">
        <f>DATE(ANNEEN,2,1)</f>
        <v>43862</v>
      </c>
      <c r="H3" s="58" t="s">
        <v>44</v>
      </c>
      <c r="I3"/>
      <c r="T3" s="22">
        <f>W3/(1+U3)</f>
        <v>324.16666666666669</v>
      </c>
      <c r="U3" s="23">
        <v>0.2</v>
      </c>
      <c r="V3" s="24">
        <f>(W3/(1+U3))*U3</f>
        <v>64.833333333333343</v>
      </c>
      <c r="W3" s="25">
        <v>389</v>
      </c>
    </row>
    <row r="4" spans="1:23" x14ac:dyDescent="0.25">
      <c r="A4" s="1">
        <v>2012</v>
      </c>
      <c r="B4" s="45">
        <v>43891</v>
      </c>
      <c r="C4" s="1" t="s">
        <v>14</v>
      </c>
      <c r="D4" s="46">
        <f>DATE(ANNEEN,5,1)</f>
        <v>43952</v>
      </c>
      <c r="E4" s="56">
        <v>1</v>
      </c>
      <c r="F4" s="7">
        <v>2.1000000000000001E-2</v>
      </c>
      <c r="G4" s="9">
        <f>DATE(ANNEEN,3,1)</f>
        <v>43891</v>
      </c>
      <c r="H4" s="58" t="s">
        <v>46</v>
      </c>
      <c r="I4"/>
    </row>
    <row r="5" spans="1:23" x14ac:dyDescent="0.25">
      <c r="A5" s="1">
        <v>2013</v>
      </c>
      <c r="B5" s="45">
        <v>43922</v>
      </c>
      <c r="C5" s="1" t="s">
        <v>15</v>
      </c>
      <c r="D5" s="46">
        <f>DATE(ANNEEN,5,8)</f>
        <v>43959</v>
      </c>
      <c r="E5" s="56">
        <v>2</v>
      </c>
      <c r="F5" s="7">
        <v>5.5E-2</v>
      </c>
      <c r="G5" s="9">
        <f>DATE(ANNEEN,4,1)</f>
        <v>43922</v>
      </c>
      <c r="H5" s="58" t="s">
        <v>45</v>
      </c>
      <c r="I5"/>
    </row>
    <row r="6" spans="1:23" x14ac:dyDescent="0.25">
      <c r="A6" s="1">
        <v>2014</v>
      </c>
      <c r="B6" s="45">
        <v>43952</v>
      </c>
      <c r="C6" s="1" t="s">
        <v>16</v>
      </c>
      <c r="D6" s="46">
        <f>D$13+39</f>
        <v>43972</v>
      </c>
      <c r="E6" s="56">
        <v>3</v>
      </c>
      <c r="F6" s="7">
        <v>0.1</v>
      </c>
      <c r="G6" s="9">
        <f>DATE(ANNEEN,5,1)</f>
        <v>43952</v>
      </c>
      <c r="H6" s="58" t="s">
        <v>47</v>
      </c>
      <c r="I6"/>
    </row>
    <row r="7" spans="1:23" x14ac:dyDescent="0.25">
      <c r="A7" s="1">
        <v>2015</v>
      </c>
      <c r="B7" s="45">
        <v>43983</v>
      </c>
      <c r="C7" s="1" t="s">
        <v>17</v>
      </c>
      <c r="D7" s="46">
        <f>D$14+1</f>
        <v>43983</v>
      </c>
      <c r="E7" s="56">
        <v>4</v>
      </c>
      <c r="F7" s="7">
        <v>0.2</v>
      </c>
      <c r="G7" s="9">
        <f>DATE(ANNEEN,6,1)</f>
        <v>43983</v>
      </c>
      <c r="H7" s="58" t="s">
        <v>63</v>
      </c>
      <c r="I7"/>
    </row>
    <row r="8" spans="1:23" x14ac:dyDescent="0.25">
      <c r="A8" s="1">
        <v>2016</v>
      </c>
      <c r="B8" s="45">
        <v>44013</v>
      </c>
      <c r="C8" s="1" t="s">
        <v>18</v>
      </c>
      <c r="D8" s="46">
        <f>DATE(ANNEEN,7,14)</f>
        <v>44026</v>
      </c>
      <c r="G8" s="9">
        <f>DATE(ANNEEN,7,1)</f>
        <v>44013</v>
      </c>
      <c r="H8" s="58" t="s">
        <v>62</v>
      </c>
      <c r="I8"/>
    </row>
    <row r="9" spans="1:23" x14ac:dyDescent="0.25">
      <c r="A9" s="1">
        <v>2017</v>
      </c>
      <c r="B9" s="45">
        <v>44044</v>
      </c>
      <c r="C9" s="1" t="s">
        <v>19</v>
      </c>
      <c r="D9" s="46">
        <f>DATE(ANNEEN,8,15)</f>
        <v>44058</v>
      </c>
      <c r="G9" s="9">
        <f>DATE(ANNEEN,8,1)</f>
        <v>44044</v>
      </c>
      <c r="H9" s="58" t="s">
        <v>48</v>
      </c>
      <c r="I9"/>
    </row>
    <row r="10" spans="1:23" x14ac:dyDescent="0.25">
      <c r="A10" s="1">
        <v>2018</v>
      </c>
      <c r="B10" s="45">
        <v>44075</v>
      </c>
      <c r="C10" s="1" t="s">
        <v>20</v>
      </c>
      <c r="D10" s="46">
        <f>DATE(ANNEEN,11,1)</f>
        <v>44136</v>
      </c>
      <c r="G10" s="9">
        <f>DATE(ANNEEN,9,1)</f>
        <v>44075</v>
      </c>
      <c r="H10" s="58" t="s">
        <v>51</v>
      </c>
      <c r="I10"/>
    </row>
    <row r="11" spans="1:23" x14ac:dyDescent="0.25">
      <c r="A11" s="1">
        <v>2019</v>
      </c>
      <c r="B11" s="45">
        <v>44105</v>
      </c>
      <c r="C11" s="1" t="s">
        <v>21</v>
      </c>
      <c r="D11" s="46">
        <f>DATE(ANNEEN,11,11)</f>
        <v>44146</v>
      </c>
      <c r="G11" s="9">
        <f>DATE(ANNEEN,10,1)</f>
        <v>44105</v>
      </c>
      <c r="H11" s="58" t="s">
        <v>64</v>
      </c>
      <c r="I11"/>
    </row>
    <row r="12" spans="1:23" x14ac:dyDescent="0.25">
      <c r="A12" s="1">
        <v>2020</v>
      </c>
      <c r="B12" s="45">
        <v>44136</v>
      </c>
      <c r="C12" s="1" t="s">
        <v>22</v>
      </c>
      <c r="D12" s="46">
        <f>DATE(ANNEEN,12,25)</f>
        <v>44190</v>
      </c>
      <c r="G12" s="9">
        <f>DATE(ANNEEN,11,1)</f>
        <v>44136</v>
      </c>
      <c r="H12" s="58" t="s">
        <v>49</v>
      </c>
      <c r="I12"/>
    </row>
    <row r="13" spans="1:23" x14ac:dyDescent="0.25">
      <c r="A13" s="1">
        <v>2021</v>
      </c>
      <c r="B13" s="45">
        <v>44166</v>
      </c>
      <c r="C13" s="1" t="s">
        <v>23</v>
      </c>
      <c r="D13" s="46">
        <f>FLOOR(DATE(ANNEEN,5,DAY(MINUTE(ANNEEN/38)/2+56)),7)-34+7*(ANNEEN=2079)</f>
        <v>43933</v>
      </c>
      <c r="G13" s="10">
        <f>DATE(ANNEEN,12,1)</f>
        <v>44166</v>
      </c>
      <c r="H13" s="58" t="s">
        <v>50</v>
      </c>
      <c r="I13"/>
    </row>
    <row r="14" spans="1:23" x14ac:dyDescent="0.25">
      <c r="A14" s="1">
        <v>2022</v>
      </c>
      <c r="C14" s="1" t="s">
        <v>24</v>
      </c>
      <c r="D14" s="46">
        <f>D$13+49</f>
        <v>43982</v>
      </c>
      <c r="I14"/>
    </row>
    <row r="15" spans="1:23" x14ac:dyDescent="0.25">
      <c r="A15" s="1">
        <v>2023</v>
      </c>
      <c r="I15"/>
    </row>
    <row r="16" spans="1:23" x14ac:dyDescent="0.25">
      <c r="A16" s="1">
        <v>2024</v>
      </c>
      <c r="I16"/>
    </row>
    <row r="17" spans="1:9" x14ac:dyDescent="0.25">
      <c r="A17" s="1">
        <v>2025</v>
      </c>
      <c r="I17"/>
    </row>
    <row r="18" spans="1:9" x14ac:dyDescent="0.25">
      <c r="A18" s="1">
        <v>2026</v>
      </c>
      <c r="I18"/>
    </row>
    <row r="19" spans="1:9" x14ac:dyDescent="0.25">
      <c r="A19" s="1">
        <v>2027</v>
      </c>
      <c r="I19"/>
    </row>
    <row r="20" spans="1:9" x14ac:dyDescent="0.25">
      <c r="A20" s="1">
        <v>2028</v>
      </c>
      <c r="I20"/>
    </row>
    <row r="21" spans="1:9" x14ac:dyDescent="0.25">
      <c r="A21" s="1">
        <v>2029</v>
      </c>
      <c r="I21"/>
    </row>
    <row r="22" spans="1:9" x14ac:dyDescent="0.25">
      <c r="A22" s="1">
        <v>2030</v>
      </c>
      <c r="I22"/>
    </row>
    <row r="23" spans="1:9" x14ac:dyDescent="0.25">
      <c r="A23" s="1">
        <v>2031</v>
      </c>
      <c r="I23"/>
    </row>
    <row r="24" spans="1:9" x14ac:dyDescent="0.25">
      <c r="A24" s="1">
        <v>2032</v>
      </c>
      <c r="I24"/>
    </row>
    <row r="25" spans="1:9" x14ac:dyDescent="0.25">
      <c r="A25" s="1">
        <v>2033</v>
      </c>
      <c r="I25"/>
    </row>
    <row r="26" spans="1:9" x14ac:dyDescent="0.25">
      <c r="A26" s="1">
        <v>2034</v>
      </c>
      <c r="I26"/>
    </row>
    <row r="27" spans="1:9" x14ac:dyDescent="0.25">
      <c r="I27"/>
    </row>
    <row r="28" spans="1:9" x14ac:dyDescent="0.25">
      <c r="A28" s="6">
        <v>2020</v>
      </c>
      <c r="I28"/>
    </row>
    <row r="29" spans="1:9" x14ac:dyDescent="0.25">
      <c r="I29"/>
    </row>
    <row r="30" spans="1:9" x14ac:dyDescent="0.25">
      <c r="I30"/>
    </row>
    <row r="31" spans="1:9" x14ac:dyDescent="0.25">
      <c r="I31"/>
    </row>
    <row r="32" spans="1:9" x14ac:dyDescent="0.25">
      <c r="I32"/>
    </row>
    <row r="33" spans="9:9" x14ac:dyDescent="0.25">
      <c r="I33"/>
    </row>
    <row r="34" spans="9:9" x14ac:dyDescent="0.25">
      <c r="I34"/>
    </row>
    <row r="35" spans="9:9" x14ac:dyDescent="0.25">
      <c r="I35"/>
    </row>
    <row r="36" spans="9:9" x14ac:dyDescent="0.25">
      <c r="I36"/>
    </row>
    <row r="37" spans="9:9" x14ac:dyDescent="0.25">
      <c r="I37"/>
    </row>
    <row r="38" spans="9:9" x14ac:dyDescent="0.25">
      <c r="I38"/>
    </row>
    <row r="39" spans="9:9" x14ac:dyDescent="0.25">
      <c r="I39"/>
    </row>
    <row r="40" spans="9:9" x14ac:dyDescent="0.25">
      <c r="I40"/>
    </row>
    <row r="41" spans="9:9" x14ac:dyDescent="0.25">
      <c r="I41"/>
    </row>
    <row r="42" spans="9:9" x14ac:dyDescent="0.25">
      <c r="I42"/>
    </row>
    <row r="43" spans="9:9" x14ac:dyDescent="0.25">
      <c r="I43"/>
    </row>
    <row r="44" spans="9:9" x14ac:dyDescent="0.25">
      <c r="I44"/>
    </row>
    <row r="45" spans="9:9" x14ac:dyDescent="0.25">
      <c r="I45"/>
    </row>
    <row r="46" spans="9:9" x14ac:dyDescent="0.25">
      <c r="I46"/>
    </row>
    <row r="47" spans="9:9" x14ac:dyDescent="0.25">
      <c r="I47"/>
    </row>
    <row r="48" spans="9:9" x14ac:dyDescent="0.25">
      <c r="I48"/>
    </row>
    <row r="49" spans="9:9" x14ac:dyDescent="0.25">
      <c r="I49"/>
    </row>
    <row r="50" spans="9:9" x14ac:dyDescent="0.25">
      <c r="I50"/>
    </row>
    <row r="51" spans="9:9" x14ac:dyDescent="0.25">
      <c r="I51"/>
    </row>
    <row r="52" spans="9:9" x14ac:dyDescent="0.25">
      <c r="I52"/>
    </row>
    <row r="53" spans="9:9" x14ac:dyDescent="0.25">
      <c r="I53"/>
    </row>
    <row r="54" spans="9:9" x14ac:dyDescent="0.25">
      <c r="I54"/>
    </row>
    <row r="55" spans="9:9" x14ac:dyDescent="0.25">
      <c r="I55"/>
    </row>
    <row r="56" spans="9:9" x14ac:dyDescent="0.25">
      <c r="I56"/>
    </row>
    <row r="57" spans="9:9" x14ac:dyDescent="0.25">
      <c r="I57"/>
    </row>
    <row r="58" spans="9:9" x14ac:dyDescent="0.25">
      <c r="I58"/>
    </row>
    <row r="59" spans="9:9" x14ac:dyDescent="0.25">
      <c r="I59"/>
    </row>
    <row r="60" spans="9:9" x14ac:dyDescent="0.25">
      <c r="I60"/>
    </row>
    <row r="61" spans="9:9" x14ac:dyDescent="0.25">
      <c r="I61"/>
    </row>
    <row r="62" spans="9:9" x14ac:dyDescent="0.25">
      <c r="I62"/>
    </row>
    <row r="63" spans="9:9" x14ac:dyDescent="0.25">
      <c r="I63"/>
    </row>
    <row r="64" spans="9:9" x14ac:dyDescent="0.25">
      <c r="I64"/>
    </row>
    <row r="65" spans="9:9" x14ac:dyDescent="0.25">
      <c r="I65"/>
    </row>
    <row r="66" spans="9:9" x14ac:dyDescent="0.25">
      <c r="I66"/>
    </row>
    <row r="67" spans="9:9" x14ac:dyDescent="0.25">
      <c r="I67"/>
    </row>
    <row r="68" spans="9:9" x14ac:dyDescent="0.25">
      <c r="I68"/>
    </row>
    <row r="69" spans="9:9" x14ac:dyDescent="0.25">
      <c r="I69"/>
    </row>
    <row r="70" spans="9:9" x14ac:dyDescent="0.25">
      <c r="I70"/>
    </row>
    <row r="71" spans="9:9" x14ac:dyDescent="0.25">
      <c r="I71"/>
    </row>
    <row r="72" spans="9:9" x14ac:dyDescent="0.25">
      <c r="I72"/>
    </row>
    <row r="73" spans="9:9" x14ac:dyDescent="0.25">
      <c r="I73"/>
    </row>
    <row r="74" spans="9:9" x14ac:dyDescent="0.25">
      <c r="I74"/>
    </row>
    <row r="75" spans="9:9" x14ac:dyDescent="0.25">
      <c r="I75"/>
    </row>
    <row r="76" spans="9:9" x14ac:dyDescent="0.25">
      <c r="I76"/>
    </row>
    <row r="77" spans="9:9" x14ac:dyDescent="0.25">
      <c r="I77"/>
    </row>
    <row r="78" spans="9:9" x14ac:dyDescent="0.25">
      <c r="I78"/>
    </row>
    <row r="79" spans="9:9" x14ac:dyDescent="0.25">
      <c r="I79"/>
    </row>
    <row r="80" spans="9:9" x14ac:dyDescent="0.25">
      <c r="I80"/>
    </row>
    <row r="81" spans="9:9" x14ac:dyDescent="0.25">
      <c r="I81"/>
    </row>
    <row r="82" spans="9:9" x14ac:dyDescent="0.25">
      <c r="I82"/>
    </row>
    <row r="83" spans="9:9" x14ac:dyDescent="0.25">
      <c r="I83"/>
    </row>
    <row r="84" spans="9:9" x14ac:dyDescent="0.25">
      <c r="I84"/>
    </row>
    <row r="85" spans="9:9" x14ac:dyDescent="0.25">
      <c r="I85"/>
    </row>
    <row r="86" spans="9:9" x14ac:dyDescent="0.25">
      <c r="I86"/>
    </row>
    <row r="87" spans="9:9" x14ac:dyDescent="0.25">
      <c r="I87"/>
    </row>
    <row r="88" spans="9:9" x14ac:dyDescent="0.25">
      <c r="I88"/>
    </row>
    <row r="89" spans="9:9" x14ac:dyDescent="0.25">
      <c r="I89"/>
    </row>
    <row r="90" spans="9:9" x14ac:dyDescent="0.25">
      <c r="I90"/>
    </row>
    <row r="91" spans="9:9" x14ac:dyDescent="0.25">
      <c r="I91"/>
    </row>
    <row r="92" spans="9:9" x14ac:dyDescent="0.25">
      <c r="I92"/>
    </row>
    <row r="93" spans="9:9" x14ac:dyDescent="0.25">
      <c r="I93"/>
    </row>
    <row r="94" spans="9:9" x14ac:dyDescent="0.25">
      <c r="I94"/>
    </row>
    <row r="95" spans="9:9" x14ac:dyDescent="0.25">
      <c r="I95"/>
    </row>
    <row r="96" spans="9:9" x14ac:dyDescent="0.25">
      <c r="I96"/>
    </row>
    <row r="97" spans="9:9" x14ac:dyDescent="0.25">
      <c r="I97"/>
    </row>
    <row r="98" spans="9:9" x14ac:dyDescent="0.25">
      <c r="I98"/>
    </row>
    <row r="99" spans="9:9" x14ac:dyDescent="0.25">
      <c r="I99"/>
    </row>
    <row r="100" spans="9:9" x14ac:dyDescent="0.25">
      <c r="I100"/>
    </row>
    <row r="101" spans="9:9" x14ac:dyDescent="0.25">
      <c r="I101"/>
    </row>
    <row r="102" spans="9:9" x14ac:dyDescent="0.25">
      <c r="I102"/>
    </row>
    <row r="103" spans="9:9" x14ac:dyDescent="0.25">
      <c r="I103"/>
    </row>
    <row r="104" spans="9:9" x14ac:dyDescent="0.25">
      <c r="I104"/>
    </row>
    <row r="105" spans="9:9" x14ac:dyDescent="0.25">
      <c r="I105"/>
    </row>
    <row r="106" spans="9:9" x14ac:dyDescent="0.25">
      <c r="I106"/>
    </row>
    <row r="107" spans="9:9" x14ac:dyDescent="0.25">
      <c r="I107"/>
    </row>
    <row r="108" spans="9:9" x14ac:dyDescent="0.25">
      <c r="I108"/>
    </row>
    <row r="109" spans="9:9" x14ac:dyDescent="0.25">
      <c r="I109"/>
    </row>
    <row r="110" spans="9:9" x14ac:dyDescent="0.25">
      <c r="I110"/>
    </row>
    <row r="111" spans="9:9" x14ac:dyDescent="0.25">
      <c r="I111"/>
    </row>
    <row r="112" spans="9:9" x14ac:dyDescent="0.25">
      <c r="I112"/>
    </row>
    <row r="113" spans="9:9" x14ac:dyDescent="0.25">
      <c r="I113"/>
    </row>
    <row r="114" spans="9:9" x14ac:dyDescent="0.25">
      <c r="I114"/>
    </row>
    <row r="115" spans="9:9" x14ac:dyDescent="0.25">
      <c r="I115"/>
    </row>
    <row r="116" spans="9:9" x14ac:dyDescent="0.25">
      <c r="I116"/>
    </row>
    <row r="117" spans="9:9" x14ac:dyDescent="0.25">
      <c r="I117"/>
    </row>
    <row r="118" spans="9:9" x14ac:dyDescent="0.25">
      <c r="I118"/>
    </row>
    <row r="119" spans="9:9" x14ac:dyDescent="0.25">
      <c r="I119"/>
    </row>
    <row r="120" spans="9:9" x14ac:dyDescent="0.25">
      <c r="I120"/>
    </row>
    <row r="121" spans="9:9" x14ac:dyDescent="0.25">
      <c r="I121"/>
    </row>
    <row r="122" spans="9:9" x14ac:dyDescent="0.25">
      <c r="I122"/>
    </row>
    <row r="123" spans="9:9" x14ac:dyDescent="0.25">
      <c r="I123"/>
    </row>
    <row r="124" spans="9:9" x14ac:dyDescent="0.25">
      <c r="I124"/>
    </row>
    <row r="125" spans="9:9" x14ac:dyDescent="0.25">
      <c r="I125"/>
    </row>
    <row r="126" spans="9:9" x14ac:dyDescent="0.25">
      <c r="I126"/>
    </row>
    <row r="127" spans="9:9" x14ac:dyDescent="0.25">
      <c r="I127"/>
    </row>
    <row r="128" spans="9:9" x14ac:dyDescent="0.25">
      <c r="I128"/>
    </row>
    <row r="129" spans="9:9" x14ac:dyDescent="0.25">
      <c r="I129"/>
    </row>
    <row r="130" spans="9:9" x14ac:dyDescent="0.25">
      <c r="I130"/>
    </row>
    <row r="131" spans="9:9" x14ac:dyDescent="0.25">
      <c r="I131"/>
    </row>
    <row r="132" spans="9:9" x14ac:dyDescent="0.25">
      <c r="I132"/>
    </row>
    <row r="133" spans="9:9" x14ac:dyDescent="0.25">
      <c r="I133"/>
    </row>
    <row r="134" spans="9:9" x14ac:dyDescent="0.25">
      <c r="I134"/>
    </row>
    <row r="135" spans="9:9" x14ac:dyDescent="0.25">
      <c r="I135"/>
    </row>
    <row r="136" spans="9:9" x14ac:dyDescent="0.25">
      <c r="I136"/>
    </row>
    <row r="137" spans="9:9" x14ac:dyDescent="0.25">
      <c r="I137"/>
    </row>
    <row r="138" spans="9:9" x14ac:dyDescent="0.25">
      <c r="I138"/>
    </row>
    <row r="139" spans="9:9" x14ac:dyDescent="0.25">
      <c r="I139"/>
    </row>
    <row r="140" spans="9:9" x14ac:dyDescent="0.25">
      <c r="I140"/>
    </row>
    <row r="141" spans="9:9" x14ac:dyDescent="0.25">
      <c r="I141"/>
    </row>
    <row r="142" spans="9:9" x14ac:dyDescent="0.25">
      <c r="I142"/>
    </row>
    <row r="143" spans="9:9" x14ac:dyDescent="0.25">
      <c r="I143"/>
    </row>
    <row r="144" spans="9:9" x14ac:dyDescent="0.25">
      <c r="I144"/>
    </row>
    <row r="145" spans="9:9" x14ac:dyDescent="0.25">
      <c r="I145"/>
    </row>
    <row r="146" spans="9:9" x14ac:dyDescent="0.25">
      <c r="I146"/>
    </row>
    <row r="147" spans="9:9" x14ac:dyDescent="0.25">
      <c r="I147"/>
    </row>
    <row r="148" spans="9:9" x14ac:dyDescent="0.25">
      <c r="I148"/>
    </row>
    <row r="149" spans="9:9" x14ac:dyDescent="0.25">
      <c r="I149"/>
    </row>
    <row r="150" spans="9:9" x14ac:dyDescent="0.25">
      <c r="I150"/>
    </row>
    <row r="151" spans="9:9" x14ac:dyDescent="0.25">
      <c r="I151"/>
    </row>
    <row r="152" spans="9:9" x14ac:dyDescent="0.25">
      <c r="I152"/>
    </row>
    <row r="153" spans="9:9" x14ac:dyDescent="0.25">
      <c r="I153"/>
    </row>
    <row r="154" spans="9:9" x14ac:dyDescent="0.25">
      <c r="I154"/>
    </row>
    <row r="155" spans="9:9" x14ac:dyDescent="0.25">
      <c r="I155"/>
    </row>
    <row r="156" spans="9:9" x14ac:dyDescent="0.25">
      <c r="I156"/>
    </row>
    <row r="157" spans="9:9" x14ac:dyDescent="0.25">
      <c r="I157"/>
    </row>
    <row r="158" spans="9:9" x14ac:dyDescent="0.25">
      <c r="I158"/>
    </row>
    <row r="159" spans="9:9" x14ac:dyDescent="0.25">
      <c r="I159"/>
    </row>
    <row r="160" spans="9:9" x14ac:dyDescent="0.25">
      <c r="I160"/>
    </row>
    <row r="161" spans="9:9" x14ac:dyDescent="0.25">
      <c r="I161"/>
    </row>
    <row r="162" spans="9:9" x14ac:dyDescent="0.25">
      <c r="I162"/>
    </row>
    <row r="163" spans="9:9" x14ac:dyDescent="0.25">
      <c r="I163"/>
    </row>
    <row r="164" spans="9:9" x14ac:dyDescent="0.25">
      <c r="I164"/>
    </row>
    <row r="165" spans="9:9" x14ac:dyDescent="0.25">
      <c r="I165"/>
    </row>
    <row r="166" spans="9:9" x14ac:dyDescent="0.25">
      <c r="I166"/>
    </row>
    <row r="167" spans="9:9" x14ac:dyDescent="0.25">
      <c r="I167"/>
    </row>
    <row r="168" spans="9:9" x14ac:dyDescent="0.25">
      <c r="I168"/>
    </row>
    <row r="169" spans="9:9" x14ac:dyDescent="0.25">
      <c r="I169"/>
    </row>
    <row r="170" spans="9:9" x14ac:dyDescent="0.25">
      <c r="I170"/>
    </row>
    <row r="171" spans="9:9" x14ac:dyDescent="0.25">
      <c r="I171"/>
    </row>
    <row r="172" spans="9:9" x14ac:dyDescent="0.25">
      <c r="I172"/>
    </row>
    <row r="173" spans="9:9" x14ac:dyDescent="0.25">
      <c r="I173"/>
    </row>
    <row r="174" spans="9:9" x14ac:dyDescent="0.25">
      <c r="I174"/>
    </row>
    <row r="175" spans="9:9" x14ac:dyDescent="0.25">
      <c r="I175"/>
    </row>
    <row r="176" spans="9:9" x14ac:dyDescent="0.25">
      <c r="I176"/>
    </row>
    <row r="177" spans="9:9" x14ac:dyDescent="0.25">
      <c r="I177"/>
    </row>
    <row r="178" spans="9:9" x14ac:dyDescent="0.25">
      <c r="I178"/>
    </row>
    <row r="179" spans="9:9" x14ac:dyDescent="0.25">
      <c r="I179"/>
    </row>
    <row r="180" spans="9:9" x14ac:dyDescent="0.25">
      <c r="I180"/>
    </row>
    <row r="181" spans="9:9" x14ac:dyDescent="0.25">
      <c r="I181"/>
    </row>
    <row r="182" spans="9:9" x14ac:dyDescent="0.25">
      <c r="I182"/>
    </row>
    <row r="183" spans="9:9" x14ac:dyDescent="0.25">
      <c r="I183"/>
    </row>
    <row r="184" spans="9:9" x14ac:dyDescent="0.25">
      <c r="I184"/>
    </row>
    <row r="185" spans="9:9" x14ac:dyDescent="0.25">
      <c r="I185"/>
    </row>
  </sheetData>
  <conditionalFormatting sqref="J2">
    <cfRule type="duplicateValues" dxfId="176" priority="239"/>
  </conditionalFormatting>
  <conditionalFormatting sqref="I2">
    <cfRule type="duplicateValues" dxfId="175" priority="240"/>
  </conditionalFormatting>
  <dataValidations count="3">
    <dataValidation type="list" allowBlank="1" showInputMessage="1" showErrorMessage="1" sqref="Q2" xr:uid="{B471F86B-81F0-41A3-8BD0-5DBD7848D9FB}">
      <formula1>"OUI,NON"</formula1>
    </dataValidation>
    <dataValidation type="list" showInputMessage="1" showErrorMessage="1" sqref="L2" xr:uid="{385768B7-3451-4289-856A-DEE1978146E8}">
      <formula1>CATEGORIE</formula1>
    </dataValidation>
    <dataValidation type="list" showInputMessage="1" showErrorMessage="1" sqref="M2" xr:uid="{1DC51849-1E46-45C8-B07C-CBBE83FCB6A7}">
      <formula1>TIERS</formula1>
    </dataValidation>
  </dataValidations>
  <pageMargins left="0.7" right="0.7" top="0.75" bottom="0.75" header="0.3" footer="0.3"/>
  <pageSetup paperSize="9" orientation="portrait" horizontalDpi="1200" verticalDpi="1200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E2416C-B7C4-45B9-A04B-13DEA26C11CC}">
  <sheetPr codeName="Feuil145">
    <tabColor rgb="FF00B0F0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B15" sqref="B15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1</v>
      </c>
      <c r="H12" s="4" t="s">
        <v>6</v>
      </c>
      <c r="I12" s="47">
        <v>43831</v>
      </c>
      <c r="K12" s="3"/>
      <c r="L12" s="51" t="s">
        <v>5</v>
      </c>
      <c r="M12" s="26">
        <v>0</v>
      </c>
      <c r="N12" s="53" t="s">
        <v>7</v>
      </c>
      <c r="O12" s="50">
        <f>EOMONTH(I12,-1)</f>
        <v>43830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IFERROR(IF(TABLEAUJ01[[#This Row],[Date]]="","",IF(YEAR(TABLEAUJ01[[#This Row],[Date]])*12+MONTH(TABLEAUJ01[[#This Row],[Date]])-YEAR(INDEX(TABLEAUECHEANCE[1EREECHEANCE],MATCH(1,(TABLEAUECHEANCE[CATEGORIEECHEANCE]=TABLEAUJ01[[#This Row],[Catégorie]])*(TABLEAUECHEANCE[TIERSECHEANCE]=TABLEAUJ01[[#This Row],[Payé à]]),0)) )*12-MONTH(INDEX(TABLEAUECHEANCE[1EREECHEANCE],MATCH(1,(TABLEAUECHEANCE[CATEGORIEECHEANCE]=TABLEAUJ01[[#This Row],[Catégorie]])*(TABLEAUECHEANCE[TIERSECHEANCE]=TABLEAUJ01[[#This Row],[Payé à]]),0)) )+1&gt;INDEX(TABLEAUECHEANCE[NBECHEANCE],MATCH(1,(TABLEAUECHEANCE[CATEGORIEECHEANCE]=TABLEAUJ01[[#This Row],[Catégorie]])*(TABLEAUECHEANCE[TIERSECHEANCE]=TABLEAUJ01[[#This Row],[Payé à]]),0)),"HE",CONCATENATE(IF(INDEX(TABLEAUECHEANCE[1EREECHEANCE],MATCH(1,(TABLEAUECHEANCE[CATEGORIEECHEANCE]=TABLEAUJ01[[#This Row],[Catégorie]])*(TABLEAUECHEANCE[TIERSECHEANCE]=TABLEAUJ01[[#This Row],[Payé à]]),0)) ="","",YEAR(TABLEAUJ01[[#This Row],[Date]])*12+MONTH(TABLEAUJ01[[#This Row],[Date]])-YEAR(INDEX(TABLEAUECHEANCE[1EREECHEANCE],MATCH(1,(TABLEAUECHEANCE[CATEGORIEECHEANCE]=TABLEAUJ01[[#This Row],[Catégorie]])*(TABLEAUECHEANCE[TIERSECHEANCE]=TABLEAUJ01[[#This Row],[Payé à]]),0)) )*12-MONTH(INDEX(TABLEAUECHEANCE[1EREECHEANCE],MATCH(1,(TABLEAUECHEANCE[CATEGORIEECHEANCE]=TABLEAUJ01[[#This Row],[Catégorie]])*(TABLEAUECHEANCE[TIERSECHEANCE]=TABLEAUJ01[[#This Row],[Payé à]]),0)) )+1)," sur ",INDEX(TABLEAUECHEANCE[NBECHEANCE],MATCH(1,(TABLEAUECHEANCE[CATEGORIEECHEANCE]=TABLEAUJ01[[#This Row],[Catégorie]])*(TABLEAUECHEANCE[TIERSECHEANCE]=TABLEAUJ01[[#This Row],[Payé à]]),0))))),"")</f>
        <v/>
      </c>
      <c r="D15" s="80"/>
      <c r="E15" s="80"/>
      <c r="F15" s="80" t="s">
        <v>88</v>
      </c>
      <c r="G15" s="80"/>
      <c r="H15" s="134"/>
      <c r="I15" s="80"/>
      <c r="J15" s="80"/>
      <c r="K15" s="82"/>
      <c r="L15" s="83">
        <v>100</v>
      </c>
      <c r="M15" s="84">
        <f>IFERROR(IF(ROW()=ROW($B$15),SUM($M$12,-TABLEAUJ01[[#This Row],[Débit]],TABLEAUJ01[[#This Row],[Crédit]]),SUM(M14,-TABLEAUJ01[[#This Row],[Débit]],TABLEAUJ01[[#This Row],[Crédit]])),"")</f>
        <v>100</v>
      </c>
      <c r="N15" s="85" t="b">
        <f>IFERROR(IF(OR(TABLEAUJ01[[#This Row],[Code TVA D]]="",TABLEAUJ01[[#This Row],[Code TVA D]]="NA"),TRUE,SUM(TABLEAUJ01[[#This Row],[Débit HT]],TABLEAUJ01[[#This Row],[TVA déductible]])=TABLEAUJ01[[#This Row],[Débit TTC]]),"")</f>
        <v>1</v>
      </c>
      <c r="O15" s="86" t="str">
        <f>IFERROR(IF(OR(TABLEAUJ01[[#This Row],[Code TVA D]]="",TABLEAUJ01[[#This Row],[Code TVA D]]="NA"),"",TABLEAUJ01[[#This Row],[Débit TTC]]/(1+(VLOOKUP(TABLEAUJ01[[#This Row],[Code TVA D]],MATRICETVA[],2,FALSE)))),"")</f>
        <v/>
      </c>
      <c r="P15" s="87" t="str">
        <f>IFERROR(IF(TABLEAUJ01[[#This Row],[Débit]]&lt;&gt;"",IF(TABLEAUJ01[[#This Row],[Code TVA M]]&lt;&gt;"",TABLEAUJ01[[#This Row],[Code TVA M]],TABLEAUJ01[[#This Row],[Code TVA A]]),""),"")</f>
        <v/>
      </c>
      <c r="Q15" s="88" t="str">
        <f>IFERROR(IF(OR(TABLEAUJ01[[#This Row],[Code TVA D]]="",TABLEAUJ01[[#This Row],[Code TVA D]]="NA"),"",TABLEAUJ01[[#This Row],[Débit TTC]]/(1+VLOOKUP(TABLEAUJ01[[#This Row],[Code TVA D]],MATRICETVA[],2,FALSE))*VLOOKUP(TABLEAUJ01[[#This Row],[Code TVA D]],MATRICETVA[],2,FALSE)),"")</f>
        <v/>
      </c>
      <c r="R15" s="86" t="str">
        <f>IFERROR(IF(OR(TABLEAUJ01[[#This Row],[Code TVA D]]="",TABLEAUJ01[[#This Row],[Code TVA D]]="NA"),"",TABLEAUJ01[[#This Row],[Débit]]),"")</f>
        <v/>
      </c>
      <c r="S15" s="89" t="b">
        <f>IFERROR(IF(OR(TABLEAUJ01[[#This Row],[Code TVA C]]="",TABLEAUJ01[[#This Row],[Code TVA C]]="NA"),TRUE,SUM(TABLEAUJ01[[#This Row],[Crédit HT]],TABLEAUJ01[[#This Row],[TVA collectée]])=TABLEAUJ01[[#This Row],[Crédit TTC]]),"")</f>
        <v>1</v>
      </c>
      <c r="T15" s="90">
        <f>IFERROR(IF(OR(TABLEAUJ01[[#This Row],[Code TVA C]]="",TABLEAUJ01[[#This Row],[Code TVA C]]="NA"),"",TABLEAUJ01[[#This Row],[Crédit TTC]]/(1+(VLOOKUP(TABLEAUJ01[[#This Row],[Code TVA C]],MATRICETVA[],2,FALSE)))),"")</f>
        <v>83.333333333333343</v>
      </c>
      <c r="U15" s="87">
        <f>IFERROR(IF(TABLEAUJ01[[#This Row],[Crédit]]&lt;&gt;"",IF(TABLEAUJ01[[#This Row],[Code TVA M]]&lt;&gt;"",TABLEAUJ01[[#This Row],[Code TVA M]],TABLEAUJ01[[#This Row],[Code TVA A]]),""),"")</f>
        <v>4</v>
      </c>
      <c r="V15" s="88">
        <f>IFERROR(IF(OR(TABLEAUJ01[[#This Row],[Code TVA C]]="",TABLEAUJ01[[#This Row],[Code TVA C]]="NA"),"",TABLEAUJ01[[#This Row],[Crédit TTC]]/(1+VLOOKUP(TABLEAUJ01[[#This Row],[Code TVA C]],MATRICETVA[],2,FALSE))*VLOOKUP(TABLEAUJ01[[#This Row],[Code TVA C]],MATRICETVA[],2,FALSE)),"")</f>
        <v>16.666666666666668</v>
      </c>
      <c r="W15" s="90">
        <f>IFERROR(IF(OR(TABLEAUJ01[[#This Row],[Code TVA C]]="",TABLEAUJ01[[#This Row],[Code TVA C]]="NA"),"",TABLEAUJ01[[#This Row],[Crédit]]),"")</f>
        <v>100</v>
      </c>
      <c r="X15" s="91" t="b">
        <f>IFERROR(IF(AND(TABLEAUJ01[[#This Row],[Débit]]&lt;&gt;"",TABLEAUJ01[[#This Row],[Crédit]]&lt;&gt;""),FALSE,TRUE),"")</f>
        <v>1</v>
      </c>
      <c r="Y15" s="92">
        <f>IFERROR(VLOOKUP(TABLEAUJ01[[#This Row],[Catégorie]],MATRICECATEGORIE[],2,FALSE),"")</f>
        <v>4</v>
      </c>
      <c r="Z15" s="93"/>
      <c r="AA15" s="89" t="b">
        <f>IFERROR(IF(AND(TABLEAUJ01[[#This Row],[Code TVA D]]&lt;&gt;"",TABLEAUJ01[[#This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IFERROR(SUBTOTAL(109,TABLEAUJ01[Débit]),"")</f>
        <v>0</v>
      </c>
      <c r="L16" s="99">
        <f>IFERROR(SUBTOTAL(109,TABLEAUJ01[Crédit]),"")</f>
        <v>100</v>
      </c>
      <c r="M16" s="100">
        <f>IFERROR(SUM($M$12,-TABLEAUJ01[[#Totals],[Débit]],TABLEAUJ01[[#Totals],[Crédit]]),"")</f>
        <v>100</v>
      </c>
      <c r="N16" s="101" t="b">
        <f>IFERROR(SUM(TABLEAUJ01[[#Totals],[Débit HT]],TABLEAUJ01[[#Totals],[TVA déductible]])=TABLEAUJ01[[#Totals],[Débit TTC]],"")</f>
        <v>1</v>
      </c>
      <c r="O16" s="102">
        <f>IFERROR(SUBTOTAL(109,TABLEAUJ01[Débit HT]),"")</f>
        <v>0</v>
      </c>
      <c r="P16" s="103"/>
      <c r="Q16" s="104">
        <f>IFERROR(SUBTOTAL(109,TABLEAUJ01[TVA déductible]),"")</f>
        <v>0</v>
      </c>
      <c r="R16" s="98">
        <f>IFERROR(SUBTOTAL(109,TABLEAUJ01[Débit TTC]),"")</f>
        <v>0</v>
      </c>
      <c r="S16" s="101" t="b">
        <f>IFERROR(SUM(TABLEAUJ01[[#Totals],[Crédit HT]],TABLEAUJ01[[#Totals],[TVA collectée]])=TABLEAUJ01[[#Totals],[Crédit TTC]],"")</f>
        <v>1</v>
      </c>
      <c r="T16" s="105">
        <f>IFERROR(SUBTOTAL(109,TABLEAUJ01[Crédit HT]),"")</f>
        <v>83.333333333333343</v>
      </c>
      <c r="U16" s="103"/>
      <c r="V16" s="104">
        <f>IFERROR(SUBTOTAL(109,TABLEAUJ01[TVA collectée]),"")</f>
        <v>16.666666666666668</v>
      </c>
      <c r="W16" s="99">
        <f>IFERROR(SUBTOTAL(109,TABLEAUJ01[Crédit TTC]),"")</f>
        <v>100</v>
      </c>
      <c r="X16" s="106"/>
      <c r="Y16" s="107"/>
      <c r="Z16" s="103"/>
      <c r="AA16" s="108"/>
      <c r="AB16" s="108"/>
      <c r="AC16" s="108"/>
      <c r="AD16" s="109"/>
    </row>
    <row r="17" spans="2:30" ht="22.5" customHeight="1" x14ac:dyDescent="0.25">
      <c r="B17" s="62"/>
      <c r="C17" s="62"/>
      <c r="D17" s="48"/>
      <c r="E17" s="48"/>
      <c r="F17" s="4" t="s">
        <v>6</v>
      </c>
      <c r="G17" s="47">
        <f>I12</f>
        <v>43831</v>
      </c>
      <c r="H17" s="61"/>
      <c r="I17" s="48"/>
      <c r="J17" s="59"/>
      <c r="K17" s="60"/>
      <c r="L17" s="51" t="s">
        <v>5</v>
      </c>
      <c r="M17" s="26">
        <f>TABLEAUJ01[[#Totals],[Solde bancaire]]</f>
        <v>100</v>
      </c>
      <c r="N17" s="53" t="s">
        <v>7</v>
      </c>
      <c r="O17" s="39">
        <f>IFERROR(IF(MAX(B$15:B15)&lt;I12,I12,MAX(B$15:B15)),"")</f>
        <v>43831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30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30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SUM(TABLEAUJ01[[#Totals],[Crédit]],-TABLEAUJ01[[#Totals],[Débit]])</f>
        <v>100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30" ht="22.5" customHeight="1" x14ac:dyDescent="0.25">
      <c r="B20" s="132"/>
      <c r="C20" s="132"/>
      <c r="D20" s="132"/>
      <c r="E20" s="132"/>
      <c r="F20" s="132"/>
      <c r="G20" s="132"/>
      <c r="H20" s="132"/>
      <c r="I20" s="132"/>
      <c r="J20" s="132"/>
      <c r="L20" s="130" t="s">
        <v>86</v>
      </c>
      <c r="M20" s="133">
        <f>SUM(M19)</f>
        <v>100</v>
      </c>
      <c r="N20" s="132"/>
      <c r="O20" s="132"/>
      <c r="P20" s="132"/>
      <c r="Q20" s="132"/>
      <c r="R20" s="132"/>
      <c r="S20" s="132"/>
      <c r="T20" s="132"/>
      <c r="U20" s="132"/>
      <c r="V20" s="132"/>
      <c r="W20" s="132"/>
      <c r="X20" s="132"/>
      <c r="Y20" s="132"/>
      <c r="Z20" s="132"/>
      <c r="AA20" s="132"/>
      <c r="AB20" s="132"/>
      <c r="AC20" s="132"/>
      <c r="AD20" s="132"/>
    </row>
    <row r="21" spans="2:30" ht="22.5" customHeight="1" x14ac:dyDescent="0.25"/>
    <row r="22" spans="2:30" ht="22.5" customHeight="1" x14ac:dyDescent="0.25"/>
    <row r="23" spans="2:30" ht="22.5" customHeight="1" x14ac:dyDescent="0.25"/>
    <row r="24" spans="2:30" ht="22.5" customHeight="1" x14ac:dyDescent="0.25"/>
    <row r="25" spans="2:30" ht="22.5" customHeight="1" x14ac:dyDescent="0.25"/>
    <row r="26" spans="2:30" ht="22.5" customHeight="1" x14ac:dyDescent="0.25"/>
    <row r="27" spans="2:30" ht="22.5" customHeight="1" x14ac:dyDescent="0.25"/>
    <row r="28" spans="2:30" ht="22.5" customHeight="1" x14ac:dyDescent="0.25"/>
    <row r="29" spans="2:30" ht="22.5" customHeight="1" x14ac:dyDescent="0.25"/>
    <row r="30" spans="2:30" ht="22.5" customHeight="1" x14ac:dyDescent="0.25"/>
    <row r="31" spans="2:30" ht="22.5" customHeight="1" x14ac:dyDescent="0.25"/>
    <row r="32" spans="2:30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22.5" customHeight="1" x14ac:dyDescent="0.25">
      <c r="K115" s="3"/>
      <c r="L115" s="3"/>
    </row>
    <row r="116" spans="11:12" ht="22.5" customHeight="1" x14ac:dyDescent="0.25">
      <c r="K116" s="3"/>
      <c r="L116" s="3"/>
    </row>
    <row r="117" spans="11:12" ht="22.5" customHeight="1" x14ac:dyDescent="0.25">
      <c r="K117" s="3"/>
      <c r="L117" s="3"/>
    </row>
    <row r="118" spans="11:12" ht="22.5" customHeight="1" x14ac:dyDescent="0.25">
      <c r="K118" s="3"/>
      <c r="L118" s="3"/>
    </row>
    <row r="119" spans="11:12" ht="22.5" customHeight="1" x14ac:dyDescent="0.25">
      <c r="K119" s="3"/>
      <c r="L119" s="3"/>
    </row>
    <row r="120" spans="11:12" ht="22.5" customHeight="1" x14ac:dyDescent="0.25">
      <c r="K120" s="3"/>
      <c r="L120" s="3"/>
    </row>
    <row r="121" spans="11:12" ht="22.5" customHeight="1" x14ac:dyDescent="0.25">
      <c r="K121" s="3"/>
      <c r="L121" s="3"/>
    </row>
    <row r="122" spans="11:12" ht="22.5" customHeight="1" x14ac:dyDescent="0.25">
      <c r="K122" s="3"/>
      <c r="L122" s="3"/>
    </row>
    <row r="123" spans="11:12" ht="22.5" customHeight="1" x14ac:dyDescent="0.25">
      <c r="K123" s="3"/>
      <c r="L123" s="3"/>
    </row>
    <row r="124" spans="11:12" ht="22.5" customHeight="1" x14ac:dyDescent="0.25">
      <c r="K124" s="3"/>
      <c r="L124" s="3"/>
    </row>
    <row r="125" spans="11:12" ht="22.5" customHeight="1" x14ac:dyDescent="0.25">
      <c r="K125" s="3"/>
      <c r="L125" s="3"/>
    </row>
    <row r="126" spans="11:12" ht="22.5" customHeight="1" x14ac:dyDescent="0.25">
      <c r="K126" s="3"/>
      <c r="L126" s="3"/>
    </row>
    <row r="127" spans="11:12" ht="22.5" customHeight="1" x14ac:dyDescent="0.25">
      <c r="K127" s="3"/>
      <c r="L127" s="3"/>
    </row>
    <row r="128" spans="11:12" ht="22.5" customHeight="1" x14ac:dyDescent="0.25">
      <c r="K128" s="3"/>
      <c r="L128" s="3"/>
    </row>
    <row r="129" spans="11:12" ht="22.5" customHeight="1" x14ac:dyDescent="0.25">
      <c r="K129" s="3"/>
      <c r="L129" s="3"/>
    </row>
    <row r="130" spans="11:12" ht="22.5" customHeight="1" x14ac:dyDescent="0.25">
      <c r="K130" s="3"/>
      <c r="L130" s="3"/>
    </row>
    <row r="131" spans="11:12" ht="22.5" customHeight="1" x14ac:dyDescent="0.25">
      <c r="K131" s="3"/>
      <c r="L131" s="3"/>
    </row>
    <row r="132" spans="11:12" ht="22.5" customHeight="1" x14ac:dyDescent="0.25">
      <c r="K132" s="3"/>
      <c r="L132" s="3"/>
    </row>
    <row r="133" spans="11:12" ht="22.5" customHeight="1" x14ac:dyDescent="0.25">
      <c r="K133" s="3"/>
      <c r="L133" s="3"/>
    </row>
    <row r="134" spans="11:12" ht="22.5" customHeight="1" x14ac:dyDescent="0.25">
      <c r="K134" s="3"/>
      <c r="L134" s="3"/>
    </row>
    <row r="135" spans="11:12" ht="22.5" customHeight="1" x14ac:dyDescent="0.25">
      <c r="K135" s="3"/>
      <c r="L135" s="3"/>
    </row>
    <row r="136" spans="11:12" ht="22.5" customHeight="1" x14ac:dyDescent="0.25">
      <c r="K136" s="3"/>
      <c r="L136" s="3"/>
    </row>
    <row r="137" spans="11:12" ht="22.5" customHeight="1" x14ac:dyDescent="0.25">
      <c r="K137" s="3"/>
      <c r="L137" s="3"/>
    </row>
    <row r="138" spans="11:12" ht="22.5" customHeight="1" x14ac:dyDescent="0.25">
      <c r="K138" s="3"/>
      <c r="L138" s="3"/>
    </row>
    <row r="139" spans="11:12" ht="22.5" customHeight="1" x14ac:dyDescent="0.25">
      <c r="K139" s="3"/>
      <c r="L139" s="3"/>
    </row>
    <row r="140" spans="11:12" ht="22.5" customHeight="1" x14ac:dyDescent="0.25">
      <c r="K140" s="3"/>
      <c r="L140" s="3"/>
    </row>
    <row r="141" spans="11:12" ht="22.5" customHeight="1" x14ac:dyDescent="0.25">
      <c r="K141" s="3"/>
      <c r="L141" s="3"/>
    </row>
    <row r="142" spans="11:12" ht="22.5" customHeight="1" x14ac:dyDescent="0.25">
      <c r="K142" s="3"/>
      <c r="L142" s="3"/>
    </row>
    <row r="143" spans="11:12" ht="22.5" customHeight="1" x14ac:dyDescent="0.25">
      <c r="K143" s="3"/>
      <c r="L143" s="3"/>
    </row>
    <row r="144" spans="11:12" ht="22.5" customHeight="1" x14ac:dyDescent="0.25">
      <c r="K144" s="3"/>
      <c r="L144" s="3"/>
    </row>
    <row r="145" spans="11:12" ht="22.5" customHeight="1" x14ac:dyDescent="0.25">
      <c r="K145" s="3"/>
      <c r="L145" s="3"/>
    </row>
    <row r="146" spans="11:12" ht="22.5" customHeight="1" x14ac:dyDescent="0.25">
      <c r="K146" s="3"/>
      <c r="L146" s="3"/>
    </row>
    <row r="147" spans="11:12" ht="22.5" customHeight="1" x14ac:dyDescent="0.25">
      <c r="K147" s="3"/>
      <c r="L147" s="3"/>
    </row>
    <row r="148" spans="11:12" ht="22.5" customHeight="1" x14ac:dyDescent="0.25">
      <c r="K148" s="3"/>
      <c r="L148" s="3"/>
    </row>
    <row r="149" spans="11:12" ht="22.5" customHeight="1" x14ac:dyDescent="0.25">
      <c r="K149" s="3"/>
      <c r="L149" s="3"/>
    </row>
    <row r="150" spans="11:12" ht="22.5" customHeight="1" x14ac:dyDescent="0.25">
      <c r="K150" s="3"/>
      <c r="L150" s="3"/>
    </row>
    <row r="151" spans="11:12" ht="22.5" customHeight="1" x14ac:dyDescent="0.25">
      <c r="K151" s="3"/>
      <c r="L151" s="3"/>
    </row>
    <row r="152" spans="11:12" ht="22.5" customHeight="1" x14ac:dyDescent="0.25">
      <c r="K152" s="3"/>
      <c r="L152" s="3"/>
    </row>
    <row r="153" spans="11:12" ht="22.5" customHeight="1" x14ac:dyDescent="0.25">
      <c r="K153" s="3"/>
      <c r="L153" s="3"/>
    </row>
    <row r="154" spans="11:12" ht="22.5" customHeight="1" x14ac:dyDescent="0.25">
      <c r="K154" s="3"/>
      <c r="L154" s="3"/>
    </row>
    <row r="155" spans="11:12" ht="22.5" customHeight="1" x14ac:dyDescent="0.25">
      <c r="K155" s="3"/>
      <c r="L155" s="3"/>
    </row>
    <row r="156" spans="11:12" ht="22.5" customHeight="1" x14ac:dyDescent="0.25">
      <c r="K156" s="3"/>
      <c r="L156" s="3"/>
    </row>
    <row r="157" spans="11:12" ht="22.5" customHeight="1" x14ac:dyDescent="0.25">
      <c r="K157" s="3"/>
      <c r="L157" s="3"/>
    </row>
    <row r="158" spans="11:12" ht="22.5" customHeight="1" x14ac:dyDescent="0.25">
      <c r="K158" s="3"/>
      <c r="L158" s="3"/>
    </row>
    <row r="159" spans="11:12" ht="22.5" customHeight="1" x14ac:dyDescent="0.25">
      <c r="K159" s="3"/>
      <c r="L159" s="3"/>
    </row>
    <row r="160" spans="11:12" ht="22.5" customHeight="1" x14ac:dyDescent="0.25">
      <c r="K160" s="3"/>
      <c r="L160" s="3"/>
    </row>
    <row r="161" spans="11:12" ht="22.5" customHeight="1" x14ac:dyDescent="0.25">
      <c r="K161" s="3"/>
      <c r="L161" s="3"/>
    </row>
    <row r="162" spans="11:12" ht="22.5" customHeight="1" x14ac:dyDescent="0.25">
      <c r="K162" s="3"/>
      <c r="L162" s="3"/>
    </row>
    <row r="163" spans="11:12" ht="22.5" customHeight="1" x14ac:dyDescent="0.25">
      <c r="K163" s="3"/>
      <c r="L163" s="3"/>
    </row>
    <row r="164" spans="11:12" ht="22.5" customHeight="1" x14ac:dyDescent="0.25">
      <c r="K164" s="3"/>
      <c r="L164" s="3"/>
    </row>
    <row r="165" spans="11:12" ht="22.5" customHeight="1" x14ac:dyDescent="0.25">
      <c r="K165" s="3"/>
      <c r="L165" s="3"/>
    </row>
    <row r="166" spans="11:12" ht="22.5" customHeight="1" x14ac:dyDescent="0.25">
      <c r="K166" s="3"/>
      <c r="L166" s="3"/>
    </row>
    <row r="167" spans="11:12" ht="22.5" customHeight="1" x14ac:dyDescent="0.25">
      <c r="K167" s="3"/>
      <c r="L167" s="3"/>
    </row>
    <row r="168" spans="11:12" ht="22.5" customHeight="1" x14ac:dyDescent="0.25">
      <c r="K168" s="3"/>
      <c r="L168" s="3"/>
    </row>
    <row r="169" spans="11:12" ht="22.5" customHeight="1" x14ac:dyDescent="0.25">
      <c r="K169" s="3"/>
      <c r="L169" s="3"/>
    </row>
    <row r="170" spans="11:12" ht="22.5" customHeight="1" x14ac:dyDescent="0.25">
      <c r="K170" s="3"/>
      <c r="L170" s="3"/>
    </row>
    <row r="171" spans="11:12" ht="22.5" customHeight="1" x14ac:dyDescent="0.25">
      <c r="K171" s="3"/>
      <c r="L171" s="3"/>
    </row>
    <row r="172" spans="11:12" ht="22.5" customHeight="1" x14ac:dyDescent="0.25">
      <c r="K172" s="3"/>
      <c r="L172" s="3"/>
    </row>
    <row r="173" spans="11:12" ht="22.5" customHeight="1" x14ac:dyDescent="0.25">
      <c r="K173" s="3"/>
      <c r="L173" s="3"/>
    </row>
    <row r="174" spans="11:12" ht="22.5" customHeight="1" x14ac:dyDescent="0.25">
      <c r="K174" s="3"/>
      <c r="L174" s="3"/>
    </row>
    <row r="175" spans="11:12" ht="22.5" customHeight="1" x14ac:dyDescent="0.25">
      <c r="K175" s="3"/>
      <c r="L175" s="3"/>
    </row>
    <row r="176" spans="11:12" ht="22.5" customHeight="1" x14ac:dyDescent="0.25">
      <c r="K176" s="3"/>
      <c r="L176" s="3"/>
    </row>
    <row r="177" spans="11:12" ht="22.5" customHeight="1" x14ac:dyDescent="0.25">
      <c r="K177" s="3"/>
      <c r="L177" s="3"/>
    </row>
    <row r="178" spans="11:12" ht="22.5" customHeight="1" x14ac:dyDescent="0.25">
      <c r="K178" s="3"/>
      <c r="L178" s="3"/>
    </row>
    <row r="179" spans="11:12" ht="22.5" customHeight="1" x14ac:dyDescent="0.25">
      <c r="K179" s="3"/>
      <c r="L179" s="3"/>
    </row>
    <row r="180" spans="11:12" ht="22.5" customHeight="1" x14ac:dyDescent="0.25">
      <c r="K180" s="3"/>
      <c r="L180" s="3"/>
    </row>
    <row r="181" spans="11:12" ht="22.5" customHeight="1" x14ac:dyDescent="0.25">
      <c r="K181" s="3"/>
      <c r="L181" s="3"/>
    </row>
    <row r="182" spans="11:12" ht="22.5" customHeight="1" x14ac:dyDescent="0.25">
      <c r="K182" s="3"/>
      <c r="L182" s="3"/>
    </row>
    <row r="183" spans="11:12" ht="22.5" customHeight="1" x14ac:dyDescent="0.25">
      <c r="K183" s="3"/>
      <c r="L183" s="3"/>
    </row>
    <row r="184" spans="11:12" ht="22.5" customHeight="1" x14ac:dyDescent="0.25">
      <c r="K184" s="3"/>
      <c r="L184" s="3"/>
    </row>
    <row r="185" spans="11:12" ht="22.5" customHeight="1" x14ac:dyDescent="0.25">
      <c r="K185" s="3"/>
      <c r="L185" s="3"/>
    </row>
    <row r="186" spans="11:12" ht="22.5" customHeight="1" x14ac:dyDescent="0.25">
      <c r="K186" s="3"/>
      <c r="L186" s="3"/>
    </row>
    <row r="187" spans="11:12" ht="22.5" customHeight="1" x14ac:dyDescent="0.25">
      <c r="K187" s="3"/>
      <c r="L187" s="3"/>
    </row>
    <row r="188" spans="11:12" ht="22.5" customHeight="1" x14ac:dyDescent="0.25">
      <c r="K188" s="3"/>
      <c r="L188" s="3"/>
    </row>
    <row r="189" spans="11:12" ht="22.5" customHeight="1" x14ac:dyDescent="0.25">
      <c r="K189" s="3"/>
      <c r="L189" s="3"/>
    </row>
    <row r="190" spans="11:12" ht="22.5" customHeight="1" x14ac:dyDescent="0.25">
      <c r="K190" s="3"/>
      <c r="L190" s="3"/>
    </row>
    <row r="191" spans="11:12" ht="22.5" customHeight="1" x14ac:dyDescent="0.25">
      <c r="K191" s="3"/>
      <c r="L191" s="3"/>
    </row>
    <row r="192" spans="11:12" ht="22.5" customHeight="1" x14ac:dyDescent="0.25">
      <c r="K192" s="3"/>
      <c r="L192" s="3"/>
    </row>
    <row r="193" spans="11:12" ht="22.5" customHeight="1" x14ac:dyDescent="0.25">
      <c r="K193" s="3"/>
      <c r="L193" s="3"/>
    </row>
    <row r="194" spans="11:12" ht="22.5" customHeight="1" x14ac:dyDescent="0.25">
      <c r="K194" s="3"/>
      <c r="L194" s="3"/>
    </row>
    <row r="195" spans="11:12" ht="22.5" customHeight="1" x14ac:dyDescent="0.25">
      <c r="K195" s="3"/>
      <c r="L195" s="3"/>
    </row>
    <row r="196" spans="11:12" ht="22.5" customHeight="1" x14ac:dyDescent="0.25">
      <c r="K196" s="3"/>
      <c r="L196" s="3"/>
    </row>
    <row r="197" spans="11:12" ht="22.5" customHeight="1" x14ac:dyDescent="0.25">
      <c r="K197" s="3"/>
      <c r="L197" s="3"/>
    </row>
    <row r="198" spans="11:12" ht="22.5" customHeight="1" x14ac:dyDescent="0.25">
      <c r="K198" s="3"/>
      <c r="L198" s="3"/>
    </row>
    <row r="199" spans="11:12" ht="22.5" customHeight="1" x14ac:dyDescent="0.25">
      <c r="K199" s="3"/>
      <c r="L199" s="3"/>
    </row>
    <row r="200" spans="11:12" ht="22.5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174" priority="9" operator="equal">
      <formula>FALSE</formula>
    </cfRule>
  </conditionalFormatting>
  <conditionalFormatting sqref="F15">
    <cfRule type="containsText" dxfId="173" priority="1" operator="containsText" text="Compte courant d'associé">
      <formula>NOT(ISERROR(SEARCH("Compte courant d'associé",F15)))</formula>
    </cfRule>
    <cfRule type="containsText" dxfId="172" priority="8" operator="containsText" text="Rémunération gérant">
      <formula>NOT(ISERROR(SEARCH("Rémunération gérant",F15)))</formula>
    </cfRule>
  </conditionalFormatting>
  <conditionalFormatting sqref="P15 U15">
    <cfRule type="containsText" dxfId="171" priority="6" operator="containsText" text="NA">
      <formula>NOT(ISERROR(SEARCH("NA",P15)))</formula>
    </cfRule>
  </conditionalFormatting>
  <conditionalFormatting sqref="X15">
    <cfRule type="cellIs" dxfId="170" priority="5" operator="equal">
      <formula>FALSE</formula>
    </cfRule>
  </conditionalFormatting>
  <conditionalFormatting sqref="D15:J15">
    <cfRule type="containsBlanks" dxfId="169" priority="4">
      <formula>LEN(TRIM(D15))=0</formula>
    </cfRule>
  </conditionalFormatting>
  <dataValidations count="6">
    <dataValidation type="list" allowBlank="1" showInputMessage="1" showErrorMessage="1" sqref="I12" xr:uid="{26A46C96-690F-4F24-B5C8-97DDD6037892}">
      <formula1>PREMIERJOURMOIS</formula1>
    </dataValidation>
    <dataValidation type="list" allowBlank="1" showInputMessage="1" sqref="J15 G15" xr:uid="{BB1F94F1-05B3-4E3D-8223-A566CB4285AE}">
      <formula1>OFFSET(TIERS,MATCH(G15&amp;"*",TIERS,0)-1,,COUNTIF(TIERS,G15&amp;"*"))</formula1>
    </dataValidation>
    <dataValidation type="list" allowBlank="1" showInputMessage="1" sqref="F15" xr:uid="{A0E63626-4D75-4FC7-95E8-5A579E7C5E85}">
      <formula1>OFFSET(CATEGORIE,MATCH(F15&amp;"*",CATEGORIE,0)-1,,COUNTIF(CATEGORIE,F15&amp;"*"))</formula1>
    </dataValidation>
    <dataValidation type="list" allowBlank="1" showInputMessage="1" sqref="D15" xr:uid="{86B57595-0214-4882-9DFE-3CA7E288BDB3}">
      <formula1>OFFSET(MODEDEREGLEMENT,MATCH(D15&amp;"*",MODEDEREGLEMENT,0)-1,,COUNTIF(MODEDEREGLEMENT,D15&amp;"*"))</formula1>
    </dataValidation>
    <dataValidation type="list" allowBlank="1" showInputMessage="1" showErrorMessage="1" sqref="Z15" xr:uid="{4780C3F6-725C-46AC-AB01-916D4566D3EE}">
      <formula1>CODETVA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DEEA024F-3D41-48E1-9E80-BA85E43EAB09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1A641E-0A53-4EC7-8C3C-C7E07640F528}">
  <sheetPr codeName="Feuil146">
    <tabColor rgb="FF00B0F0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E12" sqref="E12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2</v>
      </c>
      <c r="H12" s="4" t="s">
        <v>6</v>
      </c>
      <c r="I12" s="47">
        <v>43862</v>
      </c>
      <c r="K12" s="3"/>
      <c r="L12" s="51" t="s">
        <v>5</v>
      </c>
      <c r="M12" s="26">
        <f>IFERROR(Janvier!M17,0)</f>
        <v>100</v>
      </c>
      <c r="N12" s="53" t="s">
        <v>7</v>
      </c>
      <c r="O12" s="50">
        <f>EOMONTH(I12,-1)</f>
        <v>43861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/>
      <c r="D15" s="80"/>
      <c r="E15" s="80"/>
      <c r="F15" s="80" t="s">
        <v>88</v>
      </c>
      <c r="G15" s="80"/>
      <c r="H15" s="134"/>
      <c r="I15" s="80"/>
      <c r="J15" s="80"/>
      <c r="K15" s="82">
        <v>45</v>
      </c>
      <c r="L15" s="83"/>
      <c r="M15" s="84">
        <f>IFERROR(IF(ROW()=ROW($B$15),SUM($M$12,-TABLEAUJ02[[#This Row],[Débit]],TABLEAUJ02[[#This Row],[Crédit]]),SUM(M14,-TABLEAUJ02[[#This Row],[Débit]],TABLEAUJ02[[#This Row],[Crédit]])),"")</f>
        <v>55</v>
      </c>
      <c r="N15" s="85" t="b">
        <f>IFERROR(IF(OR(TABLEAUJ02[[#This Row],[Code TVA D]]="",TABLEAUJ02[[#This Row],[Code TVA D]]="NA"),TRUE,SUM(TABLEAUJ02[[#This Row],[Débit HT]],TABLEAUJ02[[#This Row],[TVA déductible]])=TABLEAUJ02[[#This Row],[Débit TTC]]),"")</f>
        <v>1</v>
      </c>
      <c r="O15" s="86">
        <f>IFERROR(IF(OR(TABLEAUJ02[[#This Row],[Code TVA D]]="",TABLEAUJ02[[#This Row],[Code TVA D]]="NA"),"",TABLEAUJ02[[#This Row],[Débit TTC]]/(1+(VLOOKUP(TABLEAUJ02[[#This Row],[Code TVA D]],MATRICETVA[],2,FALSE)))),"")</f>
        <v>37.5</v>
      </c>
      <c r="P15" s="87">
        <f>IFERROR(IF(TABLEAUJ02[[#This Row],[Débit]]&lt;&gt;"",IF(TABLEAUJ02[[#This Row],[Code TVA M]]&lt;&gt;"",TABLEAUJ02[[#This Row],[Code TVA M]],TABLEAUJ02[[#This Row],[Code TVA A]]),""),"")</f>
        <v>4</v>
      </c>
      <c r="Q15" s="88">
        <f>IFERROR(IF(OR(TABLEAUJ02[[#This Row],[Code TVA D]]="",TABLEAUJ02[[#This Row],[Code TVA D]]="NA"),"",TABLEAUJ02[[#This Row],[Débit TTC]]/(1+VLOOKUP(TABLEAUJ02[[#This Row],[Code TVA D]],MATRICETVA[],2,FALSE))*VLOOKUP(TABLEAUJ02[[#This Row],[Code TVA D]],MATRICETVA[],2,FALSE)),"")</f>
        <v>7.5</v>
      </c>
      <c r="R15" s="86">
        <f>IFERROR(IF(OR(TABLEAUJ02[[#This Row],[Code TVA D]]="",TABLEAUJ02[[#This Row],[Code TVA D]]="NA"),"",TABLEAUJ02[[#This Row],[Débit]]),"")</f>
        <v>45</v>
      </c>
      <c r="S15" s="89" t="b">
        <f>IFERROR(IF(OR(TABLEAUJ02[[#This Row],[Code TVA C]]="",TABLEAUJ02[[#This Row],[Code TVA C]]="NA"),TRUE,SUM(TABLEAUJ02[[#This Row],[Crédit HT]],TABLEAUJ02[[#This Row],[TVA collectée]])=TABLEAUJ02[[#This Row],[Crédit TTC]]),"")</f>
        <v>1</v>
      </c>
      <c r="T15" s="90" t="str">
        <f>IFERROR(IF(OR(TABLEAUJ02[[#This Row],[Code TVA C]]="",TABLEAUJ02[[#This Row],[Code TVA C]]="NA"),"",TABLEAUJ02[[#This Row],[Crédit TTC]]/(1+(VLOOKUP(TABLEAUJ02[[#This Row],[Code TVA C]],MATRICETVA[],2,FALSE)))),"")</f>
        <v/>
      </c>
      <c r="U15" s="87" t="str">
        <f>IFERROR(IF(TABLEAUJ02[[#This Row],[Crédit]]&lt;&gt;"",IF(TABLEAUJ02[[#This Row],[Code TVA M]]&lt;&gt;"",TABLEAUJ02[[#This Row],[Code TVA M]],TABLEAUJ02[[#This Row],[Code TVA A]]),""),"")</f>
        <v/>
      </c>
      <c r="V15" s="88" t="str">
        <f>IFERROR(IF(OR(TABLEAUJ02[[#This Row],[Code TVA C]]="",TABLEAUJ02[[#This Row],[Code TVA C]]="NA"),"",TABLEAUJ02[[#This Row],[Crédit TTC]]/(1+VLOOKUP(TABLEAUJ02[[#This Row],[Code TVA C]],MATRICETVA[],2,FALSE))*VLOOKUP(TABLEAUJ02[[#This Row],[Code TVA C]],MATRICETVA[],2,FALSE)),"")</f>
        <v/>
      </c>
      <c r="W15" s="90" t="str">
        <f>IFERROR(IF(OR(TABLEAUJ02[[#This Row],[Code TVA C]]="",TABLEAUJ02[[#This Row],[Code TVA C]]="NA"),"",TABLEAUJ02[[#This Row],[Crédit]]),"")</f>
        <v/>
      </c>
      <c r="X15" s="91" t="b">
        <f>IFERROR(IF(AND(TABLEAUJ02[[#This Row],[Débit]]&lt;&gt;"",TABLEAUJ02[[#This Row],[Crédit]]&lt;&gt;""),FALSE,TRUE),"")</f>
        <v>1</v>
      </c>
      <c r="Y15" s="92">
        <f>IFERROR(VLOOKUP(TABLEAUJ02[[#This Row],[Catégorie]],MATRICECATEGORIE[],2,FALSE),"")</f>
        <v>4</v>
      </c>
      <c r="Z15" s="93"/>
      <c r="AA15" s="89" t="b">
        <f>IFERROR(IF(AND(TABLEAUJ02[[#This Row],[Code TVA D]]&lt;&gt;"",TABLEAUJ02[[#This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IFERROR(SUBTOTAL(109,TABLEAUJ02[Débit]),"")</f>
        <v>45</v>
      </c>
      <c r="L16" s="99">
        <f>IFERROR(SUBTOTAL(109,TABLEAUJ02[Crédit]),"")</f>
        <v>0</v>
      </c>
      <c r="M16" s="100">
        <f>IFERROR(SUM($M$12,-TABLEAUJ02[[#Totals],[Débit]],TABLEAUJ02[[#Totals],[Crédit]]),"")</f>
        <v>55</v>
      </c>
      <c r="N16" s="101" t="b">
        <f>IFERROR(SUM(TABLEAUJ02[[#Totals],[Débit HT]],TABLEAUJ02[[#Totals],[TVA déductible]])=TABLEAUJ02[[#Totals],[Débit TTC]],"")</f>
        <v>1</v>
      </c>
      <c r="O16" s="102">
        <f>IFERROR(SUBTOTAL(109,TABLEAUJ02[Débit HT]),"")</f>
        <v>37.5</v>
      </c>
      <c r="P16" s="103"/>
      <c r="Q16" s="104">
        <f>IFERROR(SUBTOTAL(109,TABLEAUJ02[TVA déductible]),"")</f>
        <v>7.5</v>
      </c>
      <c r="R16" s="98">
        <f>IFERROR(SUBTOTAL(109,TABLEAUJ02[Débit TTC]),"")</f>
        <v>45</v>
      </c>
      <c r="S16" s="101" t="b">
        <f>IFERROR(SUM(TABLEAUJ02[[#Totals],[Crédit HT]],TABLEAUJ02[[#Totals],[TVA collectée]])=TABLEAUJ02[[#Totals],[Crédit TTC]],"")</f>
        <v>1</v>
      </c>
      <c r="T16" s="105">
        <f>IFERROR(SUBTOTAL(109,TABLEAUJ02[Crédit HT]),"")</f>
        <v>0</v>
      </c>
      <c r="U16" s="103"/>
      <c r="V16" s="104">
        <f>IFERROR(SUBTOTAL(109,TABLEAUJ02[TVA collectée]),"")</f>
        <v>0</v>
      </c>
      <c r="W16" s="99">
        <f>IFERROR(SUBTOTAL(109,TABLEAUJ02[Crédit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30" ht="22.5" customHeight="1" x14ac:dyDescent="0.25">
      <c r="B17" s="62"/>
      <c r="C17" s="62"/>
      <c r="D17" s="48"/>
      <c r="E17" s="48"/>
      <c r="F17" s="4" t="s">
        <v>6</v>
      </c>
      <c r="G17" s="47">
        <f>I12</f>
        <v>43862</v>
      </c>
      <c r="H17" s="61"/>
      <c r="I17" s="48"/>
      <c r="J17" s="59"/>
      <c r="K17" s="60"/>
      <c r="L17" s="51" t="s">
        <v>5</v>
      </c>
      <c r="M17" s="26">
        <f>TABLEAUJ02[[#Totals],[Solde bancaire]]</f>
        <v>55</v>
      </c>
      <c r="N17" s="53" t="s">
        <v>7</v>
      </c>
      <c r="O17" s="39">
        <f>IFERROR(IF(MAX(B$15:B15)&lt;I12,I12,MAX(B$15:B15)),"")</f>
        <v>43862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30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30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SUM(TABLEAUJ02[[#Totals],[Crédit]],-TABLEAUJ02[[#Totals],[Débit]])</f>
        <v>-45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30" ht="22.5" customHeight="1" x14ac:dyDescent="0.25">
      <c r="B20" s="132"/>
      <c r="C20" s="132"/>
      <c r="D20" s="132"/>
      <c r="E20" s="132"/>
      <c r="F20" s="132"/>
      <c r="G20" s="132"/>
      <c r="H20" s="132"/>
      <c r="I20" s="132"/>
      <c r="J20" s="132"/>
      <c r="L20" s="130" t="s">
        <v>86</v>
      </c>
      <c r="M20" s="133">
        <f>SUM(Janvier!M20,M19)</f>
        <v>55</v>
      </c>
      <c r="N20" s="132"/>
      <c r="O20" s="132"/>
      <c r="P20" s="132"/>
      <c r="Q20" s="132"/>
      <c r="R20" s="132"/>
      <c r="S20" s="132"/>
      <c r="T20" s="132"/>
      <c r="U20" s="132"/>
      <c r="V20" s="132"/>
      <c r="W20" s="132"/>
      <c r="X20" s="132"/>
      <c r="Y20" s="132"/>
      <c r="Z20" s="132"/>
      <c r="AA20" s="132"/>
      <c r="AB20" s="132"/>
      <c r="AC20" s="132"/>
      <c r="AD20" s="132"/>
    </row>
    <row r="21" spans="2:30" ht="22.5" customHeight="1" x14ac:dyDescent="0.25"/>
    <row r="22" spans="2:30" ht="22.5" customHeight="1" x14ac:dyDescent="0.25"/>
    <row r="23" spans="2:30" ht="22.5" customHeight="1" x14ac:dyDescent="0.25"/>
    <row r="24" spans="2:30" ht="22.5" customHeight="1" x14ac:dyDescent="0.25"/>
    <row r="25" spans="2:30" ht="22.5" customHeight="1" x14ac:dyDescent="0.25"/>
    <row r="26" spans="2:30" ht="22.5" customHeight="1" x14ac:dyDescent="0.25"/>
    <row r="27" spans="2:30" ht="22.5" customHeight="1" x14ac:dyDescent="0.25"/>
    <row r="28" spans="2:30" ht="22.5" customHeight="1" x14ac:dyDescent="0.25"/>
    <row r="29" spans="2:30" ht="22.5" customHeight="1" x14ac:dyDescent="0.25"/>
    <row r="30" spans="2:30" ht="22.5" customHeight="1" x14ac:dyDescent="0.25"/>
    <row r="31" spans="2:30" ht="22.5" customHeight="1" x14ac:dyDescent="0.25"/>
    <row r="32" spans="2:30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18" customHeight="1" x14ac:dyDescent="0.25">
      <c r="K80" s="3"/>
      <c r="L80" s="3"/>
    </row>
    <row r="81" spans="11:12" ht="18" customHeight="1" x14ac:dyDescent="0.25">
      <c r="K81" s="3"/>
      <c r="L81" s="3"/>
    </row>
    <row r="82" spans="11:12" ht="18" customHeight="1" x14ac:dyDescent="0.25">
      <c r="K82" s="3"/>
      <c r="L82" s="3"/>
    </row>
    <row r="83" spans="11:12" ht="18" customHeight="1" x14ac:dyDescent="0.25">
      <c r="K83" s="3"/>
      <c r="L83" s="3"/>
    </row>
    <row r="84" spans="11:12" ht="18" customHeight="1" x14ac:dyDescent="0.25">
      <c r="K84" s="3"/>
      <c r="L84" s="3"/>
    </row>
    <row r="85" spans="11:12" ht="18" customHeight="1" x14ac:dyDescent="0.25">
      <c r="K85" s="3"/>
      <c r="L85" s="3"/>
    </row>
    <row r="86" spans="11:12" ht="18" customHeight="1" x14ac:dyDescent="0.25">
      <c r="K86" s="3"/>
      <c r="L86" s="3"/>
    </row>
    <row r="87" spans="11:12" ht="18" customHeight="1" x14ac:dyDescent="0.25">
      <c r="K87" s="3"/>
      <c r="L87" s="3"/>
    </row>
    <row r="88" spans="11:12" ht="18" customHeight="1" x14ac:dyDescent="0.25">
      <c r="K88" s="3"/>
      <c r="L88" s="3"/>
    </row>
    <row r="89" spans="11:12" ht="18" customHeight="1" x14ac:dyDescent="0.25">
      <c r="K89" s="3"/>
      <c r="L89" s="3"/>
    </row>
    <row r="90" spans="11:12" ht="18" customHeight="1" x14ac:dyDescent="0.25">
      <c r="K90" s="3"/>
      <c r="L90" s="3"/>
    </row>
    <row r="91" spans="11:12" ht="18" customHeight="1" x14ac:dyDescent="0.25">
      <c r="K91" s="3"/>
      <c r="L91" s="3"/>
    </row>
    <row r="92" spans="11:12" ht="18" customHeight="1" x14ac:dyDescent="0.25">
      <c r="K92" s="3"/>
      <c r="L92" s="3"/>
    </row>
    <row r="93" spans="11:12" ht="18" customHeight="1" x14ac:dyDescent="0.25">
      <c r="K93" s="3"/>
      <c r="L93" s="3"/>
    </row>
    <row r="94" spans="11:12" ht="18" customHeight="1" x14ac:dyDescent="0.25">
      <c r="K94" s="3"/>
      <c r="L94" s="3"/>
    </row>
    <row r="95" spans="11:12" ht="18" customHeight="1" x14ac:dyDescent="0.25">
      <c r="K95" s="3"/>
      <c r="L95" s="3"/>
    </row>
    <row r="96" spans="11:12" ht="18" customHeight="1" x14ac:dyDescent="0.25">
      <c r="K96" s="3"/>
      <c r="L96" s="3"/>
    </row>
    <row r="97" spans="11:12" ht="18" customHeight="1" x14ac:dyDescent="0.25">
      <c r="K97" s="3"/>
      <c r="L97" s="3"/>
    </row>
    <row r="98" spans="11:12" ht="18" customHeight="1" x14ac:dyDescent="0.25">
      <c r="K98" s="3"/>
      <c r="L98" s="3"/>
    </row>
    <row r="99" spans="11:12" ht="18" customHeight="1" x14ac:dyDescent="0.25">
      <c r="K99" s="3"/>
      <c r="L99" s="3"/>
    </row>
    <row r="100" spans="11:12" ht="18" customHeight="1" x14ac:dyDescent="0.25">
      <c r="K100" s="3"/>
      <c r="L100" s="3"/>
    </row>
    <row r="101" spans="11:12" ht="18" customHeight="1" x14ac:dyDescent="0.25">
      <c r="K101" s="3"/>
      <c r="L101" s="3"/>
    </row>
    <row r="102" spans="11:12" ht="18" customHeight="1" x14ac:dyDescent="0.25">
      <c r="K102" s="3"/>
      <c r="L102" s="3"/>
    </row>
    <row r="103" spans="11:12" ht="18" customHeight="1" x14ac:dyDescent="0.25">
      <c r="K103" s="3"/>
      <c r="L103" s="3"/>
    </row>
    <row r="104" spans="11:12" ht="18" customHeight="1" x14ac:dyDescent="0.25">
      <c r="K104" s="3"/>
      <c r="L104" s="3"/>
    </row>
    <row r="105" spans="11:12" ht="18" customHeight="1" x14ac:dyDescent="0.25">
      <c r="K105" s="3"/>
      <c r="L105" s="3"/>
    </row>
    <row r="106" spans="11:12" ht="18" customHeight="1" x14ac:dyDescent="0.25">
      <c r="K106" s="3"/>
      <c r="L106" s="3"/>
    </row>
    <row r="107" spans="11:12" ht="18" customHeight="1" x14ac:dyDescent="0.25">
      <c r="K107" s="3"/>
      <c r="L107" s="3"/>
    </row>
    <row r="108" spans="11:12" ht="18" customHeight="1" x14ac:dyDescent="0.25">
      <c r="K108" s="3"/>
      <c r="L108" s="3"/>
    </row>
    <row r="109" spans="11:12" ht="18" customHeight="1" x14ac:dyDescent="0.25">
      <c r="K109" s="3"/>
      <c r="L109" s="3"/>
    </row>
    <row r="110" spans="11:12" ht="18" customHeight="1" x14ac:dyDescent="0.25">
      <c r="K110" s="3"/>
      <c r="L110" s="3"/>
    </row>
    <row r="111" spans="11:12" ht="18" customHeight="1" x14ac:dyDescent="0.25">
      <c r="K111" s="3"/>
      <c r="L111" s="3"/>
    </row>
    <row r="112" spans="11:12" ht="18" customHeight="1" x14ac:dyDescent="0.25">
      <c r="K112" s="3"/>
      <c r="L112" s="3"/>
    </row>
    <row r="113" spans="11:12" ht="18" customHeight="1" x14ac:dyDescent="0.25">
      <c r="K113" s="3"/>
      <c r="L113" s="3"/>
    </row>
    <row r="114" spans="11:12" ht="18" customHeight="1" x14ac:dyDescent="0.25">
      <c r="K114" s="3"/>
      <c r="L114" s="3"/>
    </row>
    <row r="115" spans="11:12" ht="18" customHeight="1" x14ac:dyDescent="0.25">
      <c r="K115" s="3"/>
      <c r="L115" s="3"/>
    </row>
    <row r="116" spans="11:12" ht="18" customHeight="1" x14ac:dyDescent="0.25">
      <c r="K116" s="3"/>
      <c r="L116" s="3"/>
    </row>
    <row r="117" spans="11:12" ht="18" customHeight="1" x14ac:dyDescent="0.25">
      <c r="K117" s="3"/>
      <c r="L117" s="3"/>
    </row>
    <row r="118" spans="11:12" ht="18" customHeight="1" x14ac:dyDescent="0.25">
      <c r="K118" s="3"/>
      <c r="L118" s="3"/>
    </row>
    <row r="119" spans="11:12" ht="18" customHeight="1" x14ac:dyDescent="0.25">
      <c r="K119" s="3"/>
      <c r="L119" s="3"/>
    </row>
    <row r="120" spans="11:12" ht="18" customHeight="1" x14ac:dyDescent="0.25">
      <c r="K120" s="3"/>
      <c r="L120" s="3"/>
    </row>
    <row r="121" spans="11:12" ht="18" customHeight="1" x14ac:dyDescent="0.25">
      <c r="K121" s="3"/>
      <c r="L121" s="3"/>
    </row>
    <row r="122" spans="11:12" ht="18" customHeight="1" x14ac:dyDescent="0.25">
      <c r="K122" s="3"/>
      <c r="L122" s="3"/>
    </row>
    <row r="123" spans="11:12" ht="18" customHeight="1" x14ac:dyDescent="0.25">
      <c r="K123" s="3"/>
      <c r="L123" s="3"/>
    </row>
    <row r="124" spans="11:12" ht="18" customHeight="1" x14ac:dyDescent="0.25">
      <c r="K124" s="3"/>
      <c r="L124" s="3"/>
    </row>
    <row r="125" spans="11:12" ht="18" customHeight="1" x14ac:dyDescent="0.25">
      <c r="K125" s="3"/>
      <c r="L125" s="3"/>
    </row>
    <row r="126" spans="11:12" ht="18" customHeight="1" x14ac:dyDescent="0.25">
      <c r="K126" s="3"/>
      <c r="L126" s="3"/>
    </row>
    <row r="127" spans="11:12" ht="18" customHeight="1" x14ac:dyDescent="0.25">
      <c r="K127" s="3"/>
      <c r="L127" s="3"/>
    </row>
    <row r="128" spans="11:12" ht="18" customHeight="1" x14ac:dyDescent="0.25">
      <c r="K128" s="3"/>
      <c r="L128" s="3"/>
    </row>
    <row r="129" spans="11:12" ht="18" customHeight="1" x14ac:dyDescent="0.25">
      <c r="K129" s="3"/>
      <c r="L129" s="3"/>
    </row>
    <row r="130" spans="11:12" ht="18" customHeight="1" x14ac:dyDescent="0.25">
      <c r="K130" s="3"/>
      <c r="L130" s="3"/>
    </row>
    <row r="131" spans="11:12" ht="18" customHeight="1" x14ac:dyDescent="0.25">
      <c r="K131" s="3"/>
      <c r="L131" s="3"/>
    </row>
    <row r="132" spans="11:12" ht="18" customHeight="1" x14ac:dyDescent="0.25">
      <c r="K132" s="3"/>
      <c r="L132" s="3"/>
    </row>
    <row r="133" spans="11:12" ht="18" customHeight="1" x14ac:dyDescent="0.25">
      <c r="K133" s="3"/>
      <c r="L133" s="3"/>
    </row>
    <row r="134" spans="11:12" ht="18" customHeight="1" x14ac:dyDescent="0.25">
      <c r="K134" s="3"/>
      <c r="L134" s="3"/>
    </row>
    <row r="135" spans="11:12" ht="18" customHeight="1" x14ac:dyDescent="0.25">
      <c r="K135" s="3"/>
      <c r="L135" s="3"/>
    </row>
    <row r="136" spans="11:12" ht="18" customHeight="1" x14ac:dyDescent="0.25">
      <c r="K136" s="3"/>
      <c r="L136" s="3"/>
    </row>
    <row r="137" spans="11:12" ht="18" customHeight="1" x14ac:dyDescent="0.25">
      <c r="K137" s="3"/>
      <c r="L137" s="3"/>
    </row>
    <row r="138" spans="11:12" ht="18" customHeight="1" x14ac:dyDescent="0.25">
      <c r="K138" s="3"/>
      <c r="L138" s="3"/>
    </row>
    <row r="139" spans="11:12" ht="18" customHeight="1" x14ac:dyDescent="0.25">
      <c r="K139" s="3"/>
      <c r="L139" s="3"/>
    </row>
    <row r="140" spans="11:12" ht="18" customHeight="1" x14ac:dyDescent="0.25">
      <c r="K140" s="3"/>
      <c r="L140" s="3"/>
    </row>
    <row r="141" spans="11:12" ht="18" customHeight="1" x14ac:dyDescent="0.25">
      <c r="K141" s="3"/>
      <c r="L141" s="3"/>
    </row>
    <row r="142" spans="11:12" ht="18" customHeight="1" x14ac:dyDescent="0.25">
      <c r="K142" s="3"/>
      <c r="L142" s="3"/>
    </row>
    <row r="143" spans="11:12" ht="18" customHeight="1" x14ac:dyDescent="0.25">
      <c r="K143" s="3"/>
      <c r="L143" s="3"/>
    </row>
    <row r="144" spans="11:12" ht="18" customHeight="1" x14ac:dyDescent="0.25">
      <c r="K144" s="3"/>
      <c r="L144" s="3"/>
    </row>
    <row r="145" spans="11:12" ht="18" customHeight="1" x14ac:dyDescent="0.25">
      <c r="K145" s="3"/>
      <c r="L145" s="3"/>
    </row>
    <row r="146" spans="11:12" ht="18" customHeight="1" x14ac:dyDescent="0.25">
      <c r="K146" s="3"/>
      <c r="L146" s="3"/>
    </row>
    <row r="147" spans="11:12" ht="18" customHeight="1" x14ac:dyDescent="0.25">
      <c r="K147" s="3"/>
      <c r="L147" s="3"/>
    </row>
    <row r="148" spans="11:12" ht="18" customHeight="1" x14ac:dyDescent="0.25">
      <c r="K148" s="3"/>
      <c r="L148" s="3"/>
    </row>
    <row r="149" spans="11:12" ht="18" customHeight="1" x14ac:dyDescent="0.25">
      <c r="K149" s="3"/>
      <c r="L149" s="3"/>
    </row>
    <row r="150" spans="11:12" ht="18" customHeight="1" x14ac:dyDescent="0.25">
      <c r="K150" s="3"/>
      <c r="L150" s="3"/>
    </row>
    <row r="151" spans="11:12" ht="18" customHeight="1" x14ac:dyDescent="0.25">
      <c r="K151" s="3"/>
      <c r="L151" s="3"/>
    </row>
    <row r="152" spans="11:12" ht="18" customHeight="1" x14ac:dyDescent="0.25">
      <c r="K152" s="3"/>
      <c r="L152" s="3"/>
    </row>
    <row r="153" spans="11:12" ht="18" customHeight="1" x14ac:dyDescent="0.25">
      <c r="K153" s="3"/>
      <c r="L153" s="3"/>
    </row>
    <row r="154" spans="11:12" ht="18" customHeight="1" x14ac:dyDescent="0.25">
      <c r="K154" s="3"/>
      <c r="L154" s="3"/>
    </row>
    <row r="155" spans="11:12" ht="18" customHeight="1" x14ac:dyDescent="0.25">
      <c r="K155" s="3"/>
      <c r="L155" s="3"/>
    </row>
    <row r="156" spans="11:12" ht="18" customHeight="1" x14ac:dyDescent="0.25">
      <c r="K156" s="3"/>
      <c r="L156" s="3"/>
    </row>
    <row r="157" spans="11:12" ht="18" customHeight="1" x14ac:dyDescent="0.25">
      <c r="K157" s="3"/>
      <c r="L157" s="3"/>
    </row>
    <row r="158" spans="11:12" ht="18" customHeight="1" x14ac:dyDescent="0.25">
      <c r="K158" s="3"/>
      <c r="L158" s="3"/>
    </row>
    <row r="159" spans="11:12" ht="18" customHeight="1" x14ac:dyDescent="0.25">
      <c r="K159" s="3"/>
      <c r="L159" s="3"/>
    </row>
    <row r="160" spans="11:12" ht="18" customHeight="1" x14ac:dyDescent="0.25">
      <c r="K160" s="3"/>
      <c r="L160" s="3"/>
    </row>
    <row r="161" spans="11:12" ht="18" customHeight="1" x14ac:dyDescent="0.25">
      <c r="K161" s="3"/>
      <c r="L161" s="3"/>
    </row>
    <row r="162" spans="11:12" ht="18" customHeight="1" x14ac:dyDescent="0.25">
      <c r="K162" s="3"/>
      <c r="L162" s="3"/>
    </row>
    <row r="163" spans="11:12" ht="18" customHeight="1" x14ac:dyDescent="0.25">
      <c r="K163" s="3"/>
      <c r="L163" s="3"/>
    </row>
    <row r="164" spans="11:12" ht="18" customHeight="1" x14ac:dyDescent="0.25">
      <c r="K164" s="3"/>
      <c r="L164" s="3"/>
    </row>
    <row r="165" spans="11:12" ht="18" customHeight="1" x14ac:dyDescent="0.25">
      <c r="K165" s="3"/>
      <c r="L165" s="3"/>
    </row>
    <row r="166" spans="11:12" ht="18" customHeight="1" x14ac:dyDescent="0.25">
      <c r="K166" s="3"/>
      <c r="L166" s="3"/>
    </row>
    <row r="167" spans="11:12" ht="18" customHeight="1" x14ac:dyDescent="0.25">
      <c r="K167" s="3"/>
      <c r="L167" s="3"/>
    </row>
    <row r="168" spans="11:12" ht="18" customHeight="1" x14ac:dyDescent="0.25">
      <c r="K168" s="3"/>
      <c r="L168" s="3"/>
    </row>
    <row r="169" spans="11:12" ht="18" customHeight="1" x14ac:dyDescent="0.25">
      <c r="K169" s="3"/>
      <c r="L169" s="3"/>
    </row>
    <row r="170" spans="11:12" ht="18" customHeight="1" x14ac:dyDescent="0.25">
      <c r="K170" s="3"/>
      <c r="L170" s="3"/>
    </row>
    <row r="171" spans="11:12" ht="18" customHeight="1" x14ac:dyDescent="0.25">
      <c r="K171" s="3"/>
      <c r="L171" s="3"/>
    </row>
    <row r="172" spans="11:12" ht="18" customHeight="1" x14ac:dyDescent="0.25">
      <c r="K172" s="3"/>
      <c r="L172" s="3"/>
    </row>
    <row r="173" spans="11:12" ht="18" customHeight="1" x14ac:dyDescent="0.25">
      <c r="K173" s="3"/>
      <c r="L173" s="3"/>
    </row>
    <row r="174" spans="11:12" ht="18" customHeight="1" x14ac:dyDescent="0.25">
      <c r="K174" s="3"/>
      <c r="L174" s="3"/>
    </row>
    <row r="175" spans="11:12" ht="18" customHeight="1" x14ac:dyDescent="0.25">
      <c r="K175" s="3"/>
      <c r="L175" s="3"/>
    </row>
    <row r="176" spans="11:12" ht="18" customHeight="1" x14ac:dyDescent="0.25">
      <c r="K176" s="3"/>
      <c r="L176" s="3"/>
    </row>
    <row r="177" spans="11:12" ht="18" customHeight="1" x14ac:dyDescent="0.25">
      <c r="K177" s="3"/>
      <c r="L177" s="3"/>
    </row>
    <row r="178" spans="11:12" ht="18" customHeight="1" x14ac:dyDescent="0.25">
      <c r="K178" s="3"/>
      <c r="L178" s="3"/>
    </row>
    <row r="179" spans="11:12" ht="18" customHeight="1" x14ac:dyDescent="0.25">
      <c r="K179" s="3"/>
      <c r="L179" s="3"/>
    </row>
    <row r="180" spans="11:12" ht="18" customHeight="1" x14ac:dyDescent="0.25">
      <c r="K180" s="3"/>
      <c r="L180" s="3"/>
    </row>
    <row r="181" spans="11:12" ht="18" customHeight="1" x14ac:dyDescent="0.25">
      <c r="K181" s="3"/>
      <c r="L181" s="3"/>
    </row>
    <row r="182" spans="11:12" ht="18" customHeight="1" x14ac:dyDescent="0.25">
      <c r="K182" s="3"/>
      <c r="L182" s="3"/>
    </row>
    <row r="183" spans="11:12" ht="18" customHeight="1" x14ac:dyDescent="0.25">
      <c r="K183" s="3"/>
      <c r="L183" s="3"/>
    </row>
    <row r="184" spans="11:12" ht="18" customHeight="1" x14ac:dyDescent="0.25">
      <c r="K184" s="3"/>
      <c r="L184" s="3"/>
    </row>
    <row r="185" spans="11:12" ht="18" customHeight="1" x14ac:dyDescent="0.25">
      <c r="K185" s="3"/>
      <c r="L185" s="3"/>
    </row>
    <row r="186" spans="11:12" ht="18" customHeight="1" x14ac:dyDescent="0.25">
      <c r="K186" s="3"/>
      <c r="L186" s="3"/>
    </row>
    <row r="187" spans="11:12" ht="18" customHeight="1" x14ac:dyDescent="0.25">
      <c r="K187" s="3"/>
      <c r="L187" s="3"/>
    </row>
    <row r="188" spans="11:12" ht="18" customHeight="1" x14ac:dyDescent="0.25">
      <c r="K188" s="3"/>
      <c r="L188" s="3"/>
    </row>
    <row r="189" spans="11:12" ht="18" customHeight="1" x14ac:dyDescent="0.25">
      <c r="K189" s="3"/>
      <c r="L189" s="3"/>
    </row>
    <row r="190" spans="11:12" ht="18" customHeight="1" x14ac:dyDescent="0.25">
      <c r="K190" s="3"/>
      <c r="L190" s="3"/>
    </row>
    <row r="191" spans="11:12" ht="18" customHeight="1" x14ac:dyDescent="0.25">
      <c r="K191" s="3"/>
      <c r="L191" s="3"/>
    </row>
    <row r="192" spans="11:12" ht="18" customHeight="1" x14ac:dyDescent="0.25">
      <c r="K192" s="3"/>
      <c r="L192" s="3"/>
    </row>
    <row r="193" spans="11:12" ht="18" customHeight="1" x14ac:dyDescent="0.25">
      <c r="K193" s="3"/>
      <c r="L193" s="3"/>
    </row>
    <row r="194" spans="11:12" ht="18" customHeight="1" x14ac:dyDescent="0.25">
      <c r="K194" s="3"/>
      <c r="L194" s="3"/>
    </row>
    <row r="195" spans="11:12" ht="18" customHeight="1" x14ac:dyDescent="0.25">
      <c r="K195" s="3"/>
      <c r="L195" s="3"/>
    </row>
    <row r="196" spans="11:12" ht="18" customHeight="1" x14ac:dyDescent="0.25">
      <c r="K196" s="3"/>
      <c r="L196" s="3"/>
    </row>
    <row r="197" spans="11:12" ht="18" customHeight="1" x14ac:dyDescent="0.25">
      <c r="K197" s="3"/>
      <c r="L197" s="3"/>
    </row>
    <row r="198" spans="11:12" ht="18" customHeight="1" x14ac:dyDescent="0.25">
      <c r="K198" s="3"/>
      <c r="L198" s="3"/>
    </row>
    <row r="199" spans="11:12" ht="18" customHeight="1" x14ac:dyDescent="0.25">
      <c r="K199" s="3"/>
      <c r="L199" s="3"/>
    </row>
    <row r="200" spans="11:12" ht="18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168" priority="18" operator="equal">
      <formula>FALSE</formula>
    </cfRule>
  </conditionalFormatting>
  <conditionalFormatting sqref="P15 U15">
    <cfRule type="containsText" dxfId="167" priority="15" operator="containsText" text="NA">
      <formula>NOT(ISERROR(SEARCH("NA",P15)))</formula>
    </cfRule>
  </conditionalFormatting>
  <conditionalFormatting sqref="X15">
    <cfRule type="cellIs" dxfId="166" priority="14" operator="equal">
      <formula>FALSE</formula>
    </cfRule>
  </conditionalFormatting>
  <conditionalFormatting sqref="F15">
    <cfRule type="containsText" dxfId="165" priority="1" operator="containsText" text="Compte courant d'associé">
      <formula>NOT(ISERROR(SEARCH("Compte courant d'associé",F15)))</formula>
    </cfRule>
    <cfRule type="containsText" dxfId="164" priority="13" operator="containsText" text="Rémunération gérant">
      <formula>NOT(ISERROR(SEARCH("Rémunération gérant",F15)))</formula>
    </cfRule>
  </conditionalFormatting>
  <conditionalFormatting sqref="D15:J15">
    <cfRule type="containsBlanks" dxfId="163" priority="11">
      <formula>LEN(TRIM(D15))=0</formula>
    </cfRule>
  </conditionalFormatting>
  <dataValidations count="6">
    <dataValidation type="list" allowBlank="1" showInputMessage="1" showErrorMessage="1" sqref="Z15" xr:uid="{00B30C84-332A-4F45-93F6-E271EF41C1E0}">
      <formula1>CODETVA</formula1>
    </dataValidation>
    <dataValidation type="list" allowBlank="1" showInputMessage="1" sqref="D15" xr:uid="{65D1CC8F-CAFF-410E-B64A-937B04EE15D4}">
      <formula1>OFFSET(MODEDEREGLEMENT,MATCH(D15&amp;"*",MODEDEREGLEMENT,0)-1,,COUNTIF(MODEDEREGLEMENT,D15&amp;"*"))</formula1>
    </dataValidation>
    <dataValidation type="list" allowBlank="1" showInputMessage="1" sqref="F15" xr:uid="{1CDFEF2C-E040-472E-98C4-3077BA68A548}">
      <formula1>OFFSET(CATEGORIE,MATCH(F15&amp;"*",CATEGORIE,0)-1,,COUNTIF(CATEGORIE,F15&amp;"*"))</formula1>
    </dataValidation>
    <dataValidation type="list" allowBlank="1" showInputMessage="1" sqref="J15 G15" xr:uid="{2242D785-9C7C-4D03-A7BD-C17371907770}">
      <formula1>OFFSET(TIERS,MATCH(G15&amp;"*",TIERS,0)-1,,COUNTIF(TIERS,G15&amp;"*"))</formula1>
    </dataValidation>
    <dataValidation type="list" allowBlank="1" showInputMessage="1" showErrorMessage="1" sqref="I12" xr:uid="{166D8186-5579-46D3-B9F3-594F9EC980D8}">
      <formula1>PREMIERJOURMOIS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AF5E5F93-CA42-4A4C-893A-2D00A907054B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154CC8-B74C-4AEE-BD05-0325A712745D}">
  <sheetPr codeName="Feuil147">
    <tabColor rgb="FF00B0F0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E12" sqref="E12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3</v>
      </c>
      <c r="H12" s="4" t="s">
        <v>6</v>
      </c>
      <c r="I12" s="47">
        <v>43891</v>
      </c>
      <c r="K12" s="3"/>
      <c r="L12" s="51" t="s">
        <v>5</v>
      </c>
      <c r="M12" s="26">
        <f>IFERROR(Février!M17,0)</f>
        <v>55</v>
      </c>
      <c r="N12" s="53" t="s">
        <v>7</v>
      </c>
      <c r="O12" s="50">
        <f>EOMONTH(I12,-1)</f>
        <v>43890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IFERROR(IF(TABLEAUJ03[[#This Row],[Date]]="","",IF(YEAR(TABLEAUJ03[[#This Row],[Date]])*12+MONTH(TABLEAUJ03[[#This Row],[Date]])-YEAR(INDEX(TABLEAUECHEANCE[1EREECHEANCE],MATCH(1,(TABLEAUECHEANCE[CATEGORIEECHEANCE]=TABLEAUJ03[[#This Row],[Catégorie]])*(TABLEAUECHEANCE[TIERSECHEANCE]=TABLEAUJ03[[#This Row],[Payé à]]),0)) )*12-MONTH(INDEX(TABLEAUECHEANCE[1EREECHEANCE],MATCH(1,(TABLEAUECHEANCE[CATEGORIEECHEANCE]=TABLEAUJ03[[#This Row],[Catégorie]])*(TABLEAUECHEANCE[TIERSECHEANCE]=TABLEAUJ03[[#This Row],[Payé à]]),0)) )+1&gt;INDEX(TABLEAUECHEANCE[NBECHEANCE],MATCH(1,(TABLEAUECHEANCE[CATEGORIEECHEANCE]=TABLEAUJ03[[#This Row],[Catégorie]])*(TABLEAUECHEANCE[TIERSECHEANCE]=TABLEAUJ03[[#This Row],[Payé à]]),0)),"HE",CONCATENATE(IF(INDEX(TABLEAUECHEANCE[1EREECHEANCE],MATCH(1,(TABLEAUECHEANCE[CATEGORIEECHEANCE]=TABLEAUJ03[[#This Row],[Catégorie]])*(TABLEAUECHEANCE[TIERSECHEANCE]=TABLEAUJ03[[#This Row],[Payé à]]),0)) ="","",YEAR(TABLEAUJ03[[#This Row],[Date]])*12+MONTH(TABLEAUJ03[[#This Row],[Date]])-YEAR(INDEX(TABLEAUECHEANCE[1EREECHEANCE],MATCH(1,(TABLEAUECHEANCE[CATEGORIEECHEANCE]=TABLEAUJ03[[#This Row],[Catégorie]])*(TABLEAUECHEANCE[TIERSECHEANCE]=TABLEAUJ03[[#This Row],[Payé à]]),0)) )*12-MONTH(INDEX(TABLEAUECHEANCE[1EREECHEANCE],MATCH(1,(TABLEAUECHEANCE[CATEGORIEECHEANCE]=TABLEAUJ03[[#This Row],[Catégorie]])*(TABLEAUECHEANCE[TIERSECHEANCE]=TABLEAUJ03[[#This Row],[Payé à]]),0)) )+1)," sur ",INDEX(TABLEAUECHEANCE[NBECHEANCE],MATCH(1,(TABLEAUECHEANCE[CATEGORIEECHEANCE]=TABLEAUJ03[[#This Row],[Catégorie]])*(TABLEAUECHEANCE[TIERSECHEANCE]=TABLEAUJ03[[#This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IFERROR(IF(ROW()=ROW($B$15),SUM($M$12,-TABLEAUJ03[[#This Row],[Débit]],TABLEAUJ03[[#This Row],[Crédit]]),SUM(M14,-TABLEAUJ03[[#This Row],[Débit]],TABLEAUJ03[[#This Row],[Crédit]])),"")</f>
        <v>55</v>
      </c>
      <c r="N15" s="85" t="b">
        <f>IFERROR(IF(OR(TABLEAUJ03[[#This Row],[Code TVA D]]="",TABLEAUJ03[[#This Row],[Code TVA D]]="NA"),TRUE,SUM(TABLEAUJ03[[#This Row],[Débit HT]],TABLEAUJ03[[#This Row],[TVA déductible]])=TABLEAUJ03[[#This Row],[Débit TTC]]),"")</f>
        <v>1</v>
      </c>
      <c r="O15" s="86" t="str">
        <f>IFERROR(IF(OR(TABLEAUJ03[[#This Row],[Code TVA D]]="",TABLEAUJ03[[#This Row],[Code TVA D]]="NA"),"",TABLEAUJ03[[#This Row],[Débit TTC]]/(1+(VLOOKUP(TABLEAUJ03[[#This Row],[Code TVA D]],MATRICETVA[],2,FALSE)))),"")</f>
        <v/>
      </c>
      <c r="P15" s="87" t="str">
        <f>IFERROR(IF(TABLEAUJ03[[#This Row],[Débit]]&lt;&gt;"",IF(TABLEAUJ03[[#This Row],[Code TVA M]]&lt;&gt;"",TABLEAUJ03[[#This Row],[Code TVA M]],TABLEAUJ03[[#This Row],[Code TVA A]]),""),"")</f>
        <v/>
      </c>
      <c r="Q15" s="88" t="str">
        <f>IFERROR(IF(OR(TABLEAUJ03[[#This Row],[Code TVA D]]="",TABLEAUJ03[[#This Row],[Code TVA D]]="NA"),"",TABLEAUJ03[[#This Row],[Débit TTC]]/(1+VLOOKUP(TABLEAUJ03[[#This Row],[Code TVA D]],MATRICETVA[],2,FALSE))*VLOOKUP(TABLEAUJ03[[#This Row],[Code TVA D]],MATRICETVA[],2,FALSE)),"")</f>
        <v/>
      </c>
      <c r="R15" s="86" t="str">
        <f>IFERROR(IF(OR(TABLEAUJ03[[#This Row],[Code TVA D]]="",TABLEAUJ03[[#This Row],[Code TVA D]]="NA"),"",TABLEAUJ03[[#This Row],[Débit]]),"")</f>
        <v/>
      </c>
      <c r="S15" s="89" t="b">
        <f>IFERROR(IF(OR(TABLEAUJ03[[#This Row],[Code TVA C]]="",TABLEAUJ03[[#This Row],[Code TVA C]]="NA"),TRUE,SUM(TABLEAUJ03[[#This Row],[Crédit HT]],TABLEAUJ03[[#This Row],[TVA collectée]])=TABLEAUJ03[[#This Row],[Crédit TTC]]),"")</f>
        <v>1</v>
      </c>
      <c r="T15" s="90" t="str">
        <f>IFERROR(IF(OR(TABLEAUJ03[[#This Row],[Code TVA C]]="",TABLEAUJ03[[#This Row],[Code TVA C]]="NA"),"",TABLEAUJ03[[#This Row],[Crédit TTC]]/(1+(VLOOKUP(TABLEAUJ03[[#This Row],[Code TVA C]],MATRICETVA[],2,FALSE)))),"")</f>
        <v/>
      </c>
      <c r="U15" s="87" t="str">
        <f>IFERROR(IF(TABLEAUJ03[[#This Row],[Crédit]]&lt;&gt;"",IF(TABLEAUJ03[[#This Row],[Code TVA M]]&lt;&gt;"",TABLEAUJ03[[#This Row],[Code TVA M]],TABLEAUJ03[[#This Row],[Code TVA A]]),""),"")</f>
        <v/>
      </c>
      <c r="V15" s="88" t="str">
        <f>IFERROR(IF(OR(TABLEAUJ03[[#This Row],[Code TVA C]]="",TABLEAUJ03[[#This Row],[Code TVA C]]="NA"),"",TABLEAUJ03[[#This Row],[Crédit TTC]]/(1+VLOOKUP(TABLEAUJ03[[#This Row],[Code TVA C]],MATRICETVA[],2,FALSE))*VLOOKUP(TABLEAUJ03[[#This Row],[Code TVA C]],MATRICETVA[],2,FALSE)),"")</f>
        <v/>
      </c>
      <c r="W15" s="90" t="str">
        <f>IFERROR(IF(OR(TABLEAUJ03[[#This Row],[Code TVA C]]="",TABLEAUJ03[[#This Row],[Code TVA C]]="NA"),"",TABLEAUJ03[[#This Row],[Crédit]]),"")</f>
        <v/>
      </c>
      <c r="X15" s="91" t="b">
        <f>IFERROR(IF(AND(TABLEAUJ03[[#This Row],[Débit]]&lt;&gt;"",TABLEAUJ03[[#This Row],[Crédit]]&lt;&gt;""),FALSE,TRUE),"")</f>
        <v>1</v>
      </c>
      <c r="Y15" s="92" t="str">
        <f>IFERROR(VLOOKUP(TABLEAUJ03[[#This Row],[Catégorie]],MATRICECATEGORIE[],2,FALSE),"")</f>
        <v/>
      </c>
      <c r="Z15" s="93"/>
      <c r="AA15" s="89" t="b">
        <f>IFERROR(IF(AND(TABLEAUJ03[[#This Row],[Code TVA D]]&lt;&gt;"",TABLEAUJ03[[#This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IFERROR(SUBTOTAL(109,TABLEAUJ03[Débit]),"")</f>
        <v>0</v>
      </c>
      <c r="L16" s="99">
        <f>IFERROR(SUBTOTAL(109,TABLEAUJ03[Crédit]),"")</f>
        <v>0</v>
      </c>
      <c r="M16" s="100">
        <f>IFERROR(SUM($M$12,-TABLEAUJ03[[#Totals],[Débit]],TABLEAUJ03[[#Totals],[Crédit]]),"")</f>
        <v>55</v>
      </c>
      <c r="N16" s="101" t="b">
        <f>IFERROR(SUM(TABLEAUJ03[[#Totals],[Débit HT]],TABLEAUJ03[[#Totals],[TVA déductible]])=TABLEAUJ03[[#Totals],[Débit TTC]],"")</f>
        <v>1</v>
      </c>
      <c r="O16" s="102">
        <f>IFERROR(SUBTOTAL(109,TABLEAUJ03[Débit HT]),"")</f>
        <v>0</v>
      </c>
      <c r="P16" s="103"/>
      <c r="Q16" s="104">
        <f>IFERROR(SUBTOTAL(109,TABLEAUJ03[TVA déductible]),"")</f>
        <v>0</v>
      </c>
      <c r="R16" s="98">
        <f>IFERROR(SUBTOTAL(109,TABLEAUJ03[Débit TTC]),"")</f>
        <v>0</v>
      </c>
      <c r="S16" s="101" t="b">
        <f>IFERROR(SUM(TABLEAUJ03[[#Totals],[Crédit HT]],TABLEAUJ03[[#Totals],[TVA collectée]])=TABLEAUJ03[[#Totals],[Crédit TTC]],"")</f>
        <v>1</v>
      </c>
      <c r="T16" s="105">
        <f>IFERROR(SUBTOTAL(109,TABLEAUJ03[Crédit HT]),"")</f>
        <v>0</v>
      </c>
      <c r="U16" s="103"/>
      <c r="V16" s="104">
        <f>IFERROR(SUBTOTAL(109,TABLEAUJ03[TVA collectée]),"")</f>
        <v>0</v>
      </c>
      <c r="W16" s="99">
        <f>IFERROR(SUBTOTAL(109,TABLEAUJ03[Crédit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43891</v>
      </c>
      <c r="H17" s="61"/>
      <c r="I17" s="48"/>
      <c r="J17" s="59"/>
      <c r="K17" s="60"/>
      <c r="L17" s="51" t="s">
        <v>5</v>
      </c>
      <c r="M17" s="26">
        <f>TABLEAUJ03[[#Totals],[Solde bancaire]]</f>
        <v>55</v>
      </c>
      <c r="N17" s="53" t="s">
        <v>7</v>
      </c>
      <c r="O17" s="39">
        <f>IFERROR(IF(MAX(B$15:B15)&lt;I12,I12,MAX(B$15:B15)),"")</f>
        <v>43891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SUM(TABLEAUJ03[[#Totals],[Crédit]],-TABLEAUJ03[[#Totals],[Débit]])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SUM(Février!M20,M19)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18" customHeight="1" x14ac:dyDescent="0.25">
      <c r="K98" s="3"/>
      <c r="L98" s="3"/>
    </row>
    <row r="99" spans="11:12" ht="18" customHeight="1" x14ac:dyDescent="0.25">
      <c r="K99" s="3"/>
      <c r="L99" s="3"/>
    </row>
    <row r="100" spans="11:12" ht="18" customHeight="1" x14ac:dyDescent="0.25">
      <c r="K100" s="3"/>
      <c r="L100" s="3"/>
    </row>
    <row r="101" spans="11:12" ht="18" customHeight="1" x14ac:dyDescent="0.25">
      <c r="K101" s="3"/>
      <c r="L101" s="3"/>
    </row>
    <row r="102" spans="11:12" ht="18" customHeight="1" x14ac:dyDescent="0.25">
      <c r="K102" s="3"/>
      <c r="L102" s="3"/>
    </row>
    <row r="103" spans="11:12" ht="18" customHeight="1" x14ac:dyDescent="0.25">
      <c r="K103" s="3"/>
      <c r="L103" s="3"/>
    </row>
    <row r="104" spans="11:12" ht="18" customHeight="1" x14ac:dyDescent="0.25">
      <c r="K104" s="3"/>
      <c r="L104" s="3"/>
    </row>
    <row r="105" spans="11:12" ht="18" customHeight="1" x14ac:dyDescent="0.25">
      <c r="K105" s="3"/>
      <c r="L105" s="3"/>
    </row>
    <row r="106" spans="11:12" ht="18" customHeight="1" x14ac:dyDescent="0.25">
      <c r="K106" s="3"/>
      <c r="L106" s="3"/>
    </row>
    <row r="107" spans="11:12" ht="18" customHeight="1" x14ac:dyDescent="0.25">
      <c r="K107" s="3"/>
      <c r="L107" s="3"/>
    </row>
    <row r="108" spans="11:12" ht="18" customHeight="1" x14ac:dyDescent="0.25">
      <c r="K108" s="3"/>
      <c r="L108" s="3"/>
    </row>
    <row r="109" spans="11:12" ht="18" customHeight="1" x14ac:dyDescent="0.25">
      <c r="K109" s="3"/>
      <c r="L109" s="3"/>
    </row>
    <row r="110" spans="11:12" ht="18" customHeight="1" x14ac:dyDescent="0.25">
      <c r="K110" s="3"/>
      <c r="L110" s="3"/>
    </row>
    <row r="111" spans="11:12" ht="18" customHeight="1" x14ac:dyDescent="0.25">
      <c r="K111" s="3"/>
      <c r="L111" s="3"/>
    </row>
    <row r="112" spans="11:12" ht="18" customHeight="1" x14ac:dyDescent="0.25">
      <c r="K112" s="3"/>
      <c r="L112" s="3"/>
    </row>
    <row r="113" spans="11:12" ht="18" customHeight="1" x14ac:dyDescent="0.25">
      <c r="K113" s="3"/>
      <c r="L113" s="3"/>
    </row>
    <row r="114" spans="11:12" ht="18" customHeight="1" x14ac:dyDescent="0.25">
      <c r="K114" s="3"/>
      <c r="L114" s="3"/>
    </row>
    <row r="115" spans="11:12" ht="18" customHeight="1" x14ac:dyDescent="0.25">
      <c r="K115" s="3"/>
      <c r="L115" s="3"/>
    </row>
    <row r="116" spans="11:12" ht="18" customHeight="1" x14ac:dyDescent="0.25">
      <c r="K116" s="3"/>
      <c r="L116" s="3"/>
    </row>
    <row r="117" spans="11:12" ht="18" customHeight="1" x14ac:dyDescent="0.25">
      <c r="K117" s="3"/>
      <c r="L117" s="3"/>
    </row>
    <row r="118" spans="11:12" ht="18" customHeight="1" x14ac:dyDescent="0.25">
      <c r="K118" s="3"/>
      <c r="L118" s="3"/>
    </row>
    <row r="119" spans="11:12" ht="18" customHeight="1" x14ac:dyDescent="0.25">
      <c r="K119" s="3"/>
      <c r="L119" s="3"/>
    </row>
    <row r="120" spans="11:12" ht="18" customHeight="1" x14ac:dyDescent="0.25">
      <c r="K120" s="3"/>
      <c r="L120" s="3"/>
    </row>
    <row r="121" spans="11:12" ht="18" customHeight="1" x14ac:dyDescent="0.25">
      <c r="K121" s="3"/>
      <c r="L121" s="3"/>
    </row>
    <row r="122" spans="11:12" ht="18" customHeight="1" x14ac:dyDescent="0.25">
      <c r="K122" s="3"/>
      <c r="L122" s="3"/>
    </row>
    <row r="123" spans="11:12" ht="18" customHeight="1" x14ac:dyDescent="0.25">
      <c r="K123" s="3"/>
      <c r="L123" s="3"/>
    </row>
    <row r="124" spans="11:12" ht="18" customHeight="1" x14ac:dyDescent="0.25">
      <c r="K124" s="3"/>
      <c r="L124" s="3"/>
    </row>
    <row r="125" spans="11:12" ht="18" customHeight="1" x14ac:dyDescent="0.25">
      <c r="K125" s="3"/>
      <c r="L125" s="3"/>
    </row>
    <row r="126" spans="11:12" ht="18" customHeight="1" x14ac:dyDescent="0.25">
      <c r="K126" s="3"/>
      <c r="L126" s="3"/>
    </row>
    <row r="127" spans="11:12" ht="18" customHeight="1" x14ac:dyDescent="0.25">
      <c r="K127" s="3"/>
      <c r="L127" s="3"/>
    </row>
    <row r="128" spans="11:12" ht="18" customHeight="1" x14ac:dyDescent="0.25">
      <c r="K128" s="3"/>
      <c r="L128" s="3"/>
    </row>
    <row r="129" spans="11:12" ht="18" customHeight="1" x14ac:dyDescent="0.25">
      <c r="K129" s="3"/>
      <c r="L129" s="3"/>
    </row>
    <row r="130" spans="11:12" ht="18" customHeight="1" x14ac:dyDescent="0.25">
      <c r="K130" s="3"/>
      <c r="L130" s="3"/>
    </row>
    <row r="131" spans="11:12" ht="18" customHeight="1" x14ac:dyDescent="0.25">
      <c r="K131" s="3"/>
      <c r="L131" s="3"/>
    </row>
    <row r="132" spans="11:12" ht="18" customHeight="1" x14ac:dyDescent="0.25">
      <c r="K132" s="3"/>
      <c r="L132" s="3"/>
    </row>
    <row r="133" spans="11:12" ht="18" customHeight="1" x14ac:dyDescent="0.25">
      <c r="K133" s="3"/>
      <c r="L133" s="3"/>
    </row>
    <row r="134" spans="11:12" ht="18" customHeight="1" x14ac:dyDescent="0.25">
      <c r="K134" s="3"/>
      <c r="L134" s="3"/>
    </row>
    <row r="135" spans="11:12" ht="18" customHeight="1" x14ac:dyDescent="0.25">
      <c r="K135" s="3"/>
      <c r="L135" s="3"/>
    </row>
    <row r="136" spans="11:12" ht="18" customHeight="1" x14ac:dyDescent="0.25">
      <c r="K136" s="3"/>
      <c r="L136" s="3"/>
    </row>
    <row r="137" spans="11:12" ht="18" customHeight="1" x14ac:dyDescent="0.25">
      <c r="K137" s="3"/>
      <c r="L137" s="3"/>
    </row>
    <row r="138" spans="11:12" ht="18" customHeight="1" x14ac:dyDescent="0.25">
      <c r="K138" s="3"/>
      <c r="L138" s="3"/>
    </row>
    <row r="139" spans="11:12" ht="18" customHeight="1" x14ac:dyDescent="0.25">
      <c r="K139" s="3"/>
      <c r="L139" s="3"/>
    </row>
    <row r="140" spans="11:12" ht="18" customHeight="1" x14ac:dyDescent="0.25">
      <c r="K140" s="3"/>
      <c r="L140" s="3"/>
    </row>
    <row r="141" spans="11:12" ht="18" customHeight="1" x14ac:dyDescent="0.25">
      <c r="K141" s="3"/>
      <c r="L141" s="3"/>
    </row>
    <row r="142" spans="11:12" ht="18" customHeight="1" x14ac:dyDescent="0.25">
      <c r="K142" s="3"/>
      <c r="L142" s="3"/>
    </row>
    <row r="143" spans="11:12" ht="18" customHeight="1" x14ac:dyDescent="0.25">
      <c r="K143" s="3"/>
      <c r="L143" s="3"/>
    </row>
    <row r="144" spans="11:12" ht="18" customHeight="1" x14ac:dyDescent="0.25">
      <c r="K144" s="3"/>
      <c r="L144" s="3"/>
    </row>
    <row r="145" spans="11:12" ht="18" customHeight="1" x14ac:dyDescent="0.25">
      <c r="K145" s="3"/>
      <c r="L145" s="3"/>
    </row>
    <row r="146" spans="11:12" ht="18" customHeight="1" x14ac:dyDescent="0.25">
      <c r="K146" s="3"/>
      <c r="L146" s="3"/>
    </row>
    <row r="147" spans="11:12" ht="18" customHeight="1" x14ac:dyDescent="0.25">
      <c r="K147" s="3"/>
      <c r="L147" s="3"/>
    </row>
    <row r="148" spans="11:12" ht="18" customHeight="1" x14ac:dyDescent="0.25">
      <c r="K148" s="3"/>
      <c r="L148" s="3"/>
    </row>
    <row r="149" spans="11:12" ht="18" customHeight="1" x14ac:dyDescent="0.25">
      <c r="K149" s="3"/>
      <c r="L149" s="3"/>
    </row>
    <row r="150" spans="11:12" ht="18" customHeight="1" x14ac:dyDescent="0.25">
      <c r="K150" s="3"/>
      <c r="L150" s="3"/>
    </row>
    <row r="151" spans="11:12" ht="18" customHeight="1" x14ac:dyDescent="0.25">
      <c r="K151" s="3"/>
      <c r="L151" s="3"/>
    </row>
    <row r="152" spans="11:12" ht="18" customHeight="1" x14ac:dyDescent="0.25">
      <c r="K152" s="3"/>
      <c r="L152" s="3"/>
    </row>
    <row r="153" spans="11:12" ht="18" customHeight="1" x14ac:dyDescent="0.25">
      <c r="K153" s="3"/>
      <c r="L153" s="3"/>
    </row>
    <row r="154" spans="11:12" ht="18" customHeight="1" x14ac:dyDescent="0.25">
      <c r="K154" s="3"/>
      <c r="L154" s="3"/>
    </row>
    <row r="155" spans="11:12" ht="18" customHeight="1" x14ac:dyDescent="0.25">
      <c r="K155" s="3"/>
      <c r="L155" s="3"/>
    </row>
    <row r="156" spans="11:12" ht="18" customHeight="1" x14ac:dyDescent="0.25">
      <c r="K156" s="3"/>
      <c r="L156" s="3"/>
    </row>
    <row r="157" spans="11:12" ht="18" customHeight="1" x14ac:dyDescent="0.25">
      <c r="K157" s="3"/>
      <c r="L157" s="3"/>
    </row>
    <row r="158" spans="11:12" ht="18" customHeight="1" x14ac:dyDescent="0.25">
      <c r="K158" s="3"/>
      <c r="L158" s="3"/>
    </row>
    <row r="159" spans="11:12" ht="18" customHeight="1" x14ac:dyDescent="0.25">
      <c r="K159" s="3"/>
      <c r="L159" s="3"/>
    </row>
    <row r="160" spans="11:12" ht="18" customHeight="1" x14ac:dyDescent="0.25">
      <c r="K160" s="3"/>
      <c r="L160" s="3"/>
    </row>
    <row r="161" spans="11:12" ht="18" customHeight="1" x14ac:dyDescent="0.25">
      <c r="K161" s="3"/>
      <c r="L161" s="3"/>
    </row>
    <row r="162" spans="11:12" ht="18" customHeight="1" x14ac:dyDescent="0.25">
      <c r="K162" s="3"/>
      <c r="L162" s="3"/>
    </row>
    <row r="163" spans="11:12" ht="18" customHeight="1" x14ac:dyDescent="0.25">
      <c r="K163" s="3"/>
      <c r="L163" s="3"/>
    </row>
    <row r="164" spans="11:12" ht="18" customHeight="1" x14ac:dyDescent="0.25">
      <c r="K164" s="3"/>
      <c r="L164" s="3"/>
    </row>
    <row r="165" spans="11:12" ht="18" customHeight="1" x14ac:dyDescent="0.25">
      <c r="K165" s="3"/>
      <c r="L165" s="3"/>
    </row>
    <row r="166" spans="11:12" ht="18" customHeight="1" x14ac:dyDescent="0.25">
      <c r="K166" s="3"/>
      <c r="L166" s="3"/>
    </row>
    <row r="167" spans="11:12" ht="18" customHeight="1" x14ac:dyDescent="0.25">
      <c r="K167" s="3"/>
      <c r="L167" s="3"/>
    </row>
    <row r="168" spans="11:12" ht="18" customHeight="1" x14ac:dyDescent="0.25">
      <c r="K168" s="3"/>
      <c r="L168" s="3"/>
    </row>
    <row r="169" spans="11:12" ht="18" customHeight="1" x14ac:dyDescent="0.25">
      <c r="K169" s="3"/>
      <c r="L169" s="3"/>
    </row>
    <row r="170" spans="11:12" ht="18" customHeight="1" x14ac:dyDescent="0.25">
      <c r="K170" s="3"/>
      <c r="L170" s="3"/>
    </row>
    <row r="171" spans="11:12" ht="18" customHeight="1" x14ac:dyDescent="0.25">
      <c r="K171" s="3"/>
      <c r="L171" s="3"/>
    </row>
    <row r="172" spans="11:12" ht="18" customHeight="1" x14ac:dyDescent="0.25">
      <c r="K172" s="3"/>
      <c r="L172" s="3"/>
    </row>
    <row r="173" spans="11:12" ht="18" customHeight="1" x14ac:dyDescent="0.25">
      <c r="K173" s="3"/>
      <c r="L173" s="3"/>
    </row>
    <row r="174" spans="11:12" ht="18" customHeight="1" x14ac:dyDescent="0.25">
      <c r="K174" s="3"/>
      <c r="L174" s="3"/>
    </row>
    <row r="175" spans="11:12" ht="18" customHeight="1" x14ac:dyDescent="0.25">
      <c r="K175" s="3"/>
      <c r="L175" s="3"/>
    </row>
    <row r="176" spans="11:12" ht="18" customHeight="1" x14ac:dyDescent="0.25">
      <c r="K176" s="3"/>
      <c r="L176" s="3"/>
    </row>
    <row r="177" spans="11:12" ht="18" customHeight="1" x14ac:dyDescent="0.25">
      <c r="K177" s="3"/>
      <c r="L177" s="3"/>
    </row>
    <row r="178" spans="11:12" ht="18" customHeight="1" x14ac:dyDescent="0.25">
      <c r="K178" s="3"/>
      <c r="L178" s="3"/>
    </row>
    <row r="179" spans="11:12" ht="18" customHeight="1" x14ac:dyDescent="0.25">
      <c r="K179" s="3"/>
      <c r="L179" s="3"/>
    </row>
    <row r="180" spans="11:12" ht="18" customHeight="1" x14ac:dyDescent="0.25">
      <c r="K180" s="3"/>
      <c r="L180" s="3"/>
    </row>
    <row r="181" spans="11:12" ht="18" customHeight="1" x14ac:dyDescent="0.25">
      <c r="K181" s="3"/>
      <c r="L181" s="3"/>
    </row>
    <row r="182" spans="11:12" ht="18" customHeight="1" x14ac:dyDescent="0.25">
      <c r="K182" s="3"/>
      <c r="L182" s="3"/>
    </row>
    <row r="183" spans="11:12" ht="18" customHeight="1" x14ac:dyDescent="0.25">
      <c r="K183" s="3"/>
      <c r="L183" s="3"/>
    </row>
    <row r="184" spans="11:12" ht="18" customHeight="1" x14ac:dyDescent="0.25">
      <c r="K184" s="3"/>
      <c r="L184" s="3"/>
    </row>
    <row r="185" spans="11:12" ht="18" customHeight="1" x14ac:dyDescent="0.25">
      <c r="K185" s="3"/>
      <c r="L185" s="3"/>
    </row>
    <row r="186" spans="11:12" ht="18" customHeight="1" x14ac:dyDescent="0.25">
      <c r="K186" s="3"/>
      <c r="L186" s="3"/>
    </row>
    <row r="187" spans="11:12" ht="18" customHeight="1" x14ac:dyDescent="0.25">
      <c r="K187" s="3"/>
      <c r="L187" s="3"/>
    </row>
    <row r="188" spans="11:12" ht="18" customHeight="1" x14ac:dyDescent="0.25">
      <c r="K188" s="3"/>
      <c r="L188" s="3"/>
    </row>
    <row r="189" spans="11:12" ht="18" customHeight="1" x14ac:dyDescent="0.25">
      <c r="K189" s="3"/>
      <c r="L189" s="3"/>
    </row>
    <row r="190" spans="11:12" ht="18" customHeight="1" x14ac:dyDescent="0.25">
      <c r="K190" s="3"/>
      <c r="L190" s="3"/>
    </row>
    <row r="191" spans="11:12" ht="18" customHeight="1" x14ac:dyDescent="0.25">
      <c r="K191" s="3"/>
      <c r="L191" s="3"/>
    </row>
    <row r="192" spans="11:12" ht="18" customHeight="1" x14ac:dyDescent="0.25">
      <c r="K192" s="3"/>
      <c r="L192" s="3"/>
    </row>
    <row r="193" spans="11:12" ht="18" customHeight="1" x14ac:dyDescent="0.25">
      <c r="K193" s="3"/>
      <c r="L193" s="3"/>
    </row>
    <row r="194" spans="11:12" ht="18" customHeight="1" x14ac:dyDescent="0.25">
      <c r="K194" s="3"/>
      <c r="L194" s="3"/>
    </row>
    <row r="195" spans="11:12" ht="18" customHeight="1" x14ac:dyDescent="0.25">
      <c r="K195" s="3"/>
      <c r="L195" s="3"/>
    </row>
    <row r="196" spans="11:12" ht="18" customHeight="1" x14ac:dyDescent="0.25">
      <c r="K196" s="3"/>
      <c r="L196" s="3"/>
    </row>
    <row r="197" spans="11:12" ht="18" customHeight="1" x14ac:dyDescent="0.25">
      <c r="K197" s="3"/>
      <c r="L197" s="3"/>
    </row>
    <row r="198" spans="11:12" ht="18" customHeight="1" x14ac:dyDescent="0.25">
      <c r="K198" s="3"/>
      <c r="L198" s="3"/>
    </row>
    <row r="199" spans="11:12" ht="18" customHeight="1" x14ac:dyDescent="0.25">
      <c r="K199" s="3"/>
      <c r="L199" s="3"/>
    </row>
    <row r="200" spans="11:12" ht="18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X15 N15:N16 S15:S16">
    <cfRule type="cellIs" dxfId="162" priority="16" operator="equal">
      <formula>FALSE</formula>
    </cfRule>
  </conditionalFormatting>
  <conditionalFormatting sqref="P15 U15">
    <cfRule type="containsText" dxfId="161" priority="13" operator="containsText" text="NA">
      <formula>NOT(ISERROR(SEARCH("NA",P15)))</formula>
    </cfRule>
  </conditionalFormatting>
  <conditionalFormatting sqref="F15">
    <cfRule type="containsText" dxfId="160" priority="11" operator="containsText" text="Rémunération gérant">
      <formula>NOT(ISERROR(SEARCH("Rémunération gérant",F15)))</formula>
    </cfRule>
  </conditionalFormatting>
  <conditionalFormatting sqref="D15:J15">
    <cfRule type="containsBlanks" dxfId="159" priority="1">
      <formula>LEN(TRIM(D15))=0</formula>
    </cfRule>
  </conditionalFormatting>
  <dataValidations count="6">
    <dataValidation type="list" allowBlank="1" showInputMessage="1" showErrorMessage="1" sqref="I12" xr:uid="{08D19FE1-B445-4596-B616-F5F82925518F}">
      <formula1>PREMIERJOURMOIS</formula1>
    </dataValidation>
    <dataValidation type="list" allowBlank="1" showInputMessage="1" sqref="J15 G15" xr:uid="{27C81420-0770-47B1-B561-665F498C42A1}">
      <formula1>OFFSET(TIERS,MATCH(G15&amp;"*",TIERS,0)-1,,COUNTIF(TIERS,G15&amp;"*"))</formula1>
    </dataValidation>
    <dataValidation type="list" allowBlank="1" showInputMessage="1" sqref="F15" xr:uid="{8332072F-0EB6-4A34-8435-EBCCFA3A9459}">
      <formula1>OFFSET(CATEGORIE,MATCH(F15&amp;"*",CATEGORIE,0)-1,,COUNTIF(CATEGORIE,F15&amp;"*"))</formula1>
    </dataValidation>
    <dataValidation type="list" allowBlank="1" showInputMessage="1" sqref="D15" xr:uid="{EBC1A08B-53FF-4717-97BB-9D9040820F4A}">
      <formula1>OFFSET(MODEDEREGLEMENT,MATCH(D15&amp;"*",MODEDEREGLEMENT,0)-1,,COUNTIF(MODEDEREGLEMENT,D15&amp;"*"))</formula1>
    </dataValidation>
    <dataValidation type="list" allowBlank="1" showInputMessage="1" showErrorMessage="1" sqref="Z15" xr:uid="{5B0FF5AE-7E06-4FB2-ABE3-4F2BCC020F99}">
      <formula1>CODETVA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EEDE78A6-6B90-4574-A330-2882E9AAF943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778BF1-17BF-464F-969F-3F655F9CAF9D}">
  <sheetPr codeName="Feuil148">
    <tabColor rgb="FF92D050"/>
    <pageSetUpPr fitToPage="1"/>
  </sheetPr>
  <dimension ref="B1:AD200"/>
  <sheetViews>
    <sheetView showGridLines="0" zoomScaleNormal="100" workbookViewId="0">
      <pane ySplit="14" topLeftCell="A15" activePane="bottomLeft" state="frozen"/>
      <selection activeCell="B1" sqref="B1"/>
      <selection pane="bottomLeft" activeCell="E12" sqref="E12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4</v>
      </c>
      <c r="H12" s="4" t="s">
        <v>6</v>
      </c>
      <c r="I12" s="47">
        <v>43922</v>
      </c>
      <c r="K12" s="3"/>
      <c r="L12" s="51" t="s">
        <v>5</v>
      </c>
      <c r="M12" s="26">
        <f>IFERROR(Mars!M17,0)</f>
        <v>55</v>
      </c>
      <c r="N12" s="53" t="s">
        <v>7</v>
      </c>
      <c r="O12" s="50">
        <f>EOMONTH(I12,-1)</f>
        <v>43921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IFERROR(IF(TABLEAUJ04[[#This Row],[Date]]="","",IF(YEAR(TABLEAUJ04[[#This Row],[Date]])*12+MONTH(TABLEAUJ04[[#This Row],[Date]])-YEAR(INDEX(TABLEAUECHEANCE[1EREECHEANCE],MATCH(1,(TABLEAUECHEANCE[CATEGORIEECHEANCE]=TABLEAUJ04[[#This Row],[Catégorie]])*(TABLEAUECHEANCE[TIERSECHEANCE]=TABLEAUJ04[[#This Row],[Payé à]]),0)) )*12-MONTH(INDEX(TABLEAUECHEANCE[1EREECHEANCE],MATCH(1,(TABLEAUECHEANCE[CATEGORIEECHEANCE]=TABLEAUJ04[[#This Row],[Catégorie]])*(TABLEAUECHEANCE[TIERSECHEANCE]=TABLEAUJ04[[#This Row],[Payé à]]),0)) )+1&gt;INDEX(TABLEAUECHEANCE[NBECHEANCE],MATCH(1,(TABLEAUECHEANCE[CATEGORIEECHEANCE]=TABLEAUJ04[[#This Row],[Catégorie]])*(TABLEAUECHEANCE[TIERSECHEANCE]=TABLEAUJ04[[#This Row],[Payé à]]),0)),"HE",CONCATENATE(IF(INDEX(TABLEAUECHEANCE[1EREECHEANCE],MATCH(1,(TABLEAUECHEANCE[CATEGORIEECHEANCE]=TABLEAUJ04[[#This Row],[Catégorie]])*(TABLEAUECHEANCE[TIERSECHEANCE]=TABLEAUJ04[[#This Row],[Payé à]]),0)) ="","",YEAR(TABLEAUJ04[[#This Row],[Date]])*12+MONTH(TABLEAUJ04[[#This Row],[Date]])-YEAR(INDEX(TABLEAUECHEANCE[1EREECHEANCE],MATCH(1,(TABLEAUECHEANCE[CATEGORIEECHEANCE]=TABLEAUJ04[[#This Row],[Catégorie]])*(TABLEAUECHEANCE[TIERSECHEANCE]=TABLEAUJ04[[#This Row],[Payé à]]),0)) )*12-MONTH(INDEX(TABLEAUECHEANCE[1EREECHEANCE],MATCH(1,(TABLEAUECHEANCE[CATEGORIEECHEANCE]=TABLEAUJ04[[#This Row],[Catégorie]])*(TABLEAUECHEANCE[TIERSECHEANCE]=TABLEAUJ04[[#This Row],[Payé à]]),0)) )+1)," sur ",INDEX(TABLEAUECHEANCE[NBECHEANCE],MATCH(1,(TABLEAUECHEANCE[CATEGORIEECHEANCE]=TABLEAUJ04[[#This Row],[Catégorie]])*(TABLEAUECHEANCE[TIERSECHEANCE]=TABLEAUJ04[[#This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IFERROR(IF(ROW()=ROW($B$15),SUM($M$12,-TABLEAUJ04[[#This Row],[Débit]],TABLEAUJ04[[#This Row],[Crédit]]),SUM(M14,-TABLEAUJ04[[#This Row],[Débit]],TABLEAUJ04[[#This Row],[Crédit]])),"")</f>
        <v>55</v>
      </c>
      <c r="N15" s="85" t="b">
        <f>IFERROR(IF(OR(TABLEAUJ04[[#This Row],[Code TVA D]]="",TABLEAUJ04[[#This Row],[Code TVA D]]="NA"),TRUE,SUM(TABLEAUJ04[[#This Row],[Débit HT]],TABLEAUJ04[[#This Row],[TVA déductible]])=TABLEAUJ04[[#This Row],[Débit TTC]]),"")</f>
        <v>1</v>
      </c>
      <c r="O15" s="86" t="str">
        <f>IFERROR(IF(OR(TABLEAUJ04[[#This Row],[Code TVA D]]="",TABLEAUJ04[[#This Row],[Code TVA D]]="NA"),"",TABLEAUJ04[[#This Row],[Débit TTC]]/(1+(VLOOKUP(TABLEAUJ04[[#This Row],[Code TVA D]],MATRICETVA[],2,FALSE)))),"")</f>
        <v/>
      </c>
      <c r="P15" s="87" t="str">
        <f>IFERROR(IF(TABLEAUJ04[[#This Row],[Débit]]&lt;&gt;"",IF(TABLEAUJ04[[#This Row],[Code TVA M]]&lt;&gt;"",TABLEAUJ04[[#This Row],[Code TVA M]],TABLEAUJ04[[#This Row],[Code TVA A]]),""),"")</f>
        <v/>
      </c>
      <c r="Q15" s="88" t="str">
        <f>IFERROR(IF(OR(TABLEAUJ04[[#This Row],[Code TVA D]]="",TABLEAUJ04[[#This Row],[Code TVA D]]="NA"),"",TABLEAUJ04[[#This Row],[Débit TTC]]/(1+VLOOKUP(TABLEAUJ04[[#This Row],[Code TVA D]],MATRICETVA[],2,FALSE))*VLOOKUP(TABLEAUJ04[[#This Row],[Code TVA D]],MATRICETVA[],2,FALSE)),"")</f>
        <v/>
      </c>
      <c r="R15" s="86" t="str">
        <f>IFERROR(IF(OR(TABLEAUJ04[[#This Row],[Code TVA D]]="",TABLEAUJ04[[#This Row],[Code TVA D]]="NA"),"",TABLEAUJ04[[#This Row],[Débit]]),"")</f>
        <v/>
      </c>
      <c r="S15" s="89" t="b">
        <f>IFERROR(IF(OR(TABLEAUJ04[[#This Row],[Code TVA C]]="",TABLEAUJ04[[#This Row],[Code TVA C]]="NA"),TRUE,SUM(TABLEAUJ04[[#This Row],[Crédit HT]],TABLEAUJ04[[#This Row],[TVA collectée]])=TABLEAUJ04[[#This Row],[Crédit TTC]]),"")</f>
        <v>1</v>
      </c>
      <c r="T15" s="90" t="str">
        <f>IFERROR(IF(OR(TABLEAUJ04[[#This Row],[Code TVA C]]="",TABLEAUJ04[[#This Row],[Code TVA C]]="NA"),"",TABLEAUJ04[[#This Row],[Crédit TTC]]/(1+(VLOOKUP(TABLEAUJ04[[#This Row],[Code TVA C]],MATRICETVA[],2,FALSE)))),"")</f>
        <v/>
      </c>
      <c r="U15" s="87" t="str">
        <f>IFERROR(IF(TABLEAUJ04[[#This Row],[Crédit]]&lt;&gt;"",IF(TABLEAUJ04[[#This Row],[Code TVA M]]&lt;&gt;"",TABLEAUJ04[[#This Row],[Code TVA M]],TABLEAUJ04[[#This Row],[Code TVA A]]),""),"")</f>
        <v/>
      </c>
      <c r="V15" s="88" t="str">
        <f>IFERROR(IF(OR(TABLEAUJ04[[#This Row],[Code TVA C]]="",TABLEAUJ04[[#This Row],[Code TVA C]]="NA"),"",TABLEAUJ04[[#This Row],[Crédit TTC]]/(1+VLOOKUP(TABLEAUJ04[[#This Row],[Code TVA C]],MATRICETVA[],2,FALSE))*VLOOKUP(TABLEAUJ04[[#This Row],[Code TVA C]],MATRICETVA[],2,FALSE)),"")</f>
        <v/>
      </c>
      <c r="W15" s="90" t="str">
        <f>IFERROR(IF(OR(TABLEAUJ04[[#This Row],[Code TVA C]]="",TABLEAUJ04[[#This Row],[Code TVA C]]="NA"),"",TABLEAUJ04[[#This Row],[Crédit]]),"")</f>
        <v/>
      </c>
      <c r="X15" s="91" t="b">
        <f>IFERROR(IF(AND(TABLEAUJ04[[#This Row],[Débit]]&lt;&gt;"",TABLEAUJ04[[#This Row],[Crédit]]&lt;&gt;""),FALSE,TRUE),"")</f>
        <v>1</v>
      </c>
      <c r="Y15" s="92" t="str">
        <f>IFERROR(VLOOKUP(TABLEAUJ04[[#This Row],[Catégorie]],MATRICECATEGORIE[],2,FALSE),"")</f>
        <v/>
      </c>
      <c r="Z15" s="93"/>
      <c r="AA15" s="89" t="b">
        <f>IFERROR(IF(AND(TABLEAUJ04[[#This Row],[Code TVA D]]&lt;&gt;"",TABLEAUJ04[[#This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IFERROR(SUBTOTAL(109,TABLEAUJ04[Débit]),"")</f>
        <v>0</v>
      </c>
      <c r="L16" s="99">
        <f>IFERROR(SUBTOTAL(109,TABLEAUJ04[Crédit]),"")</f>
        <v>0</v>
      </c>
      <c r="M16" s="100">
        <f>IFERROR(SUM($M$12,-TABLEAUJ04[[#Totals],[Débit]],TABLEAUJ04[[#Totals],[Crédit]]),"")</f>
        <v>55</v>
      </c>
      <c r="N16" s="101" t="b">
        <f>IFERROR(SUM(TABLEAUJ04[[#Totals],[Débit HT]],TABLEAUJ04[[#Totals],[TVA déductible]])=TABLEAUJ04[[#Totals],[Débit TTC]],"")</f>
        <v>1</v>
      </c>
      <c r="O16" s="102">
        <f>IFERROR(SUBTOTAL(109,TABLEAUJ04[Débit HT]),"")</f>
        <v>0</v>
      </c>
      <c r="P16" s="103"/>
      <c r="Q16" s="104">
        <f>IFERROR(SUBTOTAL(109,TABLEAUJ04[TVA déductible]),"")</f>
        <v>0</v>
      </c>
      <c r="R16" s="98">
        <f>IFERROR(SUBTOTAL(109,TABLEAUJ04[Débit TTC]),"")</f>
        <v>0</v>
      </c>
      <c r="S16" s="101" t="b">
        <f>IFERROR(SUM(TABLEAUJ04[[#Totals],[Crédit HT]],TABLEAUJ04[[#Totals],[TVA collectée]])=TABLEAUJ04[[#Totals],[Crédit TTC]],"")</f>
        <v>1</v>
      </c>
      <c r="T16" s="105">
        <f>IFERROR(SUBTOTAL(109,TABLEAUJ04[Crédit HT]),"")</f>
        <v>0</v>
      </c>
      <c r="U16" s="103"/>
      <c r="V16" s="104">
        <f>IFERROR(SUBTOTAL(109,TABLEAUJ04[TVA collectée]),"")</f>
        <v>0</v>
      </c>
      <c r="W16" s="99">
        <f>IFERROR(SUBTOTAL(109,TABLEAUJ04[Crédit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43922</v>
      </c>
      <c r="H17" s="61"/>
      <c r="I17" s="48"/>
      <c r="J17" s="59"/>
      <c r="K17" s="60"/>
      <c r="L17" s="51" t="s">
        <v>5</v>
      </c>
      <c r="M17" s="26">
        <f>TABLEAUJ04[[#Totals],[Solde bancaire]]</f>
        <v>55</v>
      </c>
      <c r="N17" s="53" t="s">
        <v>7</v>
      </c>
      <c r="O17" s="39">
        <f>IFERROR(IF(MAX(B$15:B15)&lt;I12,I12,MAX(B$15:B15)),"")</f>
        <v>43922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SUM(TABLEAUJ04[[#Totals],[Crédit]],-TABLEAUJ04[[#Totals],[Débit]])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SUM(Mars!M20,M19)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18" customHeight="1" x14ac:dyDescent="0.25">
      <c r="K115" s="3"/>
      <c r="L115" s="3"/>
    </row>
    <row r="116" spans="11:12" ht="18" customHeight="1" x14ac:dyDescent="0.25">
      <c r="K116" s="3"/>
      <c r="L116" s="3"/>
    </row>
    <row r="117" spans="11:12" ht="18" customHeight="1" x14ac:dyDescent="0.25">
      <c r="K117" s="3"/>
      <c r="L117" s="3"/>
    </row>
    <row r="118" spans="11:12" ht="18" customHeight="1" x14ac:dyDescent="0.25">
      <c r="K118" s="3"/>
      <c r="L118" s="3"/>
    </row>
    <row r="119" spans="11:12" ht="18" customHeight="1" x14ac:dyDescent="0.25">
      <c r="K119" s="3"/>
      <c r="L119" s="3"/>
    </row>
    <row r="120" spans="11:12" ht="18" customHeight="1" x14ac:dyDescent="0.25">
      <c r="K120" s="3"/>
      <c r="L120" s="3"/>
    </row>
    <row r="121" spans="11:12" ht="18" customHeight="1" x14ac:dyDescent="0.25">
      <c r="K121" s="3"/>
      <c r="L121" s="3"/>
    </row>
    <row r="122" spans="11:12" ht="18" customHeight="1" x14ac:dyDescent="0.25">
      <c r="K122" s="3"/>
      <c r="L122" s="3"/>
    </row>
    <row r="123" spans="11:12" ht="18" customHeight="1" x14ac:dyDescent="0.25">
      <c r="K123" s="3"/>
      <c r="L123" s="3"/>
    </row>
    <row r="124" spans="11:12" ht="18" customHeight="1" x14ac:dyDescent="0.25">
      <c r="K124" s="3"/>
      <c r="L124" s="3"/>
    </row>
    <row r="125" spans="11:12" ht="18" customHeight="1" x14ac:dyDescent="0.25">
      <c r="K125" s="3"/>
      <c r="L125" s="3"/>
    </row>
    <row r="126" spans="11:12" ht="18" customHeight="1" x14ac:dyDescent="0.25">
      <c r="K126" s="3"/>
      <c r="L126" s="3"/>
    </row>
    <row r="127" spans="11:12" ht="18" customHeight="1" x14ac:dyDescent="0.25">
      <c r="K127" s="3"/>
      <c r="L127" s="3"/>
    </row>
    <row r="128" spans="11:12" ht="18" customHeight="1" x14ac:dyDescent="0.25">
      <c r="K128" s="3"/>
      <c r="L128" s="3"/>
    </row>
    <row r="129" spans="11:12" ht="18" customHeight="1" x14ac:dyDescent="0.25">
      <c r="K129" s="3"/>
      <c r="L129" s="3"/>
    </row>
    <row r="130" spans="11:12" ht="18" customHeight="1" x14ac:dyDescent="0.25">
      <c r="K130" s="3"/>
      <c r="L130" s="3"/>
    </row>
    <row r="131" spans="11:12" ht="18" customHeight="1" x14ac:dyDescent="0.25">
      <c r="K131" s="3"/>
      <c r="L131" s="3"/>
    </row>
    <row r="132" spans="11:12" ht="18" customHeight="1" x14ac:dyDescent="0.25">
      <c r="K132" s="3"/>
      <c r="L132" s="3"/>
    </row>
    <row r="133" spans="11:12" ht="18" customHeight="1" x14ac:dyDescent="0.25">
      <c r="K133" s="3"/>
      <c r="L133" s="3"/>
    </row>
    <row r="134" spans="11:12" ht="18" customHeight="1" x14ac:dyDescent="0.25">
      <c r="K134" s="3"/>
      <c r="L134" s="3"/>
    </row>
    <row r="135" spans="11:12" ht="18" customHeight="1" x14ac:dyDescent="0.25">
      <c r="K135" s="3"/>
      <c r="L135" s="3"/>
    </row>
    <row r="136" spans="11:12" ht="18" customHeight="1" x14ac:dyDescent="0.25">
      <c r="K136" s="3"/>
      <c r="L136" s="3"/>
    </row>
    <row r="137" spans="11:12" ht="18" customHeight="1" x14ac:dyDescent="0.25">
      <c r="K137" s="3"/>
      <c r="L137" s="3"/>
    </row>
    <row r="138" spans="11:12" ht="18" customHeight="1" x14ac:dyDescent="0.25">
      <c r="K138" s="3"/>
      <c r="L138" s="3"/>
    </row>
    <row r="139" spans="11:12" ht="18" customHeight="1" x14ac:dyDescent="0.25">
      <c r="K139" s="3"/>
      <c r="L139" s="3"/>
    </row>
    <row r="140" spans="11:12" ht="18" customHeight="1" x14ac:dyDescent="0.25">
      <c r="K140" s="3"/>
      <c r="L140" s="3"/>
    </row>
    <row r="141" spans="11:12" ht="18" customHeight="1" x14ac:dyDescent="0.25">
      <c r="K141" s="3"/>
      <c r="L141" s="3"/>
    </row>
    <row r="142" spans="11:12" ht="18" customHeight="1" x14ac:dyDescent="0.25">
      <c r="K142" s="3"/>
      <c r="L142" s="3"/>
    </row>
    <row r="143" spans="11:12" ht="18" customHeight="1" x14ac:dyDescent="0.25">
      <c r="K143" s="3"/>
      <c r="L143" s="3"/>
    </row>
    <row r="144" spans="11:12" ht="18" customHeight="1" x14ac:dyDescent="0.25">
      <c r="K144" s="3"/>
      <c r="L144" s="3"/>
    </row>
    <row r="145" spans="11:12" ht="18" customHeight="1" x14ac:dyDescent="0.25">
      <c r="K145" s="3"/>
      <c r="L145" s="3"/>
    </row>
    <row r="146" spans="11:12" ht="18" customHeight="1" x14ac:dyDescent="0.25">
      <c r="K146" s="3"/>
      <c r="L146" s="3"/>
    </row>
    <row r="147" spans="11:12" ht="18" customHeight="1" x14ac:dyDescent="0.25">
      <c r="K147" s="3"/>
      <c r="L147" s="3"/>
    </row>
    <row r="148" spans="11:12" ht="18" customHeight="1" x14ac:dyDescent="0.25">
      <c r="K148" s="3"/>
      <c r="L148" s="3"/>
    </row>
    <row r="149" spans="11:12" ht="18" customHeight="1" x14ac:dyDescent="0.25">
      <c r="K149" s="3"/>
      <c r="L149" s="3"/>
    </row>
    <row r="150" spans="11:12" ht="18" customHeight="1" x14ac:dyDescent="0.25">
      <c r="K150" s="3"/>
      <c r="L150" s="3"/>
    </row>
    <row r="151" spans="11:12" ht="18" customHeight="1" x14ac:dyDescent="0.25">
      <c r="K151" s="3"/>
      <c r="L151" s="3"/>
    </row>
    <row r="152" spans="11:12" ht="18" customHeight="1" x14ac:dyDescent="0.25">
      <c r="K152" s="3"/>
      <c r="L152" s="3"/>
    </row>
    <row r="153" spans="11:12" ht="18" customHeight="1" x14ac:dyDescent="0.25">
      <c r="K153" s="3"/>
      <c r="L153" s="3"/>
    </row>
    <row r="154" spans="11:12" ht="18" customHeight="1" x14ac:dyDescent="0.25">
      <c r="K154" s="3"/>
      <c r="L154" s="3"/>
    </row>
    <row r="155" spans="11:12" ht="18" customHeight="1" x14ac:dyDescent="0.25">
      <c r="K155" s="3"/>
      <c r="L155" s="3"/>
    </row>
    <row r="156" spans="11:12" ht="18" customHeight="1" x14ac:dyDescent="0.25">
      <c r="K156" s="3"/>
      <c r="L156" s="3"/>
    </row>
    <row r="157" spans="11:12" ht="18" customHeight="1" x14ac:dyDescent="0.25">
      <c r="K157" s="3"/>
      <c r="L157" s="3"/>
    </row>
    <row r="158" spans="11:12" ht="18" customHeight="1" x14ac:dyDescent="0.25">
      <c r="K158" s="3"/>
      <c r="L158" s="3"/>
    </row>
    <row r="159" spans="11:12" ht="18" customHeight="1" x14ac:dyDescent="0.25">
      <c r="K159" s="3"/>
      <c r="L159" s="3"/>
    </row>
    <row r="160" spans="11:12" ht="18" customHeight="1" x14ac:dyDescent="0.25">
      <c r="K160" s="3"/>
      <c r="L160" s="3"/>
    </row>
    <row r="161" spans="11:12" ht="18" customHeight="1" x14ac:dyDescent="0.25">
      <c r="K161" s="3"/>
      <c r="L161" s="3"/>
    </row>
    <row r="162" spans="11:12" ht="18" customHeight="1" x14ac:dyDescent="0.25">
      <c r="K162" s="3"/>
      <c r="L162" s="3"/>
    </row>
    <row r="163" spans="11:12" ht="18" customHeight="1" x14ac:dyDescent="0.25">
      <c r="K163" s="3"/>
      <c r="L163" s="3"/>
    </row>
    <row r="164" spans="11:12" ht="18" customHeight="1" x14ac:dyDescent="0.25">
      <c r="K164" s="3"/>
      <c r="L164" s="3"/>
    </row>
    <row r="165" spans="11:12" ht="18" customHeight="1" x14ac:dyDescent="0.25">
      <c r="K165" s="3"/>
      <c r="L165" s="3"/>
    </row>
    <row r="166" spans="11:12" ht="18" customHeight="1" x14ac:dyDescent="0.25">
      <c r="K166" s="3"/>
      <c r="L166" s="3"/>
    </row>
    <row r="167" spans="11:12" ht="18" customHeight="1" x14ac:dyDescent="0.25">
      <c r="K167" s="3"/>
      <c r="L167" s="3"/>
    </row>
    <row r="168" spans="11:12" ht="18" customHeight="1" x14ac:dyDescent="0.25">
      <c r="K168" s="3"/>
      <c r="L168" s="3"/>
    </row>
    <row r="169" spans="11:12" ht="18" customHeight="1" x14ac:dyDescent="0.25">
      <c r="K169" s="3"/>
      <c r="L169" s="3"/>
    </row>
    <row r="170" spans="11:12" ht="18" customHeight="1" x14ac:dyDescent="0.25">
      <c r="K170" s="3"/>
      <c r="L170" s="3"/>
    </row>
    <row r="171" spans="11:12" ht="18" customHeight="1" x14ac:dyDescent="0.25">
      <c r="K171" s="3"/>
      <c r="L171" s="3"/>
    </row>
    <row r="172" spans="11:12" ht="18" customHeight="1" x14ac:dyDescent="0.25">
      <c r="K172" s="3"/>
      <c r="L172" s="3"/>
    </row>
    <row r="173" spans="11:12" ht="18" customHeight="1" x14ac:dyDescent="0.25">
      <c r="K173" s="3"/>
      <c r="L173" s="3"/>
    </row>
    <row r="174" spans="11:12" ht="18" customHeight="1" x14ac:dyDescent="0.25">
      <c r="K174" s="3"/>
      <c r="L174" s="3"/>
    </row>
    <row r="175" spans="11:12" ht="18" customHeight="1" x14ac:dyDescent="0.25">
      <c r="K175" s="3"/>
      <c r="L175" s="3"/>
    </row>
    <row r="176" spans="11:12" ht="18" customHeight="1" x14ac:dyDescent="0.25">
      <c r="K176" s="3"/>
      <c r="L176" s="3"/>
    </row>
    <row r="177" spans="11:12" ht="18" customHeight="1" x14ac:dyDescent="0.25">
      <c r="K177" s="3"/>
      <c r="L177" s="3"/>
    </row>
    <row r="178" spans="11:12" ht="18" customHeight="1" x14ac:dyDescent="0.25">
      <c r="K178" s="3"/>
      <c r="L178" s="3"/>
    </row>
    <row r="179" spans="11:12" ht="18" customHeight="1" x14ac:dyDescent="0.25">
      <c r="K179" s="3"/>
      <c r="L179" s="3"/>
    </row>
    <row r="180" spans="11:12" ht="18" customHeight="1" x14ac:dyDescent="0.25">
      <c r="K180" s="3"/>
      <c r="L180" s="3"/>
    </row>
    <row r="181" spans="11:12" ht="18" customHeight="1" x14ac:dyDescent="0.25">
      <c r="K181" s="3"/>
      <c r="L181" s="3"/>
    </row>
    <row r="182" spans="11:12" ht="18" customHeight="1" x14ac:dyDescent="0.25">
      <c r="K182" s="3"/>
      <c r="L182" s="3"/>
    </row>
    <row r="183" spans="11:12" ht="18" customHeight="1" x14ac:dyDescent="0.25">
      <c r="K183" s="3"/>
      <c r="L183" s="3"/>
    </row>
    <row r="184" spans="11:12" ht="18" customHeight="1" x14ac:dyDescent="0.25">
      <c r="K184" s="3"/>
      <c r="L184" s="3"/>
    </row>
    <row r="185" spans="11:12" ht="18" customHeight="1" x14ac:dyDescent="0.25">
      <c r="K185" s="3"/>
      <c r="L185" s="3"/>
    </row>
    <row r="186" spans="11:12" ht="18" customHeight="1" x14ac:dyDescent="0.25">
      <c r="K186" s="3"/>
      <c r="L186" s="3"/>
    </row>
    <row r="187" spans="11:12" ht="18" customHeight="1" x14ac:dyDescent="0.25">
      <c r="K187" s="3"/>
      <c r="L187" s="3"/>
    </row>
    <row r="188" spans="11:12" ht="18" customHeight="1" x14ac:dyDescent="0.25">
      <c r="K188" s="3"/>
      <c r="L188" s="3"/>
    </row>
    <row r="189" spans="11:12" ht="18" customHeight="1" x14ac:dyDescent="0.25">
      <c r="K189" s="3"/>
      <c r="L189" s="3"/>
    </row>
    <row r="190" spans="11:12" ht="18" customHeight="1" x14ac:dyDescent="0.25">
      <c r="K190" s="3"/>
      <c r="L190" s="3"/>
    </row>
    <row r="191" spans="11:12" ht="18" customHeight="1" x14ac:dyDescent="0.25">
      <c r="K191" s="3"/>
      <c r="L191" s="3"/>
    </row>
    <row r="192" spans="11:12" ht="18" customHeight="1" x14ac:dyDescent="0.25">
      <c r="K192" s="3"/>
      <c r="L192" s="3"/>
    </row>
    <row r="193" spans="11:12" ht="18" customHeight="1" x14ac:dyDescent="0.25">
      <c r="K193" s="3"/>
      <c r="L193" s="3"/>
    </row>
    <row r="194" spans="11:12" ht="18" customHeight="1" x14ac:dyDescent="0.25">
      <c r="K194" s="3"/>
      <c r="L194" s="3"/>
    </row>
    <row r="195" spans="11:12" ht="18" customHeight="1" x14ac:dyDescent="0.25">
      <c r="K195" s="3"/>
      <c r="L195" s="3"/>
    </row>
    <row r="196" spans="11:12" ht="18" customHeight="1" x14ac:dyDescent="0.25">
      <c r="K196" s="3"/>
      <c r="L196" s="3"/>
    </row>
    <row r="197" spans="11:12" ht="18" customHeight="1" x14ac:dyDescent="0.25">
      <c r="K197" s="3"/>
      <c r="L197" s="3"/>
    </row>
    <row r="198" spans="11:12" ht="18" customHeight="1" x14ac:dyDescent="0.25">
      <c r="K198" s="3"/>
      <c r="L198" s="3"/>
    </row>
    <row r="199" spans="11:12" ht="18" customHeight="1" x14ac:dyDescent="0.25">
      <c r="K199" s="3"/>
      <c r="L199" s="3"/>
    </row>
    <row r="200" spans="11:12" ht="18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X15 N15:N16 S15:S16">
    <cfRule type="cellIs" dxfId="158" priority="17" operator="equal">
      <formula>FALSE</formula>
    </cfRule>
  </conditionalFormatting>
  <conditionalFormatting sqref="P15 U15">
    <cfRule type="containsText" dxfId="157" priority="14" operator="containsText" text="NA">
      <formula>NOT(ISERROR(SEARCH("NA",P15)))</formula>
    </cfRule>
  </conditionalFormatting>
  <conditionalFormatting sqref="F15">
    <cfRule type="containsText" dxfId="156" priority="1" operator="containsText" text="Compte courant d'associé">
      <formula>NOT(ISERROR(SEARCH("Compte courant d'associé",F15)))</formula>
    </cfRule>
    <cfRule type="containsText" dxfId="155" priority="12" operator="containsText" text="Rémunération gérant">
      <formula>NOT(ISERROR(SEARCH("Rémunération gérant",F15)))</formula>
    </cfRule>
  </conditionalFormatting>
  <conditionalFormatting sqref="D15:J15">
    <cfRule type="containsBlanks" dxfId="154" priority="2">
      <formula>LEN(TRIM(D15))=0</formula>
    </cfRule>
  </conditionalFormatting>
  <dataValidations count="6">
    <dataValidation type="list" allowBlank="1" showInputMessage="1" showErrorMessage="1" sqref="I12" xr:uid="{4C723425-0BD8-444A-8671-C14DE385D170}">
      <formula1>PREMIERJOURMOIS</formula1>
    </dataValidation>
    <dataValidation type="list" allowBlank="1" showInputMessage="1" showErrorMessage="1" sqref="Z15" xr:uid="{13C5AE68-F804-42CD-B987-039CA91A6E85}">
      <formula1>CODETVA</formula1>
    </dataValidation>
    <dataValidation type="list" allowBlank="1" showInputMessage="1" sqref="D15" xr:uid="{4C59C5BF-12A0-4839-9304-51F4E0F81FD2}">
      <formula1>OFFSET(MODEDEREGLEMENT,MATCH(D15&amp;"*",MODEDEREGLEMENT,0)-1,,COUNTIF(MODEDEREGLEMENT,D15&amp;"*"))</formula1>
    </dataValidation>
    <dataValidation type="list" allowBlank="1" showInputMessage="1" sqref="F15" xr:uid="{0AE34CD7-4289-4BD4-80EB-23E320E8FF33}">
      <formula1>OFFSET(CATEGORIE,MATCH(F15&amp;"*",CATEGORIE,0)-1,,COUNTIF(CATEGORIE,F15&amp;"*"))</formula1>
    </dataValidation>
    <dataValidation type="list" allowBlank="1" showInputMessage="1" sqref="G15 J15" xr:uid="{F9737192-4538-4C9C-B776-D64C8F71E712}">
      <formula1>OFFSET(TIERS,MATCH(G15&amp;"*",TIERS,0)-1,,COUNTIF(TIERS,G15&amp;"*"))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1845C668-D26A-4854-9964-062FC78B170D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0" fitToHeight="0" orientation="landscape" verticalDpi="1200" r:id="rId1"/>
  <headerFooter>
    <oddHeader>&amp;L&amp;"-,Gras"SARL DIKTRANS
30 rue Robert et Reynier
69190 Saint-Fons&amp;C&amp;"-,Gras"JOURNAL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111ACF-7349-4533-80D7-62DC52F0BD3B}">
  <sheetPr codeName="Feuil154">
    <tabColor rgb="FF92D050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E12" sqref="E12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5</v>
      </c>
      <c r="H12" s="4" t="s">
        <v>6</v>
      </c>
      <c r="I12" s="47">
        <v>43952</v>
      </c>
      <c r="K12" s="3"/>
      <c r="L12" s="51" t="s">
        <v>5</v>
      </c>
      <c r="M12" s="26">
        <f>IFERROR(Avril!M17,0)</f>
        <v>55</v>
      </c>
      <c r="N12" s="53" t="s">
        <v>7</v>
      </c>
      <c r="O12" s="50">
        <f>EOMONTH(I12,-1)</f>
        <v>43951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IFERROR(IF(TABLEAUJ05[[#This Row],[Date]]="","",IF(YEAR(TABLEAUJ05[[#This Row],[Date]])*12+MONTH(TABLEAUJ05[[#This Row],[Date]])-YEAR(INDEX(TABLEAUECHEANCE[1EREECHEANCE],MATCH(1,(TABLEAUECHEANCE[CATEGORIEECHEANCE]=TABLEAUJ05[[#This Row],[Catégorie]])*(TABLEAUECHEANCE[TIERSECHEANCE]=TABLEAUJ05[[#This Row],[Payé à]]),0)) )*12-MONTH(INDEX(TABLEAUECHEANCE[1EREECHEANCE],MATCH(1,(TABLEAUECHEANCE[CATEGORIEECHEANCE]=TABLEAUJ05[[#This Row],[Catégorie]])*(TABLEAUECHEANCE[TIERSECHEANCE]=TABLEAUJ05[[#This Row],[Payé à]]),0)) )+1&gt;INDEX(TABLEAUECHEANCE[NBECHEANCE],MATCH(1,(TABLEAUECHEANCE[CATEGORIEECHEANCE]=TABLEAUJ05[[#This Row],[Catégorie]])*(TABLEAUECHEANCE[TIERSECHEANCE]=TABLEAUJ05[[#This Row],[Payé à]]),0)),"HE",CONCATENATE(IF(INDEX(TABLEAUECHEANCE[1EREECHEANCE],MATCH(1,(TABLEAUECHEANCE[CATEGORIEECHEANCE]=TABLEAUJ05[[#This Row],[Catégorie]])*(TABLEAUECHEANCE[TIERSECHEANCE]=TABLEAUJ05[[#This Row],[Payé à]]),0)) ="","",YEAR(TABLEAUJ05[[#This Row],[Date]])*12+MONTH(TABLEAUJ05[[#This Row],[Date]])-YEAR(INDEX(TABLEAUECHEANCE[1EREECHEANCE],MATCH(1,(TABLEAUECHEANCE[CATEGORIEECHEANCE]=TABLEAUJ05[[#This Row],[Catégorie]])*(TABLEAUECHEANCE[TIERSECHEANCE]=TABLEAUJ05[[#This Row],[Payé à]]),0)) )*12-MONTH(INDEX(TABLEAUECHEANCE[1EREECHEANCE],MATCH(1,(TABLEAUECHEANCE[CATEGORIEECHEANCE]=TABLEAUJ05[[#This Row],[Catégorie]])*(TABLEAUECHEANCE[TIERSECHEANCE]=TABLEAUJ05[[#This Row],[Payé à]]),0)) )+1)," sur ",INDEX(TABLEAUECHEANCE[NBECHEANCE],MATCH(1,(TABLEAUECHEANCE[CATEGORIEECHEANCE]=TABLEAUJ05[[#This Row],[Catégorie]])*(TABLEAUECHEANCE[TIERSECHEANCE]=TABLEAUJ05[[#This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IFERROR(IF(ROW()=ROW($B$15),SUM($M$12,-TABLEAUJ05[[#This Row],[Débit]],TABLEAUJ05[[#This Row],[Crédit]]),SUM(M14,-TABLEAUJ05[[#This Row],[Débit]],TABLEAUJ05[[#This Row],[Crédit]])),"")</f>
        <v>55</v>
      </c>
      <c r="N15" s="85" t="b">
        <f>IFERROR(IF(OR(TABLEAUJ05[[#This Row],[Code TVA D]]="",TABLEAUJ05[[#This Row],[Code TVA D]]="NA"),TRUE,SUM(TABLEAUJ05[[#This Row],[Débit HT]],TABLEAUJ05[[#This Row],[TVA déductible]])=TABLEAUJ05[[#This Row],[Débit TTC]]),"")</f>
        <v>1</v>
      </c>
      <c r="O15" s="86" t="str">
        <f>IFERROR(IF(OR(TABLEAUJ05[[#This Row],[Code TVA D]]="",TABLEAUJ05[[#This Row],[Code TVA D]]="NA"),"",TABLEAUJ05[[#This Row],[Débit TTC]]/(1+(VLOOKUP(TABLEAUJ05[[#This Row],[Code TVA D]],MATRICETVA[],2,FALSE)))),"")</f>
        <v/>
      </c>
      <c r="P15" s="87" t="str">
        <f>IFERROR(IF(TABLEAUJ05[[#This Row],[Débit]]&lt;&gt;"",IF(TABLEAUJ05[[#This Row],[Code TVA M]]&lt;&gt;"",TABLEAUJ05[[#This Row],[Code TVA M]],TABLEAUJ05[[#This Row],[Code TVA A]]),""),"")</f>
        <v/>
      </c>
      <c r="Q15" s="88" t="str">
        <f>IFERROR(IF(OR(TABLEAUJ05[[#This Row],[Code TVA D]]="",TABLEAUJ05[[#This Row],[Code TVA D]]="NA"),"",TABLEAUJ05[[#This Row],[Débit TTC]]/(1+VLOOKUP(TABLEAUJ05[[#This Row],[Code TVA D]],MATRICETVA[],2,FALSE))*VLOOKUP(TABLEAUJ05[[#This Row],[Code TVA D]],MATRICETVA[],2,FALSE)),"")</f>
        <v/>
      </c>
      <c r="R15" s="86" t="str">
        <f>IFERROR(IF(OR(TABLEAUJ05[[#This Row],[Code TVA D]]="",TABLEAUJ05[[#This Row],[Code TVA D]]="NA"),"",TABLEAUJ05[[#This Row],[Débit]]),"")</f>
        <v/>
      </c>
      <c r="S15" s="89" t="b">
        <f>IFERROR(IF(OR(TABLEAUJ05[[#This Row],[Code TVA C]]="",TABLEAUJ05[[#This Row],[Code TVA C]]="NA"),TRUE,SUM(TABLEAUJ05[[#This Row],[Crédit HT]],TABLEAUJ05[[#This Row],[TVA collectée]])=TABLEAUJ05[[#This Row],[Crédit TTC]]),"")</f>
        <v>1</v>
      </c>
      <c r="T15" s="90" t="str">
        <f>IFERROR(IF(OR(TABLEAUJ05[[#This Row],[Code TVA C]]="",TABLEAUJ05[[#This Row],[Code TVA C]]="NA"),"",TABLEAUJ05[[#This Row],[Crédit TTC]]/(1+(VLOOKUP(TABLEAUJ05[[#This Row],[Code TVA C]],MATRICETVA[],2,FALSE)))),"")</f>
        <v/>
      </c>
      <c r="U15" s="87" t="str">
        <f>IFERROR(IF(TABLEAUJ05[[#This Row],[Crédit]]&lt;&gt;"",IF(TABLEAUJ05[[#This Row],[Code TVA M]]&lt;&gt;"",TABLEAUJ05[[#This Row],[Code TVA M]],TABLEAUJ05[[#This Row],[Code TVA A]]),""),"")</f>
        <v/>
      </c>
      <c r="V15" s="88" t="str">
        <f>IFERROR(IF(OR(TABLEAUJ05[[#This Row],[Code TVA C]]="",TABLEAUJ05[[#This Row],[Code TVA C]]="NA"),"",TABLEAUJ05[[#This Row],[Crédit TTC]]/(1+VLOOKUP(TABLEAUJ05[[#This Row],[Code TVA C]],MATRICETVA[],2,FALSE))*VLOOKUP(TABLEAUJ05[[#This Row],[Code TVA C]],MATRICETVA[],2,FALSE)),"")</f>
        <v/>
      </c>
      <c r="W15" s="90" t="str">
        <f>IFERROR(IF(OR(TABLEAUJ05[[#This Row],[Code TVA C]]="",TABLEAUJ05[[#This Row],[Code TVA C]]="NA"),"",TABLEAUJ05[[#This Row],[Crédit]]),"")</f>
        <v/>
      </c>
      <c r="X15" s="91" t="b">
        <f>IFERROR(IF(AND(TABLEAUJ05[[#This Row],[Débit]]&lt;&gt;"",TABLEAUJ05[[#This Row],[Crédit]]&lt;&gt;""),FALSE,TRUE),"")</f>
        <v>1</v>
      </c>
      <c r="Y15" s="92" t="str">
        <f>IFERROR(VLOOKUP(TABLEAUJ05[[#This Row],[Catégorie]],MATRICECATEGORIE[],2,FALSE),"")</f>
        <v/>
      </c>
      <c r="Z15" s="93"/>
      <c r="AA15" s="89" t="b">
        <f>IFERROR(IF(AND(TABLEAUJ05[[#This Row],[Code TVA D]]&lt;&gt;"",TABLEAUJ05[[#This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/>
      <c r="L16" s="99">
        <f>IFERROR(SUBTOTAL(109,TABLEAUJ05[Crédit]),"")</f>
        <v>0</v>
      </c>
      <c r="M16" s="100">
        <f>IFERROR(SUM($M$12,-TABLEAUJ05[[#Totals],[Débit]],TABLEAUJ05[[#Totals],[Crédit]]),"")</f>
        <v>55</v>
      </c>
      <c r="N16" s="101" t="b">
        <f>IFERROR(SUM(TABLEAUJ05[[#Totals],[Débit HT]],TABLEAUJ05[[#Totals],[TVA déductible]])=TABLEAUJ05[[#Totals],[Débit TTC]],"")</f>
        <v>1</v>
      </c>
      <c r="O16" s="102">
        <f>IFERROR(SUBTOTAL(109,TABLEAUJ05[Débit HT]),"")</f>
        <v>0</v>
      </c>
      <c r="P16" s="103"/>
      <c r="Q16" s="104">
        <f>IFERROR(SUBTOTAL(109,TABLEAUJ05[TVA déductible]),"")</f>
        <v>0</v>
      </c>
      <c r="R16" s="98">
        <f>IFERROR(SUBTOTAL(109,TABLEAUJ05[Débit TTC]),"")</f>
        <v>0</v>
      </c>
      <c r="S16" s="101" t="b">
        <f>IFERROR(SUM(TABLEAUJ05[[#Totals],[Crédit HT]],TABLEAUJ05[[#Totals],[TVA collectée]])=TABLEAUJ05[[#Totals],[Crédit TTC]],"")</f>
        <v>1</v>
      </c>
      <c r="T16" s="105">
        <f>IFERROR(SUBTOTAL(109,TABLEAUJ05[Crédit HT]),"")</f>
        <v>0</v>
      </c>
      <c r="U16" s="103"/>
      <c r="V16" s="104">
        <f>IFERROR(SUBTOTAL(109,TABLEAUJ05[TVA collectée]),"")</f>
        <v>0</v>
      </c>
      <c r="W16" s="99">
        <f>IFERROR(SUBTOTAL(109,TABLEAUJ05[Crédit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43952</v>
      </c>
      <c r="H17" s="61"/>
      <c r="I17" s="48"/>
      <c r="J17" s="59"/>
      <c r="K17" s="60"/>
      <c r="L17" s="51" t="s">
        <v>5</v>
      </c>
      <c r="M17" s="26">
        <f>TABLEAUJ05[[#Totals],[Solde bancaire]]</f>
        <v>55</v>
      </c>
      <c r="N17" s="53" t="s">
        <v>7</v>
      </c>
      <c r="O17" s="39">
        <f>IFERROR(IF(MAX(B$15:B15)&lt;I12,I12,MAX(B$15:B15)),"")</f>
        <v>43952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SUM(TABLEAUJ05[[#Totals],[Crédit]],-TABLEAUJ05[[#Totals],[Débit]])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SUM(Avril!M20,M19)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22.5" customHeight="1" x14ac:dyDescent="0.25">
      <c r="K115" s="3"/>
      <c r="L115" s="3"/>
    </row>
    <row r="116" spans="11:12" ht="22.5" customHeight="1" x14ac:dyDescent="0.25">
      <c r="K116" s="3"/>
      <c r="L116" s="3"/>
    </row>
    <row r="117" spans="11:12" ht="22.5" customHeight="1" x14ac:dyDescent="0.25">
      <c r="K117" s="3"/>
      <c r="L117" s="3"/>
    </row>
    <row r="118" spans="11:12" ht="22.5" customHeight="1" x14ac:dyDescent="0.25">
      <c r="K118" s="3"/>
      <c r="L118" s="3"/>
    </row>
    <row r="119" spans="11:12" ht="22.5" customHeight="1" x14ac:dyDescent="0.25">
      <c r="K119" s="3"/>
      <c r="L119" s="3"/>
    </row>
    <row r="120" spans="11:12" ht="22.5" customHeight="1" x14ac:dyDescent="0.25">
      <c r="K120" s="3"/>
      <c r="L120" s="3"/>
    </row>
    <row r="121" spans="11:12" ht="22.5" customHeight="1" x14ac:dyDescent="0.25">
      <c r="K121" s="3"/>
      <c r="L121" s="3"/>
    </row>
    <row r="122" spans="11:12" ht="22.5" customHeight="1" x14ac:dyDescent="0.25">
      <c r="K122" s="3"/>
      <c r="L122" s="3"/>
    </row>
    <row r="123" spans="11:12" ht="22.5" customHeight="1" x14ac:dyDescent="0.25">
      <c r="K123" s="3"/>
      <c r="L123" s="3"/>
    </row>
    <row r="124" spans="11:12" ht="22.5" customHeight="1" x14ac:dyDescent="0.25">
      <c r="K124" s="3"/>
      <c r="L124" s="3"/>
    </row>
    <row r="125" spans="11:12" ht="22.5" customHeight="1" x14ac:dyDescent="0.25">
      <c r="K125" s="3"/>
      <c r="L125" s="3"/>
    </row>
    <row r="126" spans="11:12" ht="22.5" customHeight="1" x14ac:dyDescent="0.25">
      <c r="K126" s="3"/>
      <c r="L126" s="3"/>
    </row>
    <row r="127" spans="11:12" ht="22.5" customHeight="1" x14ac:dyDescent="0.25">
      <c r="K127" s="3"/>
      <c r="L127" s="3"/>
    </row>
    <row r="128" spans="11:12" ht="22.5" customHeight="1" x14ac:dyDescent="0.25">
      <c r="K128" s="3"/>
      <c r="L128" s="3"/>
    </row>
    <row r="129" spans="11:12" ht="22.5" customHeight="1" x14ac:dyDescent="0.25">
      <c r="K129" s="3"/>
      <c r="L129" s="3"/>
    </row>
    <row r="130" spans="11:12" ht="22.5" customHeight="1" x14ac:dyDescent="0.25">
      <c r="K130" s="3"/>
      <c r="L130" s="3"/>
    </row>
    <row r="131" spans="11:12" ht="22.5" customHeight="1" x14ac:dyDescent="0.25">
      <c r="K131" s="3"/>
      <c r="L131" s="3"/>
    </row>
    <row r="132" spans="11:12" ht="22.5" customHeight="1" x14ac:dyDescent="0.25">
      <c r="K132" s="3"/>
      <c r="L132" s="3"/>
    </row>
    <row r="133" spans="11:12" ht="22.5" customHeight="1" x14ac:dyDescent="0.25">
      <c r="K133" s="3"/>
      <c r="L133" s="3"/>
    </row>
    <row r="134" spans="11:12" ht="22.5" customHeight="1" x14ac:dyDescent="0.25">
      <c r="K134" s="3"/>
      <c r="L134" s="3"/>
    </row>
    <row r="135" spans="11:12" ht="22.5" customHeight="1" x14ac:dyDescent="0.25">
      <c r="K135" s="3"/>
      <c r="L135" s="3"/>
    </row>
    <row r="136" spans="11:12" ht="22.5" customHeight="1" x14ac:dyDescent="0.25">
      <c r="K136" s="3"/>
      <c r="L136" s="3"/>
    </row>
    <row r="137" spans="11:12" ht="22.5" customHeight="1" x14ac:dyDescent="0.25">
      <c r="K137" s="3"/>
      <c r="L137" s="3"/>
    </row>
    <row r="138" spans="11:12" ht="22.5" customHeight="1" x14ac:dyDescent="0.25">
      <c r="K138" s="3"/>
      <c r="L138" s="3"/>
    </row>
    <row r="139" spans="11:12" ht="22.5" customHeight="1" x14ac:dyDescent="0.25">
      <c r="K139" s="3"/>
      <c r="L139" s="3"/>
    </row>
    <row r="140" spans="11:12" ht="22.5" customHeight="1" x14ac:dyDescent="0.25">
      <c r="K140" s="3"/>
      <c r="L140" s="3"/>
    </row>
    <row r="141" spans="11:12" ht="22.5" customHeight="1" x14ac:dyDescent="0.25">
      <c r="K141" s="3"/>
      <c r="L141" s="3"/>
    </row>
    <row r="142" spans="11:12" ht="22.5" customHeight="1" x14ac:dyDescent="0.25">
      <c r="K142" s="3"/>
      <c r="L142" s="3"/>
    </row>
    <row r="143" spans="11:12" ht="22.5" customHeight="1" x14ac:dyDescent="0.25">
      <c r="K143" s="3"/>
      <c r="L143" s="3"/>
    </row>
    <row r="144" spans="11:12" ht="22.5" customHeight="1" x14ac:dyDescent="0.25">
      <c r="K144" s="3"/>
      <c r="L144" s="3"/>
    </row>
    <row r="145" spans="11:12" ht="22.5" customHeight="1" x14ac:dyDescent="0.25">
      <c r="K145" s="3"/>
      <c r="L145" s="3"/>
    </row>
    <row r="146" spans="11:12" ht="22.5" customHeight="1" x14ac:dyDescent="0.25">
      <c r="K146" s="3"/>
      <c r="L146" s="3"/>
    </row>
    <row r="147" spans="11:12" ht="22.5" customHeight="1" x14ac:dyDescent="0.25">
      <c r="K147" s="3"/>
      <c r="L147" s="3"/>
    </row>
    <row r="148" spans="11:12" ht="22.5" customHeight="1" x14ac:dyDescent="0.25">
      <c r="K148" s="3"/>
      <c r="L148" s="3"/>
    </row>
    <row r="149" spans="11:12" ht="22.5" customHeight="1" x14ac:dyDescent="0.25">
      <c r="K149" s="3"/>
      <c r="L149" s="3"/>
    </row>
    <row r="150" spans="11:12" ht="22.5" customHeight="1" x14ac:dyDescent="0.25">
      <c r="K150" s="3"/>
      <c r="L150" s="3"/>
    </row>
    <row r="151" spans="11:12" ht="22.5" customHeight="1" x14ac:dyDescent="0.25">
      <c r="K151" s="3"/>
      <c r="L151" s="3"/>
    </row>
    <row r="152" spans="11:12" ht="22.5" customHeight="1" x14ac:dyDescent="0.25">
      <c r="K152" s="3"/>
      <c r="L152" s="3"/>
    </row>
    <row r="153" spans="11:12" ht="22.5" customHeight="1" x14ac:dyDescent="0.25">
      <c r="K153" s="3"/>
      <c r="L153" s="3"/>
    </row>
    <row r="154" spans="11:12" ht="22.5" customHeight="1" x14ac:dyDescent="0.25">
      <c r="K154" s="3"/>
      <c r="L154" s="3"/>
    </row>
    <row r="155" spans="11:12" ht="22.5" customHeight="1" x14ac:dyDescent="0.25">
      <c r="K155" s="3"/>
      <c r="L155" s="3"/>
    </row>
    <row r="156" spans="11:12" ht="18" customHeight="1" x14ac:dyDescent="0.25">
      <c r="K156" s="3"/>
      <c r="L156" s="3"/>
    </row>
    <row r="157" spans="11:12" ht="18" customHeight="1" x14ac:dyDescent="0.25">
      <c r="K157" s="3"/>
      <c r="L157" s="3"/>
    </row>
    <row r="158" spans="11:12" ht="18" customHeight="1" x14ac:dyDescent="0.25">
      <c r="K158" s="3"/>
      <c r="L158" s="3"/>
    </row>
    <row r="159" spans="11:12" ht="18" customHeight="1" x14ac:dyDescent="0.25">
      <c r="K159" s="3"/>
      <c r="L159" s="3"/>
    </row>
    <row r="160" spans="11:12" ht="18" customHeight="1" x14ac:dyDescent="0.25">
      <c r="K160" s="3"/>
      <c r="L160" s="3"/>
    </row>
    <row r="161" spans="11:12" ht="18" customHeight="1" x14ac:dyDescent="0.25">
      <c r="K161" s="3"/>
      <c r="L161" s="3"/>
    </row>
    <row r="162" spans="11:12" ht="18" customHeight="1" x14ac:dyDescent="0.25">
      <c r="K162" s="3"/>
      <c r="L162" s="3"/>
    </row>
    <row r="163" spans="11:12" ht="18" customHeight="1" x14ac:dyDescent="0.25">
      <c r="K163" s="3"/>
      <c r="L163" s="3"/>
    </row>
    <row r="164" spans="11:12" ht="18" customHeight="1" x14ac:dyDescent="0.25">
      <c r="K164" s="3"/>
      <c r="L164" s="3"/>
    </row>
    <row r="165" spans="11:12" ht="18" customHeight="1" x14ac:dyDescent="0.25">
      <c r="K165" s="3"/>
      <c r="L165" s="3"/>
    </row>
    <row r="166" spans="11:12" ht="18" customHeight="1" x14ac:dyDescent="0.25">
      <c r="K166" s="3"/>
      <c r="L166" s="3"/>
    </row>
    <row r="167" spans="11:12" ht="18" customHeight="1" x14ac:dyDescent="0.25">
      <c r="K167" s="3"/>
      <c r="L167" s="3"/>
    </row>
    <row r="168" spans="11:12" ht="18" customHeight="1" x14ac:dyDescent="0.25">
      <c r="K168" s="3"/>
      <c r="L168" s="3"/>
    </row>
    <row r="169" spans="11:12" ht="18" customHeight="1" x14ac:dyDescent="0.25">
      <c r="K169" s="3"/>
      <c r="L169" s="3"/>
    </row>
    <row r="170" spans="11:12" ht="18" customHeight="1" x14ac:dyDescent="0.25">
      <c r="K170" s="3"/>
      <c r="L170" s="3"/>
    </row>
    <row r="171" spans="11:12" ht="18" customHeight="1" x14ac:dyDescent="0.25">
      <c r="K171" s="3"/>
      <c r="L171" s="3"/>
    </row>
    <row r="172" spans="11:12" ht="18" customHeight="1" x14ac:dyDescent="0.25">
      <c r="K172" s="3"/>
      <c r="L172" s="3"/>
    </row>
    <row r="173" spans="11:12" ht="18" customHeight="1" x14ac:dyDescent="0.25">
      <c r="K173" s="3"/>
      <c r="L173" s="3"/>
    </row>
    <row r="174" spans="11:12" ht="18" customHeight="1" x14ac:dyDescent="0.25">
      <c r="K174" s="3"/>
      <c r="L174" s="3"/>
    </row>
    <row r="175" spans="11:12" ht="18" customHeight="1" x14ac:dyDescent="0.25">
      <c r="K175" s="3"/>
      <c r="L175" s="3"/>
    </row>
    <row r="176" spans="11:12" ht="18" customHeight="1" x14ac:dyDescent="0.25">
      <c r="K176" s="3"/>
      <c r="L176" s="3"/>
    </row>
    <row r="177" spans="11:12" ht="18" customHeight="1" x14ac:dyDescent="0.25">
      <c r="K177" s="3"/>
      <c r="L177" s="3"/>
    </row>
    <row r="178" spans="11:12" ht="18" customHeight="1" x14ac:dyDescent="0.25">
      <c r="K178" s="3"/>
      <c r="L178" s="3"/>
    </row>
    <row r="179" spans="11:12" ht="18" customHeight="1" x14ac:dyDescent="0.25">
      <c r="K179" s="3"/>
      <c r="L179" s="3"/>
    </row>
    <row r="180" spans="11:12" ht="18" customHeight="1" x14ac:dyDescent="0.25">
      <c r="K180" s="3"/>
      <c r="L180" s="3"/>
    </row>
    <row r="181" spans="11:12" ht="18" customHeight="1" x14ac:dyDescent="0.25">
      <c r="K181" s="3"/>
      <c r="L181" s="3"/>
    </row>
    <row r="182" spans="11:12" ht="18" customHeight="1" x14ac:dyDescent="0.25">
      <c r="K182" s="3"/>
      <c r="L182" s="3"/>
    </row>
    <row r="183" spans="11:12" ht="18" customHeight="1" x14ac:dyDescent="0.25">
      <c r="K183" s="3"/>
      <c r="L183" s="3"/>
    </row>
    <row r="184" spans="11:12" ht="18" customHeight="1" x14ac:dyDescent="0.25">
      <c r="K184" s="3"/>
      <c r="L184" s="3"/>
    </row>
    <row r="185" spans="11:12" ht="18" customHeight="1" x14ac:dyDescent="0.25">
      <c r="K185" s="3"/>
      <c r="L185" s="3"/>
    </row>
    <row r="186" spans="11:12" ht="18" customHeight="1" x14ac:dyDescent="0.25">
      <c r="K186" s="3"/>
      <c r="L186" s="3"/>
    </row>
    <row r="187" spans="11:12" ht="18" customHeight="1" x14ac:dyDescent="0.25">
      <c r="K187" s="3"/>
      <c r="L187" s="3"/>
    </row>
    <row r="188" spans="11:12" ht="18" customHeight="1" x14ac:dyDescent="0.25">
      <c r="K188" s="3"/>
      <c r="L188" s="3"/>
    </row>
    <row r="189" spans="11:12" ht="18" customHeight="1" x14ac:dyDescent="0.25">
      <c r="K189" s="3"/>
      <c r="L189" s="3"/>
    </row>
    <row r="190" spans="11:12" ht="18" customHeight="1" x14ac:dyDescent="0.25">
      <c r="K190" s="3"/>
      <c r="L190" s="3"/>
    </row>
    <row r="191" spans="11:12" ht="18" customHeight="1" x14ac:dyDescent="0.25">
      <c r="K191" s="3"/>
      <c r="L191" s="3"/>
    </row>
    <row r="192" spans="11:12" ht="18" customHeight="1" x14ac:dyDescent="0.25">
      <c r="K192" s="3"/>
      <c r="L192" s="3"/>
    </row>
    <row r="193" spans="11:12" ht="18" customHeight="1" x14ac:dyDescent="0.25">
      <c r="K193" s="3"/>
      <c r="L193" s="3"/>
    </row>
    <row r="194" spans="11:12" ht="18" customHeight="1" x14ac:dyDescent="0.25">
      <c r="K194" s="3"/>
      <c r="L194" s="3"/>
    </row>
    <row r="195" spans="11:12" ht="18" customHeight="1" x14ac:dyDescent="0.25">
      <c r="K195" s="3"/>
      <c r="L195" s="3"/>
    </row>
    <row r="196" spans="11:12" ht="18" customHeight="1" x14ac:dyDescent="0.25">
      <c r="K196" s="3"/>
      <c r="L196" s="3"/>
    </row>
    <row r="197" spans="11:12" ht="18" customHeight="1" x14ac:dyDescent="0.25">
      <c r="K197" s="3"/>
      <c r="L197" s="3"/>
    </row>
    <row r="198" spans="11:12" ht="18" customHeight="1" x14ac:dyDescent="0.25">
      <c r="K198" s="3"/>
      <c r="L198" s="3"/>
    </row>
    <row r="199" spans="11:12" ht="18" customHeight="1" x14ac:dyDescent="0.25">
      <c r="K199" s="3"/>
      <c r="L199" s="3"/>
    </row>
    <row r="200" spans="11:12" ht="18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153" priority="18" operator="equal">
      <formula>FALSE</formula>
    </cfRule>
  </conditionalFormatting>
  <conditionalFormatting sqref="P15 U15">
    <cfRule type="containsText" dxfId="152" priority="15" operator="containsText" text="NA">
      <formula>NOT(ISERROR(SEARCH("NA",P15)))</formula>
    </cfRule>
  </conditionalFormatting>
  <conditionalFormatting sqref="X15">
    <cfRule type="cellIs" dxfId="151" priority="14" operator="equal">
      <formula>FALSE</formula>
    </cfRule>
  </conditionalFormatting>
  <conditionalFormatting sqref="F15">
    <cfRule type="containsText" dxfId="150" priority="1" operator="containsText" text="Compte courant d'associé">
      <formula>NOT(ISERROR(SEARCH("Compte courant d'associé",F15)))</formula>
    </cfRule>
    <cfRule type="containsText" dxfId="149" priority="13" operator="containsText" text="Rémunération gérant">
      <formula>NOT(ISERROR(SEARCH("Rémunération gérant",F15)))</formula>
    </cfRule>
  </conditionalFormatting>
  <conditionalFormatting sqref="D15:J15">
    <cfRule type="containsBlanks" dxfId="148" priority="2">
      <formula>LEN(TRIM(D15))=0</formula>
    </cfRule>
  </conditionalFormatting>
  <dataValidations count="6">
    <dataValidation type="list" allowBlank="1" showInputMessage="1" showErrorMessage="1" sqref="I12" xr:uid="{63B7CAA8-39EE-418D-B7BB-8E6585A646DA}">
      <formula1>PREMIERJOURMOIS</formula1>
    </dataValidation>
    <dataValidation type="list" allowBlank="1" showInputMessage="1" sqref="J15 G15" xr:uid="{0BD231FF-1B95-4749-8C11-EBFFA1E42198}">
      <formula1>OFFSET(TIERS,MATCH(G15&amp;"*",TIERS,0)-1,,COUNTIF(TIERS,G15&amp;"*"))</formula1>
    </dataValidation>
    <dataValidation type="list" allowBlank="1" showInputMessage="1" sqref="F15" xr:uid="{6E3CEA50-6CC2-43C0-883C-F7D037659C32}">
      <formula1>OFFSET(CATEGORIE,MATCH(F15&amp;"*",CATEGORIE,0)-1,,COUNTIF(CATEGORIE,F15&amp;"*"))</formula1>
    </dataValidation>
    <dataValidation type="list" allowBlank="1" showInputMessage="1" sqref="D15" xr:uid="{EDC8B024-E480-43DE-92C7-554FD9A77FC6}">
      <formula1>OFFSET(MODEDEREGLEMENT,MATCH(D15&amp;"*",MODEDEREGLEMENT,0)-1,,COUNTIF(MODEDEREGLEMENT,D15&amp;"*"))</formula1>
    </dataValidation>
    <dataValidation type="list" allowBlank="1" showInputMessage="1" showErrorMessage="1" sqref="Z15" xr:uid="{20B70C0D-B34A-40DA-A64A-90E397C18011}">
      <formula1>CODETVA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0DEA52AC-F247-4F4E-900B-DB92E6ED0682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93548D-9438-499C-9D60-A8CE72B6C007}">
  <sheetPr codeName="Feuil156">
    <tabColor rgb="FF92D050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B15" sqref="B15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6</v>
      </c>
      <c r="H12" s="4" t="s">
        <v>6</v>
      </c>
      <c r="I12" s="47">
        <v>43983</v>
      </c>
      <c r="K12" s="3"/>
      <c r="L12" s="51" t="s">
        <v>5</v>
      </c>
      <c r="M12" s="26">
        <f>IFERROR(Mai!M17,0)</f>
        <v>55</v>
      </c>
      <c r="N12" s="53" t="s">
        <v>7</v>
      </c>
      <c r="O12" s="50">
        <f>EOMONTH(I12,-1)</f>
        <v>43982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IFERROR(IF(TABLEAUJ06[[#This Row],[Date]]="","",IF(YEAR(TABLEAUJ06[[#This Row],[Date]])*12+MONTH(TABLEAUJ06[[#This Row],[Date]])-YEAR(INDEX(TABLEAUECHEANCE[1EREECHEANCE],MATCH(1,(TABLEAUECHEANCE[CATEGORIEECHEANCE]=TABLEAUJ06[[#This Row],[Catégorie]])*(TABLEAUECHEANCE[TIERSECHEANCE]=TABLEAUJ06[[#This Row],[Payé à]]),0)) )*12-MONTH(INDEX(TABLEAUECHEANCE[1EREECHEANCE],MATCH(1,(TABLEAUECHEANCE[CATEGORIEECHEANCE]=TABLEAUJ06[[#This Row],[Catégorie]])*(TABLEAUECHEANCE[TIERSECHEANCE]=TABLEAUJ06[[#This Row],[Payé à]]),0)) )+1&gt;INDEX(TABLEAUECHEANCE[NBECHEANCE],MATCH(1,(TABLEAUECHEANCE[CATEGORIEECHEANCE]=TABLEAUJ06[[#This Row],[Catégorie]])*(TABLEAUECHEANCE[TIERSECHEANCE]=TABLEAUJ06[[#This Row],[Payé à]]),0)),"HE",CONCATENATE(IF(INDEX(TABLEAUECHEANCE[1EREECHEANCE],MATCH(1,(TABLEAUECHEANCE[CATEGORIEECHEANCE]=TABLEAUJ06[[#This Row],[Catégorie]])*(TABLEAUECHEANCE[TIERSECHEANCE]=TABLEAUJ06[[#This Row],[Payé à]]),0)) ="","",YEAR(TABLEAUJ06[[#This Row],[Date]])*12+MONTH(TABLEAUJ06[[#This Row],[Date]])-YEAR(INDEX(TABLEAUECHEANCE[1EREECHEANCE],MATCH(1,(TABLEAUECHEANCE[CATEGORIEECHEANCE]=TABLEAUJ06[[#This Row],[Catégorie]])*(TABLEAUECHEANCE[TIERSECHEANCE]=TABLEAUJ06[[#This Row],[Payé à]]),0)) )*12-MONTH(INDEX(TABLEAUECHEANCE[1EREECHEANCE],MATCH(1,(TABLEAUECHEANCE[CATEGORIEECHEANCE]=TABLEAUJ06[[#This Row],[Catégorie]])*(TABLEAUECHEANCE[TIERSECHEANCE]=TABLEAUJ06[[#This Row],[Payé à]]),0)) )+1)," sur ",INDEX(TABLEAUECHEANCE[NBECHEANCE],MATCH(1,(TABLEAUECHEANCE[CATEGORIEECHEANCE]=TABLEAUJ06[[#This Row],[Catégorie]])*(TABLEAUECHEANCE[TIERSECHEANCE]=TABLEAUJ06[[#This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IFERROR(IF(ROW()=ROW($B$15),SUM($M$12,-TABLEAUJ06[[#This Row],[Débit]],TABLEAUJ06[[#This Row],[Crédit]]),SUM(M14,-TABLEAUJ06[[#This Row],[Débit]],TABLEAUJ06[[#This Row],[Crédit]])),"")</f>
        <v>55</v>
      </c>
      <c r="N15" s="85" t="b">
        <f>IFERROR(IF(OR(TABLEAUJ06[[#This Row],[Code TVA D]]="",TABLEAUJ06[[#This Row],[Code TVA D]]="NA"),TRUE,SUM(TABLEAUJ06[[#This Row],[Débit HT]],TABLEAUJ06[[#This Row],[TVA déductible]])=TABLEAUJ06[[#This Row],[Débit TTC]]),"")</f>
        <v>1</v>
      </c>
      <c r="O15" s="86" t="str">
        <f>IFERROR(IF(OR(TABLEAUJ06[[#This Row],[Code TVA D]]="",TABLEAUJ06[[#This Row],[Code TVA D]]="NA"),"",TABLEAUJ06[[#This Row],[Débit TTC]]/(1+(VLOOKUP(TABLEAUJ06[[#This Row],[Code TVA D]],MATRICETVA[],2,FALSE)))),"")</f>
        <v/>
      </c>
      <c r="P15" s="87" t="str">
        <f>IFERROR(IF(TABLEAUJ06[[#This Row],[Débit]]&lt;&gt;"",IF(TABLEAUJ06[[#This Row],[Code TVA M]]&lt;&gt;"",TABLEAUJ06[[#This Row],[Code TVA M]],TABLEAUJ06[[#This Row],[Code TVA A]]),""),"")</f>
        <v/>
      </c>
      <c r="Q15" s="88" t="str">
        <f>IFERROR(IF(OR(TABLEAUJ06[[#This Row],[Code TVA D]]="",TABLEAUJ06[[#This Row],[Code TVA D]]="NA"),"",TABLEAUJ06[[#This Row],[Débit TTC]]/(1+VLOOKUP(TABLEAUJ06[[#This Row],[Code TVA D]],MATRICETVA[],2,FALSE))*VLOOKUP(TABLEAUJ06[[#This Row],[Code TVA D]],MATRICETVA[],2,FALSE)),"")</f>
        <v/>
      </c>
      <c r="R15" s="86" t="str">
        <f>IFERROR(IF(OR(TABLEAUJ06[[#This Row],[Code TVA D]]="",TABLEAUJ06[[#This Row],[Code TVA D]]="NA"),"",TABLEAUJ06[[#This Row],[Débit]]),"")</f>
        <v/>
      </c>
      <c r="S15" s="89" t="b">
        <f>IFERROR(IF(OR(TABLEAUJ06[[#This Row],[Code TVA C]]="",TABLEAUJ06[[#This Row],[Code TVA C]]="NA"),TRUE,SUM(TABLEAUJ06[[#This Row],[Crédit HT]],TABLEAUJ06[[#This Row],[TVA collectée]])=TABLEAUJ06[[#This Row],[Crédit TTC]]),"")</f>
        <v>1</v>
      </c>
      <c r="T15" s="90" t="str">
        <f>IFERROR(IF(OR(TABLEAUJ06[[#This Row],[Code TVA C]]="",TABLEAUJ06[[#This Row],[Code TVA C]]="NA"),"",TABLEAUJ06[[#This Row],[Crédit TTC]]/(1+(VLOOKUP(TABLEAUJ06[[#This Row],[Code TVA C]],MATRICETVA[],2,FALSE)))),"")</f>
        <v/>
      </c>
      <c r="U15" s="87" t="str">
        <f>IFERROR(IF(TABLEAUJ06[[#This Row],[Crédit]]&lt;&gt;"",IF(TABLEAUJ06[[#This Row],[Code TVA M]]&lt;&gt;"",TABLEAUJ06[[#This Row],[Code TVA M]],TABLEAUJ06[[#This Row],[Code TVA A]]),""),"")</f>
        <v/>
      </c>
      <c r="V15" s="88" t="str">
        <f>IFERROR(IF(OR(TABLEAUJ06[[#This Row],[Code TVA C]]="",TABLEAUJ06[[#This Row],[Code TVA C]]="NA"),"",TABLEAUJ06[[#This Row],[Crédit TTC]]/(1+VLOOKUP(TABLEAUJ06[[#This Row],[Code TVA C]],MATRICETVA[],2,FALSE))*VLOOKUP(TABLEAUJ06[[#This Row],[Code TVA C]],MATRICETVA[],2,FALSE)),"")</f>
        <v/>
      </c>
      <c r="W15" s="90" t="str">
        <f>IFERROR(IF(OR(TABLEAUJ06[[#This Row],[Code TVA C]]="",TABLEAUJ06[[#This Row],[Code TVA C]]="NA"),"",TABLEAUJ06[[#This Row],[Crédit]]),"")</f>
        <v/>
      </c>
      <c r="X15" s="91" t="b">
        <f>IFERROR(IF(AND(TABLEAUJ06[[#This Row],[Débit]]&lt;&gt;"",TABLEAUJ06[[#This Row],[Crédit]]&lt;&gt;""),FALSE,TRUE),"")</f>
        <v>1</v>
      </c>
      <c r="Y15" s="92" t="str">
        <f>IFERROR(VLOOKUP(TABLEAUJ06[[#This Row],[Catégorie]],MATRICECATEGORIE[],2,FALSE),"")</f>
        <v/>
      </c>
      <c r="Z15" s="93"/>
      <c r="AA15" s="89" t="b">
        <f>IFERROR(IF(AND(TABLEAUJ06[[#This Row],[Code TVA D]]&lt;&gt;"",TABLEAUJ06[[#This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IFERROR(SUBTOTAL(109,TABLEAUJ06[Débit]),"")</f>
        <v>0</v>
      </c>
      <c r="L16" s="99">
        <f>IFERROR(SUBTOTAL(109,TABLEAUJ06[Crédit]),"")</f>
        <v>0</v>
      </c>
      <c r="M16" s="100">
        <f>IFERROR(SUM($M$12,-TABLEAUJ06[[#Totals],[Débit]],TABLEAUJ06[[#Totals],[Crédit]]),"")</f>
        <v>55</v>
      </c>
      <c r="N16" s="101" t="b">
        <f>IFERROR(SUM(TABLEAUJ06[[#Totals],[Débit HT]],TABLEAUJ06[[#Totals],[TVA déductible]])=TABLEAUJ06[[#Totals],[Débit TTC]],"")</f>
        <v>1</v>
      </c>
      <c r="O16" s="102">
        <f>IFERROR(SUBTOTAL(109,TABLEAUJ06[Débit HT]),"")</f>
        <v>0</v>
      </c>
      <c r="P16" s="103"/>
      <c r="Q16" s="104">
        <f>IFERROR(SUBTOTAL(109,TABLEAUJ06[TVA déductible]),"")</f>
        <v>0</v>
      </c>
      <c r="R16" s="98">
        <f>IFERROR(SUBTOTAL(109,TABLEAUJ06[Débit TTC]),"")</f>
        <v>0</v>
      </c>
      <c r="S16" s="101" t="b">
        <f>IFERROR(SUM(TABLEAUJ06[[#Totals],[Crédit HT]],TABLEAUJ06[[#Totals],[TVA collectée]])=TABLEAUJ06[[#Totals],[Crédit TTC]],"")</f>
        <v>1</v>
      </c>
      <c r="T16" s="105">
        <f>IFERROR(SUBTOTAL(109,TABLEAUJ06[Crédit HT]),"")</f>
        <v>0</v>
      </c>
      <c r="U16" s="103"/>
      <c r="V16" s="104">
        <f>IFERROR(SUBTOTAL(109,TABLEAUJ06[TVA collectée]),"")</f>
        <v>0</v>
      </c>
      <c r="W16" s="99">
        <f>IFERROR(SUBTOTAL(109,TABLEAUJ06[Crédit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43983</v>
      </c>
      <c r="H17" s="61"/>
      <c r="I17" s="48"/>
      <c r="J17" s="59"/>
      <c r="K17" s="60"/>
      <c r="L17" s="51" t="s">
        <v>5</v>
      </c>
      <c r="M17" s="26">
        <f>TABLEAUJ06[[#Totals],[Solde bancaire]]</f>
        <v>55</v>
      </c>
      <c r="N17" s="53" t="s">
        <v>7</v>
      </c>
      <c r="O17" s="39">
        <f>IFERROR(IF(MAX(B$15:B15)&lt;I12,I12,MAX(B$15:B15)),"")</f>
        <v>43983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SUM(TABLEAUJ06[[#Totals],[Crédit]],-TABLEAUJ06[[#Totals],[Débit]])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SUM(Mai!M20,M19)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22.5" customHeight="1" x14ac:dyDescent="0.25">
      <c r="K115" s="3"/>
      <c r="L115" s="3"/>
    </row>
    <row r="116" spans="11:12" ht="22.5" customHeight="1" x14ac:dyDescent="0.25">
      <c r="K116" s="3"/>
      <c r="L116" s="3"/>
    </row>
    <row r="117" spans="11:12" ht="22.5" customHeight="1" x14ac:dyDescent="0.25">
      <c r="K117" s="3"/>
      <c r="L117" s="3"/>
    </row>
    <row r="118" spans="11:12" ht="22.5" customHeight="1" x14ac:dyDescent="0.25">
      <c r="K118" s="3"/>
      <c r="L118" s="3"/>
    </row>
    <row r="119" spans="11:12" ht="22.5" customHeight="1" x14ac:dyDescent="0.25">
      <c r="K119" s="3"/>
      <c r="L119" s="3"/>
    </row>
    <row r="120" spans="11:12" ht="22.5" customHeight="1" x14ac:dyDescent="0.25">
      <c r="K120" s="3"/>
      <c r="L120" s="3"/>
    </row>
    <row r="121" spans="11:12" ht="22.5" customHeight="1" x14ac:dyDescent="0.25">
      <c r="K121" s="3"/>
      <c r="L121" s="3"/>
    </row>
    <row r="122" spans="11:12" ht="22.5" customHeight="1" x14ac:dyDescent="0.25">
      <c r="K122" s="3"/>
      <c r="L122" s="3"/>
    </row>
    <row r="123" spans="11:12" ht="22.5" customHeight="1" x14ac:dyDescent="0.25">
      <c r="K123" s="3"/>
      <c r="L123" s="3"/>
    </row>
    <row r="124" spans="11:12" ht="22.5" customHeight="1" x14ac:dyDescent="0.25">
      <c r="K124" s="3"/>
      <c r="L124" s="3"/>
    </row>
    <row r="125" spans="11:12" ht="22.5" customHeight="1" x14ac:dyDescent="0.25">
      <c r="K125" s="3"/>
      <c r="L125" s="3"/>
    </row>
    <row r="126" spans="11:12" ht="22.5" customHeight="1" x14ac:dyDescent="0.25">
      <c r="K126" s="3"/>
      <c r="L126" s="3"/>
    </row>
    <row r="127" spans="11:12" ht="22.5" customHeight="1" x14ac:dyDescent="0.25">
      <c r="K127" s="3"/>
      <c r="L127" s="3"/>
    </row>
    <row r="128" spans="11:12" ht="22.5" customHeight="1" x14ac:dyDescent="0.25">
      <c r="K128" s="3"/>
      <c r="L128" s="3"/>
    </row>
    <row r="129" spans="11:12" ht="22.5" customHeight="1" x14ac:dyDescent="0.25">
      <c r="K129" s="3"/>
      <c r="L129" s="3"/>
    </row>
    <row r="130" spans="11:12" ht="22.5" customHeight="1" x14ac:dyDescent="0.25">
      <c r="K130" s="3"/>
      <c r="L130" s="3"/>
    </row>
    <row r="131" spans="11:12" ht="22.5" customHeight="1" x14ac:dyDescent="0.25">
      <c r="K131" s="3"/>
      <c r="L131" s="3"/>
    </row>
    <row r="132" spans="11:12" ht="22.5" customHeight="1" x14ac:dyDescent="0.25">
      <c r="K132" s="3"/>
      <c r="L132" s="3"/>
    </row>
    <row r="133" spans="11:12" ht="22.5" customHeight="1" x14ac:dyDescent="0.25">
      <c r="K133" s="3"/>
      <c r="L133" s="3"/>
    </row>
    <row r="134" spans="11:12" ht="22.5" customHeight="1" x14ac:dyDescent="0.25">
      <c r="K134" s="3"/>
      <c r="L134" s="3"/>
    </row>
    <row r="135" spans="11:12" ht="22.5" customHeight="1" x14ac:dyDescent="0.25">
      <c r="K135" s="3"/>
      <c r="L135" s="3"/>
    </row>
    <row r="136" spans="11:12" ht="22.5" customHeight="1" x14ac:dyDescent="0.25">
      <c r="K136" s="3"/>
      <c r="L136" s="3"/>
    </row>
    <row r="137" spans="11:12" ht="22.5" customHeight="1" x14ac:dyDescent="0.25">
      <c r="K137" s="3"/>
      <c r="L137" s="3"/>
    </row>
    <row r="138" spans="11:12" ht="22.5" customHeight="1" x14ac:dyDescent="0.25">
      <c r="K138" s="3"/>
      <c r="L138" s="3"/>
    </row>
    <row r="139" spans="11:12" ht="22.5" customHeight="1" x14ac:dyDescent="0.25">
      <c r="K139" s="3"/>
      <c r="L139" s="3"/>
    </row>
    <row r="140" spans="11:12" ht="22.5" customHeight="1" x14ac:dyDescent="0.25">
      <c r="K140" s="3"/>
      <c r="L140" s="3"/>
    </row>
    <row r="141" spans="11:12" ht="22.5" customHeight="1" x14ac:dyDescent="0.25">
      <c r="K141" s="3"/>
      <c r="L141" s="3"/>
    </row>
    <row r="142" spans="11:12" ht="22.5" customHeight="1" x14ac:dyDescent="0.25">
      <c r="K142" s="3"/>
      <c r="L142" s="3"/>
    </row>
    <row r="143" spans="11:12" ht="22.5" customHeight="1" x14ac:dyDescent="0.25">
      <c r="K143" s="3"/>
      <c r="L143" s="3"/>
    </row>
    <row r="144" spans="11:12" ht="22.5" customHeight="1" x14ac:dyDescent="0.25">
      <c r="K144" s="3"/>
      <c r="L144" s="3"/>
    </row>
    <row r="145" spans="11:12" ht="22.5" customHeight="1" x14ac:dyDescent="0.25">
      <c r="K145" s="3"/>
      <c r="L145" s="3"/>
    </row>
    <row r="146" spans="11:12" ht="22.5" customHeight="1" x14ac:dyDescent="0.25">
      <c r="K146" s="3"/>
      <c r="L146" s="3"/>
    </row>
    <row r="147" spans="11:12" ht="22.5" customHeight="1" x14ac:dyDescent="0.25">
      <c r="K147" s="3"/>
      <c r="L147" s="3"/>
    </row>
    <row r="148" spans="11:12" ht="22.5" customHeight="1" x14ac:dyDescent="0.25">
      <c r="K148" s="3"/>
      <c r="L148" s="3"/>
    </row>
    <row r="149" spans="11:12" ht="22.5" customHeight="1" x14ac:dyDescent="0.25">
      <c r="K149" s="3"/>
      <c r="L149" s="3"/>
    </row>
    <row r="150" spans="11:12" ht="22.5" customHeight="1" x14ac:dyDescent="0.25">
      <c r="K150" s="3"/>
      <c r="L150" s="3"/>
    </row>
    <row r="151" spans="11:12" ht="22.5" customHeight="1" x14ac:dyDescent="0.25">
      <c r="K151" s="3"/>
      <c r="L151" s="3"/>
    </row>
    <row r="152" spans="11:12" ht="22.5" customHeight="1" x14ac:dyDescent="0.25">
      <c r="K152" s="3"/>
      <c r="L152" s="3"/>
    </row>
    <row r="153" spans="11:12" ht="22.5" customHeight="1" x14ac:dyDescent="0.25">
      <c r="K153" s="3"/>
      <c r="L153" s="3"/>
    </row>
    <row r="154" spans="11:12" ht="22.5" customHeight="1" x14ac:dyDescent="0.25">
      <c r="K154" s="3"/>
      <c r="L154" s="3"/>
    </row>
    <row r="155" spans="11:12" ht="22.5" customHeight="1" x14ac:dyDescent="0.25">
      <c r="K155" s="3"/>
      <c r="L155" s="3"/>
    </row>
    <row r="156" spans="11:12" ht="22.5" customHeight="1" x14ac:dyDescent="0.25">
      <c r="K156" s="3"/>
      <c r="L156" s="3"/>
    </row>
    <row r="157" spans="11:12" ht="22.5" customHeight="1" x14ac:dyDescent="0.25">
      <c r="K157" s="3"/>
      <c r="L157" s="3"/>
    </row>
    <row r="158" spans="11:12" ht="22.5" customHeight="1" x14ac:dyDescent="0.25">
      <c r="K158" s="3"/>
      <c r="L158" s="3"/>
    </row>
    <row r="159" spans="11:12" ht="22.5" customHeight="1" x14ac:dyDescent="0.25">
      <c r="K159" s="3"/>
      <c r="L159" s="3"/>
    </row>
    <row r="160" spans="11:12" ht="22.5" customHeight="1" x14ac:dyDescent="0.25">
      <c r="K160" s="3"/>
      <c r="L160" s="3"/>
    </row>
    <row r="161" spans="11:12" ht="22.5" customHeight="1" x14ac:dyDescent="0.25">
      <c r="K161" s="3"/>
      <c r="L161" s="3"/>
    </row>
    <row r="162" spans="11:12" ht="22.5" customHeight="1" x14ac:dyDescent="0.25">
      <c r="K162" s="3"/>
      <c r="L162" s="3"/>
    </row>
    <row r="163" spans="11:12" ht="22.5" customHeight="1" x14ac:dyDescent="0.25">
      <c r="K163" s="3"/>
      <c r="L163" s="3"/>
    </row>
    <row r="164" spans="11:12" ht="22.5" customHeight="1" x14ac:dyDescent="0.25">
      <c r="K164" s="3"/>
      <c r="L164" s="3"/>
    </row>
    <row r="165" spans="11:12" ht="22.5" customHeight="1" x14ac:dyDescent="0.25">
      <c r="K165" s="3"/>
      <c r="L165" s="3"/>
    </row>
    <row r="166" spans="11:12" ht="22.5" customHeight="1" x14ac:dyDescent="0.25">
      <c r="K166" s="3"/>
      <c r="L166" s="3"/>
    </row>
    <row r="167" spans="11:12" ht="22.5" customHeight="1" x14ac:dyDescent="0.25">
      <c r="K167" s="3"/>
      <c r="L167" s="3"/>
    </row>
    <row r="168" spans="11:12" ht="22.5" customHeight="1" x14ac:dyDescent="0.25">
      <c r="K168" s="3"/>
      <c r="L168" s="3"/>
    </row>
    <row r="169" spans="11:12" ht="22.5" customHeight="1" x14ac:dyDescent="0.25">
      <c r="K169" s="3"/>
      <c r="L169" s="3"/>
    </row>
    <row r="170" spans="11:12" ht="22.5" customHeight="1" x14ac:dyDescent="0.25">
      <c r="K170" s="3"/>
      <c r="L170" s="3"/>
    </row>
    <row r="171" spans="11:12" ht="22.5" customHeight="1" x14ac:dyDescent="0.25">
      <c r="K171" s="3"/>
      <c r="L171" s="3"/>
    </row>
    <row r="172" spans="11:12" ht="22.5" customHeight="1" x14ac:dyDescent="0.25">
      <c r="K172" s="3"/>
      <c r="L172" s="3"/>
    </row>
    <row r="173" spans="11:12" ht="22.5" customHeight="1" x14ac:dyDescent="0.25">
      <c r="K173" s="3"/>
      <c r="L173" s="3"/>
    </row>
    <row r="174" spans="11:12" ht="22.5" customHeight="1" x14ac:dyDescent="0.25">
      <c r="K174" s="3"/>
      <c r="L174" s="3"/>
    </row>
    <row r="175" spans="11:12" ht="22.5" customHeight="1" x14ac:dyDescent="0.25">
      <c r="K175" s="3"/>
      <c r="L175" s="3"/>
    </row>
    <row r="176" spans="11:12" ht="22.5" customHeight="1" x14ac:dyDescent="0.25">
      <c r="K176" s="3"/>
      <c r="L176" s="3"/>
    </row>
    <row r="177" spans="11:12" ht="22.5" customHeight="1" x14ac:dyDescent="0.25">
      <c r="K177" s="3"/>
      <c r="L177" s="3"/>
    </row>
    <row r="178" spans="11:12" ht="22.5" customHeight="1" x14ac:dyDescent="0.25">
      <c r="K178" s="3"/>
      <c r="L178" s="3"/>
    </row>
    <row r="179" spans="11:12" ht="22.5" customHeight="1" x14ac:dyDescent="0.25">
      <c r="K179" s="3"/>
      <c r="L179" s="3"/>
    </row>
    <row r="180" spans="11:12" ht="22.5" customHeight="1" x14ac:dyDescent="0.25">
      <c r="K180" s="3"/>
      <c r="L180" s="3"/>
    </row>
    <row r="181" spans="11:12" ht="22.5" customHeight="1" x14ac:dyDescent="0.25">
      <c r="K181" s="3"/>
      <c r="L181" s="3"/>
    </row>
    <row r="182" spans="11:12" ht="22.5" customHeight="1" x14ac:dyDescent="0.25">
      <c r="K182" s="3"/>
      <c r="L182" s="3"/>
    </row>
    <row r="183" spans="11:12" ht="22.5" customHeight="1" x14ac:dyDescent="0.25">
      <c r="K183" s="3"/>
      <c r="L183" s="3"/>
    </row>
    <row r="184" spans="11:12" ht="22.5" customHeight="1" x14ac:dyDescent="0.25">
      <c r="K184" s="3"/>
      <c r="L184" s="3"/>
    </row>
    <row r="185" spans="11:12" ht="22.5" customHeight="1" x14ac:dyDescent="0.25">
      <c r="K185" s="3"/>
      <c r="L185" s="3"/>
    </row>
    <row r="186" spans="11:12" ht="22.5" customHeight="1" x14ac:dyDescent="0.25">
      <c r="K186" s="3"/>
      <c r="L186" s="3"/>
    </row>
    <row r="187" spans="11:12" ht="22.5" customHeight="1" x14ac:dyDescent="0.25">
      <c r="K187" s="3"/>
      <c r="L187" s="3"/>
    </row>
    <row r="188" spans="11:12" ht="22.5" customHeight="1" x14ac:dyDescent="0.25">
      <c r="K188" s="3"/>
      <c r="L188" s="3"/>
    </row>
    <row r="189" spans="11:12" ht="22.5" customHeight="1" x14ac:dyDescent="0.25">
      <c r="K189" s="3"/>
      <c r="L189" s="3"/>
    </row>
    <row r="190" spans="11:12" ht="22.5" customHeight="1" x14ac:dyDescent="0.25">
      <c r="K190" s="3"/>
      <c r="L190" s="3"/>
    </row>
    <row r="191" spans="11:12" ht="22.5" customHeight="1" x14ac:dyDescent="0.25">
      <c r="K191" s="3"/>
      <c r="L191" s="3"/>
    </row>
    <row r="192" spans="11:12" ht="22.5" customHeight="1" x14ac:dyDescent="0.25">
      <c r="K192" s="3"/>
      <c r="L192" s="3"/>
    </row>
    <row r="193" spans="11:12" ht="22.5" customHeight="1" x14ac:dyDescent="0.25">
      <c r="K193" s="3"/>
      <c r="L193" s="3"/>
    </row>
    <row r="194" spans="11:12" ht="22.5" customHeight="1" x14ac:dyDescent="0.25">
      <c r="K194" s="3"/>
      <c r="L194" s="3"/>
    </row>
    <row r="195" spans="11:12" ht="22.5" customHeight="1" x14ac:dyDescent="0.25">
      <c r="K195" s="3"/>
      <c r="L195" s="3"/>
    </row>
    <row r="196" spans="11:12" ht="22.5" customHeight="1" x14ac:dyDescent="0.25">
      <c r="K196" s="3"/>
      <c r="L196" s="3"/>
    </row>
    <row r="197" spans="11:12" ht="22.5" customHeight="1" x14ac:dyDescent="0.25">
      <c r="K197" s="3"/>
      <c r="L197" s="3"/>
    </row>
    <row r="198" spans="11:12" ht="22.5" customHeight="1" x14ac:dyDescent="0.25">
      <c r="K198" s="3"/>
      <c r="L198" s="3"/>
    </row>
    <row r="199" spans="11:12" ht="22.5" customHeight="1" x14ac:dyDescent="0.25">
      <c r="K199" s="3"/>
      <c r="L199" s="3"/>
    </row>
    <row r="200" spans="11:12" ht="22.5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147" priority="9" operator="equal">
      <formula>FALSE</formula>
    </cfRule>
  </conditionalFormatting>
  <conditionalFormatting sqref="P15 U15">
    <cfRule type="containsText" dxfId="146" priority="6" operator="containsText" text="NA">
      <formula>NOT(ISERROR(SEARCH("NA",P15)))</formula>
    </cfRule>
  </conditionalFormatting>
  <conditionalFormatting sqref="X15">
    <cfRule type="cellIs" dxfId="145" priority="5" operator="equal">
      <formula>FALSE</formula>
    </cfRule>
  </conditionalFormatting>
  <conditionalFormatting sqref="F15">
    <cfRule type="containsText" dxfId="144" priority="1" operator="containsText" text="Compte courant d'associé">
      <formula>NOT(ISERROR(SEARCH("Compte courant d'associé",F15)))</formula>
    </cfRule>
    <cfRule type="containsText" dxfId="143" priority="4" operator="containsText" text="Rémunération gérant">
      <formula>NOT(ISERROR(SEARCH("Rémunération gérant",F15)))</formula>
    </cfRule>
  </conditionalFormatting>
  <conditionalFormatting sqref="D15:J15">
    <cfRule type="containsBlanks" dxfId="142" priority="2">
      <formula>LEN(TRIM(D15))=0</formula>
    </cfRule>
  </conditionalFormatting>
  <dataValidations count="6">
    <dataValidation type="list" allowBlank="1" showInputMessage="1" showErrorMessage="1" sqref="I12" xr:uid="{CBD28F74-CEBC-4714-8D46-3A4285B68A61}">
      <formula1>PREMIERJOURMOIS</formula1>
    </dataValidation>
    <dataValidation type="list" allowBlank="1" showInputMessage="1" sqref="J15 G15" xr:uid="{45C9CFF1-3E54-4B7A-BF93-581F2CEE0321}">
      <formula1>OFFSET(TIERS,MATCH(G15&amp;"*",TIERS,0)-1,,COUNTIF(TIERS,G15&amp;"*"))</formula1>
    </dataValidation>
    <dataValidation type="list" allowBlank="1" showInputMessage="1" sqref="F15" xr:uid="{A2CCF29B-9931-4AFF-8554-A7B7B5971B5B}">
      <formula1>OFFSET(CATEGORIE,MATCH(F15&amp;"*",CATEGORIE,0)-1,,COUNTIF(CATEGORIE,F15&amp;"*"))</formula1>
    </dataValidation>
    <dataValidation type="list" allowBlank="1" showInputMessage="1" sqref="D15" xr:uid="{32458167-BB25-4705-B080-8831F7A9EFB9}">
      <formula1>OFFSET(MODEDEREGLEMENT,MATCH(D15&amp;"*",MODEDEREGLEMENT,0)-1,,COUNTIF(MODEDEREGLEMENT,D15&amp;"*"))</formula1>
    </dataValidation>
    <dataValidation type="list" allowBlank="1" showInputMessage="1" showErrorMessage="1" sqref="Z15" xr:uid="{32128CFF-AF14-48FB-A49F-D02E8528FA00}">
      <formula1>CODETVA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264AD670-31DD-40A4-B9D9-E2864DE3361C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89FB0-2A21-4A5E-B339-CD5145D813CE}">
  <sheetPr codeName="Feuil155">
    <tabColor rgb="FFFFFF00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B15" sqref="B15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7</v>
      </c>
      <c r="H12" s="4" t="s">
        <v>6</v>
      </c>
      <c r="I12" s="47">
        <v>44013</v>
      </c>
      <c r="K12" s="3"/>
      <c r="L12" s="51" t="s">
        <v>5</v>
      </c>
      <c r="M12" s="26">
        <f>IFERROR(Juin!M17,0)</f>
        <v>55</v>
      </c>
      <c r="N12" s="53" t="s">
        <v>7</v>
      </c>
      <c r="O12" s="50">
        <f>EOMONTH(I12,-1)</f>
        <v>44012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IFERROR(IF(TABLEAUJ07[[#This Row],[Date]]="","",IF(YEAR(TABLEAUJ07[[#This Row],[Date]])*12+MONTH(TABLEAUJ07[[#This Row],[Date]])-YEAR(INDEX(TABLEAUECHEANCE[1EREECHEANCE],MATCH(1,(TABLEAUECHEANCE[CATEGORIEECHEANCE]=TABLEAUJ07[[#This Row],[Catégorie]])*(TABLEAUECHEANCE[TIERSECHEANCE]=TABLEAUJ07[[#This Row],[Payé à]]),0)) )*12-MONTH(INDEX(TABLEAUECHEANCE[1EREECHEANCE],MATCH(1,(TABLEAUECHEANCE[CATEGORIEECHEANCE]=TABLEAUJ07[[#This Row],[Catégorie]])*(TABLEAUECHEANCE[TIERSECHEANCE]=TABLEAUJ07[[#This Row],[Payé à]]),0)) )+1&gt;INDEX(TABLEAUECHEANCE[NBECHEANCE],MATCH(1,(TABLEAUECHEANCE[CATEGORIEECHEANCE]=TABLEAUJ07[[#This Row],[Catégorie]])*(TABLEAUECHEANCE[TIERSECHEANCE]=TABLEAUJ07[[#This Row],[Payé à]]),0)),"HE",CONCATENATE(IF(INDEX(TABLEAUECHEANCE[1EREECHEANCE],MATCH(1,(TABLEAUECHEANCE[CATEGORIEECHEANCE]=TABLEAUJ07[[#This Row],[Catégorie]])*(TABLEAUECHEANCE[TIERSECHEANCE]=TABLEAUJ07[[#This Row],[Payé à]]),0)) ="","",YEAR(TABLEAUJ07[[#This Row],[Date]])*12+MONTH(TABLEAUJ07[[#This Row],[Date]])-YEAR(INDEX(TABLEAUECHEANCE[1EREECHEANCE],MATCH(1,(TABLEAUECHEANCE[CATEGORIEECHEANCE]=TABLEAUJ07[[#This Row],[Catégorie]])*(TABLEAUECHEANCE[TIERSECHEANCE]=TABLEAUJ07[[#This Row],[Payé à]]),0)) )*12-MONTH(INDEX(TABLEAUECHEANCE[1EREECHEANCE],MATCH(1,(TABLEAUECHEANCE[CATEGORIEECHEANCE]=TABLEAUJ07[[#This Row],[Catégorie]])*(TABLEAUECHEANCE[TIERSECHEANCE]=TABLEAUJ07[[#This Row],[Payé à]]),0)) )+1)," sur ",INDEX(TABLEAUECHEANCE[NBECHEANCE],MATCH(1,(TABLEAUECHEANCE[CATEGORIEECHEANCE]=TABLEAUJ07[[#This Row],[Catégorie]])*(TABLEAUECHEANCE[TIERSECHEANCE]=TABLEAUJ07[[#This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IFERROR(IF(ROW()=ROW($B$15),SUM($M$12,-TABLEAUJ07[[#This Row],[Débit]],TABLEAUJ07[[#This Row],[Crédit]]),SUM(M14,-TABLEAUJ07[[#This Row],[Débit]],TABLEAUJ07[[#This Row],[Crédit]])),"")</f>
        <v>55</v>
      </c>
      <c r="N15" s="85" t="b">
        <f>IFERROR(IF(OR(TABLEAUJ07[[#This Row],[Code TVA D]]="",TABLEAUJ07[[#This Row],[Code TVA D]]="NA"),TRUE,SUM(TABLEAUJ07[[#This Row],[Débit HT]],TABLEAUJ07[[#This Row],[TVA déductible]])=TABLEAUJ07[[#This Row],[Débit TTC]]),"")</f>
        <v>1</v>
      </c>
      <c r="O15" s="86" t="str">
        <f>IFERROR(IF(OR(TABLEAUJ07[[#This Row],[Code TVA D]]="",TABLEAUJ07[[#This Row],[Code TVA D]]="NA"),"",TABLEAUJ07[[#This Row],[Débit TTC]]/(1+(VLOOKUP(TABLEAUJ07[[#This Row],[Code TVA D]],MATRICETVA[],2,FALSE)))),"")</f>
        <v/>
      </c>
      <c r="P15" s="87" t="str">
        <f>IFERROR(IF(TABLEAUJ07[[#This Row],[Débit]]&lt;&gt;"",IF(TABLEAUJ07[[#This Row],[Code TVA M]]&lt;&gt;"",TABLEAUJ07[[#This Row],[Code TVA M]],TABLEAUJ07[[#This Row],[Code TVA A]]),""),"")</f>
        <v/>
      </c>
      <c r="Q15" s="88" t="str">
        <f>IFERROR(IF(OR(TABLEAUJ07[[#This Row],[Code TVA D]]="",TABLEAUJ07[[#This Row],[Code TVA D]]="NA"),"",TABLEAUJ07[[#This Row],[Débit TTC]]/(1+VLOOKUP(TABLEAUJ07[[#This Row],[Code TVA D]],MATRICETVA[],2,FALSE))*VLOOKUP(TABLEAUJ07[[#This Row],[Code TVA D]],MATRICETVA[],2,FALSE)),"")</f>
        <v/>
      </c>
      <c r="R15" s="86" t="str">
        <f>IFERROR(IF(OR(TABLEAUJ07[[#This Row],[Code TVA D]]="",TABLEAUJ07[[#This Row],[Code TVA D]]="NA"),"",TABLEAUJ07[[#This Row],[Débit]]),"")</f>
        <v/>
      </c>
      <c r="S15" s="89" t="b">
        <f>IFERROR(IF(OR(TABLEAUJ07[[#This Row],[Code TVA C]]="",TABLEAUJ07[[#This Row],[Code TVA C]]="NA"),TRUE,SUM(TABLEAUJ07[[#This Row],[Crédit HT]],TABLEAUJ07[[#This Row],[TVA collectée]])=TABLEAUJ07[[#This Row],[Crédit TTC]]),"")</f>
        <v>1</v>
      </c>
      <c r="T15" s="90" t="str">
        <f>IFERROR(IF(OR(TABLEAUJ07[[#This Row],[Code TVA C]]="",TABLEAUJ07[[#This Row],[Code TVA C]]="NA"),"",TABLEAUJ07[[#This Row],[Crédit TTC]]/(1+(VLOOKUP(TABLEAUJ07[[#This Row],[Code TVA C]],MATRICETVA[],2,FALSE)))),"")</f>
        <v/>
      </c>
      <c r="U15" s="87" t="str">
        <f>IFERROR(IF(TABLEAUJ07[[#This Row],[Crédit]]&lt;&gt;"",IF(TABLEAUJ07[[#This Row],[Code TVA M]]&lt;&gt;"",TABLEAUJ07[[#This Row],[Code TVA M]],TABLEAUJ07[[#This Row],[Code TVA A]]),""),"")</f>
        <v/>
      </c>
      <c r="V15" s="88" t="str">
        <f>IFERROR(IF(OR(TABLEAUJ07[[#This Row],[Code TVA C]]="",TABLEAUJ07[[#This Row],[Code TVA C]]="NA"),"",TABLEAUJ07[[#This Row],[Crédit TTC]]/(1+VLOOKUP(TABLEAUJ07[[#This Row],[Code TVA C]],MATRICETVA[],2,FALSE))*VLOOKUP(TABLEAUJ07[[#This Row],[Code TVA C]],MATRICETVA[],2,FALSE)),"")</f>
        <v/>
      </c>
      <c r="W15" s="90" t="str">
        <f>IFERROR(IF(OR(TABLEAUJ07[[#This Row],[Code TVA C]]="",TABLEAUJ07[[#This Row],[Code TVA C]]="NA"),"",TABLEAUJ07[[#This Row],[Crédit]]),"")</f>
        <v/>
      </c>
      <c r="X15" s="91" t="b">
        <f>IFERROR(IF(AND(TABLEAUJ07[[#This Row],[Débit]]&lt;&gt;"",TABLEAUJ07[[#This Row],[Crédit]]&lt;&gt;""),FALSE,TRUE),"")</f>
        <v>1</v>
      </c>
      <c r="Y15" s="92" t="str">
        <f>IFERROR(VLOOKUP(TABLEAUJ07[[#This Row],[Catégorie]],MATRICECATEGORIE[],2,FALSE),"")</f>
        <v/>
      </c>
      <c r="Z15" s="93"/>
      <c r="AA15" s="89" t="b">
        <f>IFERROR(IF(AND(TABLEAUJ07[[#This Row],[Code TVA D]]&lt;&gt;"",TABLEAUJ07[[#This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IFERROR(SUBTOTAL(109,TABLEAUJ07[Débit]),"")</f>
        <v>0</v>
      </c>
      <c r="L16" s="99">
        <f>IFERROR(SUBTOTAL(109,TABLEAUJ07[Crédit]),"")</f>
        <v>0</v>
      </c>
      <c r="M16" s="100">
        <f>IFERROR(SUM($M$12,-TABLEAUJ07[[#Totals],[Débit]],TABLEAUJ07[[#Totals],[Crédit]]),"")</f>
        <v>55</v>
      </c>
      <c r="N16" s="101" t="b">
        <f>IFERROR(SUM(TABLEAUJ07[[#Totals],[Débit HT]],TABLEAUJ07[[#Totals],[TVA déductible]])=TABLEAUJ07[[#Totals],[Débit TTC]],"")</f>
        <v>1</v>
      </c>
      <c r="O16" s="102">
        <f>IFERROR(SUBTOTAL(109,TABLEAUJ07[Débit HT]),"")</f>
        <v>0</v>
      </c>
      <c r="P16" s="103"/>
      <c r="Q16" s="104">
        <f>IFERROR(SUBTOTAL(109,TABLEAUJ07[TVA déductible]),"")</f>
        <v>0</v>
      </c>
      <c r="R16" s="98">
        <f>IFERROR(SUBTOTAL(109,TABLEAUJ07[Débit TTC]),"")</f>
        <v>0</v>
      </c>
      <c r="S16" s="101" t="b">
        <f>IFERROR(SUM(TABLEAUJ07[[#Totals],[Crédit HT]],TABLEAUJ07[[#Totals],[TVA collectée]])=TABLEAUJ07[[#Totals],[Crédit TTC]],"")</f>
        <v>1</v>
      </c>
      <c r="T16" s="105">
        <f>IFERROR(SUBTOTAL(109,TABLEAUJ07[Crédit HT]),"")</f>
        <v>0</v>
      </c>
      <c r="U16" s="103"/>
      <c r="V16" s="104">
        <f>IFERROR(SUBTOTAL(109,TABLEAUJ07[TVA collectée]),"")</f>
        <v>0</v>
      </c>
      <c r="W16" s="99">
        <f>IFERROR(SUBTOTAL(109,TABLEAUJ07[Crédit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44013</v>
      </c>
      <c r="H17" s="61"/>
      <c r="I17" s="48"/>
      <c r="J17" s="59"/>
      <c r="K17" s="60"/>
      <c r="L17" s="51" t="s">
        <v>5</v>
      </c>
      <c r="M17" s="26">
        <f>TABLEAUJ07[[#Totals],[Solde bancaire]]</f>
        <v>55</v>
      </c>
      <c r="N17" s="53" t="s">
        <v>7</v>
      </c>
      <c r="O17" s="39">
        <f>IFERROR(IF(MAX(B$15:B15)&lt;I12,I12,MAX(B$15:B15)),"")</f>
        <v>44013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SUM(TABLEAUJ07[[#Totals],[Crédit]],-TABLEAUJ07[[#Totals],[Débit]])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SUM(Juin!M20,M19)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22.5" customHeight="1" x14ac:dyDescent="0.25">
      <c r="K115" s="3"/>
      <c r="L115" s="3"/>
    </row>
    <row r="116" spans="11:12" ht="22.5" customHeight="1" x14ac:dyDescent="0.25">
      <c r="K116" s="3"/>
      <c r="L116" s="3"/>
    </row>
    <row r="117" spans="11:12" ht="22.5" customHeight="1" x14ac:dyDescent="0.25">
      <c r="K117" s="3"/>
      <c r="L117" s="3"/>
    </row>
    <row r="118" spans="11:12" ht="22.5" customHeight="1" x14ac:dyDescent="0.25">
      <c r="K118" s="3"/>
      <c r="L118" s="3"/>
    </row>
    <row r="119" spans="11:12" ht="22.5" customHeight="1" x14ac:dyDescent="0.25">
      <c r="K119" s="3"/>
      <c r="L119" s="3"/>
    </row>
    <row r="120" spans="11:12" ht="22.5" customHeight="1" x14ac:dyDescent="0.25">
      <c r="K120" s="3"/>
      <c r="L120" s="3"/>
    </row>
    <row r="121" spans="11:12" ht="22.5" customHeight="1" x14ac:dyDescent="0.25">
      <c r="K121" s="3"/>
      <c r="L121" s="3"/>
    </row>
    <row r="122" spans="11:12" ht="22.5" customHeight="1" x14ac:dyDescent="0.25">
      <c r="K122" s="3"/>
      <c r="L122" s="3"/>
    </row>
    <row r="123" spans="11:12" ht="22.5" customHeight="1" x14ac:dyDescent="0.25">
      <c r="K123" s="3"/>
      <c r="L123" s="3"/>
    </row>
    <row r="124" spans="11:12" ht="22.5" customHeight="1" x14ac:dyDescent="0.25">
      <c r="K124" s="3"/>
      <c r="L124" s="3"/>
    </row>
    <row r="125" spans="11:12" ht="22.5" customHeight="1" x14ac:dyDescent="0.25">
      <c r="K125" s="3"/>
      <c r="L125" s="3"/>
    </row>
    <row r="126" spans="11:12" ht="22.5" customHeight="1" x14ac:dyDescent="0.25">
      <c r="K126" s="3"/>
      <c r="L126" s="3"/>
    </row>
    <row r="127" spans="11:12" ht="22.5" customHeight="1" x14ac:dyDescent="0.25">
      <c r="K127" s="3"/>
      <c r="L127" s="3"/>
    </row>
    <row r="128" spans="11:12" ht="22.5" customHeight="1" x14ac:dyDescent="0.25">
      <c r="K128" s="3"/>
      <c r="L128" s="3"/>
    </row>
    <row r="129" spans="11:12" ht="22.5" customHeight="1" x14ac:dyDescent="0.25">
      <c r="K129" s="3"/>
      <c r="L129" s="3"/>
    </row>
    <row r="130" spans="11:12" ht="22.5" customHeight="1" x14ac:dyDescent="0.25">
      <c r="K130" s="3"/>
      <c r="L130" s="3"/>
    </row>
    <row r="131" spans="11:12" ht="22.5" customHeight="1" x14ac:dyDescent="0.25">
      <c r="K131" s="3"/>
      <c r="L131" s="3"/>
    </row>
    <row r="132" spans="11:12" ht="22.5" customHeight="1" x14ac:dyDescent="0.25">
      <c r="K132" s="3"/>
      <c r="L132" s="3"/>
    </row>
    <row r="133" spans="11:12" ht="22.5" customHeight="1" x14ac:dyDescent="0.25">
      <c r="K133" s="3"/>
      <c r="L133" s="3"/>
    </row>
    <row r="134" spans="11:12" ht="22.5" customHeight="1" x14ac:dyDescent="0.25">
      <c r="K134" s="3"/>
      <c r="L134" s="3"/>
    </row>
    <row r="135" spans="11:12" ht="22.5" customHeight="1" x14ac:dyDescent="0.25">
      <c r="K135" s="3"/>
      <c r="L135" s="3"/>
    </row>
    <row r="136" spans="11:12" ht="22.5" customHeight="1" x14ac:dyDescent="0.25">
      <c r="K136" s="3"/>
      <c r="L136" s="3"/>
    </row>
    <row r="137" spans="11:12" ht="22.5" customHeight="1" x14ac:dyDescent="0.25">
      <c r="K137" s="3"/>
      <c r="L137" s="3"/>
    </row>
    <row r="138" spans="11:12" ht="22.5" customHeight="1" x14ac:dyDescent="0.25">
      <c r="K138" s="3"/>
      <c r="L138" s="3"/>
    </row>
    <row r="139" spans="11:12" ht="22.5" customHeight="1" x14ac:dyDescent="0.25">
      <c r="K139" s="3"/>
      <c r="L139" s="3"/>
    </row>
    <row r="140" spans="11:12" ht="22.5" customHeight="1" x14ac:dyDescent="0.25">
      <c r="K140" s="3"/>
      <c r="L140" s="3"/>
    </row>
    <row r="141" spans="11:12" ht="22.5" customHeight="1" x14ac:dyDescent="0.25">
      <c r="K141" s="3"/>
      <c r="L141" s="3"/>
    </row>
    <row r="142" spans="11:12" ht="22.5" customHeight="1" x14ac:dyDescent="0.25">
      <c r="K142" s="3"/>
      <c r="L142" s="3"/>
    </row>
    <row r="143" spans="11:12" ht="22.5" customHeight="1" x14ac:dyDescent="0.25">
      <c r="K143" s="3"/>
      <c r="L143" s="3"/>
    </row>
    <row r="144" spans="11:12" ht="22.5" customHeight="1" x14ac:dyDescent="0.25">
      <c r="K144" s="3"/>
      <c r="L144" s="3"/>
    </row>
    <row r="145" spans="11:12" ht="22.5" customHeight="1" x14ac:dyDescent="0.25">
      <c r="K145" s="3"/>
      <c r="L145" s="3"/>
    </row>
    <row r="146" spans="11:12" ht="22.5" customHeight="1" x14ac:dyDescent="0.25">
      <c r="K146" s="3"/>
      <c r="L146" s="3"/>
    </row>
    <row r="147" spans="11:12" ht="22.5" customHeight="1" x14ac:dyDescent="0.25">
      <c r="K147" s="3"/>
      <c r="L147" s="3"/>
    </row>
    <row r="148" spans="11:12" ht="22.5" customHeight="1" x14ac:dyDescent="0.25">
      <c r="K148" s="3"/>
      <c r="L148" s="3"/>
    </row>
    <row r="149" spans="11:12" ht="22.5" customHeight="1" x14ac:dyDescent="0.25">
      <c r="K149" s="3"/>
      <c r="L149" s="3"/>
    </row>
    <row r="150" spans="11:12" ht="22.5" customHeight="1" x14ac:dyDescent="0.25">
      <c r="K150" s="3"/>
      <c r="L150" s="3"/>
    </row>
    <row r="151" spans="11:12" ht="22.5" customHeight="1" x14ac:dyDescent="0.25">
      <c r="K151" s="3"/>
      <c r="L151" s="3"/>
    </row>
    <row r="152" spans="11:12" ht="22.5" customHeight="1" x14ac:dyDescent="0.25">
      <c r="K152" s="3"/>
      <c r="L152" s="3"/>
    </row>
    <row r="153" spans="11:12" ht="22.5" customHeight="1" x14ac:dyDescent="0.25">
      <c r="K153" s="3"/>
      <c r="L153" s="3"/>
    </row>
    <row r="154" spans="11:12" ht="22.5" customHeight="1" x14ac:dyDescent="0.25">
      <c r="K154" s="3"/>
      <c r="L154" s="3"/>
    </row>
    <row r="155" spans="11:12" ht="22.5" customHeight="1" x14ac:dyDescent="0.25">
      <c r="K155" s="3"/>
      <c r="L155" s="3"/>
    </row>
    <row r="156" spans="11:12" ht="22.5" customHeight="1" x14ac:dyDescent="0.25">
      <c r="K156" s="3"/>
      <c r="L156" s="3"/>
    </row>
    <row r="157" spans="11:12" ht="22.5" customHeight="1" x14ac:dyDescent="0.25">
      <c r="K157" s="3"/>
      <c r="L157" s="3"/>
    </row>
    <row r="158" spans="11:12" ht="22.5" customHeight="1" x14ac:dyDescent="0.25">
      <c r="K158" s="3"/>
      <c r="L158" s="3"/>
    </row>
    <row r="159" spans="11:12" ht="22.5" customHeight="1" x14ac:dyDescent="0.25">
      <c r="K159" s="3"/>
      <c r="L159" s="3"/>
    </row>
    <row r="160" spans="11:12" ht="22.5" customHeight="1" x14ac:dyDescent="0.25">
      <c r="K160" s="3"/>
      <c r="L160" s="3"/>
    </row>
    <row r="161" spans="11:12" ht="22.5" customHeight="1" x14ac:dyDescent="0.25">
      <c r="K161" s="3"/>
      <c r="L161" s="3"/>
    </row>
    <row r="162" spans="11:12" ht="22.5" customHeight="1" x14ac:dyDescent="0.25">
      <c r="K162" s="3"/>
      <c r="L162" s="3"/>
    </row>
    <row r="163" spans="11:12" ht="22.5" customHeight="1" x14ac:dyDescent="0.25">
      <c r="K163" s="3"/>
      <c r="L163" s="3"/>
    </row>
    <row r="164" spans="11:12" ht="22.5" customHeight="1" x14ac:dyDescent="0.25">
      <c r="K164" s="3"/>
      <c r="L164" s="3"/>
    </row>
    <row r="165" spans="11:12" ht="22.5" customHeight="1" x14ac:dyDescent="0.25">
      <c r="K165" s="3"/>
      <c r="L165" s="3"/>
    </row>
    <row r="166" spans="11:12" ht="22.5" customHeight="1" x14ac:dyDescent="0.25">
      <c r="K166" s="3"/>
      <c r="L166" s="3"/>
    </row>
    <row r="167" spans="11:12" ht="22.5" customHeight="1" x14ac:dyDescent="0.25">
      <c r="K167" s="3"/>
      <c r="L167" s="3"/>
    </row>
    <row r="168" spans="11:12" ht="22.5" customHeight="1" x14ac:dyDescent="0.25">
      <c r="K168" s="3"/>
      <c r="L168" s="3"/>
    </row>
    <row r="169" spans="11:12" ht="22.5" customHeight="1" x14ac:dyDescent="0.25">
      <c r="K169" s="3"/>
      <c r="L169" s="3"/>
    </row>
    <row r="170" spans="11:12" ht="22.5" customHeight="1" x14ac:dyDescent="0.25">
      <c r="K170" s="3"/>
      <c r="L170" s="3"/>
    </row>
    <row r="171" spans="11:12" ht="22.5" customHeight="1" x14ac:dyDescent="0.25">
      <c r="K171" s="3"/>
      <c r="L171" s="3"/>
    </row>
    <row r="172" spans="11:12" ht="22.5" customHeight="1" x14ac:dyDescent="0.25">
      <c r="K172" s="3"/>
      <c r="L172" s="3"/>
    </row>
    <row r="173" spans="11:12" ht="22.5" customHeight="1" x14ac:dyDescent="0.25">
      <c r="K173" s="3"/>
      <c r="L173" s="3"/>
    </row>
    <row r="174" spans="11:12" ht="22.5" customHeight="1" x14ac:dyDescent="0.25">
      <c r="K174" s="3"/>
      <c r="L174" s="3"/>
    </row>
    <row r="175" spans="11:12" ht="22.5" customHeight="1" x14ac:dyDescent="0.25">
      <c r="K175" s="3"/>
      <c r="L175" s="3"/>
    </row>
    <row r="176" spans="11:12" ht="22.5" customHeight="1" x14ac:dyDescent="0.25">
      <c r="K176" s="3"/>
      <c r="L176" s="3"/>
    </row>
    <row r="177" spans="11:12" ht="22.5" customHeight="1" x14ac:dyDescent="0.25">
      <c r="K177" s="3"/>
      <c r="L177" s="3"/>
    </row>
    <row r="178" spans="11:12" ht="22.5" customHeight="1" x14ac:dyDescent="0.25">
      <c r="K178" s="3"/>
      <c r="L178" s="3"/>
    </row>
    <row r="179" spans="11:12" ht="22.5" customHeight="1" x14ac:dyDescent="0.25">
      <c r="K179" s="3"/>
      <c r="L179" s="3"/>
    </row>
    <row r="180" spans="11:12" ht="22.5" customHeight="1" x14ac:dyDescent="0.25">
      <c r="K180" s="3"/>
      <c r="L180" s="3"/>
    </row>
    <row r="181" spans="11:12" ht="22.5" customHeight="1" x14ac:dyDescent="0.25">
      <c r="K181" s="3"/>
      <c r="L181" s="3"/>
    </row>
    <row r="182" spans="11:12" ht="22.5" customHeight="1" x14ac:dyDescent="0.25">
      <c r="K182" s="3"/>
      <c r="L182" s="3"/>
    </row>
    <row r="183" spans="11:12" ht="22.5" customHeight="1" x14ac:dyDescent="0.25">
      <c r="K183" s="3"/>
      <c r="L183" s="3"/>
    </row>
    <row r="184" spans="11:12" ht="22.5" customHeight="1" x14ac:dyDescent="0.25">
      <c r="K184" s="3"/>
      <c r="L184" s="3"/>
    </row>
    <row r="185" spans="11:12" ht="22.5" customHeight="1" x14ac:dyDescent="0.25">
      <c r="K185" s="3"/>
      <c r="L185" s="3"/>
    </row>
    <row r="186" spans="11:12" ht="22.5" customHeight="1" x14ac:dyDescent="0.25">
      <c r="K186" s="3"/>
      <c r="L186" s="3"/>
    </row>
    <row r="187" spans="11:12" ht="22.5" customHeight="1" x14ac:dyDescent="0.25">
      <c r="K187" s="3"/>
      <c r="L187" s="3"/>
    </row>
    <row r="188" spans="11:12" ht="22.5" customHeight="1" x14ac:dyDescent="0.25">
      <c r="K188" s="3"/>
      <c r="L188" s="3"/>
    </row>
    <row r="189" spans="11:12" ht="22.5" customHeight="1" x14ac:dyDescent="0.25">
      <c r="K189" s="3"/>
      <c r="L189" s="3"/>
    </row>
    <row r="190" spans="11:12" ht="22.5" customHeight="1" x14ac:dyDescent="0.25">
      <c r="K190" s="3"/>
      <c r="L190" s="3"/>
    </row>
    <row r="191" spans="11:12" ht="22.5" customHeight="1" x14ac:dyDescent="0.25">
      <c r="K191" s="3"/>
      <c r="L191" s="3"/>
    </row>
    <row r="192" spans="11:12" ht="22.5" customHeight="1" x14ac:dyDescent="0.25">
      <c r="K192" s="3"/>
      <c r="L192" s="3"/>
    </row>
    <row r="193" spans="11:12" ht="22.5" customHeight="1" x14ac:dyDescent="0.25">
      <c r="K193" s="3"/>
      <c r="L193" s="3"/>
    </row>
    <row r="194" spans="11:12" ht="22.5" customHeight="1" x14ac:dyDescent="0.25">
      <c r="K194" s="3"/>
      <c r="L194" s="3"/>
    </row>
    <row r="195" spans="11:12" ht="22.5" customHeight="1" x14ac:dyDescent="0.25">
      <c r="K195" s="3"/>
      <c r="L195" s="3"/>
    </row>
    <row r="196" spans="11:12" ht="22.5" customHeight="1" x14ac:dyDescent="0.25">
      <c r="K196" s="3"/>
      <c r="L196" s="3"/>
    </row>
    <row r="197" spans="11:12" ht="22.5" customHeight="1" x14ac:dyDescent="0.25">
      <c r="K197" s="3"/>
      <c r="L197" s="3"/>
    </row>
    <row r="198" spans="11:12" ht="22.5" customHeight="1" x14ac:dyDescent="0.25">
      <c r="K198" s="3"/>
      <c r="L198" s="3"/>
    </row>
    <row r="199" spans="11:12" ht="22.5" customHeight="1" x14ac:dyDescent="0.25">
      <c r="K199" s="3"/>
      <c r="L199" s="3"/>
    </row>
    <row r="200" spans="11:12" ht="22.5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141" priority="11" operator="equal">
      <formula>FALSE</formula>
    </cfRule>
  </conditionalFormatting>
  <conditionalFormatting sqref="P15 U15">
    <cfRule type="containsText" dxfId="140" priority="8" operator="containsText" text="NA">
      <formula>NOT(ISERROR(SEARCH("NA",P15)))</formula>
    </cfRule>
  </conditionalFormatting>
  <conditionalFormatting sqref="X15">
    <cfRule type="cellIs" dxfId="139" priority="7" operator="equal">
      <formula>FALSE</formula>
    </cfRule>
  </conditionalFormatting>
  <conditionalFormatting sqref="F15">
    <cfRule type="containsText" dxfId="138" priority="1" operator="containsText" text="Compte courant d'associé">
      <formula>NOT(ISERROR(SEARCH("Compte courant d'associé",F15)))</formula>
    </cfRule>
    <cfRule type="containsText" dxfId="137" priority="3" operator="containsText" text="Rémunération gérant">
      <formula>NOT(ISERROR(SEARCH("Rémunération gérant",F15)))</formula>
    </cfRule>
  </conditionalFormatting>
  <conditionalFormatting sqref="D15:J15">
    <cfRule type="containsBlanks" dxfId="136" priority="2">
      <formula>LEN(TRIM(D15))=0</formula>
    </cfRule>
  </conditionalFormatting>
  <dataValidations count="6">
    <dataValidation type="list" allowBlank="1" showInputMessage="1" showErrorMessage="1" sqref="Z15" xr:uid="{067B8BF7-CE45-43CC-8A85-D3C68D672B72}">
      <formula1>CODETVA</formula1>
    </dataValidation>
    <dataValidation type="list" allowBlank="1" showInputMessage="1" sqref="D15" xr:uid="{2DE8314D-C08D-45CA-A1AD-B7B422B2AF82}">
      <formula1>OFFSET(MODEDEREGLEMENT,MATCH(D15&amp;"*",MODEDEREGLEMENT,0)-1,,COUNTIF(MODEDEREGLEMENT,D15&amp;"*"))</formula1>
    </dataValidation>
    <dataValidation type="list" allowBlank="1" showInputMessage="1" sqref="F15" xr:uid="{77378639-0CF4-4661-B5E1-46C11E517A81}">
      <formula1>OFFSET(CATEGORIE,MATCH(F15&amp;"*",CATEGORIE,0)-1,,COUNTIF(CATEGORIE,F15&amp;"*"))</formula1>
    </dataValidation>
    <dataValidation type="list" allowBlank="1" showInputMessage="1" sqref="J15 G15" xr:uid="{30A192EC-718D-43FC-8CA3-F910352F8E77}">
      <formula1>OFFSET(TIERS,MATCH(G15&amp;"*",TIERS,0)-1,,COUNTIF(TIERS,G15&amp;"*"))</formula1>
    </dataValidation>
    <dataValidation type="list" allowBlank="1" showInputMessage="1" showErrorMessage="1" sqref="I12" xr:uid="{BC3808FE-41F8-40CB-A668-93D3AF4D433F}">
      <formula1>PREMIERJOURMOIS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F243666C-F8B3-4F25-9A0D-F43B5B16A14C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B0CD6-581C-4F28-9F85-D525E06B4F45}">
  <sheetPr codeName="Feuil149">
    <tabColor rgb="FFFFFF00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B15" sqref="B15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8</v>
      </c>
      <c r="H12" s="4" t="s">
        <v>6</v>
      </c>
      <c r="I12" s="47">
        <v>44044</v>
      </c>
      <c r="K12" s="3"/>
      <c r="L12" s="51" t="s">
        <v>5</v>
      </c>
      <c r="M12" s="26">
        <f>IFERROR(Juillet!M17,0)</f>
        <v>55</v>
      </c>
      <c r="N12" s="53" t="s">
        <v>7</v>
      </c>
      <c r="O12" s="50">
        <f>EOMONTH(I12,-1)</f>
        <v>44043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IFERROR(IF(TABLEAUJ08[[#This Row],[Date]]="","",IF(YEAR(TABLEAUJ08[[#This Row],[Date]])*12+MONTH(TABLEAUJ08[[#This Row],[Date]])-YEAR(INDEX(TABLEAUECHEANCE[1EREECHEANCE],MATCH(1,(TABLEAUECHEANCE[CATEGORIEECHEANCE]=TABLEAUJ08[[#This Row],[Catégorie]])*(TABLEAUECHEANCE[TIERSECHEANCE]=TABLEAUJ08[[#This Row],[Payé à]]),0)) )*12-MONTH(INDEX(TABLEAUECHEANCE[1EREECHEANCE],MATCH(1,(TABLEAUECHEANCE[CATEGORIEECHEANCE]=TABLEAUJ08[[#This Row],[Catégorie]])*(TABLEAUECHEANCE[TIERSECHEANCE]=TABLEAUJ08[[#This Row],[Payé à]]),0)) )+1&gt;INDEX(TABLEAUECHEANCE[NBECHEANCE],MATCH(1,(TABLEAUECHEANCE[CATEGORIEECHEANCE]=TABLEAUJ08[[#This Row],[Catégorie]])*(TABLEAUECHEANCE[TIERSECHEANCE]=TABLEAUJ08[[#This Row],[Payé à]]),0)),"HE",CONCATENATE(IF(INDEX(TABLEAUECHEANCE[1EREECHEANCE],MATCH(1,(TABLEAUECHEANCE[CATEGORIEECHEANCE]=TABLEAUJ08[[#This Row],[Catégorie]])*(TABLEAUECHEANCE[TIERSECHEANCE]=TABLEAUJ08[[#This Row],[Payé à]]),0)) ="","",YEAR(TABLEAUJ08[[#This Row],[Date]])*12+MONTH(TABLEAUJ08[[#This Row],[Date]])-YEAR(INDEX(TABLEAUECHEANCE[1EREECHEANCE],MATCH(1,(TABLEAUECHEANCE[CATEGORIEECHEANCE]=TABLEAUJ08[[#This Row],[Catégorie]])*(TABLEAUECHEANCE[TIERSECHEANCE]=TABLEAUJ08[[#This Row],[Payé à]]),0)) )*12-MONTH(INDEX(TABLEAUECHEANCE[1EREECHEANCE],MATCH(1,(TABLEAUECHEANCE[CATEGORIEECHEANCE]=TABLEAUJ08[[#This Row],[Catégorie]])*(TABLEAUECHEANCE[TIERSECHEANCE]=TABLEAUJ08[[#This Row],[Payé à]]),0)) )+1)," sur ",INDEX(TABLEAUECHEANCE[NBECHEANCE],MATCH(1,(TABLEAUECHEANCE[CATEGORIEECHEANCE]=TABLEAUJ08[[#This Row],[Catégorie]])*(TABLEAUECHEANCE[TIERSECHEANCE]=TABLEAUJ08[[#This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IFERROR(IF(ROW()=ROW($B$15),SUM($M$12,-TABLEAUJ08[[#This Row],[Débit]],TABLEAUJ08[[#This Row],[Crédit]]),SUM(M14,-TABLEAUJ08[[#This Row],[Débit]],TABLEAUJ08[[#This Row],[Crédit]])),"")</f>
        <v>55</v>
      </c>
      <c r="N15" s="85" t="b">
        <f>IFERROR(IF(OR(TABLEAUJ08[[#This Row],[Code TVA D]]="",TABLEAUJ08[[#This Row],[Code TVA D]]="NA"),TRUE,SUM(TABLEAUJ08[[#This Row],[Débit HT]],TABLEAUJ08[[#This Row],[TVA déductible]])=TABLEAUJ08[[#This Row],[Débit TTC]]),"")</f>
        <v>1</v>
      </c>
      <c r="O15" s="86" t="str">
        <f>IFERROR(IF(OR(TABLEAUJ08[[#This Row],[Code TVA D]]="",TABLEAUJ08[[#This Row],[Code TVA D]]="NA"),"",TABLEAUJ08[[#This Row],[Débit TTC]]/(1+(VLOOKUP(TABLEAUJ08[[#This Row],[Code TVA D]],MATRICETVA[],2,FALSE)))),"")</f>
        <v/>
      </c>
      <c r="P15" s="87" t="str">
        <f>IFERROR(IF(TABLEAUJ08[[#This Row],[Débit]]&lt;&gt;"",IF(TABLEAUJ08[[#This Row],[Code TVA M]]&lt;&gt;"",TABLEAUJ08[[#This Row],[Code TVA M]],TABLEAUJ08[[#This Row],[Code TVA A]]),""),"")</f>
        <v/>
      </c>
      <c r="Q15" s="88" t="str">
        <f>IFERROR(IF(OR(TABLEAUJ08[[#This Row],[Code TVA D]]="",TABLEAUJ08[[#This Row],[Code TVA D]]="NA"),"",TABLEAUJ08[[#This Row],[Débit TTC]]/(1+VLOOKUP(TABLEAUJ08[[#This Row],[Code TVA D]],MATRICETVA[],2,FALSE))*VLOOKUP(TABLEAUJ08[[#This Row],[Code TVA D]],MATRICETVA[],2,FALSE)),"")</f>
        <v/>
      </c>
      <c r="R15" s="86" t="str">
        <f>IFERROR(IF(OR(TABLEAUJ08[[#This Row],[Code TVA D]]="",TABLEAUJ08[[#This Row],[Code TVA D]]="NA"),"",TABLEAUJ08[[#This Row],[Débit]]),"")</f>
        <v/>
      </c>
      <c r="S15" s="89" t="b">
        <f>IFERROR(IF(OR(TABLEAUJ08[[#This Row],[Code TVA C]]="",TABLEAUJ08[[#This Row],[Code TVA C]]="NA"),TRUE,SUM(TABLEAUJ08[[#This Row],[Crédit HT]],TABLEAUJ08[[#This Row],[TVA collectée]])=TABLEAUJ08[[#This Row],[Crédit TTC]]),"")</f>
        <v>1</v>
      </c>
      <c r="T15" s="90" t="str">
        <f>IFERROR(IF(OR(TABLEAUJ08[[#This Row],[Code TVA C]]="",TABLEAUJ08[[#This Row],[Code TVA C]]="NA"),"",TABLEAUJ08[[#This Row],[Crédit TTC]]/(1+(VLOOKUP(TABLEAUJ08[[#This Row],[Code TVA C]],MATRICETVA[],2,FALSE)))),"")</f>
        <v/>
      </c>
      <c r="U15" s="87" t="str">
        <f>IFERROR(IF(TABLEAUJ08[[#This Row],[Crédit]]&lt;&gt;"",IF(TABLEAUJ08[[#This Row],[Code TVA M]]&lt;&gt;"",TABLEAUJ08[[#This Row],[Code TVA M]],TABLEAUJ08[[#This Row],[Code TVA A]]),""),"")</f>
        <v/>
      </c>
      <c r="V15" s="88" t="str">
        <f>IFERROR(IF(OR(TABLEAUJ08[[#This Row],[Code TVA C]]="",TABLEAUJ08[[#This Row],[Code TVA C]]="NA"),"",TABLEAUJ08[[#This Row],[Crédit TTC]]/(1+VLOOKUP(TABLEAUJ08[[#This Row],[Code TVA C]],MATRICETVA[],2,FALSE))*VLOOKUP(TABLEAUJ08[[#This Row],[Code TVA C]],MATRICETVA[],2,FALSE)),"")</f>
        <v/>
      </c>
      <c r="W15" s="90" t="str">
        <f>IFERROR(IF(OR(TABLEAUJ08[[#This Row],[Code TVA C]]="",TABLEAUJ08[[#This Row],[Code TVA C]]="NA"),"",TABLEAUJ08[[#This Row],[Crédit]]),"")</f>
        <v/>
      </c>
      <c r="X15" s="91" t="b">
        <f>IFERROR(IF(AND(TABLEAUJ08[[#This Row],[Débit]]&lt;&gt;"",TABLEAUJ08[[#This Row],[Crédit]]&lt;&gt;""),FALSE,TRUE),"")</f>
        <v>1</v>
      </c>
      <c r="Y15" s="92" t="str">
        <f>IFERROR(VLOOKUP(TABLEAUJ08[[#This Row],[Catégorie]],MATRICECATEGORIE[],2,FALSE),"")</f>
        <v/>
      </c>
      <c r="Z15" s="93"/>
      <c r="AA15" s="89" t="b">
        <f>IFERROR(IF(AND(TABLEAUJ08[[#This Row],[Code TVA D]]&lt;&gt;"",TABLEAUJ08[[#This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IFERROR(SUBTOTAL(109,TABLEAUJ08[Débit]),"")</f>
        <v>0</v>
      </c>
      <c r="L16" s="99">
        <f>IFERROR(SUBTOTAL(109,TABLEAUJ08[Crédit]),"")</f>
        <v>0</v>
      </c>
      <c r="M16" s="100">
        <f>IFERROR(SUM($M$12,-TABLEAUJ08[[#Totals],[Débit]],TABLEAUJ08[[#Totals],[Crédit]]),"")</f>
        <v>55</v>
      </c>
      <c r="N16" s="101" t="b">
        <f>IFERROR(SUM(TABLEAUJ08[[#Totals],[Débit HT]],TABLEAUJ08[[#Totals],[TVA déductible]])=TABLEAUJ08[[#Totals],[Débit TTC]],"")</f>
        <v>1</v>
      </c>
      <c r="O16" s="102">
        <f>IFERROR(SUBTOTAL(109,TABLEAUJ08[Débit HT]),"")</f>
        <v>0</v>
      </c>
      <c r="P16" s="103"/>
      <c r="Q16" s="104">
        <f>IFERROR(SUBTOTAL(109,TABLEAUJ08[TVA déductible]),"")</f>
        <v>0</v>
      </c>
      <c r="R16" s="98">
        <f>IFERROR(SUBTOTAL(109,TABLEAUJ08[Débit TTC]),"")</f>
        <v>0</v>
      </c>
      <c r="S16" s="101" t="b">
        <f>IFERROR(SUM(TABLEAUJ08[[#Totals],[Crédit HT]],TABLEAUJ08[[#Totals],[TVA collectée]])=TABLEAUJ08[[#Totals],[Crédit TTC]],"")</f>
        <v>1</v>
      </c>
      <c r="T16" s="105">
        <f>IFERROR(SUBTOTAL(109,TABLEAUJ08[Crédit HT]),"")</f>
        <v>0</v>
      </c>
      <c r="U16" s="103"/>
      <c r="V16" s="104">
        <f>IFERROR(SUBTOTAL(109,TABLEAUJ08[TVA collectée]),"")</f>
        <v>0</v>
      </c>
      <c r="W16" s="99">
        <f>IFERROR(SUBTOTAL(109,TABLEAUJ08[Crédit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44044</v>
      </c>
      <c r="H17" s="61"/>
      <c r="I17" s="48"/>
      <c r="J17" s="59"/>
      <c r="K17" s="60"/>
      <c r="L17" s="51" t="s">
        <v>5</v>
      </c>
      <c r="M17" s="26">
        <f>TABLEAUJ08[[#Totals],[Solde bancaire]]</f>
        <v>55</v>
      </c>
      <c r="N17" s="53" t="s">
        <v>7</v>
      </c>
      <c r="O17" s="39">
        <f>IFERROR(IF(MAX(B$15:B15)&lt;I12,I12,MAX(B$15:B15)),"")</f>
        <v>44044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SUM(TABLEAUJ08[[#Totals],[Crédit]],-TABLEAUJ08[[#Totals],[Débit]])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SUM(Juillet!M20,M19)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22.5" customHeight="1" x14ac:dyDescent="0.25">
      <c r="K115" s="3"/>
      <c r="L115" s="3"/>
    </row>
    <row r="116" spans="11:12" ht="22.5" customHeight="1" x14ac:dyDescent="0.25">
      <c r="K116" s="3"/>
      <c r="L116" s="3"/>
    </row>
    <row r="117" spans="11:12" ht="22.5" customHeight="1" x14ac:dyDescent="0.25">
      <c r="K117" s="3"/>
      <c r="L117" s="3"/>
    </row>
    <row r="118" spans="11:12" ht="22.5" customHeight="1" x14ac:dyDescent="0.25">
      <c r="K118" s="3"/>
      <c r="L118" s="3"/>
    </row>
    <row r="119" spans="11:12" ht="22.5" customHeight="1" x14ac:dyDescent="0.25">
      <c r="K119" s="3"/>
      <c r="L119" s="3"/>
    </row>
    <row r="120" spans="11:12" ht="22.5" customHeight="1" x14ac:dyDescent="0.25">
      <c r="K120" s="3"/>
      <c r="L120" s="3"/>
    </row>
    <row r="121" spans="11:12" ht="22.5" customHeight="1" x14ac:dyDescent="0.25">
      <c r="K121" s="3"/>
      <c r="L121" s="3"/>
    </row>
    <row r="122" spans="11:12" ht="22.5" customHeight="1" x14ac:dyDescent="0.25">
      <c r="K122" s="3"/>
      <c r="L122" s="3"/>
    </row>
    <row r="123" spans="11:12" ht="22.5" customHeight="1" x14ac:dyDescent="0.25">
      <c r="K123" s="3"/>
      <c r="L123" s="3"/>
    </row>
    <row r="124" spans="11:12" ht="22.5" customHeight="1" x14ac:dyDescent="0.25">
      <c r="K124" s="3"/>
      <c r="L124" s="3"/>
    </row>
    <row r="125" spans="11:12" ht="22.5" customHeight="1" x14ac:dyDescent="0.25">
      <c r="K125" s="3"/>
      <c r="L125" s="3"/>
    </row>
    <row r="126" spans="11:12" ht="22.5" customHeight="1" x14ac:dyDescent="0.25">
      <c r="K126" s="3"/>
      <c r="L126" s="3"/>
    </row>
    <row r="127" spans="11:12" ht="22.5" customHeight="1" x14ac:dyDescent="0.25">
      <c r="K127" s="3"/>
      <c r="L127" s="3"/>
    </row>
    <row r="128" spans="11:12" ht="22.5" customHeight="1" x14ac:dyDescent="0.25">
      <c r="K128" s="3"/>
      <c r="L128" s="3"/>
    </row>
    <row r="129" spans="11:12" ht="22.5" customHeight="1" x14ac:dyDescent="0.25">
      <c r="K129" s="3"/>
      <c r="L129" s="3"/>
    </row>
    <row r="130" spans="11:12" ht="22.5" customHeight="1" x14ac:dyDescent="0.25">
      <c r="K130" s="3"/>
      <c r="L130" s="3"/>
    </row>
    <row r="131" spans="11:12" ht="22.5" customHeight="1" x14ac:dyDescent="0.25">
      <c r="K131" s="3"/>
      <c r="L131" s="3"/>
    </row>
    <row r="132" spans="11:12" ht="22.5" customHeight="1" x14ac:dyDescent="0.25">
      <c r="K132" s="3"/>
      <c r="L132" s="3"/>
    </row>
    <row r="133" spans="11:12" ht="22.5" customHeight="1" x14ac:dyDescent="0.25">
      <c r="K133" s="3"/>
      <c r="L133" s="3"/>
    </row>
    <row r="134" spans="11:12" ht="22.5" customHeight="1" x14ac:dyDescent="0.25">
      <c r="K134" s="3"/>
      <c r="L134" s="3"/>
    </row>
    <row r="135" spans="11:12" ht="22.5" customHeight="1" x14ac:dyDescent="0.25">
      <c r="K135" s="3"/>
      <c r="L135" s="3"/>
    </row>
    <row r="136" spans="11:12" ht="22.5" customHeight="1" x14ac:dyDescent="0.25">
      <c r="K136" s="3"/>
      <c r="L136" s="3"/>
    </row>
    <row r="137" spans="11:12" ht="22.5" customHeight="1" x14ac:dyDescent="0.25">
      <c r="K137" s="3"/>
      <c r="L137" s="3"/>
    </row>
    <row r="138" spans="11:12" ht="22.5" customHeight="1" x14ac:dyDescent="0.25">
      <c r="K138" s="3"/>
      <c r="L138" s="3"/>
    </row>
    <row r="139" spans="11:12" ht="22.5" customHeight="1" x14ac:dyDescent="0.25">
      <c r="K139" s="3"/>
      <c r="L139" s="3"/>
    </row>
    <row r="140" spans="11:12" ht="22.5" customHeight="1" x14ac:dyDescent="0.25">
      <c r="K140" s="3"/>
      <c r="L140" s="3"/>
    </row>
    <row r="141" spans="11:12" ht="22.5" customHeight="1" x14ac:dyDescent="0.25">
      <c r="K141" s="3"/>
      <c r="L141" s="3"/>
    </row>
    <row r="142" spans="11:12" ht="22.5" customHeight="1" x14ac:dyDescent="0.25">
      <c r="K142" s="3"/>
      <c r="L142" s="3"/>
    </row>
    <row r="143" spans="11:12" ht="22.5" customHeight="1" x14ac:dyDescent="0.25">
      <c r="K143" s="3"/>
      <c r="L143" s="3"/>
    </row>
    <row r="144" spans="11:12" ht="22.5" customHeight="1" x14ac:dyDescent="0.25">
      <c r="K144" s="3"/>
      <c r="L144" s="3"/>
    </row>
    <row r="145" spans="11:12" ht="22.5" customHeight="1" x14ac:dyDescent="0.25">
      <c r="K145" s="3"/>
      <c r="L145" s="3"/>
    </row>
    <row r="146" spans="11:12" ht="22.5" customHeight="1" x14ac:dyDescent="0.25">
      <c r="K146" s="3"/>
      <c r="L146" s="3"/>
    </row>
    <row r="147" spans="11:12" ht="22.5" customHeight="1" x14ac:dyDescent="0.25">
      <c r="K147" s="3"/>
      <c r="L147" s="3"/>
    </row>
    <row r="148" spans="11:12" ht="22.5" customHeight="1" x14ac:dyDescent="0.25">
      <c r="K148" s="3"/>
      <c r="L148" s="3"/>
    </row>
    <row r="149" spans="11:12" ht="22.5" customHeight="1" x14ac:dyDescent="0.25">
      <c r="K149" s="3"/>
      <c r="L149" s="3"/>
    </row>
    <row r="150" spans="11:12" ht="22.5" customHeight="1" x14ac:dyDescent="0.25">
      <c r="K150" s="3"/>
      <c r="L150" s="3"/>
    </row>
    <row r="151" spans="11:12" ht="22.5" customHeight="1" x14ac:dyDescent="0.25">
      <c r="K151" s="3"/>
      <c r="L151" s="3"/>
    </row>
    <row r="152" spans="11:12" ht="22.5" customHeight="1" x14ac:dyDescent="0.25">
      <c r="K152" s="3"/>
      <c r="L152" s="3"/>
    </row>
    <row r="153" spans="11:12" ht="22.5" customHeight="1" x14ac:dyDescent="0.25">
      <c r="K153" s="3"/>
      <c r="L153" s="3"/>
    </row>
    <row r="154" spans="11:12" ht="22.5" customHeight="1" x14ac:dyDescent="0.25">
      <c r="K154" s="3"/>
      <c r="L154" s="3"/>
    </row>
    <row r="155" spans="11:12" ht="22.5" customHeight="1" x14ac:dyDescent="0.25">
      <c r="K155" s="3"/>
      <c r="L155" s="3"/>
    </row>
    <row r="156" spans="11:12" ht="22.5" customHeight="1" x14ac:dyDescent="0.25">
      <c r="K156" s="3"/>
      <c r="L156" s="3"/>
    </row>
    <row r="157" spans="11:12" ht="22.5" customHeight="1" x14ac:dyDescent="0.25">
      <c r="K157" s="3"/>
      <c r="L157" s="3"/>
    </row>
    <row r="158" spans="11:12" ht="22.5" customHeight="1" x14ac:dyDescent="0.25">
      <c r="K158" s="3"/>
      <c r="L158" s="3"/>
    </row>
    <row r="159" spans="11:12" ht="22.5" customHeight="1" x14ac:dyDescent="0.25">
      <c r="K159" s="3"/>
      <c r="L159" s="3"/>
    </row>
    <row r="160" spans="11:12" ht="22.5" customHeight="1" x14ac:dyDescent="0.25">
      <c r="K160" s="3"/>
      <c r="L160" s="3"/>
    </row>
    <row r="161" spans="11:12" ht="22.5" customHeight="1" x14ac:dyDescent="0.25">
      <c r="K161" s="3"/>
      <c r="L161" s="3"/>
    </row>
    <row r="162" spans="11:12" ht="22.5" customHeight="1" x14ac:dyDescent="0.25">
      <c r="K162" s="3"/>
      <c r="L162" s="3"/>
    </row>
    <row r="163" spans="11:12" ht="22.5" customHeight="1" x14ac:dyDescent="0.25">
      <c r="K163" s="3"/>
      <c r="L163" s="3"/>
    </row>
    <row r="164" spans="11:12" ht="22.5" customHeight="1" x14ac:dyDescent="0.25">
      <c r="K164" s="3"/>
      <c r="L164" s="3"/>
    </row>
    <row r="165" spans="11:12" ht="22.5" customHeight="1" x14ac:dyDescent="0.25">
      <c r="K165" s="3"/>
      <c r="L165" s="3"/>
    </row>
    <row r="166" spans="11:12" ht="22.5" customHeight="1" x14ac:dyDescent="0.25">
      <c r="K166" s="3"/>
      <c r="L166" s="3"/>
    </row>
    <row r="167" spans="11:12" ht="22.5" customHeight="1" x14ac:dyDescent="0.25">
      <c r="K167" s="3"/>
      <c r="L167" s="3"/>
    </row>
    <row r="168" spans="11:12" ht="22.5" customHeight="1" x14ac:dyDescent="0.25">
      <c r="K168" s="3"/>
      <c r="L168" s="3"/>
    </row>
    <row r="169" spans="11:12" ht="22.5" customHeight="1" x14ac:dyDescent="0.25">
      <c r="K169" s="3"/>
      <c r="L169" s="3"/>
    </row>
    <row r="170" spans="11:12" ht="22.5" customHeight="1" x14ac:dyDescent="0.25">
      <c r="K170" s="3"/>
      <c r="L170" s="3"/>
    </row>
    <row r="171" spans="11:12" ht="22.5" customHeight="1" x14ac:dyDescent="0.25">
      <c r="K171" s="3"/>
      <c r="L171" s="3"/>
    </row>
    <row r="172" spans="11:12" ht="22.5" customHeight="1" x14ac:dyDescent="0.25">
      <c r="K172" s="3"/>
      <c r="L172" s="3"/>
    </row>
    <row r="173" spans="11:12" ht="22.5" customHeight="1" x14ac:dyDescent="0.25">
      <c r="K173" s="3"/>
      <c r="L173" s="3"/>
    </row>
    <row r="174" spans="11:12" ht="22.5" customHeight="1" x14ac:dyDescent="0.25">
      <c r="K174" s="3"/>
      <c r="L174" s="3"/>
    </row>
    <row r="175" spans="11:12" ht="22.5" customHeight="1" x14ac:dyDescent="0.25">
      <c r="K175" s="3"/>
      <c r="L175" s="3"/>
    </row>
    <row r="176" spans="11:12" ht="22.5" customHeight="1" x14ac:dyDescent="0.25">
      <c r="K176" s="3"/>
      <c r="L176" s="3"/>
    </row>
    <row r="177" spans="11:12" ht="22.5" customHeight="1" x14ac:dyDescent="0.25">
      <c r="K177" s="3"/>
      <c r="L177" s="3"/>
    </row>
    <row r="178" spans="11:12" ht="22.5" customHeight="1" x14ac:dyDescent="0.25">
      <c r="K178" s="3"/>
      <c r="L178" s="3"/>
    </row>
    <row r="179" spans="11:12" ht="22.5" customHeight="1" x14ac:dyDescent="0.25">
      <c r="K179" s="3"/>
      <c r="L179" s="3"/>
    </row>
    <row r="180" spans="11:12" ht="22.5" customHeight="1" x14ac:dyDescent="0.25">
      <c r="K180" s="3"/>
      <c r="L180" s="3"/>
    </row>
    <row r="181" spans="11:12" ht="22.5" customHeight="1" x14ac:dyDescent="0.25">
      <c r="K181" s="3"/>
      <c r="L181" s="3"/>
    </row>
    <row r="182" spans="11:12" ht="22.5" customHeight="1" x14ac:dyDescent="0.25">
      <c r="K182" s="3"/>
      <c r="L182" s="3"/>
    </row>
    <row r="183" spans="11:12" ht="22.5" customHeight="1" x14ac:dyDescent="0.25">
      <c r="K183" s="3"/>
      <c r="L183" s="3"/>
    </row>
    <row r="184" spans="11:12" ht="22.5" customHeight="1" x14ac:dyDescent="0.25">
      <c r="K184" s="3"/>
      <c r="L184" s="3"/>
    </row>
    <row r="185" spans="11:12" ht="22.5" customHeight="1" x14ac:dyDescent="0.25">
      <c r="K185" s="3"/>
      <c r="L185" s="3"/>
    </row>
    <row r="186" spans="11:12" ht="22.5" customHeight="1" x14ac:dyDescent="0.25">
      <c r="K186" s="3"/>
      <c r="L186" s="3"/>
    </row>
    <row r="187" spans="11:12" ht="22.5" customHeight="1" x14ac:dyDescent="0.25">
      <c r="K187" s="3"/>
      <c r="L187" s="3"/>
    </row>
    <row r="188" spans="11:12" ht="22.5" customHeight="1" x14ac:dyDescent="0.25">
      <c r="K188" s="3"/>
      <c r="L188" s="3"/>
    </row>
    <row r="189" spans="11:12" ht="22.5" customHeight="1" x14ac:dyDescent="0.25">
      <c r="K189" s="3"/>
      <c r="L189" s="3"/>
    </row>
    <row r="190" spans="11:12" ht="22.5" customHeight="1" x14ac:dyDescent="0.25">
      <c r="K190" s="3"/>
      <c r="L190" s="3"/>
    </row>
    <row r="191" spans="11:12" ht="22.5" customHeight="1" x14ac:dyDescent="0.25">
      <c r="K191" s="3"/>
      <c r="L191" s="3"/>
    </row>
    <row r="192" spans="11:12" ht="22.5" customHeight="1" x14ac:dyDescent="0.25">
      <c r="K192" s="3"/>
      <c r="L192" s="3"/>
    </row>
    <row r="193" spans="11:12" ht="22.5" customHeight="1" x14ac:dyDescent="0.25">
      <c r="K193" s="3"/>
      <c r="L193" s="3"/>
    </row>
    <row r="194" spans="11:12" ht="22.5" customHeight="1" x14ac:dyDescent="0.25">
      <c r="K194" s="3"/>
      <c r="L194" s="3"/>
    </row>
    <row r="195" spans="11:12" ht="22.5" customHeight="1" x14ac:dyDescent="0.25">
      <c r="K195" s="3"/>
      <c r="L195" s="3"/>
    </row>
    <row r="196" spans="11:12" ht="22.5" customHeight="1" x14ac:dyDescent="0.25">
      <c r="K196" s="3"/>
      <c r="L196" s="3"/>
    </row>
    <row r="197" spans="11:12" ht="22.5" customHeight="1" x14ac:dyDescent="0.25">
      <c r="K197" s="3"/>
      <c r="L197" s="3"/>
    </row>
    <row r="198" spans="11:12" ht="22.5" customHeight="1" x14ac:dyDescent="0.25">
      <c r="K198" s="3"/>
      <c r="L198" s="3"/>
    </row>
    <row r="199" spans="11:12" ht="22.5" customHeight="1" x14ac:dyDescent="0.25">
      <c r="K199" s="3"/>
      <c r="L199" s="3"/>
    </row>
    <row r="200" spans="11:12" ht="22.5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135" priority="9" operator="equal">
      <formula>FALSE</formula>
    </cfRule>
  </conditionalFormatting>
  <conditionalFormatting sqref="P15 U15">
    <cfRule type="containsText" dxfId="134" priority="6" operator="containsText" text="NA">
      <formula>NOT(ISERROR(SEARCH("NA",P15)))</formula>
    </cfRule>
  </conditionalFormatting>
  <conditionalFormatting sqref="X15">
    <cfRule type="cellIs" dxfId="133" priority="5" operator="equal">
      <formula>FALSE</formula>
    </cfRule>
  </conditionalFormatting>
  <conditionalFormatting sqref="F15">
    <cfRule type="containsText" dxfId="132" priority="1" operator="containsText" text="Compte courant d'associé">
      <formula>NOT(ISERROR(SEARCH("Compte courant d'associé",F15)))</formula>
    </cfRule>
    <cfRule type="containsText" dxfId="131" priority="4" operator="containsText" text="Rémunération gérant">
      <formula>NOT(ISERROR(SEARCH("Rémunération gérant",F15)))</formula>
    </cfRule>
  </conditionalFormatting>
  <conditionalFormatting sqref="D15:J15">
    <cfRule type="containsBlanks" dxfId="130" priority="2">
      <formula>LEN(TRIM(D15))=0</formula>
    </cfRule>
  </conditionalFormatting>
  <dataValidations count="6">
    <dataValidation type="list" allowBlank="1" showInputMessage="1" showErrorMessage="1" sqref="I12" xr:uid="{53A25783-CFD0-4A67-94E0-DD545B9A0B36}">
      <formula1>PREMIERJOURMOIS</formula1>
    </dataValidation>
    <dataValidation type="list" allowBlank="1" showInputMessage="1" sqref="J15 G15" xr:uid="{F14B2B82-6D47-432A-A715-B6E8DE1CA87A}">
      <formula1>OFFSET(TIERS,MATCH(G15&amp;"*",TIERS,0)-1,,COUNTIF(TIERS,G15&amp;"*"))</formula1>
    </dataValidation>
    <dataValidation type="list" allowBlank="1" showInputMessage="1" sqref="F15" xr:uid="{9DBE3F94-DDAD-4811-ADA8-C4D46D798186}">
      <formula1>OFFSET(CATEGORIE,MATCH(F15&amp;"*",CATEGORIE,0)-1,,COUNTIF(CATEGORIE,F15&amp;"*"))</formula1>
    </dataValidation>
    <dataValidation type="list" allowBlank="1" showInputMessage="1" sqref="D15" xr:uid="{3EC67A9D-D06C-4293-9539-034B3DAA0276}">
      <formula1>OFFSET(MODEDEREGLEMENT,MATCH(D15&amp;"*",MODEDEREGLEMENT,0)-1,,COUNTIF(MODEDEREGLEMENT,D15&amp;"*"))</formula1>
    </dataValidation>
    <dataValidation type="list" allowBlank="1" showInputMessage="1" showErrorMessage="1" sqref="Z15" xr:uid="{0BE455FA-EABD-454E-8608-03FB844D329B}">
      <formula1>CODETVA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E9DB9811-C27E-4BA5-848A-6B30EB7DDBAE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A4C729-AF5A-4B7A-BAE8-AABCE3C42112}">
  <sheetPr codeName="Feuil153">
    <tabColor rgb="FFFFFF00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B15" sqref="B15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9</v>
      </c>
      <c r="H12" s="4" t="s">
        <v>6</v>
      </c>
      <c r="I12" s="47">
        <v>44075</v>
      </c>
      <c r="K12" s="3"/>
      <c r="L12" s="51" t="s">
        <v>5</v>
      </c>
      <c r="M12" s="26">
        <f>IFERROR(Août!M17,0)</f>
        <v>55</v>
      </c>
      <c r="N12" s="53" t="s">
        <v>7</v>
      </c>
      <c r="O12" s="50">
        <f>EOMONTH(I12,-1)</f>
        <v>44074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IFERROR(IF(TABLEAUJ09[[#This Row],[Date]]="","",IF(YEAR(TABLEAUJ09[[#This Row],[Date]])*12+MONTH(TABLEAUJ09[[#This Row],[Date]])-YEAR(INDEX(TABLEAUECHEANCE[1EREECHEANCE],MATCH(1,(TABLEAUECHEANCE[CATEGORIEECHEANCE]=TABLEAUJ09[[#This Row],[Catégorie]])*(TABLEAUECHEANCE[TIERSECHEANCE]=TABLEAUJ09[[#This Row],[Payé à]]),0)) )*12-MONTH(INDEX(TABLEAUECHEANCE[1EREECHEANCE],MATCH(1,(TABLEAUECHEANCE[CATEGORIEECHEANCE]=TABLEAUJ09[[#This Row],[Catégorie]])*(TABLEAUECHEANCE[TIERSECHEANCE]=TABLEAUJ09[[#This Row],[Payé à]]),0)) )+1&gt;INDEX(TABLEAUECHEANCE[NBECHEANCE],MATCH(1,(TABLEAUECHEANCE[CATEGORIEECHEANCE]=TABLEAUJ09[[#This Row],[Catégorie]])*(TABLEAUECHEANCE[TIERSECHEANCE]=TABLEAUJ09[[#This Row],[Payé à]]),0)),"HE",CONCATENATE(IF(INDEX(TABLEAUECHEANCE[1EREECHEANCE],MATCH(1,(TABLEAUECHEANCE[CATEGORIEECHEANCE]=TABLEAUJ09[[#This Row],[Catégorie]])*(TABLEAUECHEANCE[TIERSECHEANCE]=TABLEAUJ09[[#This Row],[Payé à]]),0)) ="","",YEAR(TABLEAUJ09[[#This Row],[Date]])*12+MONTH(TABLEAUJ09[[#This Row],[Date]])-YEAR(INDEX(TABLEAUECHEANCE[1EREECHEANCE],MATCH(1,(TABLEAUECHEANCE[CATEGORIEECHEANCE]=TABLEAUJ09[[#This Row],[Catégorie]])*(TABLEAUECHEANCE[TIERSECHEANCE]=TABLEAUJ09[[#This Row],[Payé à]]),0)) )*12-MONTH(INDEX(TABLEAUECHEANCE[1EREECHEANCE],MATCH(1,(TABLEAUECHEANCE[CATEGORIEECHEANCE]=TABLEAUJ09[[#This Row],[Catégorie]])*(TABLEAUECHEANCE[TIERSECHEANCE]=TABLEAUJ09[[#This Row],[Payé à]]),0)) )+1)," sur ",INDEX(TABLEAUECHEANCE[NBECHEANCE],MATCH(1,(TABLEAUECHEANCE[CATEGORIEECHEANCE]=TABLEAUJ09[[#This Row],[Catégorie]])*(TABLEAUECHEANCE[TIERSECHEANCE]=TABLEAUJ09[[#This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IFERROR(IF(ROW()=ROW($B$15),SUM($M$12,-TABLEAUJ09[[#This Row],[Débit]],TABLEAUJ09[[#This Row],[Crédit]]),SUM(M14,-TABLEAUJ09[[#This Row],[Débit]],TABLEAUJ09[[#This Row],[Crédit]])),"")</f>
        <v>55</v>
      </c>
      <c r="N15" s="85" t="b">
        <f>IFERROR(IF(OR(TABLEAUJ09[[#This Row],[Code TVA D]]="",TABLEAUJ09[[#This Row],[Code TVA D]]="NA"),TRUE,SUM(TABLEAUJ09[[#This Row],[Débit HT]],TABLEAUJ09[[#This Row],[TVA déductible]])=TABLEAUJ09[[#This Row],[Débit TTC]]),"")</f>
        <v>1</v>
      </c>
      <c r="O15" s="86" t="str">
        <f>IFERROR(IF(OR(TABLEAUJ09[[#This Row],[Code TVA D]]="",TABLEAUJ09[[#This Row],[Code TVA D]]="NA"),"",TABLEAUJ09[[#This Row],[Débit TTC]]/(1+(VLOOKUP(TABLEAUJ09[[#This Row],[Code TVA D]],MATRICETVA[],2,FALSE)))),"")</f>
        <v/>
      </c>
      <c r="P15" s="87" t="str">
        <f>IFERROR(IF(TABLEAUJ09[[#This Row],[Débit]]&lt;&gt;"",IF(TABLEAUJ09[[#This Row],[Code TVA M]]&lt;&gt;"",TABLEAUJ09[[#This Row],[Code TVA M]],TABLEAUJ09[[#This Row],[Code TVA A]]),""),"")</f>
        <v/>
      </c>
      <c r="Q15" s="88" t="str">
        <f>IFERROR(IF(OR(TABLEAUJ09[[#This Row],[Code TVA D]]="",TABLEAUJ09[[#This Row],[Code TVA D]]="NA"),"",TABLEAUJ09[[#This Row],[Débit TTC]]/(1+VLOOKUP(TABLEAUJ09[[#This Row],[Code TVA D]],MATRICETVA[],2,FALSE))*VLOOKUP(TABLEAUJ09[[#This Row],[Code TVA D]],MATRICETVA[],2,FALSE)),"")</f>
        <v/>
      </c>
      <c r="R15" s="86" t="str">
        <f>IFERROR(IF(OR(TABLEAUJ09[[#This Row],[Code TVA D]]="",TABLEAUJ09[[#This Row],[Code TVA D]]="NA"),"",TABLEAUJ09[[#This Row],[Débit]]),"")</f>
        <v/>
      </c>
      <c r="S15" s="89" t="b">
        <f>IFERROR(IF(OR(TABLEAUJ09[[#This Row],[Code TVA C]]="",TABLEAUJ09[[#This Row],[Code TVA C]]="NA"),TRUE,SUM(TABLEAUJ09[[#This Row],[Crédit HT]],TABLEAUJ09[[#This Row],[TVA collectée]])=TABLEAUJ09[[#This Row],[Crédit TTC]]),"")</f>
        <v>1</v>
      </c>
      <c r="T15" s="90" t="str">
        <f>IFERROR(IF(OR(TABLEAUJ09[[#This Row],[Code TVA C]]="",TABLEAUJ09[[#This Row],[Code TVA C]]="NA"),"",TABLEAUJ09[[#This Row],[Crédit TTC]]/(1+(VLOOKUP(TABLEAUJ09[[#This Row],[Code TVA C]],MATRICETVA[],2,FALSE)))),"")</f>
        <v/>
      </c>
      <c r="U15" s="87" t="str">
        <f>IFERROR(IF(TABLEAUJ09[[#This Row],[Crédit]]&lt;&gt;"",IF(TABLEAUJ09[[#This Row],[Code TVA M]]&lt;&gt;"",TABLEAUJ09[[#This Row],[Code TVA M]],TABLEAUJ09[[#This Row],[Code TVA A]]),""),"")</f>
        <v/>
      </c>
      <c r="V15" s="88" t="str">
        <f>IFERROR(IF(OR(TABLEAUJ09[[#This Row],[Code TVA C]]="",TABLEAUJ09[[#This Row],[Code TVA C]]="NA"),"",TABLEAUJ09[[#This Row],[Crédit TTC]]/(1+VLOOKUP(TABLEAUJ09[[#This Row],[Code TVA C]],MATRICETVA[],2,FALSE))*VLOOKUP(TABLEAUJ09[[#This Row],[Code TVA C]],MATRICETVA[],2,FALSE)),"")</f>
        <v/>
      </c>
      <c r="W15" s="90" t="str">
        <f>IFERROR(IF(OR(TABLEAUJ09[[#This Row],[Code TVA C]]="",TABLEAUJ09[[#This Row],[Code TVA C]]="NA"),"",TABLEAUJ09[[#This Row],[Crédit]]),"")</f>
        <v/>
      </c>
      <c r="X15" s="91" t="b">
        <f>IFERROR(IF(AND(TABLEAUJ09[[#This Row],[Débit]]&lt;&gt;"",TABLEAUJ09[[#This Row],[Crédit]]&lt;&gt;""),FALSE,TRUE),"")</f>
        <v>1</v>
      </c>
      <c r="Y15" s="92" t="str">
        <f>IFERROR(VLOOKUP(TABLEAUJ09[[#This Row],[Catégorie]],MATRICECATEGORIE[],2,FALSE),"")</f>
        <v/>
      </c>
      <c r="Z15" s="93"/>
      <c r="AA15" s="89" t="b">
        <f>IFERROR(IF(AND(TABLEAUJ09[[#This Row],[Code TVA D]]&lt;&gt;"",TABLEAUJ09[[#This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IFERROR(SUBTOTAL(109,TABLEAUJ09[Débit]),"")</f>
        <v>0</v>
      </c>
      <c r="L16" s="99">
        <f>IFERROR(SUBTOTAL(109,TABLEAUJ09[Crédit]),"")</f>
        <v>0</v>
      </c>
      <c r="M16" s="100">
        <f>IFERROR(SUM($M$12,-TABLEAUJ09[[#Totals],[Débit]],TABLEAUJ09[[#Totals],[Crédit]]),"")</f>
        <v>55</v>
      </c>
      <c r="N16" s="101" t="b">
        <f>IFERROR(SUM(TABLEAUJ09[[#Totals],[Débit HT]],TABLEAUJ09[[#Totals],[TVA déductible]])=TABLEAUJ09[[#Totals],[Débit TTC]],"")</f>
        <v>1</v>
      </c>
      <c r="O16" s="102">
        <f>IFERROR(SUBTOTAL(109,TABLEAUJ09[Débit HT]),"")</f>
        <v>0</v>
      </c>
      <c r="P16" s="103"/>
      <c r="Q16" s="104">
        <f>IFERROR(SUBTOTAL(109,TABLEAUJ09[TVA déductible]),"")</f>
        <v>0</v>
      </c>
      <c r="R16" s="98">
        <f>IFERROR(SUBTOTAL(109,TABLEAUJ09[Débit TTC]),"")</f>
        <v>0</v>
      </c>
      <c r="S16" s="101" t="b">
        <f>IFERROR(SUM(TABLEAUJ09[[#Totals],[Crédit HT]],TABLEAUJ09[[#Totals],[TVA collectée]])=TABLEAUJ09[[#Totals],[Crédit TTC]],"")</f>
        <v>1</v>
      </c>
      <c r="T16" s="105">
        <f>IFERROR(SUBTOTAL(109,TABLEAUJ09[Crédit HT]),"")</f>
        <v>0</v>
      </c>
      <c r="U16" s="103"/>
      <c r="V16" s="104">
        <f>IFERROR(SUBTOTAL(109,TABLEAUJ09[TVA collectée]),"")</f>
        <v>0</v>
      </c>
      <c r="W16" s="99">
        <f>IFERROR(SUBTOTAL(109,TABLEAUJ09[Crédit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44075</v>
      </c>
      <c r="H17" s="61"/>
      <c r="I17" s="48"/>
      <c r="J17" s="59"/>
      <c r="K17" s="60"/>
      <c r="L17" s="51" t="s">
        <v>5</v>
      </c>
      <c r="M17" s="26">
        <f>TABLEAUJ09[[#Totals],[Solde bancaire]]</f>
        <v>55</v>
      </c>
      <c r="N17" s="53" t="s">
        <v>7</v>
      </c>
      <c r="O17" s="39">
        <f>IFERROR(IF(MAX(B$15:B15)&lt;I12,I12,MAX(B$15:B15)),"")</f>
        <v>44075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SUM(TABLEAUJ09[[#Totals],[Crédit]],-TABLEAUJ09[[#Totals],[Débit]])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SUM(Août!M20,M19)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22.5" customHeight="1" x14ac:dyDescent="0.25">
      <c r="K115" s="3"/>
      <c r="L115" s="3"/>
    </row>
    <row r="116" spans="11:12" ht="22.5" customHeight="1" x14ac:dyDescent="0.25">
      <c r="K116" s="3"/>
      <c r="L116" s="3"/>
    </row>
    <row r="117" spans="11:12" ht="22.5" customHeight="1" x14ac:dyDescent="0.25">
      <c r="K117" s="3"/>
      <c r="L117" s="3"/>
    </row>
    <row r="118" spans="11:12" ht="22.5" customHeight="1" x14ac:dyDescent="0.25">
      <c r="K118" s="3"/>
      <c r="L118" s="3"/>
    </row>
    <row r="119" spans="11:12" ht="22.5" customHeight="1" x14ac:dyDescent="0.25">
      <c r="K119" s="3"/>
      <c r="L119" s="3"/>
    </row>
    <row r="120" spans="11:12" ht="22.5" customHeight="1" x14ac:dyDescent="0.25">
      <c r="K120" s="3"/>
      <c r="L120" s="3"/>
    </row>
    <row r="121" spans="11:12" ht="22.5" customHeight="1" x14ac:dyDescent="0.25">
      <c r="K121" s="3"/>
      <c r="L121" s="3"/>
    </row>
    <row r="122" spans="11:12" ht="22.5" customHeight="1" x14ac:dyDescent="0.25">
      <c r="K122" s="3"/>
      <c r="L122" s="3"/>
    </row>
    <row r="123" spans="11:12" ht="22.5" customHeight="1" x14ac:dyDescent="0.25">
      <c r="K123" s="3"/>
      <c r="L123" s="3"/>
    </row>
    <row r="124" spans="11:12" ht="22.5" customHeight="1" x14ac:dyDescent="0.25">
      <c r="K124" s="3"/>
      <c r="L124" s="3"/>
    </row>
    <row r="125" spans="11:12" ht="22.5" customHeight="1" x14ac:dyDescent="0.25">
      <c r="K125" s="3"/>
      <c r="L125" s="3"/>
    </row>
    <row r="126" spans="11:12" ht="22.5" customHeight="1" x14ac:dyDescent="0.25">
      <c r="K126" s="3"/>
      <c r="L126" s="3"/>
    </row>
    <row r="127" spans="11:12" ht="22.5" customHeight="1" x14ac:dyDescent="0.25">
      <c r="K127" s="3"/>
      <c r="L127" s="3"/>
    </row>
    <row r="128" spans="11:12" ht="22.5" customHeight="1" x14ac:dyDescent="0.25">
      <c r="K128" s="3"/>
      <c r="L128" s="3"/>
    </row>
    <row r="129" spans="11:12" ht="22.5" customHeight="1" x14ac:dyDescent="0.25">
      <c r="K129" s="3"/>
      <c r="L129" s="3"/>
    </row>
    <row r="130" spans="11:12" ht="22.5" customHeight="1" x14ac:dyDescent="0.25">
      <c r="K130" s="3"/>
      <c r="L130" s="3"/>
    </row>
    <row r="131" spans="11:12" ht="22.5" customHeight="1" x14ac:dyDescent="0.25">
      <c r="K131" s="3"/>
      <c r="L131" s="3"/>
    </row>
    <row r="132" spans="11:12" ht="22.5" customHeight="1" x14ac:dyDescent="0.25">
      <c r="K132" s="3"/>
      <c r="L132" s="3"/>
    </row>
    <row r="133" spans="11:12" ht="22.5" customHeight="1" x14ac:dyDescent="0.25">
      <c r="K133" s="3"/>
      <c r="L133" s="3"/>
    </row>
    <row r="134" spans="11:12" ht="22.5" customHeight="1" x14ac:dyDescent="0.25">
      <c r="K134" s="3"/>
      <c r="L134" s="3"/>
    </row>
    <row r="135" spans="11:12" ht="22.5" customHeight="1" x14ac:dyDescent="0.25">
      <c r="K135" s="3"/>
      <c r="L135" s="3"/>
    </row>
    <row r="136" spans="11:12" ht="22.5" customHeight="1" x14ac:dyDescent="0.25">
      <c r="K136" s="3"/>
      <c r="L136" s="3"/>
    </row>
    <row r="137" spans="11:12" ht="22.5" customHeight="1" x14ac:dyDescent="0.25">
      <c r="K137" s="3"/>
      <c r="L137" s="3"/>
    </row>
    <row r="138" spans="11:12" ht="22.5" customHeight="1" x14ac:dyDescent="0.25">
      <c r="K138" s="3"/>
      <c r="L138" s="3"/>
    </row>
    <row r="139" spans="11:12" ht="22.5" customHeight="1" x14ac:dyDescent="0.25">
      <c r="K139" s="3"/>
      <c r="L139" s="3"/>
    </row>
    <row r="140" spans="11:12" ht="22.5" customHeight="1" x14ac:dyDescent="0.25">
      <c r="K140" s="3"/>
      <c r="L140" s="3"/>
    </row>
    <row r="141" spans="11:12" ht="22.5" customHeight="1" x14ac:dyDescent="0.25">
      <c r="K141" s="3"/>
      <c r="L141" s="3"/>
    </row>
    <row r="142" spans="11:12" ht="22.5" customHeight="1" x14ac:dyDescent="0.25">
      <c r="K142" s="3"/>
      <c r="L142" s="3"/>
    </row>
    <row r="143" spans="11:12" ht="22.5" customHeight="1" x14ac:dyDescent="0.25">
      <c r="K143" s="3"/>
      <c r="L143" s="3"/>
    </row>
    <row r="144" spans="11:12" ht="22.5" customHeight="1" x14ac:dyDescent="0.25">
      <c r="K144" s="3"/>
      <c r="L144" s="3"/>
    </row>
    <row r="145" spans="11:12" ht="22.5" customHeight="1" x14ac:dyDescent="0.25">
      <c r="K145" s="3"/>
      <c r="L145" s="3"/>
    </row>
    <row r="146" spans="11:12" ht="22.5" customHeight="1" x14ac:dyDescent="0.25">
      <c r="K146" s="3"/>
      <c r="L146" s="3"/>
    </row>
    <row r="147" spans="11:12" ht="22.5" customHeight="1" x14ac:dyDescent="0.25">
      <c r="K147" s="3"/>
      <c r="L147" s="3"/>
    </row>
    <row r="148" spans="11:12" ht="22.5" customHeight="1" x14ac:dyDescent="0.25">
      <c r="K148" s="3"/>
      <c r="L148" s="3"/>
    </row>
    <row r="149" spans="11:12" ht="22.5" customHeight="1" x14ac:dyDescent="0.25">
      <c r="K149" s="3"/>
      <c r="L149" s="3"/>
    </row>
    <row r="150" spans="11:12" ht="22.5" customHeight="1" x14ac:dyDescent="0.25">
      <c r="K150" s="3"/>
      <c r="L150" s="3"/>
    </row>
    <row r="151" spans="11:12" ht="22.5" customHeight="1" x14ac:dyDescent="0.25">
      <c r="K151" s="3"/>
      <c r="L151" s="3"/>
    </row>
    <row r="152" spans="11:12" ht="22.5" customHeight="1" x14ac:dyDescent="0.25">
      <c r="K152" s="3"/>
      <c r="L152" s="3"/>
    </row>
    <row r="153" spans="11:12" ht="22.5" customHeight="1" x14ac:dyDescent="0.25">
      <c r="K153" s="3"/>
      <c r="L153" s="3"/>
    </row>
    <row r="154" spans="11:12" ht="22.5" customHeight="1" x14ac:dyDescent="0.25">
      <c r="K154" s="3"/>
      <c r="L154" s="3"/>
    </row>
    <row r="155" spans="11:12" ht="22.5" customHeight="1" x14ac:dyDescent="0.25">
      <c r="K155" s="3"/>
      <c r="L155" s="3"/>
    </row>
    <row r="156" spans="11:12" ht="22.5" customHeight="1" x14ac:dyDescent="0.25">
      <c r="K156" s="3"/>
      <c r="L156" s="3"/>
    </row>
    <row r="157" spans="11:12" ht="22.5" customHeight="1" x14ac:dyDescent="0.25">
      <c r="K157" s="3"/>
      <c r="L157" s="3"/>
    </row>
    <row r="158" spans="11:12" ht="22.5" customHeight="1" x14ac:dyDescent="0.25">
      <c r="K158" s="3"/>
      <c r="L158" s="3"/>
    </row>
    <row r="159" spans="11:12" ht="22.5" customHeight="1" x14ac:dyDescent="0.25">
      <c r="K159" s="3"/>
      <c r="L159" s="3"/>
    </row>
    <row r="160" spans="11:12" ht="22.5" customHeight="1" x14ac:dyDescent="0.25">
      <c r="K160" s="3"/>
      <c r="L160" s="3"/>
    </row>
    <row r="161" spans="11:12" ht="22.5" customHeight="1" x14ac:dyDescent="0.25">
      <c r="K161" s="3"/>
      <c r="L161" s="3"/>
    </row>
    <row r="162" spans="11:12" ht="22.5" customHeight="1" x14ac:dyDescent="0.25">
      <c r="K162" s="3"/>
      <c r="L162" s="3"/>
    </row>
    <row r="163" spans="11:12" ht="22.5" customHeight="1" x14ac:dyDescent="0.25">
      <c r="K163" s="3"/>
      <c r="L163" s="3"/>
    </row>
    <row r="164" spans="11:12" ht="22.5" customHeight="1" x14ac:dyDescent="0.25">
      <c r="K164" s="3"/>
      <c r="L164" s="3"/>
    </row>
    <row r="165" spans="11:12" ht="22.5" customHeight="1" x14ac:dyDescent="0.25">
      <c r="K165" s="3"/>
      <c r="L165" s="3"/>
    </row>
    <row r="166" spans="11:12" ht="22.5" customHeight="1" x14ac:dyDescent="0.25">
      <c r="K166" s="3"/>
      <c r="L166" s="3"/>
    </row>
    <row r="167" spans="11:12" ht="22.5" customHeight="1" x14ac:dyDescent="0.25">
      <c r="K167" s="3"/>
      <c r="L167" s="3"/>
    </row>
    <row r="168" spans="11:12" ht="22.5" customHeight="1" x14ac:dyDescent="0.25">
      <c r="K168" s="3"/>
      <c r="L168" s="3"/>
    </row>
    <row r="169" spans="11:12" ht="22.5" customHeight="1" x14ac:dyDescent="0.25">
      <c r="K169" s="3"/>
      <c r="L169" s="3"/>
    </row>
    <row r="170" spans="11:12" ht="22.5" customHeight="1" x14ac:dyDescent="0.25">
      <c r="K170" s="3"/>
      <c r="L170" s="3"/>
    </row>
    <row r="171" spans="11:12" ht="22.5" customHeight="1" x14ac:dyDescent="0.25">
      <c r="K171" s="3"/>
      <c r="L171" s="3"/>
    </row>
    <row r="172" spans="11:12" ht="22.5" customHeight="1" x14ac:dyDescent="0.25">
      <c r="K172" s="3"/>
      <c r="L172" s="3"/>
    </row>
    <row r="173" spans="11:12" ht="22.5" customHeight="1" x14ac:dyDescent="0.25">
      <c r="K173" s="3"/>
      <c r="L173" s="3"/>
    </row>
    <row r="174" spans="11:12" ht="22.5" customHeight="1" x14ac:dyDescent="0.25">
      <c r="K174" s="3"/>
      <c r="L174" s="3"/>
    </row>
    <row r="175" spans="11:12" ht="22.5" customHeight="1" x14ac:dyDescent="0.25">
      <c r="K175" s="3"/>
      <c r="L175" s="3"/>
    </row>
    <row r="176" spans="11:12" ht="22.5" customHeight="1" x14ac:dyDescent="0.25">
      <c r="K176" s="3"/>
      <c r="L176" s="3"/>
    </row>
    <row r="177" spans="11:12" ht="22.5" customHeight="1" x14ac:dyDescent="0.25">
      <c r="K177" s="3"/>
      <c r="L177" s="3"/>
    </row>
    <row r="178" spans="11:12" ht="22.5" customHeight="1" x14ac:dyDescent="0.25">
      <c r="K178" s="3"/>
      <c r="L178" s="3"/>
    </row>
    <row r="179" spans="11:12" ht="22.5" customHeight="1" x14ac:dyDescent="0.25">
      <c r="K179" s="3"/>
      <c r="L179" s="3"/>
    </row>
    <row r="180" spans="11:12" ht="22.5" customHeight="1" x14ac:dyDescent="0.25">
      <c r="K180" s="3"/>
      <c r="L180" s="3"/>
    </row>
    <row r="181" spans="11:12" ht="22.5" customHeight="1" x14ac:dyDescent="0.25">
      <c r="K181" s="3"/>
      <c r="L181" s="3"/>
    </row>
    <row r="182" spans="11:12" ht="22.5" customHeight="1" x14ac:dyDescent="0.25">
      <c r="K182" s="3"/>
      <c r="L182" s="3"/>
    </row>
    <row r="183" spans="11:12" ht="22.5" customHeight="1" x14ac:dyDescent="0.25">
      <c r="K183" s="3"/>
      <c r="L183" s="3"/>
    </row>
    <row r="184" spans="11:12" ht="22.5" customHeight="1" x14ac:dyDescent="0.25">
      <c r="K184" s="3"/>
      <c r="L184" s="3"/>
    </row>
    <row r="185" spans="11:12" ht="22.5" customHeight="1" x14ac:dyDescent="0.25">
      <c r="K185" s="3"/>
      <c r="L185" s="3"/>
    </row>
    <row r="186" spans="11:12" ht="22.5" customHeight="1" x14ac:dyDescent="0.25">
      <c r="K186" s="3"/>
      <c r="L186" s="3"/>
    </row>
    <row r="187" spans="11:12" ht="22.5" customHeight="1" x14ac:dyDescent="0.25">
      <c r="K187" s="3"/>
      <c r="L187" s="3"/>
    </row>
    <row r="188" spans="11:12" ht="22.5" customHeight="1" x14ac:dyDescent="0.25">
      <c r="K188" s="3"/>
      <c r="L188" s="3"/>
    </row>
    <row r="189" spans="11:12" ht="22.5" customHeight="1" x14ac:dyDescent="0.25">
      <c r="K189" s="3"/>
      <c r="L189" s="3"/>
    </row>
    <row r="190" spans="11:12" ht="22.5" customHeight="1" x14ac:dyDescent="0.25">
      <c r="K190" s="3"/>
      <c r="L190" s="3"/>
    </row>
    <row r="191" spans="11:12" ht="22.5" customHeight="1" x14ac:dyDescent="0.25">
      <c r="K191" s="3"/>
      <c r="L191" s="3"/>
    </row>
    <row r="192" spans="11:12" ht="22.5" customHeight="1" x14ac:dyDescent="0.25">
      <c r="K192" s="3"/>
      <c r="L192" s="3"/>
    </row>
    <row r="193" spans="11:12" ht="22.5" customHeight="1" x14ac:dyDescent="0.25">
      <c r="K193" s="3"/>
      <c r="L193" s="3"/>
    </row>
    <row r="194" spans="11:12" ht="22.5" customHeight="1" x14ac:dyDescent="0.25">
      <c r="K194" s="3"/>
      <c r="L194" s="3"/>
    </row>
    <row r="195" spans="11:12" ht="22.5" customHeight="1" x14ac:dyDescent="0.25">
      <c r="K195" s="3"/>
      <c r="L195" s="3"/>
    </row>
    <row r="196" spans="11:12" ht="22.5" customHeight="1" x14ac:dyDescent="0.25">
      <c r="K196" s="3"/>
      <c r="L196" s="3"/>
    </row>
    <row r="197" spans="11:12" ht="22.5" customHeight="1" x14ac:dyDescent="0.25">
      <c r="K197" s="3"/>
      <c r="L197" s="3"/>
    </row>
    <row r="198" spans="11:12" ht="22.5" customHeight="1" x14ac:dyDescent="0.25">
      <c r="K198" s="3"/>
      <c r="L198" s="3"/>
    </row>
    <row r="199" spans="11:12" ht="22.5" customHeight="1" x14ac:dyDescent="0.25">
      <c r="K199" s="3"/>
      <c r="L199" s="3"/>
    </row>
    <row r="200" spans="11:12" ht="22.5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129" priority="9" operator="equal">
      <formula>FALSE</formula>
    </cfRule>
  </conditionalFormatting>
  <conditionalFormatting sqref="P15 U15">
    <cfRule type="containsText" dxfId="128" priority="6" operator="containsText" text="NA">
      <formula>NOT(ISERROR(SEARCH("NA",P15)))</formula>
    </cfRule>
  </conditionalFormatting>
  <conditionalFormatting sqref="X15">
    <cfRule type="cellIs" dxfId="127" priority="5" operator="equal">
      <formula>FALSE</formula>
    </cfRule>
  </conditionalFormatting>
  <conditionalFormatting sqref="F15">
    <cfRule type="containsText" dxfId="126" priority="1" operator="containsText" text="Compte courant d'associé">
      <formula>NOT(ISERROR(SEARCH("Compte courant d'associé",F15)))</formula>
    </cfRule>
    <cfRule type="containsText" dxfId="125" priority="4" operator="containsText" text="Rémunération gérant">
      <formula>NOT(ISERROR(SEARCH("Rémunération gérant",F15)))</formula>
    </cfRule>
  </conditionalFormatting>
  <conditionalFormatting sqref="D15:J15">
    <cfRule type="containsBlanks" dxfId="124" priority="2">
      <formula>LEN(TRIM(D15))=0</formula>
    </cfRule>
  </conditionalFormatting>
  <dataValidations count="6">
    <dataValidation type="list" allowBlank="1" showInputMessage="1" showErrorMessage="1" sqref="I12" xr:uid="{09633507-D977-46E7-B335-00766479B390}">
      <formula1>PREMIERJOURMOIS</formula1>
    </dataValidation>
    <dataValidation type="list" allowBlank="1" showInputMessage="1" sqref="J15 G15" xr:uid="{7240B964-11A4-4332-9DEF-439B8EE692F6}">
      <formula1>OFFSET(TIERS,MATCH(G15&amp;"*",TIERS,0)-1,,COUNTIF(TIERS,G15&amp;"*"))</formula1>
    </dataValidation>
    <dataValidation type="list" allowBlank="1" showInputMessage="1" sqref="F15" xr:uid="{DA824253-2A8C-4B3E-ABDF-322EF4730791}">
      <formula1>OFFSET(CATEGORIE,MATCH(F15&amp;"*",CATEGORIE,0)-1,,COUNTIF(CATEGORIE,F15&amp;"*"))</formula1>
    </dataValidation>
    <dataValidation type="list" allowBlank="1" showInputMessage="1" sqref="D15" xr:uid="{F0526B4F-6335-4465-897F-1C0D6C5C52F8}">
      <formula1>OFFSET(MODEDEREGLEMENT,MATCH(D15&amp;"*",MODEDEREGLEMENT,0)-1,,COUNTIF(MODEDEREGLEMENT,D15&amp;"*"))</formula1>
    </dataValidation>
    <dataValidation type="list" allowBlank="1" showInputMessage="1" showErrorMessage="1" sqref="Z15" xr:uid="{1082F497-7102-4E8D-BF94-F0E00D087B04}">
      <formula1>CODETVA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E96215CF-57B0-4DA9-B3D1-63A2868B84A7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DBD7EF-AEA0-4B30-81FA-12B991D2DF77}">
  <sheetPr codeName="Feuil151">
    <tabColor theme="9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B15" sqref="B15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10</v>
      </c>
      <c r="H12" s="4" t="s">
        <v>6</v>
      </c>
      <c r="I12" s="47">
        <v>44105</v>
      </c>
      <c r="K12" s="3"/>
      <c r="L12" s="51" t="s">
        <v>5</v>
      </c>
      <c r="M12" s="26">
        <f>IFERROR(Septembre!M17,0)</f>
        <v>55</v>
      </c>
      <c r="N12" s="53" t="s">
        <v>7</v>
      </c>
      <c r="O12" s="50">
        <f>EOMONTH(I12,-1)</f>
        <v>44104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IFERROR(IF(TABLEAUJ10[[#This Row],[Date]]="","",IF(YEAR(TABLEAUJ10[[#This Row],[Date]])*12+MONTH(TABLEAUJ10[[#This Row],[Date]])-YEAR(INDEX(TABLEAUECHEANCE[1EREECHEANCE],MATCH(1,(TABLEAUECHEANCE[CATEGORIEECHEANCE]=TABLEAUJ10[[#This Row],[Catégorie]])*(TABLEAUECHEANCE[TIERSECHEANCE]=TABLEAUJ10[[#This Row],[Payé à]]),0)) )*12-MONTH(INDEX(TABLEAUECHEANCE[1EREECHEANCE],MATCH(1,(TABLEAUECHEANCE[CATEGORIEECHEANCE]=TABLEAUJ10[[#This Row],[Catégorie]])*(TABLEAUECHEANCE[TIERSECHEANCE]=TABLEAUJ10[[#This Row],[Payé à]]),0)) )+1&gt;INDEX(TABLEAUECHEANCE[NBECHEANCE],MATCH(1,(TABLEAUECHEANCE[CATEGORIEECHEANCE]=TABLEAUJ10[[#This Row],[Catégorie]])*(TABLEAUECHEANCE[TIERSECHEANCE]=TABLEAUJ10[[#This Row],[Payé à]]),0)),"HE",CONCATENATE(IF(INDEX(TABLEAUECHEANCE[1EREECHEANCE],MATCH(1,(TABLEAUECHEANCE[CATEGORIEECHEANCE]=TABLEAUJ10[[#This Row],[Catégorie]])*(TABLEAUECHEANCE[TIERSECHEANCE]=TABLEAUJ10[[#This Row],[Payé à]]),0)) ="","",YEAR(TABLEAUJ10[[#This Row],[Date]])*12+MONTH(TABLEAUJ10[[#This Row],[Date]])-YEAR(INDEX(TABLEAUECHEANCE[1EREECHEANCE],MATCH(1,(TABLEAUECHEANCE[CATEGORIEECHEANCE]=TABLEAUJ10[[#This Row],[Catégorie]])*(TABLEAUECHEANCE[TIERSECHEANCE]=TABLEAUJ10[[#This Row],[Payé à]]),0)) )*12-MONTH(INDEX(TABLEAUECHEANCE[1EREECHEANCE],MATCH(1,(TABLEAUECHEANCE[CATEGORIEECHEANCE]=TABLEAUJ10[[#This Row],[Catégorie]])*(TABLEAUECHEANCE[TIERSECHEANCE]=TABLEAUJ10[[#This Row],[Payé à]]),0)) )+1)," sur ",INDEX(TABLEAUECHEANCE[NBECHEANCE],MATCH(1,(TABLEAUECHEANCE[CATEGORIEECHEANCE]=TABLEAUJ10[[#This Row],[Catégorie]])*(TABLEAUECHEANCE[TIERSECHEANCE]=TABLEAUJ10[[#This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IFERROR(IF(ROW()=ROW($B$15),SUM($M$12,-TABLEAUJ10[[#This Row],[Débit]],TABLEAUJ10[[#This Row],[Crédit]]),SUM(M14,-TABLEAUJ10[[#This Row],[Débit]],TABLEAUJ10[[#This Row],[Crédit]])),"")</f>
        <v>55</v>
      </c>
      <c r="N15" s="85" t="b">
        <f>IFERROR(IF(OR(TABLEAUJ10[[#This Row],[Code TVA D]]="",TABLEAUJ10[[#This Row],[Code TVA D]]="NA"),TRUE,SUM(TABLEAUJ10[[#This Row],[Débit HT]],TABLEAUJ10[[#This Row],[TVA déductible]])=TABLEAUJ10[[#This Row],[Débit TTC]]),"")</f>
        <v>1</v>
      </c>
      <c r="O15" s="86" t="str">
        <f>IFERROR(IF(OR(TABLEAUJ10[[#This Row],[Code TVA D]]="",TABLEAUJ10[[#This Row],[Code TVA D]]="NA"),"",TABLEAUJ10[[#This Row],[Débit TTC]]/(1+(VLOOKUP(TABLEAUJ10[[#This Row],[Code TVA D]],MATRICETVA[],2,FALSE)))),"")</f>
        <v/>
      </c>
      <c r="P15" s="87" t="str">
        <f>IFERROR(IF(TABLEAUJ10[[#This Row],[Débit]]&lt;&gt;"",IF(TABLEAUJ10[[#This Row],[Code TVA M]]&lt;&gt;"",TABLEAUJ10[[#This Row],[Code TVA M]],TABLEAUJ10[[#This Row],[Code TVA A]]),""),"")</f>
        <v/>
      </c>
      <c r="Q15" s="88" t="str">
        <f>IFERROR(IF(OR(TABLEAUJ10[[#This Row],[Code TVA D]]="",TABLEAUJ10[[#This Row],[Code TVA D]]="NA"),"",TABLEAUJ10[[#This Row],[Débit TTC]]/(1+VLOOKUP(TABLEAUJ10[[#This Row],[Code TVA D]],MATRICETVA[],2,FALSE))*VLOOKUP(TABLEAUJ10[[#This Row],[Code TVA D]],MATRICETVA[],2,FALSE)),"")</f>
        <v/>
      </c>
      <c r="R15" s="86" t="str">
        <f>IFERROR(IF(OR(TABLEAUJ10[[#This Row],[Code TVA D]]="",TABLEAUJ10[[#This Row],[Code TVA D]]="NA"),"",TABLEAUJ10[[#This Row],[Débit]]),"")</f>
        <v/>
      </c>
      <c r="S15" s="89" t="b">
        <f>IFERROR(IF(OR(TABLEAUJ10[[#This Row],[Code TVA C]]="",TABLEAUJ10[[#This Row],[Code TVA C]]="NA"),TRUE,SUM(TABLEAUJ10[[#This Row],[Crédit HT]],TABLEAUJ10[[#This Row],[TVA collectée]])=TABLEAUJ10[[#This Row],[Crédit TTC]]),"")</f>
        <v>1</v>
      </c>
      <c r="T15" s="90" t="str">
        <f>IFERROR(IF(OR(TABLEAUJ10[[#This Row],[Code TVA C]]="",TABLEAUJ10[[#This Row],[Code TVA C]]="NA"),"",TABLEAUJ10[[#This Row],[Crédit TTC]]/(1+(VLOOKUP(TABLEAUJ10[[#This Row],[Code TVA C]],MATRICETVA[],2,FALSE)))),"")</f>
        <v/>
      </c>
      <c r="U15" s="87" t="str">
        <f>IFERROR(IF(TABLEAUJ10[[#This Row],[Crédit]]&lt;&gt;"",IF(TABLEAUJ10[[#This Row],[Code TVA M]]&lt;&gt;"",TABLEAUJ10[[#This Row],[Code TVA M]],TABLEAUJ10[[#This Row],[Code TVA A]]),""),"")</f>
        <v/>
      </c>
      <c r="V15" s="88" t="str">
        <f>IFERROR(IF(OR(TABLEAUJ10[[#This Row],[Code TVA C]]="",TABLEAUJ10[[#This Row],[Code TVA C]]="NA"),"",TABLEAUJ10[[#This Row],[Crédit TTC]]/(1+VLOOKUP(TABLEAUJ10[[#This Row],[Code TVA C]],MATRICETVA[],2,FALSE))*VLOOKUP(TABLEAUJ10[[#This Row],[Code TVA C]],MATRICETVA[],2,FALSE)),"")</f>
        <v/>
      </c>
      <c r="W15" s="90" t="str">
        <f>IFERROR(IF(OR(TABLEAUJ10[[#This Row],[Code TVA C]]="",TABLEAUJ10[[#This Row],[Code TVA C]]="NA"),"",TABLEAUJ10[[#This Row],[Crédit]]),"")</f>
        <v/>
      </c>
      <c r="X15" s="91" t="b">
        <f>IFERROR(IF(AND(TABLEAUJ10[[#This Row],[Débit]]&lt;&gt;"",TABLEAUJ10[[#This Row],[Crédit]]&lt;&gt;""),FALSE,TRUE),"")</f>
        <v>1</v>
      </c>
      <c r="Y15" s="92" t="str">
        <f>IFERROR(VLOOKUP(TABLEAUJ10[[#This Row],[Catégorie]],MATRICECATEGORIE[],2,FALSE),"")</f>
        <v/>
      </c>
      <c r="Z15" s="93"/>
      <c r="AA15" s="89" t="b">
        <f>IFERROR(IF(AND(TABLEAUJ10[[#This Row],[Code TVA D]]&lt;&gt;"",TABLEAUJ10[[#This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IFERROR(SUBTOTAL(109,TABLEAUJ10[Débit]),"")</f>
        <v>0</v>
      </c>
      <c r="L16" s="99">
        <f>IFERROR(SUBTOTAL(109,TABLEAUJ10[Crédit]),"")</f>
        <v>0</v>
      </c>
      <c r="M16" s="100">
        <f>IFERROR(SUM($M$12,-TABLEAUJ10[[#Totals],[Débit]],TABLEAUJ10[[#Totals],[Crédit]]),"")</f>
        <v>55</v>
      </c>
      <c r="N16" s="101" t="b">
        <f>IFERROR(SUM(TABLEAUJ10[[#Totals],[Débit HT]],TABLEAUJ10[[#Totals],[TVA déductible]])=TABLEAUJ10[[#Totals],[Débit TTC]],"")</f>
        <v>1</v>
      </c>
      <c r="O16" s="102">
        <f>IFERROR(SUBTOTAL(109,TABLEAUJ10[Débit HT]),"")</f>
        <v>0</v>
      </c>
      <c r="P16" s="103"/>
      <c r="Q16" s="104">
        <f>IFERROR(SUBTOTAL(109,TABLEAUJ10[TVA déductible]),"")</f>
        <v>0</v>
      </c>
      <c r="R16" s="98">
        <f>IFERROR(SUBTOTAL(109,TABLEAUJ10[Débit TTC]),"")</f>
        <v>0</v>
      </c>
      <c r="S16" s="101" t="b">
        <f>IFERROR(SUM(TABLEAUJ10[[#Totals],[Crédit HT]],TABLEAUJ10[[#Totals],[TVA collectée]])=TABLEAUJ10[[#Totals],[Crédit TTC]],"")</f>
        <v>1</v>
      </c>
      <c r="T16" s="105">
        <f>IFERROR(SUBTOTAL(109,TABLEAUJ10[Crédit HT]),"")</f>
        <v>0</v>
      </c>
      <c r="U16" s="103"/>
      <c r="V16" s="104">
        <f>IFERROR(SUBTOTAL(109,TABLEAUJ10[TVA collectée]),"")</f>
        <v>0</v>
      </c>
      <c r="W16" s="99">
        <f>IFERROR(SUBTOTAL(109,TABLEAUJ10[Crédit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44105</v>
      </c>
      <c r="H17" s="61"/>
      <c r="I17" s="48"/>
      <c r="J17" s="59"/>
      <c r="K17" s="60"/>
      <c r="L17" s="51" t="s">
        <v>5</v>
      </c>
      <c r="M17" s="26">
        <f>TABLEAUJ10[[#Totals],[Solde bancaire]]</f>
        <v>55</v>
      </c>
      <c r="N17" s="53" t="s">
        <v>7</v>
      </c>
      <c r="O17" s="39">
        <f>IFERROR(IF(MAX(B$15:B15)&lt;I12,I12,MAX(B$15:B15)),"")</f>
        <v>44105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SUM(TABLEAUJ10[[#Totals],[Crédit]],-TABLEAUJ10[[#Totals],[Débit]])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SUM(Septembre!M20,M19)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22.5" customHeight="1" x14ac:dyDescent="0.25">
      <c r="K115" s="3"/>
      <c r="L115" s="3"/>
    </row>
    <row r="116" spans="11:12" ht="22.5" customHeight="1" x14ac:dyDescent="0.25">
      <c r="K116" s="3"/>
      <c r="L116" s="3"/>
    </row>
    <row r="117" spans="11:12" ht="22.5" customHeight="1" x14ac:dyDescent="0.25">
      <c r="K117" s="3"/>
      <c r="L117" s="3"/>
    </row>
    <row r="118" spans="11:12" ht="22.5" customHeight="1" x14ac:dyDescent="0.25">
      <c r="K118" s="3"/>
      <c r="L118" s="3"/>
    </row>
    <row r="119" spans="11:12" ht="22.5" customHeight="1" x14ac:dyDescent="0.25">
      <c r="K119" s="3"/>
      <c r="L119" s="3"/>
    </row>
    <row r="120" spans="11:12" ht="22.5" customHeight="1" x14ac:dyDescent="0.25">
      <c r="K120" s="3"/>
      <c r="L120" s="3"/>
    </row>
    <row r="121" spans="11:12" ht="22.5" customHeight="1" x14ac:dyDescent="0.25">
      <c r="K121" s="3"/>
      <c r="L121" s="3"/>
    </row>
    <row r="122" spans="11:12" ht="22.5" customHeight="1" x14ac:dyDescent="0.25">
      <c r="K122" s="3"/>
      <c r="L122" s="3"/>
    </row>
    <row r="123" spans="11:12" ht="22.5" customHeight="1" x14ac:dyDescent="0.25">
      <c r="K123" s="3"/>
      <c r="L123" s="3"/>
    </row>
    <row r="124" spans="11:12" ht="22.5" customHeight="1" x14ac:dyDescent="0.25">
      <c r="K124" s="3"/>
      <c r="L124" s="3"/>
    </row>
    <row r="125" spans="11:12" ht="22.5" customHeight="1" x14ac:dyDescent="0.25">
      <c r="K125" s="3"/>
      <c r="L125" s="3"/>
    </row>
    <row r="126" spans="11:12" ht="22.5" customHeight="1" x14ac:dyDescent="0.25">
      <c r="K126" s="3"/>
      <c r="L126" s="3"/>
    </row>
    <row r="127" spans="11:12" ht="22.5" customHeight="1" x14ac:dyDescent="0.25">
      <c r="K127" s="3"/>
      <c r="L127" s="3"/>
    </row>
    <row r="128" spans="11:12" ht="22.5" customHeight="1" x14ac:dyDescent="0.25">
      <c r="K128" s="3"/>
      <c r="L128" s="3"/>
    </row>
    <row r="129" spans="11:12" ht="22.5" customHeight="1" x14ac:dyDescent="0.25">
      <c r="K129" s="3"/>
      <c r="L129" s="3"/>
    </row>
    <row r="130" spans="11:12" ht="22.5" customHeight="1" x14ac:dyDescent="0.25">
      <c r="K130" s="3"/>
      <c r="L130" s="3"/>
    </row>
    <row r="131" spans="11:12" ht="22.5" customHeight="1" x14ac:dyDescent="0.25">
      <c r="K131" s="3"/>
      <c r="L131" s="3"/>
    </row>
    <row r="132" spans="11:12" ht="22.5" customHeight="1" x14ac:dyDescent="0.25">
      <c r="K132" s="3"/>
      <c r="L132" s="3"/>
    </row>
    <row r="133" spans="11:12" ht="22.5" customHeight="1" x14ac:dyDescent="0.25">
      <c r="K133" s="3"/>
      <c r="L133" s="3"/>
    </row>
    <row r="134" spans="11:12" ht="22.5" customHeight="1" x14ac:dyDescent="0.25">
      <c r="K134" s="3"/>
      <c r="L134" s="3"/>
    </row>
    <row r="135" spans="11:12" ht="22.5" customHeight="1" x14ac:dyDescent="0.25">
      <c r="K135" s="3"/>
      <c r="L135" s="3"/>
    </row>
    <row r="136" spans="11:12" ht="22.5" customHeight="1" x14ac:dyDescent="0.25">
      <c r="K136" s="3"/>
      <c r="L136" s="3"/>
    </row>
    <row r="137" spans="11:12" ht="22.5" customHeight="1" x14ac:dyDescent="0.25">
      <c r="K137" s="3"/>
      <c r="L137" s="3"/>
    </row>
    <row r="138" spans="11:12" ht="22.5" customHeight="1" x14ac:dyDescent="0.25">
      <c r="K138" s="3"/>
      <c r="L138" s="3"/>
    </row>
    <row r="139" spans="11:12" ht="22.5" customHeight="1" x14ac:dyDescent="0.25">
      <c r="K139" s="3"/>
      <c r="L139" s="3"/>
    </row>
    <row r="140" spans="11:12" ht="22.5" customHeight="1" x14ac:dyDescent="0.25">
      <c r="K140" s="3"/>
      <c r="L140" s="3"/>
    </row>
    <row r="141" spans="11:12" ht="22.5" customHeight="1" x14ac:dyDescent="0.25">
      <c r="K141" s="3"/>
      <c r="L141" s="3"/>
    </row>
    <row r="142" spans="11:12" ht="22.5" customHeight="1" x14ac:dyDescent="0.25">
      <c r="K142" s="3"/>
      <c r="L142" s="3"/>
    </row>
    <row r="143" spans="11:12" ht="22.5" customHeight="1" x14ac:dyDescent="0.25">
      <c r="K143" s="3"/>
      <c r="L143" s="3"/>
    </row>
    <row r="144" spans="11:12" ht="22.5" customHeight="1" x14ac:dyDescent="0.25">
      <c r="K144" s="3"/>
      <c r="L144" s="3"/>
    </row>
    <row r="145" spans="11:12" ht="22.5" customHeight="1" x14ac:dyDescent="0.25">
      <c r="K145" s="3"/>
      <c r="L145" s="3"/>
    </row>
    <row r="146" spans="11:12" ht="22.5" customHeight="1" x14ac:dyDescent="0.25">
      <c r="K146" s="3"/>
      <c r="L146" s="3"/>
    </row>
    <row r="147" spans="11:12" ht="22.5" customHeight="1" x14ac:dyDescent="0.25">
      <c r="K147" s="3"/>
      <c r="L147" s="3"/>
    </row>
    <row r="148" spans="11:12" ht="22.5" customHeight="1" x14ac:dyDescent="0.25">
      <c r="K148" s="3"/>
      <c r="L148" s="3"/>
    </row>
    <row r="149" spans="11:12" ht="22.5" customHeight="1" x14ac:dyDescent="0.25">
      <c r="K149" s="3"/>
      <c r="L149" s="3"/>
    </row>
    <row r="150" spans="11:12" ht="22.5" customHeight="1" x14ac:dyDescent="0.25">
      <c r="K150" s="3"/>
      <c r="L150" s="3"/>
    </row>
    <row r="151" spans="11:12" ht="22.5" customHeight="1" x14ac:dyDescent="0.25">
      <c r="K151" s="3"/>
      <c r="L151" s="3"/>
    </row>
    <row r="152" spans="11:12" ht="22.5" customHeight="1" x14ac:dyDescent="0.25">
      <c r="K152" s="3"/>
      <c r="L152" s="3"/>
    </row>
    <row r="153" spans="11:12" ht="22.5" customHeight="1" x14ac:dyDescent="0.25">
      <c r="K153" s="3"/>
      <c r="L153" s="3"/>
    </row>
    <row r="154" spans="11:12" ht="22.5" customHeight="1" x14ac:dyDescent="0.25">
      <c r="K154" s="3"/>
      <c r="L154" s="3"/>
    </row>
    <row r="155" spans="11:12" ht="22.5" customHeight="1" x14ac:dyDescent="0.25">
      <c r="K155" s="3"/>
      <c r="L155" s="3"/>
    </row>
    <row r="156" spans="11:12" ht="22.5" customHeight="1" x14ac:dyDescent="0.25">
      <c r="K156" s="3"/>
      <c r="L156" s="3"/>
    </row>
    <row r="157" spans="11:12" ht="22.5" customHeight="1" x14ac:dyDescent="0.25">
      <c r="K157" s="3"/>
      <c r="L157" s="3"/>
    </row>
    <row r="158" spans="11:12" ht="22.5" customHeight="1" x14ac:dyDescent="0.25">
      <c r="K158" s="3"/>
      <c r="L158" s="3"/>
    </row>
    <row r="159" spans="11:12" ht="22.5" customHeight="1" x14ac:dyDescent="0.25">
      <c r="K159" s="3"/>
      <c r="L159" s="3"/>
    </row>
    <row r="160" spans="11:12" ht="22.5" customHeight="1" x14ac:dyDescent="0.25">
      <c r="K160" s="3"/>
      <c r="L160" s="3"/>
    </row>
    <row r="161" spans="11:12" ht="22.5" customHeight="1" x14ac:dyDescent="0.25">
      <c r="K161" s="3"/>
      <c r="L161" s="3"/>
    </row>
    <row r="162" spans="11:12" ht="22.5" customHeight="1" x14ac:dyDescent="0.25">
      <c r="K162" s="3"/>
      <c r="L162" s="3"/>
    </row>
    <row r="163" spans="11:12" ht="22.5" customHeight="1" x14ac:dyDescent="0.25">
      <c r="K163" s="3"/>
      <c r="L163" s="3"/>
    </row>
    <row r="164" spans="11:12" ht="22.5" customHeight="1" x14ac:dyDescent="0.25">
      <c r="K164" s="3"/>
      <c r="L164" s="3"/>
    </row>
    <row r="165" spans="11:12" ht="22.5" customHeight="1" x14ac:dyDescent="0.25">
      <c r="K165" s="3"/>
      <c r="L165" s="3"/>
    </row>
    <row r="166" spans="11:12" ht="22.5" customHeight="1" x14ac:dyDescent="0.25">
      <c r="K166" s="3"/>
      <c r="L166" s="3"/>
    </row>
    <row r="167" spans="11:12" ht="22.5" customHeight="1" x14ac:dyDescent="0.25">
      <c r="K167" s="3"/>
      <c r="L167" s="3"/>
    </row>
    <row r="168" spans="11:12" ht="22.5" customHeight="1" x14ac:dyDescent="0.25">
      <c r="K168" s="3"/>
      <c r="L168" s="3"/>
    </row>
    <row r="169" spans="11:12" ht="22.5" customHeight="1" x14ac:dyDescent="0.25">
      <c r="K169" s="3"/>
      <c r="L169" s="3"/>
    </row>
    <row r="170" spans="11:12" ht="22.5" customHeight="1" x14ac:dyDescent="0.25">
      <c r="K170" s="3"/>
      <c r="L170" s="3"/>
    </row>
    <row r="171" spans="11:12" ht="22.5" customHeight="1" x14ac:dyDescent="0.25">
      <c r="K171" s="3"/>
      <c r="L171" s="3"/>
    </row>
    <row r="172" spans="11:12" ht="22.5" customHeight="1" x14ac:dyDescent="0.25">
      <c r="K172" s="3"/>
      <c r="L172" s="3"/>
    </row>
    <row r="173" spans="11:12" ht="22.5" customHeight="1" x14ac:dyDescent="0.25">
      <c r="K173" s="3"/>
      <c r="L173" s="3"/>
    </row>
    <row r="174" spans="11:12" ht="22.5" customHeight="1" x14ac:dyDescent="0.25">
      <c r="K174" s="3"/>
      <c r="L174" s="3"/>
    </row>
    <row r="175" spans="11:12" ht="22.5" customHeight="1" x14ac:dyDescent="0.25">
      <c r="K175" s="3"/>
      <c r="L175" s="3"/>
    </row>
    <row r="176" spans="11:12" ht="22.5" customHeight="1" x14ac:dyDescent="0.25">
      <c r="K176" s="3"/>
      <c r="L176" s="3"/>
    </row>
    <row r="177" spans="11:12" ht="22.5" customHeight="1" x14ac:dyDescent="0.25">
      <c r="K177" s="3"/>
      <c r="L177" s="3"/>
    </row>
    <row r="178" spans="11:12" ht="22.5" customHeight="1" x14ac:dyDescent="0.25">
      <c r="K178" s="3"/>
      <c r="L178" s="3"/>
    </row>
    <row r="179" spans="11:12" ht="22.5" customHeight="1" x14ac:dyDescent="0.25">
      <c r="K179" s="3"/>
      <c r="L179" s="3"/>
    </row>
    <row r="180" spans="11:12" ht="22.5" customHeight="1" x14ac:dyDescent="0.25">
      <c r="K180" s="3"/>
      <c r="L180" s="3"/>
    </row>
    <row r="181" spans="11:12" ht="22.5" customHeight="1" x14ac:dyDescent="0.25">
      <c r="K181" s="3"/>
      <c r="L181" s="3"/>
    </row>
    <row r="182" spans="11:12" ht="22.5" customHeight="1" x14ac:dyDescent="0.25">
      <c r="K182" s="3"/>
      <c r="L182" s="3"/>
    </row>
    <row r="183" spans="11:12" ht="22.5" customHeight="1" x14ac:dyDescent="0.25">
      <c r="K183" s="3"/>
      <c r="L183" s="3"/>
    </row>
    <row r="184" spans="11:12" ht="22.5" customHeight="1" x14ac:dyDescent="0.25">
      <c r="K184" s="3"/>
      <c r="L184" s="3"/>
    </row>
    <row r="185" spans="11:12" ht="22.5" customHeight="1" x14ac:dyDescent="0.25">
      <c r="K185" s="3"/>
      <c r="L185" s="3"/>
    </row>
    <row r="186" spans="11:12" ht="22.5" customHeight="1" x14ac:dyDescent="0.25">
      <c r="K186" s="3"/>
      <c r="L186" s="3"/>
    </row>
    <row r="187" spans="11:12" ht="22.5" customHeight="1" x14ac:dyDescent="0.25">
      <c r="K187" s="3"/>
      <c r="L187" s="3"/>
    </row>
    <row r="188" spans="11:12" ht="22.5" customHeight="1" x14ac:dyDescent="0.25">
      <c r="K188" s="3"/>
      <c r="L188" s="3"/>
    </row>
    <row r="189" spans="11:12" ht="22.5" customHeight="1" x14ac:dyDescent="0.25">
      <c r="K189" s="3"/>
      <c r="L189" s="3"/>
    </row>
    <row r="190" spans="11:12" ht="22.5" customHeight="1" x14ac:dyDescent="0.25">
      <c r="K190" s="3"/>
      <c r="L190" s="3"/>
    </row>
    <row r="191" spans="11:12" ht="22.5" customHeight="1" x14ac:dyDescent="0.25">
      <c r="K191" s="3"/>
      <c r="L191" s="3"/>
    </row>
    <row r="192" spans="11:12" ht="22.5" customHeight="1" x14ac:dyDescent="0.25">
      <c r="K192" s="3"/>
      <c r="L192" s="3"/>
    </row>
    <row r="193" spans="11:12" ht="22.5" customHeight="1" x14ac:dyDescent="0.25">
      <c r="K193" s="3"/>
      <c r="L193" s="3"/>
    </row>
    <row r="194" spans="11:12" ht="22.5" customHeight="1" x14ac:dyDescent="0.25">
      <c r="K194" s="3"/>
      <c r="L194" s="3"/>
    </row>
    <row r="195" spans="11:12" ht="22.5" customHeight="1" x14ac:dyDescent="0.25">
      <c r="K195" s="3"/>
      <c r="L195" s="3"/>
    </row>
    <row r="196" spans="11:12" ht="22.5" customHeight="1" x14ac:dyDescent="0.25">
      <c r="K196" s="3"/>
      <c r="L196" s="3"/>
    </row>
    <row r="197" spans="11:12" ht="22.5" customHeight="1" x14ac:dyDescent="0.25">
      <c r="K197" s="3"/>
      <c r="L197" s="3"/>
    </row>
    <row r="198" spans="11:12" ht="22.5" customHeight="1" x14ac:dyDescent="0.25">
      <c r="K198" s="3"/>
      <c r="L198" s="3"/>
    </row>
    <row r="199" spans="11:12" ht="22.5" customHeight="1" x14ac:dyDescent="0.25">
      <c r="K199" s="3"/>
      <c r="L199" s="3"/>
    </row>
    <row r="200" spans="11:12" ht="22.5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123" priority="9" operator="equal">
      <formula>FALSE</formula>
    </cfRule>
  </conditionalFormatting>
  <conditionalFormatting sqref="P15 U15">
    <cfRule type="containsText" dxfId="122" priority="6" operator="containsText" text="NA">
      <formula>NOT(ISERROR(SEARCH("NA",P15)))</formula>
    </cfRule>
  </conditionalFormatting>
  <conditionalFormatting sqref="X15">
    <cfRule type="cellIs" dxfId="121" priority="5" operator="equal">
      <formula>FALSE</formula>
    </cfRule>
  </conditionalFormatting>
  <conditionalFormatting sqref="F15">
    <cfRule type="containsText" dxfId="120" priority="1" operator="containsText" text="Compte courant d'associé">
      <formula>NOT(ISERROR(SEARCH("Compte courant d'associé",F15)))</formula>
    </cfRule>
    <cfRule type="containsText" dxfId="119" priority="4" operator="containsText" text="Rémunération gérant">
      <formula>NOT(ISERROR(SEARCH("Rémunération gérant",F15)))</formula>
    </cfRule>
  </conditionalFormatting>
  <conditionalFormatting sqref="D15:J15">
    <cfRule type="containsBlanks" dxfId="118" priority="2">
      <formula>LEN(TRIM(D15))=0</formula>
    </cfRule>
  </conditionalFormatting>
  <dataValidations count="6">
    <dataValidation type="list" allowBlank="1" showInputMessage="1" showErrorMessage="1" sqref="I12" xr:uid="{19FA2642-CFC8-4119-9322-51558E21CC7D}">
      <formula1>PREMIERJOURMOIS</formula1>
    </dataValidation>
    <dataValidation type="list" allowBlank="1" showInputMessage="1" sqref="J15 G15" xr:uid="{7133646B-72C5-46C8-8943-57D01736D357}">
      <formula1>OFFSET(TIERS,MATCH(G15&amp;"*",TIERS,0)-1,,COUNTIF(TIERS,G15&amp;"*"))</formula1>
    </dataValidation>
    <dataValidation type="list" allowBlank="1" showInputMessage="1" sqref="F15" xr:uid="{933E4E9E-3D7A-45D0-B0F5-9370CC4A8932}">
      <formula1>OFFSET(CATEGORIE,MATCH(F15&amp;"*",CATEGORIE,0)-1,,COUNTIF(CATEGORIE,F15&amp;"*"))</formula1>
    </dataValidation>
    <dataValidation type="list" allowBlank="1" showInputMessage="1" sqref="D15" xr:uid="{9B34D674-CC72-4EDA-B5CF-3109E697623C}">
      <formula1>OFFSET(MODEDEREGLEMENT,MATCH(D15&amp;"*",MODEDEREGLEMENT,0)-1,,COUNTIF(MODEDEREGLEMENT,D15&amp;"*"))</formula1>
    </dataValidation>
    <dataValidation type="list" allowBlank="1" showInputMessage="1" showErrorMessage="1" sqref="Z15" xr:uid="{083D9F7D-9C05-4737-A880-B16169AE1C0D}">
      <formula1>CODETVA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F10CC43B-5DEA-407D-BD7D-2179D49D8B19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D2C51-2617-4C5F-8379-22741D768D0F}">
  <sheetPr codeName="Feuil152">
    <tabColor theme="9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B15" sqref="B15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11</v>
      </c>
      <c r="H12" s="4" t="s">
        <v>6</v>
      </c>
      <c r="I12" s="47">
        <v>44136</v>
      </c>
      <c r="K12" s="3"/>
      <c r="L12" s="51" t="s">
        <v>5</v>
      </c>
      <c r="M12" s="26">
        <f>IFERROR(Octobre!M17,0)</f>
        <v>55</v>
      </c>
      <c r="N12" s="53" t="s">
        <v>7</v>
      </c>
      <c r="O12" s="50">
        <f>EOMONTH(I12,-1)</f>
        <v>44135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IFERROR(IF(TABLEAUJ11[[#This Row],[Date]]="","",IF(YEAR(TABLEAUJ11[[#This Row],[Date]])*12+MONTH(TABLEAUJ11[[#This Row],[Date]])-YEAR(INDEX(TABLEAUECHEANCE[1EREECHEANCE],MATCH(1,(TABLEAUECHEANCE[CATEGORIEECHEANCE]=TABLEAUJ11[[#This Row],[Catégorie]])*(TABLEAUECHEANCE[TIERSECHEANCE]=TABLEAUJ11[[#This Row],[Payé à]]),0)) )*12-MONTH(INDEX(TABLEAUECHEANCE[1EREECHEANCE],MATCH(1,(TABLEAUECHEANCE[CATEGORIEECHEANCE]=TABLEAUJ11[[#This Row],[Catégorie]])*(TABLEAUECHEANCE[TIERSECHEANCE]=TABLEAUJ11[[#This Row],[Payé à]]),0)) )+1&gt;INDEX(TABLEAUECHEANCE[NBECHEANCE],MATCH(1,(TABLEAUECHEANCE[CATEGORIEECHEANCE]=TABLEAUJ11[[#This Row],[Catégorie]])*(TABLEAUECHEANCE[TIERSECHEANCE]=TABLEAUJ11[[#This Row],[Payé à]]),0)),"HE",CONCATENATE(IF(INDEX(TABLEAUECHEANCE[1EREECHEANCE],MATCH(1,(TABLEAUECHEANCE[CATEGORIEECHEANCE]=TABLEAUJ11[[#This Row],[Catégorie]])*(TABLEAUECHEANCE[TIERSECHEANCE]=TABLEAUJ11[[#This Row],[Payé à]]),0)) ="","",YEAR(TABLEAUJ11[[#This Row],[Date]])*12+MONTH(TABLEAUJ11[[#This Row],[Date]])-YEAR(INDEX(TABLEAUECHEANCE[1EREECHEANCE],MATCH(1,(TABLEAUECHEANCE[CATEGORIEECHEANCE]=TABLEAUJ11[[#This Row],[Catégorie]])*(TABLEAUECHEANCE[TIERSECHEANCE]=TABLEAUJ11[[#This Row],[Payé à]]),0)) )*12-MONTH(INDEX(TABLEAUECHEANCE[1EREECHEANCE],MATCH(1,(TABLEAUECHEANCE[CATEGORIEECHEANCE]=TABLEAUJ11[[#This Row],[Catégorie]])*(TABLEAUECHEANCE[TIERSECHEANCE]=TABLEAUJ11[[#This Row],[Payé à]]),0)) )+1)," sur ",INDEX(TABLEAUECHEANCE[NBECHEANCE],MATCH(1,(TABLEAUECHEANCE[CATEGORIEECHEANCE]=TABLEAUJ11[[#This Row],[Catégorie]])*(TABLEAUECHEANCE[TIERSECHEANCE]=TABLEAUJ11[[#This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IFERROR(IF(ROW()=ROW($B$15),SUM($M$12,-TABLEAUJ11[[#This Row],[Débit]],TABLEAUJ11[[#This Row],[Crédit]]),SUM(M14,-TABLEAUJ11[[#This Row],[Débit]],TABLEAUJ11[[#This Row],[Crédit]])),"")</f>
        <v>55</v>
      </c>
      <c r="N15" s="85" t="b">
        <f>IFERROR(IF(OR(TABLEAUJ11[[#This Row],[Code TVA D]]="",TABLEAUJ11[[#This Row],[Code TVA D]]="NA"),TRUE,SUM(TABLEAUJ11[[#This Row],[Débit HT]],TABLEAUJ11[[#This Row],[TVA déductible]])=TABLEAUJ11[[#This Row],[Débit TTC]]),"")</f>
        <v>1</v>
      </c>
      <c r="O15" s="86" t="str">
        <f>IFERROR(IF(OR(TABLEAUJ11[[#This Row],[Code TVA D]]="",TABLEAUJ11[[#This Row],[Code TVA D]]="NA"),"",TABLEAUJ11[[#This Row],[Débit TTC]]/(1+(VLOOKUP(TABLEAUJ11[[#This Row],[Code TVA D]],MATRICETVA[],2,FALSE)))),"")</f>
        <v/>
      </c>
      <c r="P15" s="87" t="str">
        <f>IFERROR(IF(TABLEAUJ11[[#This Row],[Débit]]&lt;&gt;"",IF(TABLEAUJ11[[#This Row],[Code TVA M]]&lt;&gt;"",TABLEAUJ11[[#This Row],[Code TVA M]],TABLEAUJ11[[#This Row],[Code TVA A]]),""),"")</f>
        <v/>
      </c>
      <c r="Q15" s="88" t="str">
        <f>IFERROR(IF(OR(TABLEAUJ11[[#This Row],[Code TVA D]]="",TABLEAUJ11[[#This Row],[Code TVA D]]="NA"),"",TABLEAUJ11[[#This Row],[Débit TTC]]/(1+VLOOKUP(TABLEAUJ11[[#This Row],[Code TVA D]],MATRICETVA[],2,FALSE))*VLOOKUP(TABLEAUJ11[[#This Row],[Code TVA D]],MATRICETVA[],2,FALSE)),"")</f>
        <v/>
      </c>
      <c r="R15" s="86" t="str">
        <f>IFERROR(IF(OR(TABLEAUJ11[[#This Row],[Code TVA D]]="",TABLEAUJ11[[#This Row],[Code TVA D]]="NA"),"",TABLEAUJ11[[#This Row],[Débit]]),"")</f>
        <v/>
      </c>
      <c r="S15" s="89" t="b">
        <f>IFERROR(IF(OR(TABLEAUJ11[[#This Row],[Code TVA C]]="",TABLEAUJ11[[#This Row],[Code TVA C]]="NA"),TRUE,SUM(TABLEAUJ11[[#This Row],[Crédit HT]],TABLEAUJ11[[#This Row],[TVA collectée]])=TABLEAUJ11[[#This Row],[Crédit TTC]]),"")</f>
        <v>1</v>
      </c>
      <c r="T15" s="90" t="str">
        <f>IFERROR(IF(OR(TABLEAUJ11[[#This Row],[Code TVA C]]="",TABLEAUJ11[[#This Row],[Code TVA C]]="NA"),"",TABLEAUJ11[[#This Row],[Crédit TTC]]/(1+(VLOOKUP(TABLEAUJ11[[#This Row],[Code TVA C]],MATRICETVA[],2,FALSE)))),"")</f>
        <v/>
      </c>
      <c r="U15" s="87" t="str">
        <f>IFERROR(IF(TABLEAUJ11[[#This Row],[Crédit]]&lt;&gt;"",IF(TABLEAUJ11[[#This Row],[Code TVA M]]&lt;&gt;"",TABLEAUJ11[[#This Row],[Code TVA M]],TABLEAUJ11[[#This Row],[Code TVA A]]),""),"")</f>
        <v/>
      </c>
      <c r="V15" s="88" t="str">
        <f>IFERROR(IF(OR(TABLEAUJ11[[#This Row],[Code TVA C]]="",TABLEAUJ11[[#This Row],[Code TVA C]]="NA"),"",TABLEAUJ11[[#This Row],[Crédit TTC]]/(1+VLOOKUP(TABLEAUJ11[[#This Row],[Code TVA C]],MATRICETVA[],2,FALSE))*VLOOKUP(TABLEAUJ11[[#This Row],[Code TVA C]],MATRICETVA[],2,FALSE)),"")</f>
        <v/>
      </c>
      <c r="W15" s="90" t="str">
        <f>IFERROR(IF(OR(TABLEAUJ11[[#This Row],[Code TVA C]]="",TABLEAUJ11[[#This Row],[Code TVA C]]="NA"),"",TABLEAUJ11[[#This Row],[Crédit]]),"")</f>
        <v/>
      </c>
      <c r="X15" s="91" t="b">
        <f>IFERROR(IF(AND(TABLEAUJ11[[#This Row],[Débit]]&lt;&gt;"",TABLEAUJ11[[#This Row],[Crédit]]&lt;&gt;""),FALSE,TRUE),"")</f>
        <v>1</v>
      </c>
      <c r="Y15" s="92" t="str">
        <f>IFERROR(VLOOKUP(TABLEAUJ11[[#This Row],[Catégorie]],MATRICECATEGORIE[],2,FALSE),"")</f>
        <v/>
      </c>
      <c r="Z15" s="93"/>
      <c r="AA15" s="89" t="b">
        <f>IFERROR(IF(AND(TABLEAUJ11[[#This Row],[Code TVA D]]&lt;&gt;"",TABLEAUJ11[[#This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IFERROR(SUBTOTAL(109,TABLEAUJ11[Débit]),"")</f>
        <v>0</v>
      </c>
      <c r="L16" s="99">
        <f>IFERROR(SUBTOTAL(109,TABLEAUJ11[Crédit]),"")</f>
        <v>0</v>
      </c>
      <c r="M16" s="100">
        <f>IFERROR(SUM($M$12,-TABLEAUJ11[[#Totals],[Débit]],TABLEAUJ11[[#Totals],[Crédit]]),"")</f>
        <v>55</v>
      </c>
      <c r="N16" s="101" t="b">
        <f>IFERROR(SUM(TABLEAUJ11[[#Totals],[Débit HT]],TABLEAUJ11[[#Totals],[TVA déductible]])=TABLEAUJ11[[#Totals],[Débit TTC]],"")</f>
        <v>1</v>
      </c>
      <c r="O16" s="102">
        <f>IFERROR(SUBTOTAL(109,TABLEAUJ11[Débit HT]),"")</f>
        <v>0</v>
      </c>
      <c r="P16" s="103"/>
      <c r="Q16" s="104">
        <f>IFERROR(SUBTOTAL(109,TABLEAUJ11[TVA déductible]),"")</f>
        <v>0</v>
      </c>
      <c r="R16" s="98">
        <f>IFERROR(SUBTOTAL(109,TABLEAUJ11[Débit TTC]),"")</f>
        <v>0</v>
      </c>
      <c r="S16" s="101" t="b">
        <f>IFERROR(SUM(TABLEAUJ11[[#Totals],[Crédit HT]],TABLEAUJ11[[#Totals],[TVA collectée]])=TABLEAUJ11[[#Totals],[Crédit TTC]],"")</f>
        <v>1</v>
      </c>
      <c r="T16" s="105">
        <f>IFERROR(SUBTOTAL(109,TABLEAUJ11[Crédit HT]),"")</f>
        <v>0</v>
      </c>
      <c r="U16" s="103"/>
      <c r="V16" s="104">
        <f>IFERROR(SUBTOTAL(109,TABLEAUJ11[TVA collectée]),"")</f>
        <v>0</v>
      </c>
      <c r="W16" s="99">
        <f>IFERROR(SUBTOTAL(109,TABLEAUJ11[Crédit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44136</v>
      </c>
      <c r="H17" s="61"/>
      <c r="I17" s="48"/>
      <c r="J17" s="59"/>
      <c r="K17" s="60"/>
      <c r="L17" s="51" t="s">
        <v>5</v>
      </c>
      <c r="M17" s="26">
        <f>TABLEAUJ11[[#Totals],[Solde bancaire]]</f>
        <v>55</v>
      </c>
      <c r="N17" s="53" t="s">
        <v>7</v>
      </c>
      <c r="O17" s="39">
        <f>IFERROR(IF(MAX(B$15:B15)&lt;I12,I12,MAX(B$15:B15)),"")</f>
        <v>44136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SUM(TABLEAUJ11[[#Totals],[Crédit]],-TABLEAUJ11[[#Totals],[Débit]])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SUM(Octobre!M20,M19)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22.5" customHeight="1" x14ac:dyDescent="0.25">
      <c r="K115" s="3"/>
      <c r="L115" s="3"/>
    </row>
    <row r="116" spans="11:12" ht="22.5" customHeight="1" x14ac:dyDescent="0.25">
      <c r="K116" s="3"/>
      <c r="L116" s="3"/>
    </row>
    <row r="117" spans="11:12" ht="22.5" customHeight="1" x14ac:dyDescent="0.25">
      <c r="K117" s="3"/>
      <c r="L117" s="3"/>
    </row>
    <row r="118" spans="11:12" ht="22.5" customHeight="1" x14ac:dyDescent="0.25">
      <c r="K118" s="3"/>
      <c r="L118" s="3"/>
    </row>
    <row r="119" spans="11:12" ht="22.5" customHeight="1" x14ac:dyDescent="0.25">
      <c r="K119" s="3"/>
      <c r="L119" s="3"/>
    </row>
    <row r="120" spans="11:12" ht="22.5" customHeight="1" x14ac:dyDescent="0.25">
      <c r="K120" s="3"/>
      <c r="L120" s="3"/>
    </row>
    <row r="121" spans="11:12" ht="22.5" customHeight="1" x14ac:dyDescent="0.25">
      <c r="K121" s="3"/>
      <c r="L121" s="3"/>
    </row>
    <row r="122" spans="11:12" ht="22.5" customHeight="1" x14ac:dyDescent="0.25">
      <c r="K122" s="3"/>
      <c r="L122" s="3"/>
    </row>
    <row r="123" spans="11:12" ht="22.5" customHeight="1" x14ac:dyDescent="0.25">
      <c r="K123" s="3"/>
      <c r="L123" s="3"/>
    </row>
    <row r="124" spans="11:12" ht="22.5" customHeight="1" x14ac:dyDescent="0.25">
      <c r="K124" s="3"/>
      <c r="L124" s="3"/>
    </row>
    <row r="125" spans="11:12" ht="22.5" customHeight="1" x14ac:dyDescent="0.25">
      <c r="K125" s="3"/>
      <c r="L125" s="3"/>
    </row>
    <row r="126" spans="11:12" ht="22.5" customHeight="1" x14ac:dyDescent="0.25">
      <c r="K126" s="3"/>
      <c r="L126" s="3"/>
    </row>
    <row r="127" spans="11:12" ht="22.5" customHeight="1" x14ac:dyDescent="0.25">
      <c r="K127" s="3"/>
      <c r="L127" s="3"/>
    </row>
    <row r="128" spans="11:12" ht="22.5" customHeight="1" x14ac:dyDescent="0.25">
      <c r="K128" s="3"/>
      <c r="L128" s="3"/>
    </row>
    <row r="129" spans="11:12" ht="22.5" customHeight="1" x14ac:dyDescent="0.25">
      <c r="K129" s="3"/>
      <c r="L129" s="3"/>
    </row>
    <row r="130" spans="11:12" ht="22.5" customHeight="1" x14ac:dyDescent="0.25">
      <c r="K130" s="3"/>
      <c r="L130" s="3"/>
    </row>
    <row r="131" spans="11:12" ht="22.5" customHeight="1" x14ac:dyDescent="0.25">
      <c r="K131" s="3"/>
      <c r="L131" s="3"/>
    </row>
    <row r="132" spans="11:12" ht="22.5" customHeight="1" x14ac:dyDescent="0.25">
      <c r="K132" s="3"/>
      <c r="L132" s="3"/>
    </row>
    <row r="133" spans="11:12" ht="22.5" customHeight="1" x14ac:dyDescent="0.25">
      <c r="K133" s="3"/>
      <c r="L133" s="3"/>
    </row>
    <row r="134" spans="11:12" ht="22.5" customHeight="1" x14ac:dyDescent="0.25">
      <c r="K134" s="3"/>
      <c r="L134" s="3"/>
    </row>
    <row r="135" spans="11:12" ht="22.5" customHeight="1" x14ac:dyDescent="0.25">
      <c r="K135" s="3"/>
      <c r="L135" s="3"/>
    </row>
    <row r="136" spans="11:12" ht="22.5" customHeight="1" x14ac:dyDescent="0.25">
      <c r="K136" s="3"/>
      <c r="L136" s="3"/>
    </row>
    <row r="137" spans="11:12" ht="22.5" customHeight="1" x14ac:dyDescent="0.25">
      <c r="K137" s="3"/>
      <c r="L137" s="3"/>
    </row>
    <row r="138" spans="11:12" ht="22.5" customHeight="1" x14ac:dyDescent="0.25">
      <c r="K138" s="3"/>
      <c r="L138" s="3"/>
    </row>
    <row r="139" spans="11:12" ht="22.5" customHeight="1" x14ac:dyDescent="0.25">
      <c r="K139" s="3"/>
      <c r="L139" s="3"/>
    </row>
    <row r="140" spans="11:12" ht="22.5" customHeight="1" x14ac:dyDescent="0.25">
      <c r="K140" s="3"/>
      <c r="L140" s="3"/>
    </row>
    <row r="141" spans="11:12" ht="22.5" customHeight="1" x14ac:dyDescent="0.25">
      <c r="K141" s="3"/>
      <c r="L141" s="3"/>
    </row>
    <row r="142" spans="11:12" ht="22.5" customHeight="1" x14ac:dyDescent="0.25">
      <c r="K142" s="3"/>
      <c r="L142" s="3"/>
    </row>
    <row r="143" spans="11:12" ht="22.5" customHeight="1" x14ac:dyDescent="0.25">
      <c r="K143" s="3"/>
      <c r="L143" s="3"/>
    </row>
    <row r="144" spans="11:12" ht="22.5" customHeight="1" x14ac:dyDescent="0.25">
      <c r="K144" s="3"/>
      <c r="L144" s="3"/>
    </row>
    <row r="145" spans="11:12" ht="22.5" customHeight="1" x14ac:dyDescent="0.25">
      <c r="K145" s="3"/>
      <c r="L145" s="3"/>
    </row>
    <row r="146" spans="11:12" ht="22.5" customHeight="1" x14ac:dyDescent="0.25">
      <c r="K146" s="3"/>
      <c r="L146" s="3"/>
    </row>
    <row r="147" spans="11:12" ht="22.5" customHeight="1" x14ac:dyDescent="0.25">
      <c r="K147" s="3"/>
      <c r="L147" s="3"/>
    </row>
    <row r="148" spans="11:12" ht="22.5" customHeight="1" x14ac:dyDescent="0.25">
      <c r="K148" s="3"/>
      <c r="L148" s="3"/>
    </row>
    <row r="149" spans="11:12" ht="22.5" customHeight="1" x14ac:dyDescent="0.25">
      <c r="K149" s="3"/>
      <c r="L149" s="3"/>
    </row>
    <row r="150" spans="11:12" ht="22.5" customHeight="1" x14ac:dyDescent="0.25">
      <c r="K150" s="3"/>
      <c r="L150" s="3"/>
    </row>
    <row r="151" spans="11:12" ht="22.5" customHeight="1" x14ac:dyDescent="0.25">
      <c r="K151" s="3"/>
      <c r="L151" s="3"/>
    </row>
    <row r="152" spans="11:12" ht="22.5" customHeight="1" x14ac:dyDescent="0.25">
      <c r="K152" s="3"/>
      <c r="L152" s="3"/>
    </row>
    <row r="153" spans="11:12" ht="22.5" customHeight="1" x14ac:dyDescent="0.25">
      <c r="K153" s="3"/>
      <c r="L153" s="3"/>
    </row>
    <row r="154" spans="11:12" ht="22.5" customHeight="1" x14ac:dyDescent="0.25">
      <c r="K154" s="3"/>
      <c r="L154" s="3"/>
    </row>
    <row r="155" spans="11:12" ht="22.5" customHeight="1" x14ac:dyDescent="0.25">
      <c r="K155" s="3"/>
      <c r="L155" s="3"/>
    </row>
    <row r="156" spans="11:12" ht="22.5" customHeight="1" x14ac:dyDescent="0.25">
      <c r="K156" s="3"/>
      <c r="L156" s="3"/>
    </row>
    <row r="157" spans="11:12" ht="22.5" customHeight="1" x14ac:dyDescent="0.25">
      <c r="K157" s="3"/>
      <c r="L157" s="3"/>
    </row>
    <row r="158" spans="11:12" ht="22.5" customHeight="1" x14ac:dyDescent="0.25">
      <c r="K158" s="3"/>
      <c r="L158" s="3"/>
    </row>
    <row r="159" spans="11:12" ht="22.5" customHeight="1" x14ac:dyDescent="0.25">
      <c r="K159" s="3"/>
      <c r="L159" s="3"/>
    </row>
    <row r="160" spans="11:12" ht="22.5" customHeight="1" x14ac:dyDescent="0.25">
      <c r="K160" s="3"/>
      <c r="L160" s="3"/>
    </row>
    <row r="161" spans="11:12" ht="22.5" customHeight="1" x14ac:dyDescent="0.25">
      <c r="K161" s="3"/>
      <c r="L161" s="3"/>
    </row>
    <row r="162" spans="11:12" ht="22.5" customHeight="1" x14ac:dyDescent="0.25">
      <c r="K162" s="3"/>
      <c r="L162" s="3"/>
    </row>
    <row r="163" spans="11:12" ht="22.5" customHeight="1" x14ac:dyDescent="0.25">
      <c r="K163" s="3"/>
      <c r="L163" s="3"/>
    </row>
    <row r="164" spans="11:12" ht="22.5" customHeight="1" x14ac:dyDescent="0.25">
      <c r="K164" s="3"/>
      <c r="L164" s="3"/>
    </row>
    <row r="165" spans="11:12" ht="22.5" customHeight="1" x14ac:dyDescent="0.25">
      <c r="K165" s="3"/>
      <c r="L165" s="3"/>
    </row>
    <row r="166" spans="11:12" ht="22.5" customHeight="1" x14ac:dyDescent="0.25">
      <c r="K166" s="3"/>
      <c r="L166" s="3"/>
    </row>
    <row r="167" spans="11:12" ht="22.5" customHeight="1" x14ac:dyDescent="0.25">
      <c r="K167" s="3"/>
      <c r="L167" s="3"/>
    </row>
    <row r="168" spans="11:12" ht="22.5" customHeight="1" x14ac:dyDescent="0.25">
      <c r="K168" s="3"/>
      <c r="L168" s="3"/>
    </row>
    <row r="169" spans="11:12" ht="22.5" customHeight="1" x14ac:dyDescent="0.25">
      <c r="K169" s="3"/>
      <c r="L169" s="3"/>
    </row>
    <row r="170" spans="11:12" ht="22.5" customHeight="1" x14ac:dyDescent="0.25">
      <c r="K170" s="3"/>
      <c r="L170" s="3"/>
    </row>
    <row r="171" spans="11:12" ht="22.5" customHeight="1" x14ac:dyDescent="0.25">
      <c r="K171" s="3"/>
      <c r="L171" s="3"/>
    </row>
    <row r="172" spans="11:12" ht="22.5" customHeight="1" x14ac:dyDescent="0.25">
      <c r="K172" s="3"/>
      <c r="L172" s="3"/>
    </row>
    <row r="173" spans="11:12" ht="22.5" customHeight="1" x14ac:dyDescent="0.25">
      <c r="K173" s="3"/>
      <c r="L173" s="3"/>
    </row>
    <row r="174" spans="11:12" ht="22.5" customHeight="1" x14ac:dyDescent="0.25">
      <c r="K174" s="3"/>
      <c r="L174" s="3"/>
    </row>
    <row r="175" spans="11:12" ht="22.5" customHeight="1" x14ac:dyDescent="0.25">
      <c r="K175" s="3"/>
      <c r="L175" s="3"/>
    </row>
    <row r="176" spans="11:12" ht="22.5" customHeight="1" x14ac:dyDescent="0.25">
      <c r="K176" s="3"/>
      <c r="L176" s="3"/>
    </row>
    <row r="177" spans="11:12" ht="22.5" customHeight="1" x14ac:dyDescent="0.25">
      <c r="K177" s="3"/>
      <c r="L177" s="3"/>
    </row>
    <row r="178" spans="11:12" ht="22.5" customHeight="1" x14ac:dyDescent="0.25">
      <c r="K178" s="3"/>
      <c r="L178" s="3"/>
    </row>
    <row r="179" spans="11:12" ht="22.5" customHeight="1" x14ac:dyDescent="0.25">
      <c r="K179" s="3"/>
      <c r="L179" s="3"/>
    </row>
    <row r="180" spans="11:12" ht="22.5" customHeight="1" x14ac:dyDescent="0.25">
      <c r="K180" s="3"/>
      <c r="L180" s="3"/>
    </row>
    <row r="181" spans="11:12" ht="22.5" customHeight="1" x14ac:dyDescent="0.25">
      <c r="K181" s="3"/>
      <c r="L181" s="3"/>
    </row>
    <row r="182" spans="11:12" ht="22.5" customHeight="1" x14ac:dyDescent="0.25">
      <c r="K182" s="3"/>
      <c r="L182" s="3"/>
    </row>
    <row r="183" spans="11:12" ht="22.5" customHeight="1" x14ac:dyDescent="0.25">
      <c r="K183" s="3"/>
      <c r="L183" s="3"/>
    </row>
    <row r="184" spans="11:12" ht="22.5" customHeight="1" x14ac:dyDescent="0.25">
      <c r="K184" s="3"/>
      <c r="L184" s="3"/>
    </row>
    <row r="185" spans="11:12" ht="22.5" customHeight="1" x14ac:dyDescent="0.25">
      <c r="K185" s="3"/>
      <c r="L185" s="3"/>
    </row>
    <row r="186" spans="11:12" ht="22.5" customHeight="1" x14ac:dyDescent="0.25">
      <c r="K186" s="3"/>
      <c r="L186" s="3"/>
    </row>
    <row r="187" spans="11:12" ht="22.5" customHeight="1" x14ac:dyDescent="0.25">
      <c r="K187" s="3"/>
      <c r="L187" s="3"/>
    </row>
    <row r="188" spans="11:12" ht="22.5" customHeight="1" x14ac:dyDescent="0.25">
      <c r="K188" s="3"/>
      <c r="L188" s="3"/>
    </row>
    <row r="189" spans="11:12" ht="22.5" customHeight="1" x14ac:dyDescent="0.25">
      <c r="K189" s="3"/>
      <c r="L189" s="3"/>
    </row>
    <row r="190" spans="11:12" ht="22.5" customHeight="1" x14ac:dyDescent="0.25">
      <c r="K190" s="3"/>
      <c r="L190" s="3"/>
    </row>
    <row r="191" spans="11:12" ht="22.5" customHeight="1" x14ac:dyDescent="0.25">
      <c r="K191" s="3"/>
      <c r="L191" s="3"/>
    </row>
    <row r="192" spans="11:12" ht="22.5" customHeight="1" x14ac:dyDescent="0.25">
      <c r="K192" s="3"/>
      <c r="L192" s="3"/>
    </row>
    <row r="193" spans="11:12" ht="22.5" customHeight="1" x14ac:dyDescent="0.25">
      <c r="K193" s="3"/>
      <c r="L193" s="3"/>
    </row>
    <row r="194" spans="11:12" ht="22.5" customHeight="1" x14ac:dyDescent="0.25">
      <c r="K194" s="3"/>
      <c r="L194" s="3"/>
    </row>
    <row r="195" spans="11:12" ht="22.5" customHeight="1" x14ac:dyDescent="0.25">
      <c r="K195" s="3"/>
      <c r="L195" s="3"/>
    </row>
    <row r="196" spans="11:12" ht="22.5" customHeight="1" x14ac:dyDescent="0.25">
      <c r="K196" s="3"/>
      <c r="L196" s="3"/>
    </row>
    <row r="197" spans="11:12" ht="22.5" customHeight="1" x14ac:dyDescent="0.25">
      <c r="K197" s="3"/>
      <c r="L197" s="3"/>
    </row>
    <row r="198" spans="11:12" ht="22.5" customHeight="1" x14ac:dyDescent="0.25">
      <c r="K198" s="3"/>
      <c r="L198" s="3"/>
    </row>
    <row r="199" spans="11:12" ht="22.5" customHeight="1" x14ac:dyDescent="0.25">
      <c r="K199" s="3"/>
      <c r="L199" s="3"/>
    </row>
    <row r="200" spans="11:12" ht="22.5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117" priority="9" operator="equal">
      <formula>FALSE</formula>
    </cfRule>
  </conditionalFormatting>
  <conditionalFormatting sqref="P15 U15">
    <cfRule type="containsText" dxfId="116" priority="6" operator="containsText" text="NA">
      <formula>NOT(ISERROR(SEARCH("NA",P15)))</formula>
    </cfRule>
  </conditionalFormatting>
  <conditionalFormatting sqref="X15">
    <cfRule type="cellIs" dxfId="115" priority="5" operator="equal">
      <formula>FALSE</formula>
    </cfRule>
  </conditionalFormatting>
  <conditionalFormatting sqref="F15">
    <cfRule type="containsText" dxfId="114" priority="1" operator="containsText" text="Compte courant d'associé">
      <formula>NOT(ISERROR(SEARCH("Compte courant d'associé",F15)))</formula>
    </cfRule>
    <cfRule type="containsText" dxfId="113" priority="4" operator="containsText" text="Rémunération gérant">
      <formula>NOT(ISERROR(SEARCH("Rémunération gérant",F15)))</formula>
    </cfRule>
  </conditionalFormatting>
  <conditionalFormatting sqref="D15:J15">
    <cfRule type="containsBlanks" dxfId="112" priority="2">
      <formula>LEN(TRIM(D15))=0</formula>
    </cfRule>
  </conditionalFormatting>
  <dataValidations count="6">
    <dataValidation type="list" allowBlank="1" showInputMessage="1" showErrorMessage="1" sqref="I12" xr:uid="{91BAECB0-B3B3-46E1-8CD9-B965A734B57C}">
      <formula1>PREMIERJOURMOIS</formula1>
    </dataValidation>
    <dataValidation type="list" allowBlank="1" showInputMessage="1" sqref="J15 G15" xr:uid="{49B97BB7-DFA1-40AF-B917-9B6FC4D051FF}">
      <formula1>OFFSET(TIERS,MATCH(G15&amp;"*",TIERS,0)-1,,COUNTIF(TIERS,G15&amp;"*"))</formula1>
    </dataValidation>
    <dataValidation type="list" allowBlank="1" showInputMessage="1" sqref="F15" xr:uid="{54D005ED-EDDE-4AEB-9A91-11F14625A39B}">
      <formula1>OFFSET(CATEGORIE,MATCH(F15&amp;"*",CATEGORIE,0)-1,,COUNTIF(CATEGORIE,F15&amp;"*"))</formula1>
    </dataValidation>
    <dataValidation type="list" allowBlank="1" showInputMessage="1" sqref="D15" xr:uid="{99CFB9F2-661F-45AA-84A5-50D8A2CAFC44}">
      <formula1>OFFSET(MODEDEREGLEMENT,MATCH(D15&amp;"*",MODEDEREGLEMENT,0)-1,,COUNTIF(MODEDEREGLEMENT,D15&amp;"*"))</formula1>
    </dataValidation>
    <dataValidation type="list" allowBlank="1" showInputMessage="1" showErrorMessage="1" sqref="Z15" xr:uid="{9E36491F-69B1-4ACE-8D51-2CF9FC316D1F}">
      <formula1>CODETVA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B48CEBF6-A4B6-449D-AD7D-5A61812E8384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2BE67A-CBF5-44D2-AF17-8F1D9F21E307}">
  <sheetPr codeName="Feuil150">
    <tabColor theme="9"/>
    <pageSetUpPr fitToPage="1"/>
  </sheetPr>
  <dimension ref="B1:AD200"/>
  <sheetViews>
    <sheetView showGridLines="0" zoomScaleNormal="100" workbookViewId="0">
      <pane ySplit="14" topLeftCell="A15" activePane="bottomLeft" state="frozen"/>
      <selection pane="bottomLeft" activeCell="B15" sqref="B15"/>
    </sheetView>
  </sheetViews>
  <sheetFormatPr baseColWidth="10" defaultColWidth="11.42578125" defaultRowHeight="18" customHeight="1" x14ac:dyDescent="0.25"/>
  <cols>
    <col min="1" max="1" width="2.85546875" style="3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customWidth="1"/>
    <col min="13" max="13" width="19.28515625" style="3" customWidth="1"/>
    <col min="14" max="14" width="4.28515625" style="3" customWidth="1"/>
    <col min="15" max="15" width="14.28515625" style="3" customWidth="1"/>
    <col min="16" max="16" width="4.28515625" style="3" customWidth="1"/>
    <col min="17" max="18" width="14.28515625" style="3" customWidth="1"/>
    <col min="19" max="19" width="4.28515625" style="3" customWidth="1"/>
    <col min="20" max="20" width="14.28515625" style="3" customWidth="1"/>
    <col min="21" max="21" width="4.28515625" style="3" customWidth="1"/>
    <col min="22" max="23" width="14.28515625" style="3" customWidth="1"/>
    <col min="24" max="29" width="4.28515625" style="3" customWidth="1"/>
    <col min="30" max="16384" width="11.42578125" style="3"/>
  </cols>
  <sheetData>
    <row r="1" spans="2:30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2:30" ht="22.5" customHeight="1" x14ac:dyDescent="0.25">
      <c r="K2" s="3"/>
      <c r="L2" s="3"/>
    </row>
    <row r="3" spans="2:30" ht="22.5" customHeight="1" x14ac:dyDescent="0.25">
      <c r="K3" s="3"/>
      <c r="L3" s="3"/>
    </row>
    <row r="4" spans="2:30" ht="22.5" customHeight="1" x14ac:dyDescent="0.25">
      <c r="K4" s="3"/>
      <c r="L4" s="3"/>
    </row>
    <row r="5" spans="2:30" ht="22.5" customHeight="1" x14ac:dyDescent="0.25">
      <c r="K5" s="3"/>
      <c r="L5" s="3"/>
    </row>
    <row r="6" spans="2:30" ht="22.5" customHeight="1" x14ac:dyDescent="0.25">
      <c r="K6" s="3"/>
      <c r="L6" s="3"/>
    </row>
    <row r="7" spans="2:30" ht="22.5" customHeight="1" x14ac:dyDescent="0.25">
      <c r="K7" s="3"/>
      <c r="L7" s="3"/>
    </row>
    <row r="8" spans="2:30" ht="22.5" customHeight="1" x14ac:dyDescent="0.25">
      <c r="K8" s="3"/>
      <c r="L8" s="3"/>
    </row>
    <row r="9" spans="2:30" ht="22.5" customHeight="1" x14ac:dyDescent="0.25">
      <c r="K9" s="3"/>
      <c r="L9" s="3"/>
    </row>
    <row r="10" spans="2:30" ht="22.5" customHeight="1" x14ac:dyDescent="0.25">
      <c r="K10" s="3"/>
      <c r="L10" s="3"/>
    </row>
    <row r="11" spans="2:30" ht="22.5" customHeight="1" x14ac:dyDescent="0.25">
      <c r="K11" s="3"/>
      <c r="L11" s="3"/>
    </row>
    <row r="12" spans="2:30" ht="22.5" customHeight="1" x14ac:dyDescent="0.25">
      <c r="B12" s="138" t="s">
        <v>87</v>
      </c>
      <c r="C12" s="138"/>
      <c r="D12" s="138"/>
      <c r="E12" s="136">
        <v>12</v>
      </c>
      <c r="H12" s="4" t="s">
        <v>6</v>
      </c>
      <c r="I12" s="47">
        <v>44166</v>
      </c>
      <c r="K12" s="3"/>
      <c r="L12" s="51" t="s">
        <v>5</v>
      </c>
      <c r="M12" s="26">
        <f>IFERROR(Novembre!M17,0)</f>
        <v>55</v>
      </c>
      <c r="N12" s="53" t="s">
        <v>7</v>
      </c>
      <c r="O12" s="50">
        <f>EOMONTH(I12,-1)</f>
        <v>44165</v>
      </c>
      <c r="T12" s="50"/>
    </row>
    <row r="13" spans="2:30" ht="22.5" customHeight="1" x14ac:dyDescent="0.25">
      <c r="B13" s="137" t="s">
        <v>70</v>
      </c>
      <c r="C13" s="137"/>
      <c r="D13" s="137"/>
      <c r="E13" s="137"/>
      <c r="F13" s="137"/>
      <c r="G13" s="137"/>
      <c r="H13" s="137"/>
      <c r="I13" s="137"/>
      <c r="J13" s="137"/>
      <c r="K13" s="137"/>
      <c r="L13" s="137"/>
      <c r="M13" s="137"/>
      <c r="N13" s="2"/>
      <c r="O13" s="137" t="s">
        <v>69</v>
      </c>
      <c r="P13" s="137"/>
      <c r="Q13" s="137"/>
      <c r="R13" s="137"/>
      <c r="S13" s="137"/>
      <c r="T13" s="137"/>
      <c r="U13" s="137"/>
      <c r="V13" s="137"/>
      <c r="W13" s="137"/>
    </row>
    <row r="14" spans="2:30" ht="67.5" customHeight="1" x14ac:dyDescent="0.25">
      <c r="B14" s="63" t="s">
        <v>0</v>
      </c>
      <c r="C14" s="64" t="s">
        <v>76</v>
      </c>
      <c r="D14" s="65" t="s">
        <v>28</v>
      </c>
      <c r="E14" s="66" t="s">
        <v>56</v>
      </c>
      <c r="F14" s="66" t="s">
        <v>83</v>
      </c>
      <c r="G14" s="66" t="s">
        <v>1</v>
      </c>
      <c r="H14" s="66" t="s">
        <v>59</v>
      </c>
      <c r="I14" s="66" t="s">
        <v>57</v>
      </c>
      <c r="J14" s="66" t="s">
        <v>2</v>
      </c>
      <c r="K14" s="67" t="s">
        <v>3</v>
      </c>
      <c r="L14" s="68" t="s">
        <v>4</v>
      </c>
      <c r="M14" s="69" t="s">
        <v>42</v>
      </c>
      <c r="N14" s="70" t="s">
        <v>65</v>
      </c>
      <c r="O14" s="71" t="s">
        <v>31</v>
      </c>
      <c r="P14" s="72" t="s">
        <v>74</v>
      </c>
      <c r="Q14" s="73" t="s">
        <v>35</v>
      </c>
      <c r="R14" s="67" t="s">
        <v>32</v>
      </c>
      <c r="S14" s="70" t="s">
        <v>66</v>
      </c>
      <c r="T14" s="74" t="s">
        <v>33</v>
      </c>
      <c r="U14" s="72" t="s">
        <v>75</v>
      </c>
      <c r="V14" s="75" t="s">
        <v>36</v>
      </c>
      <c r="W14" s="68" t="s">
        <v>34</v>
      </c>
      <c r="X14" s="76" t="s">
        <v>67</v>
      </c>
      <c r="Y14" s="77" t="s">
        <v>71</v>
      </c>
      <c r="Z14" s="72" t="s">
        <v>72</v>
      </c>
      <c r="AA14" s="76" t="s">
        <v>68</v>
      </c>
      <c r="AB14" s="76" t="s">
        <v>77</v>
      </c>
      <c r="AC14" s="76" t="s">
        <v>78</v>
      </c>
      <c r="AD14" s="78" t="s">
        <v>61</v>
      </c>
    </row>
    <row r="15" spans="2:30" ht="22.5" customHeight="1" x14ac:dyDescent="0.25">
      <c r="B15" s="127"/>
      <c r="C15" s="79" t="str">
        <f t="array" ref="C15">IFERROR(IF(TABLEAUJ12[[#This Row],[Date]]="","",IF(YEAR(TABLEAUJ12[[#This Row],[Date]])*12+MONTH(TABLEAUJ12[[#This Row],[Date]])-YEAR(INDEX(TABLEAUECHEANCE[1EREECHEANCE],MATCH(1,(TABLEAUECHEANCE[CATEGORIEECHEANCE]=TABLEAUJ12[[#This Row],[Catégorie]])*(TABLEAUECHEANCE[TIERSECHEANCE]=TABLEAUJ12[[#This Row],[Payé à]]),0)) )*12-MONTH(INDEX(TABLEAUECHEANCE[1EREECHEANCE],MATCH(1,(TABLEAUECHEANCE[CATEGORIEECHEANCE]=TABLEAUJ12[[#This Row],[Catégorie]])*(TABLEAUECHEANCE[TIERSECHEANCE]=TABLEAUJ12[[#This Row],[Payé à]]),0)) )+1&gt;INDEX(TABLEAUECHEANCE[NBECHEANCE],MATCH(1,(TABLEAUECHEANCE[CATEGORIEECHEANCE]=TABLEAUJ12[[#This Row],[Catégorie]])*(TABLEAUECHEANCE[TIERSECHEANCE]=TABLEAUJ12[[#This Row],[Payé à]]),0)),"HE",CONCATENATE(IF(INDEX(TABLEAUECHEANCE[1EREECHEANCE],MATCH(1,(TABLEAUECHEANCE[CATEGORIEECHEANCE]=TABLEAUJ12[[#This Row],[Catégorie]])*(TABLEAUECHEANCE[TIERSECHEANCE]=TABLEAUJ12[[#This Row],[Payé à]]),0)) ="","",YEAR(TABLEAUJ12[[#This Row],[Date]])*12+MONTH(TABLEAUJ12[[#This Row],[Date]])-YEAR(INDEX(TABLEAUECHEANCE[1EREECHEANCE],MATCH(1,(TABLEAUECHEANCE[CATEGORIEECHEANCE]=TABLEAUJ12[[#This Row],[Catégorie]])*(TABLEAUECHEANCE[TIERSECHEANCE]=TABLEAUJ12[[#This Row],[Payé à]]),0)) )*12-MONTH(INDEX(TABLEAUECHEANCE[1EREECHEANCE],MATCH(1,(TABLEAUECHEANCE[CATEGORIEECHEANCE]=TABLEAUJ12[[#This Row],[Catégorie]])*(TABLEAUECHEANCE[TIERSECHEANCE]=TABLEAUJ12[[#This Row],[Payé à]]),0)) )+1)," sur ",INDEX(TABLEAUECHEANCE[NBECHEANCE],MATCH(1,(TABLEAUECHEANCE[CATEGORIEECHEANCE]=TABLEAUJ12[[#This Row],[Catégorie]])*(TABLEAUECHEANCE[TIERSECHEANCE]=TABLEAUJ12[[#This Row],[Payé à]]),0))))),"")</f>
        <v/>
      </c>
      <c r="D15" s="80"/>
      <c r="E15" s="80"/>
      <c r="F15" s="80"/>
      <c r="G15" s="80"/>
      <c r="H15" s="81"/>
      <c r="I15" s="80"/>
      <c r="J15" s="80"/>
      <c r="K15" s="82"/>
      <c r="L15" s="83"/>
      <c r="M15" s="84">
        <f>IFERROR(IF(ROW()=ROW($B$15),SUM($M$12,-TABLEAUJ12[[#This Row],[Débit]],TABLEAUJ12[[#This Row],[Crédit]]),SUM(M14,-TABLEAUJ12[[#This Row],[Débit]],TABLEAUJ12[[#This Row],[Crédit]])),"")</f>
        <v>55</v>
      </c>
      <c r="N15" s="85" t="b">
        <f>IFERROR(IF(OR(TABLEAUJ12[[#This Row],[Code TVA D]]="",TABLEAUJ12[[#This Row],[Code TVA D]]="NA"),TRUE,SUM(TABLEAUJ12[[#This Row],[Débit HT]],TABLEAUJ12[[#This Row],[TVA déductible]])=TABLEAUJ12[[#This Row],[Débit TTC]]),"")</f>
        <v>1</v>
      </c>
      <c r="O15" s="86" t="str">
        <f>IFERROR(IF(OR(TABLEAUJ12[[#This Row],[Code TVA D]]="",TABLEAUJ12[[#This Row],[Code TVA D]]="NA"),"",TABLEAUJ12[[#This Row],[Débit TTC]]/(1+(VLOOKUP(TABLEAUJ12[[#This Row],[Code TVA D]],MATRICETVA[],2,FALSE)))),"")</f>
        <v/>
      </c>
      <c r="P15" s="87" t="str">
        <f>IFERROR(IF(TABLEAUJ12[[#This Row],[Débit]]&lt;&gt;"",IF(TABLEAUJ12[[#This Row],[Code TVA M]]&lt;&gt;"",TABLEAUJ12[[#This Row],[Code TVA M]],TABLEAUJ12[[#This Row],[Code TVA A]]),""),"")</f>
        <v/>
      </c>
      <c r="Q15" s="88" t="str">
        <f>IFERROR(IF(OR(TABLEAUJ12[[#This Row],[Code TVA D]]="",TABLEAUJ12[[#This Row],[Code TVA D]]="NA"),"",TABLEAUJ12[[#This Row],[Débit TTC]]/(1+VLOOKUP(TABLEAUJ12[[#This Row],[Code TVA D]],MATRICETVA[],2,FALSE))*VLOOKUP(TABLEAUJ12[[#This Row],[Code TVA D]],MATRICETVA[],2,FALSE)),"")</f>
        <v/>
      </c>
      <c r="R15" s="86" t="str">
        <f>IFERROR(IF(OR(TABLEAUJ12[[#This Row],[Code TVA D]]="",TABLEAUJ12[[#This Row],[Code TVA D]]="NA"),"",TABLEAUJ12[[#This Row],[Débit]]),"")</f>
        <v/>
      </c>
      <c r="S15" s="89" t="b">
        <f>IFERROR(IF(OR(TABLEAUJ12[[#This Row],[Code TVA C]]="",TABLEAUJ12[[#This Row],[Code TVA C]]="NA"),TRUE,SUM(TABLEAUJ12[[#This Row],[Crédit HT]],TABLEAUJ12[[#This Row],[TVA collectée]])=TABLEAUJ12[[#This Row],[Crédit TTC]]),"")</f>
        <v>1</v>
      </c>
      <c r="T15" s="90" t="str">
        <f>IFERROR(IF(OR(TABLEAUJ12[[#This Row],[Code TVA C]]="",TABLEAUJ12[[#This Row],[Code TVA C]]="NA"),"",TABLEAUJ12[[#This Row],[Crédit TTC]]/(1+(VLOOKUP(TABLEAUJ12[[#This Row],[Code TVA C]],MATRICETVA[],2,FALSE)))),"")</f>
        <v/>
      </c>
      <c r="U15" s="87" t="str">
        <f>IFERROR(IF(TABLEAUJ12[[#This Row],[Crédit]]&lt;&gt;"",IF(TABLEAUJ12[[#This Row],[Code TVA M]]&lt;&gt;"",TABLEAUJ12[[#This Row],[Code TVA M]],TABLEAUJ12[[#This Row],[Code TVA A]]),""),"")</f>
        <v/>
      </c>
      <c r="V15" s="88" t="str">
        <f>IFERROR(IF(OR(TABLEAUJ12[[#This Row],[Code TVA C]]="",TABLEAUJ12[[#This Row],[Code TVA C]]="NA"),"",TABLEAUJ12[[#This Row],[Crédit TTC]]/(1+VLOOKUP(TABLEAUJ12[[#This Row],[Code TVA C]],MATRICETVA[],2,FALSE))*VLOOKUP(TABLEAUJ12[[#This Row],[Code TVA C]],MATRICETVA[],2,FALSE)),"")</f>
        <v/>
      </c>
      <c r="W15" s="90" t="str">
        <f>IFERROR(IF(OR(TABLEAUJ12[[#This Row],[Code TVA C]]="",TABLEAUJ12[[#This Row],[Code TVA C]]="NA"),"",TABLEAUJ12[[#This Row],[Crédit]]),"")</f>
        <v/>
      </c>
      <c r="X15" s="91" t="b">
        <f>IFERROR(IF(AND(TABLEAUJ12[[#This Row],[Débit]]&lt;&gt;"",TABLEAUJ12[[#This Row],[Crédit]]&lt;&gt;""),FALSE,TRUE),"")</f>
        <v>1</v>
      </c>
      <c r="Y15" s="92" t="str">
        <f>IFERROR(VLOOKUP(TABLEAUJ12[[#This Row],[Catégorie]],MATRICECATEGORIE[],2,FALSE),"")</f>
        <v/>
      </c>
      <c r="Z15" s="93"/>
      <c r="AA15" s="89" t="b">
        <f>IFERROR(IF(AND(TABLEAUJ12[[#This Row],[Code TVA D]]&lt;&gt;"",TABLEAUJ12[[#This Row],[Code TVA C]]&lt;&gt;""),FALSE,TRUE),"")</f>
        <v>1</v>
      </c>
      <c r="AB15" s="89"/>
      <c r="AC15" s="89"/>
      <c r="AD15" s="94"/>
    </row>
    <row r="16" spans="2:30" ht="22.5" customHeight="1" x14ac:dyDescent="0.25">
      <c r="B16" s="95" t="s">
        <v>58</v>
      </c>
      <c r="C16" s="96"/>
      <c r="D16" s="97"/>
      <c r="E16" s="97"/>
      <c r="F16" s="97"/>
      <c r="G16" s="97"/>
      <c r="H16" s="97"/>
      <c r="I16" s="97"/>
      <c r="J16" s="97"/>
      <c r="K16" s="98">
        <f>IFERROR(SUBTOTAL(109,TABLEAUJ12[Débit]),"")</f>
        <v>0</v>
      </c>
      <c r="L16" s="99">
        <f>IFERROR(SUBTOTAL(109,TABLEAUJ12[Crédit]),"")</f>
        <v>0</v>
      </c>
      <c r="M16" s="100">
        <f>IFERROR(SUM($M$12,-TABLEAUJ12[[#Totals],[Débit]],TABLEAUJ12[[#Totals],[Crédit]]),"")</f>
        <v>55</v>
      </c>
      <c r="N16" s="101" t="b">
        <f>IFERROR(SUM(TABLEAUJ12[[#Totals],[Débit HT]],TABLEAUJ12[[#Totals],[TVA déductible]])=TABLEAUJ12[[#Totals],[Débit TTC]],"")</f>
        <v>1</v>
      </c>
      <c r="O16" s="102">
        <f>IFERROR(SUBTOTAL(109,TABLEAUJ12[Débit HT]),"")</f>
        <v>0</v>
      </c>
      <c r="P16" s="103"/>
      <c r="Q16" s="104">
        <f>IFERROR(SUBTOTAL(109,TABLEAUJ12[TVA déductible]),"")</f>
        <v>0</v>
      </c>
      <c r="R16" s="98">
        <f>IFERROR(SUBTOTAL(109,TABLEAUJ12[Débit TTC]),"")</f>
        <v>0</v>
      </c>
      <c r="S16" s="101" t="b">
        <f>IFERROR(SUM(TABLEAUJ12[[#Totals],[Crédit HT]],TABLEAUJ12[[#Totals],[TVA collectée]])=TABLEAUJ12[[#Totals],[Crédit TTC]],"")</f>
        <v>1</v>
      </c>
      <c r="T16" s="105">
        <f>IFERROR(SUBTOTAL(109,TABLEAUJ12[Crédit HT]),"")</f>
        <v>0</v>
      </c>
      <c r="U16" s="103"/>
      <c r="V16" s="104">
        <f>IFERROR(SUBTOTAL(109,TABLEAUJ12[TVA collectée]),"")</f>
        <v>0</v>
      </c>
      <c r="W16" s="99">
        <f>IFERROR(SUBTOTAL(109,TABLEAUJ12[Crédit TTC]),"")</f>
        <v>0</v>
      </c>
      <c r="X16" s="106"/>
      <c r="Y16" s="107"/>
      <c r="Z16" s="103"/>
      <c r="AA16" s="108"/>
      <c r="AB16" s="108"/>
      <c r="AC16" s="108"/>
      <c r="AD16" s="109"/>
    </row>
    <row r="17" spans="2:28" ht="22.5" customHeight="1" x14ac:dyDescent="0.25">
      <c r="B17" s="62"/>
      <c r="C17" s="62"/>
      <c r="D17" s="48"/>
      <c r="E17" s="48"/>
      <c r="F17" s="4" t="s">
        <v>6</v>
      </c>
      <c r="G17" s="47">
        <f>I12</f>
        <v>44166</v>
      </c>
      <c r="H17" s="61"/>
      <c r="I17" s="48"/>
      <c r="J17" s="59"/>
      <c r="K17" s="60"/>
      <c r="L17" s="51" t="s">
        <v>5</v>
      </c>
      <c r="M17" s="26">
        <f>TABLEAUJ12[[#Totals],[Solde bancaire]]</f>
        <v>55</v>
      </c>
      <c r="N17" s="53" t="s">
        <v>7</v>
      </c>
      <c r="O17" s="39">
        <f>IFERROR(IF(MAX(B$15:B15)&lt;I12,I12,MAX(B$15:B15)),"")</f>
        <v>44166</v>
      </c>
      <c r="P17" s="49"/>
      <c r="Q17" s="61"/>
      <c r="R17" s="49"/>
      <c r="S17" s="49"/>
      <c r="T17" s="61"/>
      <c r="U17" s="61"/>
      <c r="V17" s="49"/>
      <c r="W17" s="49"/>
      <c r="X17" s="49"/>
      <c r="Y17" s="61"/>
      <c r="Z17" s="61"/>
      <c r="AA17" s="61"/>
      <c r="AB17" s="61"/>
    </row>
    <row r="18" spans="2:28" ht="22.5" customHeight="1" x14ac:dyDescent="0.25">
      <c r="B18" s="61"/>
      <c r="C18" s="61"/>
      <c r="D18" s="61"/>
      <c r="E18" s="61"/>
      <c r="H18" s="61"/>
      <c r="I18" s="61"/>
      <c r="J18" s="61"/>
      <c r="K18" s="60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</row>
    <row r="19" spans="2:28" ht="22.5" customHeight="1" x14ac:dyDescent="0.25">
      <c r="B19" s="61"/>
      <c r="C19" s="61"/>
      <c r="D19" s="61"/>
      <c r="E19" s="61"/>
      <c r="H19" s="61"/>
      <c r="I19" s="61"/>
      <c r="J19" s="61"/>
      <c r="K19" s="60"/>
      <c r="L19" s="130" t="s">
        <v>85</v>
      </c>
      <c r="M19" s="131">
        <f>SUM(TABLEAUJ12[[#Totals],[Crédit]],-TABLEAUJ12[[#Totals],[Débit]])</f>
        <v>0</v>
      </c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</row>
    <row r="20" spans="2:28" ht="22.5" customHeight="1" x14ac:dyDescent="0.25">
      <c r="H20" s="61"/>
      <c r="I20" s="61"/>
      <c r="J20" s="61"/>
      <c r="K20" s="60"/>
      <c r="L20" s="130" t="s">
        <v>86</v>
      </c>
      <c r="M20" s="133">
        <f>SUM(Novembre!M20,M19)</f>
        <v>55</v>
      </c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</row>
    <row r="21" spans="2:28" ht="22.5" customHeight="1" x14ac:dyDescent="0.25"/>
    <row r="22" spans="2:28" ht="22.5" customHeight="1" x14ac:dyDescent="0.25"/>
    <row r="23" spans="2:28" ht="22.5" customHeight="1" x14ac:dyDescent="0.25"/>
    <row r="24" spans="2:28" ht="22.5" customHeight="1" x14ac:dyDescent="0.25"/>
    <row r="25" spans="2:28" ht="22.5" customHeight="1" x14ac:dyDescent="0.25"/>
    <row r="26" spans="2:28" ht="22.5" customHeight="1" x14ac:dyDescent="0.25"/>
    <row r="27" spans="2:28" ht="22.5" customHeight="1" x14ac:dyDescent="0.25"/>
    <row r="28" spans="2:28" ht="22.5" customHeight="1" x14ac:dyDescent="0.25"/>
    <row r="29" spans="2:28" ht="22.5" customHeight="1" x14ac:dyDescent="0.25"/>
    <row r="30" spans="2:28" ht="22.5" customHeight="1" x14ac:dyDescent="0.25"/>
    <row r="31" spans="2:28" ht="22.5" customHeight="1" x14ac:dyDescent="0.25"/>
    <row r="32" spans="2:28" ht="22.5" customHeight="1" x14ac:dyDescent="0.25"/>
    <row r="33" spans="11:12" ht="22.5" customHeight="1" x14ac:dyDescent="0.25">
      <c r="K33" s="3"/>
      <c r="L33" s="3"/>
    </row>
    <row r="34" spans="11:12" ht="22.5" customHeight="1" x14ac:dyDescent="0.25">
      <c r="K34" s="3"/>
      <c r="L34" s="3"/>
    </row>
    <row r="35" spans="11:12" ht="22.5" customHeight="1" x14ac:dyDescent="0.25">
      <c r="K35" s="3"/>
      <c r="L35" s="3"/>
    </row>
    <row r="36" spans="11:12" ht="22.5" customHeight="1" x14ac:dyDescent="0.25">
      <c r="K36" s="3"/>
      <c r="L36" s="3"/>
    </row>
    <row r="37" spans="11:12" ht="22.5" customHeight="1" x14ac:dyDescent="0.25">
      <c r="K37" s="3"/>
      <c r="L37" s="3"/>
    </row>
    <row r="38" spans="11:12" ht="22.5" customHeight="1" x14ac:dyDescent="0.25">
      <c r="K38" s="3"/>
      <c r="L38" s="3"/>
    </row>
    <row r="39" spans="11:12" ht="22.5" customHeight="1" x14ac:dyDescent="0.25">
      <c r="K39" s="3"/>
      <c r="L39" s="3"/>
    </row>
    <row r="40" spans="11:12" ht="22.5" customHeight="1" x14ac:dyDescent="0.25">
      <c r="K40" s="3"/>
      <c r="L40" s="3"/>
    </row>
    <row r="41" spans="11:12" ht="22.5" customHeight="1" x14ac:dyDescent="0.25">
      <c r="K41" s="3"/>
      <c r="L41" s="3"/>
    </row>
    <row r="42" spans="11:12" ht="22.5" customHeight="1" x14ac:dyDescent="0.25">
      <c r="K42" s="3"/>
      <c r="L42" s="3"/>
    </row>
    <row r="43" spans="11:12" ht="22.5" customHeight="1" x14ac:dyDescent="0.25">
      <c r="K43" s="3"/>
      <c r="L43" s="3"/>
    </row>
    <row r="44" spans="11:12" ht="22.5" customHeight="1" x14ac:dyDescent="0.25">
      <c r="K44" s="3"/>
      <c r="L44" s="3"/>
    </row>
    <row r="45" spans="11:12" ht="22.5" customHeight="1" x14ac:dyDescent="0.25">
      <c r="K45" s="3"/>
      <c r="L45" s="3"/>
    </row>
    <row r="46" spans="11:12" ht="22.5" customHeight="1" x14ac:dyDescent="0.25">
      <c r="K46" s="3"/>
      <c r="L46" s="3"/>
    </row>
    <row r="47" spans="11:12" ht="22.5" customHeight="1" x14ac:dyDescent="0.25">
      <c r="K47" s="3"/>
      <c r="L47" s="3"/>
    </row>
    <row r="48" spans="11:12" ht="22.5" customHeight="1" x14ac:dyDescent="0.25">
      <c r="K48" s="3"/>
      <c r="L48" s="3"/>
    </row>
    <row r="49" spans="11:12" ht="22.5" customHeight="1" x14ac:dyDescent="0.25">
      <c r="K49" s="3"/>
      <c r="L49" s="3"/>
    </row>
    <row r="50" spans="11:12" ht="22.5" customHeight="1" x14ac:dyDescent="0.25">
      <c r="K50" s="3"/>
      <c r="L50" s="3"/>
    </row>
    <row r="51" spans="11:12" ht="22.5" customHeight="1" x14ac:dyDescent="0.25">
      <c r="K51" s="3"/>
      <c r="L51" s="3"/>
    </row>
    <row r="52" spans="11:12" ht="22.5" customHeight="1" x14ac:dyDescent="0.25">
      <c r="K52" s="3"/>
      <c r="L52" s="3"/>
    </row>
    <row r="53" spans="11:12" ht="22.5" customHeight="1" x14ac:dyDescent="0.25">
      <c r="K53" s="3"/>
      <c r="L53" s="3"/>
    </row>
    <row r="54" spans="11:12" ht="22.5" customHeight="1" x14ac:dyDescent="0.25">
      <c r="K54" s="3"/>
      <c r="L54" s="3"/>
    </row>
    <row r="55" spans="11:12" ht="22.5" customHeight="1" x14ac:dyDescent="0.25">
      <c r="K55" s="3"/>
      <c r="L55" s="3"/>
    </row>
    <row r="56" spans="11:12" ht="22.5" customHeight="1" x14ac:dyDescent="0.25">
      <c r="K56" s="3"/>
      <c r="L56" s="3"/>
    </row>
    <row r="57" spans="11:12" ht="22.5" customHeight="1" x14ac:dyDescent="0.25">
      <c r="K57" s="3"/>
      <c r="L57" s="3"/>
    </row>
    <row r="58" spans="11:12" ht="22.5" customHeight="1" x14ac:dyDescent="0.25">
      <c r="K58" s="3"/>
      <c r="L58" s="3"/>
    </row>
    <row r="59" spans="11:12" ht="22.5" customHeight="1" x14ac:dyDescent="0.25">
      <c r="K59" s="3"/>
      <c r="L59" s="3"/>
    </row>
    <row r="60" spans="11:12" ht="22.5" customHeight="1" x14ac:dyDescent="0.25">
      <c r="K60" s="3"/>
      <c r="L60" s="3"/>
    </row>
    <row r="61" spans="11:12" ht="22.5" customHeight="1" x14ac:dyDescent="0.25">
      <c r="K61" s="3"/>
      <c r="L61" s="3"/>
    </row>
    <row r="62" spans="11:12" ht="22.5" customHeight="1" x14ac:dyDescent="0.25">
      <c r="K62" s="3"/>
      <c r="L62" s="3"/>
    </row>
    <row r="63" spans="11:12" ht="22.5" customHeight="1" x14ac:dyDescent="0.25">
      <c r="K63" s="3"/>
      <c r="L63" s="3"/>
    </row>
    <row r="64" spans="11:12" ht="22.5" customHeight="1" x14ac:dyDescent="0.25">
      <c r="K64" s="3"/>
      <c r="L64" s="3"/>
    </row>
    <row r="65" spans="11:12" ht="22.5" customHeight="1" x14ac:dyDescent="0.25">
      <c r="K65" s="3"/>
      <c r="L65" s="3"/>
    </row>
    <row r="66" spans="11:12" ht="22.5" customHeight="1" x14ac:dyDescent="0.25">
      <c r="K66" s="3"/>
      <c r="L66" s="3"/>
    </row>
    <row r="67" spans="11:12" ht="22.5" customHeight="1" x14ac:dyDescent="0.25">
      <c r="K67" s="3"/>
      <c r="L67" s="3"/>
    </row>
    <row r="68" spans="11:12" ht="22.5" customHeight="1" x14ac:dyDescent="0.25">
      <c r="K68" s="3"/>
      <c r="L68" s="3"/>
    </row>
    <row r="69" spans="11:12" ht="22.5" customHeight="1" x14ac:dyDescent="0.25">
      <c r="K69" s="3"/>
      <c r="L69" s="3"/>
    </row>
    <row r="70" spans="11:12" ht="22.5" customHeight="1" x14ac:dyDescent="0.25">
      <c r="K70" s="3"/>
      <c r="L70" s="3"/>
    </row>
    <row r="71" spans="11:12" ht="22.5" customHeight="1" x14ac:dyDescent="0.25">
      <c r="K71" s="3"/>
      <c r="L71" s="3"/>
    </row>
    <row r="72" spans="11:12" ht="22.5" customHeight="1" x14ac:dyDescent="0.25">
      <c r="K72" s="3"/>
      <c r="L72" s="3"/>
    </row>
    <row r="73" spans="11:12" ht="22.5" customHeight="1" x14ac:dyDescent="0.25">
      <c r="K73" s="3"/>
      <c r="L73" s="3"/>
    </row>
    <row r="74" spans="11:12" ht="22.5" customHeight="1" x14ac:dyDescent="0.25">
      <c r="K74" s="3"/>
      <c r="L74" s="3"/>
    </row>
    <row r="75" spans="11:12" ht="22.5" customHeight="1" x14ac:dyDescent="0.25">
      <c r="K75" s="3"/>
      <c r="L75" s="3"/>
    </row>
    <row r="76" spans="11:12" ht="22.5" customHeight="1" x14ac:dyDescent="0.25">
      <c r="K76" s="3"/>
      <c r="L76" s="3"/>
    </row>
    <row r="77" spans="11:12" ht="22.5" customHeight="1" x14ac:dyDescent="0.25">
      <c r="K77" s="3"/>
      <c r="L77" s="3"/>
    </row>
    <row r="78" spans="11:12" ht="22.5" customHeight="1" x14ac:dyDescent="0.25">
      <c r="K78" s="3"/>
      <c r="L78" s="3"/>
    </row>
    <row r="79" spans="11:12" ht="22.5" customHeight="1" x14ac:dyDescent="0.25">
      <c r="K79" s="3"/>
      <c r="L79" s="3"/>
    </row>
    <row r="80" spans="11:12" ht="22.5" customHeight="1" x14ac:dyDescent="0.25">
      <c r="K80" s="3"/>
      <c r="L80" s="3"/>
    </row>
    <row r="81" spans="11:12" ht="22.5" customHeight="1" x14ac:dyDescent="0.25">
      <c r="K81" s="3"/>
      <c r="L81" s="3"/>
    </row>
    <row r="82" spans="11:12" ht="22.5" customHeight="1" x14ac:dyDescent="0.25">
      <c r="K82" s="3"/>
      <c r="L82" s="3"/>
    </row>
    <row r="83" spans="11:12" ht="22.5" customHeight="1" x14ac:dyDescent="0.25">
      <c r="K83" s="3"/>
      <c r="L83" s="3"/>
    </row>
    <row r="84" spans="11:12" ht="22.5" customHeight="1" x14ac:dyDescent="0.25">
      <c r="K84" s="3"/>
      <c r="L84" s="3"/>
    </row>
    <row r="85" spans="11:12" ht="22.5" customHeight="1" x14ac:dyDescent="0.25">
      <c r="K85" s="3"/>
      <c r="L85" s="3"/>
    </row>
    <row r="86" spans="11:12" ht="22.5" customHeight="1" x14ac:dyDescent="0.25">
      <c r="K86" s="3"/>
      <c r="L86" s="3"/>
    </row>
    <row r="87" spans="11:12" ht="22.5" customHeight="1" x14ac:dyDescent="0.25">
      <c r="K87" s="3"/>
      <c r="L87" s="3"/>
    </row>
    <row r="88" spans="11:12" ht="22.5" customHeight="1" x14ac:dyDescent="0.25">
      <c r="K88" s="3"/>
      <c r="L88" s="3"/>
    </row>
    <row r="89" spans="11:12" ht="22.5" customHeight="1" x14ac:dyDescent="0.25">
      <c r="K89" s="3"/>
      <c r="L89" s="3"/>
    </row>
    <row r="90" spans="11:12" ht="22.5" customHeight="1" x14ac:dyDescent="0.25">
      <c r="K90" s="3"/>
      <c r="L90" s="3"/>
    </row>
    <row r="91" spans="11:12" ht="22.5" customHeight="1" x14ac:dyDescent="0.25">
      <c r="K91" s="3"/>
      <c r="L91" s="3"/>
    </row>
    <row r="92" spans="11:12" ht="22.5" customHeight="1" x14ac:dyDescent="0.25">
      <c r="K92" s="3"/>
      <c r="L92" s="3"/>
    </row>
    <row r="93" spans="11:12" ht="22.5" customHeight="1" x14ac:dyDescent="0.25">
      <c r="K93" s="3"/>
      <c r="L93" s="3"/>
    </row>
    <row r="94" spans="11:12" ht="22.5" customHeight="1" x14ac:dyDescent="0.25">
      <c r="K94" s="3"/>
      <c r="L94" s="3"/>
    </row>
    <row r="95" spans="11:12" ht="22.5" customHeight="1" x14ac:dyDescent="0.25">
      <c r="K95" s="3"/>
      <c r="L95" s="3"/>
    </row>
    <row r="96" spans="11:12" ht="22.5" customHeight="1" x14ac:dyDescent="0.25">
      <c r="K96" s="3"/>
      <c r="L96" s="3"/>
    </row>
    <row r="97" spans="11:12" ht="22.5" customHeight="1" x14ac:dyDescent="0.25">
      <c r="K97" s="3"/>
      <c r="L97" s="3"/>
    </row>
    <row r="98" spans="11:12" ht="22.5" customHeight="1" x14ac:dyDescent="0.25">
      <c r="K98" s="3"/>
      <c r="L98" s="3"/>
    </row>
    <row r="99" spans="11:12" ht="22.5" customHeight="1" x14ac:dyDescent="0.25">
      <c r="K99" s="3"/>
      <c r="L99" s="3"/>
    </row>
    <row r="100" spans="11:12" ht="22.5" customHeight="1" x14ac:dyDescent="0.25">
      <c r="K100" s="3"/>
      <c r="L100" s="3"/>
    </row>
    <row r="101" spans="11:12" ht="22.5" customHeight="1" x14ac:dyDescent="0.25">
      <c r="K101" s="3"/>
      <c r="L101" s="3"/>
    </row>
    <row r="102" spans="11:12" ht="22.5" customHeight="1" x14ac:dyDescent="0.25">
      <c r="K102" s="3"/>
      <c r="L102" s="3"/>
    </row>
    <row r="103" spans="11:12" ht="22.5" customHeight="1" x14ac:dyDescent="0.25">
      <c r="K103" s="3"/>
      <c r="L103" s="3"/>
    </row>
    <row r="104" spans="11:12" ht="22.5" customHeight="1" x14ac:dyDescent="0.25">
      <c r="K104" s="3"/>
      <c r="L104" s="3"/>
    </row>
    <row r="105" spans="11:12" ht="22.5" customHeight="1" x14ac:dyDescent="0.25">
      <c r="K105" s="3"/>
      <c r="L105" s="3"/>
    </row>
    <row r="106" spans="11:12" ht="22.5" customHeight="1" x14ac:dyDescent="0.25">
      <c r="K106" s="3"/>
      <c r="L106" s="3"/>
    </row>
    <row r="107" spans="11:12" ht="22.5" customHeight="1" x14ac:dyDescent="0.25">
      <c r="K107" s="3"/>
      <c r="L107" s="3"/>
    </row>
    <row r="108" spans="11:12" ht="22.5" customHeight="1" x14ac:dyDescent="0.25">
      <c r="K108" s="3"/>
      <c r="L108" s="3"/>
    </row>
    <row r="109" spans="11:12" ht="22.5" customHeight="1" x14ac:dyDescent="0.25">
      <c r="K109" s="3"/>
      <c r="L109" s="3"/>
    </row>
    <row r="110" spans="11:12" ht="22.5" customHeight="1" x14ac:dyDescent="0.25">
      <c r="K110" s="3"/>
      <c r="L110" s="3"/>
    </row>
    <row r="111" spans="11:12" ht="22.5" customHeight="1" x14ac:dyDescent="0.25">
      <c r="K111" s="3"/>
      <c r="L111" s="3"/>
    </row>
    <row r="112" spans="11:12" ht="22.5" customHeight="1" x14ac:dyDescent="0.25">
      <c r="K112" s="3"/>
      <c r="L112" s="3"/>
    </row>
    <row r="113" spans="11:12" ht="22.5" customHeight="1" x14ac:dyDescent="0.25">
      <c r="K113" s="3"/>
      <c r="L113" s="3"/>
    </row>
    <row r="114" spans="11:12" ht="22.5" customHeight="1" x14ac:dyDescent="0.25">
      <c r="K114" s="3"/>
      <c r="L114" s="3"/>
    </row>
    <row r="115" spans="11:12" ht="22.5" customHeight="1" x14ac:dyDescent="0.25">
      <c r="K115" s="3"/>
      <c r="L115" s="3"/>
    </row>
    <row r="116" spans="11:12" ht="22.5" customHeight="1" x14ac:dyDescent="0.25">
      <c r="K116" s="3"/>
      <c r="L116" s="3"/>
    </row>
    <row r="117" spans="11:12" ht="22.5" customHeight="1" x14ac:dyDescent="0.25">
      <c r="K117" s="3"/>
      <c r="L117" s="3"/>
    </row>
    <row r="118" spans="11:12" ht="22.5" customHeight="1" x14ac:dyDescent="0.25">
      <c r="K118" s="3"/>
      <c r="L118" s="3"/>
    </row>
    <row r="119" spans="11:12" ht="22.5" customHeight="1" x14ac:dyDescent="0.25">
      <c r="K119" s="3"/>
      <c r="L119" s="3"/>
    </row>
    <row r="120" spans="11:12" ht="22.5" customHeight="1" x14ac:dyDescent="0.25">
      <c r="K120" s="3"/>
      <c r="L120" s="3"/>
    </row>
    <row r="121" spans="11:12" ht="22.5" customHeight="1" x14ac:dyDescent="0.25">
      <c r="K121" s="3"/>
      <c r="L121" s="3"/>
    </row>
    <row r="122" spans="11:12" ht="22.5" customHeight="1" x14ac:dyDescent="0.25">
      <c r="K122" s="3"/>
      <c r="L122" s="3"/>
    </row>
    <row r="123" spans="11:12" ht="22.5" customHeight="1" x14ac:dyDescent="0.25">
      <c r="K123" s="3"/>
      <c r="L123" s="3"/>
    </row>
    <row r="124" spans="11:12" ht="22.5" customHeight="1" x14ac:dyDescent="0.25">
      <c r="K124" s="3"/>
      <c r="L124" s="3"/>
    </row>
    <row r="125" spans="11:12" ht="22.5" customHeight="1" x14ac:dyDescent="0.25">
      <c r="K125" s="3"/>
      <c r="L125" s="3"/>
    </row>
    <row r="126" spans="11:12" ht="22.5" customHeight="1" x14ac:dyDescent="0.25">
      <c r="K126" s="3"/>
      <c r="L126" s="3"/>
    </row>
    <row r="127" spans="11:12" ht="22.5" customHeight="1" x14ac:dyDescent="0.25">
      <c r="K127" s="3"/>
      <c r="L127" s="3"/>
    </row>
    <row r="128" spans="11:12" ht="22.5" customHeight="1" x14ac:dyDescent="0.25">
      <c r="K128" s="3"/>
      <c r="L128" s="3"/>
    </row>
    <row r="129" spans="11:12" ht="22.5" customHeight="1" x14ac:dyDescent="0.25">
      <c r="K129" s="3"/>
      <c r="L129" s="3"/>
    </row>
    <row r="130" spans="11:12" ht="22.5" customHeight="1" x14ac:dyDescent="0.25">
      <c r="K130" s="3"/>
      <c r="L130" s="3"/>
    </row>
    <row r="131" spans="11:12" ht="22.5" customHeight="1" x14ac:dyDescent="0.25">
      <c r="K131" s="3"/>
      <c r="L131" s="3"/>
    </row>
    <row r="132" spans="11:12" ht="22.5" customHeight="1" x14ac:dyDescent="0.25">
      <c r="K132" s="3"/>
      <c r="L132" s="3"/>
    </row>
    <row r="133" spans="11:12" ht="22.5" customHeight="1" x14ac:dyDescent="0.25">
      <c r="K133" s="3"/>
      <c r="L133" s="3"/>
    </row>
    <row r="134" spans="11:12" ht="22.5" customHeight="1" x14ac:dyDescent="0.25">
      <c r="K134" s="3"/>
      <c r="L134" s="3"/>
    </row>
    <row r="135" spans="11:12" ht="22.5" customHeight="1" x14ac:dyDescent="0.25">
      <c r="K135" s="3"/>
      <c r="L135" s="3"/>
    </row>
    <row r="136" spans="11:12" ht="22.5" customHeight="1" x14ac:dyDescent="0.25">
      <c r="K136" s="3"/>
      <c r="L136" s="3"/>
    </row>
    <row r="137" spans="11:12" ht="22.5" customHeight="1" x14ac:dyDescent="0.25">
      <c r="K137" s="3"/>
      <c r="L137" s="3"/>
    </row>
    <row r="138" spans="11:12" ht="22.5" customHeight="1" x14ac:dyDescent="0.25">
      <c r="K138" s="3"/>
      <c r="L138" s="3"/>
    </row>
    <row r="139" spans="11:12" ht="22.5" customHeight="1" x14ac:dyDescent="0.25">
      <c r="K139" s="3"/>
      <c r="L139" s="3"/>
    </row>
    <row r="140" spans="11:12" ht="22.5" customHeight="1" x14ac:dyDescent="0.25">
      <c r="K140" s="3"/>
      <c r="L140" s="3"/>
    </row>
    <row r="141" spans="11:12" ht="22.5" customHeight="1" x14ac:dyDescent="0.25">
      <c r="K141" s="3"/>
      <c r="L141" s="3"/>
    </row>
    <row r="142" spans="11:12" ht="22.5" customHeight="1" x14ac:dyDescent="0.25">
      <c r="K142" s="3"/>
      <c r="L142" s="3"/>
    </row>
    <row r="143" spans="11:12" ht="22.5" customHeight="1" x14ac:dyDescent="0.25">
      <c r="K143" s="3"/>
      <c r="L143" s="3"/>
    </row>
    <row r="144" spans="11:12" ht="22.5" customHeight="1" x14ac:dyDescent="0.25">
      <c r="K144" s="3"/>
      <c r="L144" s="3"/>
    </row>
    <row r="145" spans="11:12" ht="22.5" customHeight="1" x14ac:dyDescent="0.25">
      <c r="K145" s="3"/>
      <c r="L145" s="3"/>
    </row>
    <row r="146" spans="11:12" ht="22.5" customHeight="1" x14ac:dyDescent="0.25">
      <c r="K146" s="3"/>
      <c r="L146" s="3"/>
    </row>
    <row r="147" spans="11:12" ht="22.5" customHeight="1" x14ac:dyDescent="0.25">
      <c r="K147" s="3"/>
      <c r="L147" s="3"/>
    </row>
    <row r="148" spans="11:12" ht="22.5" customHeight="1" x14ac:dyDescent="0.25">
      <c r="K148" s="3"/>
      <c r="L148" s="3"/>
    </row>
    <row r="149" spans="11:12" ht="22.5" customHeight="1" x14ac:dyDescent="0.25">
      <c r="K149" s="3"/>
      <c r="L149" s="3"/>
    </row>
    <row r="150" spans="11:12" ht="22.5" customHeight="1" x14ac:dyDescent="0.25">
      <c r="K150" s="3"/>
      <c r="L150" s="3"/>
    </row>
    <row r="151" spans="11:12" ht="22.5" customHeight="1" x14ac:dyDescent="0.25">
      <c r="K151" s="3"/>
      <c r="L151" s="3"/>
    </row>
    <row r="152" spans="11:12" ht="22.5" customHeight="1" x14ac:dyDescent="0.25">
      <c r="K152" s="3"/>
      <c r="L152" s="3"/>
    </row>
    <row r="153" spans="11:12" ht="22.5" customHeight="1" x14ac:dyDescent="0.25">
      <c r="K153" s="3"/>
      <c r="L153" s="3"/>
    </row>
    <row r="154" spans="11:12" ht="22.5" customHeight="1" x14ac:dyDescent="0.25">
      <c r="K154" s="3"/>
      <c r="L154" s="3"/>
    </row>
    <row r="155" spans="11:12" ht="22.5" customHeight="1" x14ac:dyDescent="0.25">
      <c r="K155" s="3"/>
      <c r="L155" s="3"/>
    </row>
    <row r="156" spans="11:12" ht="22.5" customHeight="1" x14ac:dyDescent="0.25">
      <c r="K156" s="3"/>
      <c r="L156" s="3"/>
    </row>
    <row r="157" spans="11:12" ht="22.5" customHeight="1" x14ac:dyDescent="0.25">
      <c r="K157" s="3"/>
      <c r="L157" s="3"/>
    </row>
    <row r="158" spans="11:12" ht="22.5" customHeight="1" x14ac:dyDescent="0.25">
      <c r="K158" s="3"/>
      <c r="L158" s="3"/>
    </row>
    <row r="159" spans="11:12" ht="22.5" customHeight="1" x14ac:dyDescent="0.25">
      <c r="K159" s="3"/>
      <c r="L159" s="3"/>
    </row>
    <row r="160" spans="11:12" ht="22.5" customHeight="1" x14ac:dyDescent="0.25">
      <c r="K160" s="3"/>
      <c r="L160" s="3"/>
    </row>
    <row r="161" spans="11:12" ht="22.5" customHeight="1" x14ac:dyDescent="0.25">
      <c r="K161" s="3"/>
      <c r="L161" s="3"/>
    </row>
    <row r="162" spans="11:12" ht="22.5" customHeight="1" x14ac:dyDescent="0.25">
      <c r="K162" s="3"/>
      <c r="L162" s="3"/>
    </row>
    <row r="163" spans="11:12" ht="22.5" customHeight="1" x14ac:dyDescent="0.25">
      <c r="K163" s="3"/>
      <c r="L163" s="3"/>
    </row>
    <row r="164" spans="11:12" ht="22.5" customHeight="1" x14ac:dyDescent="0.25">
      <c r="K164" s="3"/>
      <c r="L164" s="3"/>
    </row>
    <row r="165" spans="11:12" ht="22.5" customHeight="1" x14ac:dyDescent="0.25">
      <c r="K165" s="3"/>
      <c r="L165" s="3"/>
    </row>
    <row r="166" spans="11:12" ht="22.5" customHeight="1" x14ac:dyDescent="0.25">
      <c r="K166" s="3"/>
      <c r="L166" s="3"/>
    </row>
    <row r="167" spans="11:12" ht="22.5" customHeight="1" x14ac:dyDescent="0.25">
      <c r="K167" s="3"/>
      <c r="L167" s="3"/>
    </row>
    <row r="168" spans="11:12" ht="22.5" customHeight="1" x14ac:dyDescent="0.25">
      <c r="K168" s="3"/>
      <c r="L168" s="3"/>
    </row>
    <row r="169" spans="11:12" ht="22.5" customHeight="1" x14ac:dyDescent="0.25">
      <c r="K169" s="3"/>
      <c r="L169" s="3"/>
    </row>
    <row r="170" spans="11:12" ht="22.5" customHeight="1" x14ac:dyDescent="0.25">
      <c r="K170" s="3"/>
      <c r="L170" s="3"/>
    </row>
    <row r="171" spans="11:12" ht="22.5" customHeight="1" x14ac:dyDescent="0.25">
      <c r="K171" s="3"/>
      <c r="L171" s="3"/>
    </row>
    <row r="172" spans="11:12" ht="22.5" customHeight="1" x14ac:dyDescent="0.25">
      <c r="K172" s="3"/>
      <c r="L172" s="3"/>
    </row>
    <row r="173" spans="11:12" ht="22.5" customHeight="1" x14ac:dyDescent="0.25">
      <c r="K173" s="3"/>
      <c r="L173" s="3"/>
    </row>
    <row r="174" spans="11:12" ht="22.5" customHeight="1" x14ac:dyDescent="0.25">
      <c r="K174" s="3"/>
      <c r="L174" s="3"/>
    </row>
    <row r="175" spans="11:12" ht="22.5" customHeight="1" x14ac:dyDescent="0.25">
      <c r="K175" s="3"/>
      <c r="L175" s="3"/>
    </row>
    <row r="176" spans="11:12" ht="22.5" customHeight="1" x14ac:dyDescent="0.25">
      <c r="K176" s="3"/>
      <c r="L176" s="3"/>
    </row>
    <row r="177" spans="11:12" ht="22.5" customHeight="1" x14ac:dyDescent="0.25">
      <c r="K177" s="3"/>
      <c r="L177" s="3"/>
    </row>
    <row r="178" spans="11:12" ht="22.5" customHeight="1" x14ac:dyDescent="0.25">
      <c r="K178" s="3"/>
      <c r="L178" s="3"/>
    </row>
    <row r="179" spans="11:12" ht="22.5" customHeight="1" x14ac:dyDescent="0.25">
      <c r="K179" s="3"/>
      <c r="L179" s="3"/>
    </row>
    <row r="180" spans="11:12" ht="22.5" customHeight="1" x14ac:dyDescent="0.25">
      <c r="K180" s="3"/>
      <c r="L180" s="3"/>
    </row>
    <row r="181" spans="11:12" ht="22.5" customHeight="1" x14ac:dyDescent="0.25">
      <c r="K181" s="3"/>
      <c r="L181" s="3"/>
    </row>
    <row r="182" spans="11:12" ht="22.5" customHeight="1" x14ac:dyDescent="0.25">
      <c r="K182" s="3"/>
      <c r="L182" s="3"/>
    </row>
    <row r="183" spans="11:12" ht="22.5" customHeight="1" x14ac:dyDescent="0.25">
      <c r="K183" s="3"/>
      <c r="L183" s="3"/>
    </row>
    <row r="184" spans="11:12" ht="22.5" customHeight="1" x14ac:dyDescent="0.25">
      <c r="K184" s="3"/>
      <c r="L184" s="3"/>
    </row>
    <row r="185" spans="11:12" ht="22.5" customHeight="1" x14ac:dyDescent="0.25">
      <c r="K185" s="3"/>
      <c r="L185" s="3"/>
    </row>
    <row r="186" spans="11:12" ht="22.5" customHeight="1" x14ac:dyDescent="0.25">
      <c r="K186" s="3"/>
      <c r="L186" s="3"/>
    </row>
    <row r="187" spans="11:12" ht="22.5" customHeight="1" x14ac:dyDescent="0.25">
      <c r="K187" s="3"/>
      <c r="L187" s="3"/>
    </row>
    <row r="188" spans="11:12" ht="22.5" customHeight="1" x14ac:dyDescent="0.25">
      <c r="K188" s="3"/>
      <c r="L188" s="3"/>
    </row>
    <row r="189" spans="11:12" ht="22.5" customHeight="1" x14ac:dyDescent="0.25">
      <c r="K189" s="3"/>
      <c r="L189" s="3"/>
    </row>
    <row r="190" spans="11:12" ht="22.5" customHeight="1" x14ac:dyDescent="0.25">
      <c r="K190" s="3"/>
      <c r="L190" s="3"/>
    </row>
    <row r="191" spans="11:12" ht="22.5" customHeight="1" x14ac:dyDescent="0.25">
      <c r="K191" s="3"/>
      <c r="L191" s="3"/>
    </row>
    <row r="192" spans="11:12" ht="22.5" customHeight="1" x14ac:dyDescent="0.25">
      <c r="K192" s="3"/>
      <c r="L192" s="3"/>
    </row>
    <row r="193" spans="11:12" ht="22.5" customHeight="1" x14ac:dyDescent="0.25">
      <c r="K193" s="3"/>
      <c r="L193" s="3"/>
    </row>
    <row r="194" spans="11:12" ht="22.5" customHeight="1" x14ac:dyDescent="0.25">
      <c r="K194" s="3"/>
      <c r="L194" s="3"/>
    </row>
    <row r="195" spans="11:12" ht="22.5" customHeight="1" x14ac:dyDescent="0.25">
      <c r="K195" s="3"/>
      <c r="L195" s="3"/>
    </row>
    <row r="196" spans="11:12" ht="22.5" customHeight="1" x14ac:dyDescent="0.25">
      <c r="K196" s="3"/>
      <c r="L196" s="3"/>
    </row>
    <row r="197" spans="11:12" ht="22.5" customHeight="1" x14ac:dyDescent="0.25">
      <c r="K197" s="3"/>
      <c r="L197" s="3"/>
    </row>
    <row r="198" spans="11:12" ht="22.5" customHeight="1" x14ac:dyDescent="0.25">
      <c r="K198" s="3"/>
      <c r="L198" s="3"/>
    </row>
    <row r="199" spans="11:12" ht="22.5" customHeight="1" x14ac:dyDescent="0.25">
      <c r="K199" s="3"/>
      <c r="L199" s="3"/>
    </row>
    <row r="200" spans="11:12" ht="22.5" customHeight="1" x14ac:dyDescent="0.25">
      <c r="K200" s="3"/>
      <c r="L200" s="3"/>
    </row>
  </sheetData>
  <sheetProtection insertRows="0" deleteRows="0" sort="0" autoFilter="0"/>
  <mergeCells count="3">
    <mergeCell ref="B13:M13"/>
    <mergeCell ref="O13:W13"/>
    <mergeCell ref="B12:D12"/>
  </mergeCells>
  <conditionalFormatting sqref="AA15 N15:N16 S15:S16">
    <cfRule type="cellIs" dxfId="111" priority="9" operator="equal">
      <formula>FALSE</formula>
    </cfRule>
  </conditionalFormatting>
  <conditionalFormatting sqref="P15 U15">
    <cfRule type="containsText" dxfId="110" priority="6" operator="containsText" text="NA">
      <formula>NOT(ISERROR(SEARCH("NA",P15)))</formula>
    </cfRule>
  </conditionalFormatting>
  <conditionalFormatting sqref="X15">
    <cfRule type="cellIs" dxfId="109" priority="5" operator="equal">
      <formula>FALSE</formula>
    </cfRule>
  </conditionalFormatting>
  <conditionalFormatting sqref="F15">
    <cfRule type="containsText" dxfId="108" priority="1" operator="containsText" text="Compte courant d'associé">
      <formula>NOT(ISERROR(SEARCH("Compte courant d'associé",F15)))</formula>
    </cfRule>
    <cfRule type="containsText" dxfId="107" priority="4" operator="containsText" text="Rémunération gérant">
      <formula>NOT(ISERROR(SEARCH("Rémunération gérant",F15)))</formula>
    </cfRule>
  </conditionalFormatting>
  <conditionalFormatting sqref="D15:J15">
    <cfRule type="containsBlanks" dxfId="106" priority="2">
      <formula>LEN(TRIM(D15))=0</formula>
    </cfRule>
  </conditionalFormatting>
  <dataValidations count="6">
    <dataValidation type="list" allowBlank="1" showInputMessage="1" showErrorMessage="1" sqref="Z15" xr:uid="{1DE6329C-CF7D-43AC-A62F-C5239FBCDDAE}">
      <formula1>CODETVA</formula1>
    </dataValidation>
    <dataValidation type="list" allowBlank="1" showInputMessage="1" sqref="D15" xr:uid="{68A88B95-C6BF-4E76-A305-5137372CFF85}">
      <formula1>OFFSET(MODEDEREGLEMENT,MATCH(D15&amp;"*",MODEDEREGLEMENT,0)-1,,COUNTIF(MODEDEREGLEMENT,D15&amp;"*"))</formula1>
    </dataValidation>
    <dataValidation type="list" allowBlank="1" showInputMessage="1" sqref="F15" xr:uid="{5430A08D-072B-4252-92D0-E68395FD6995}">
      <formula1>OFFSET(CATEGORIE,MATCH(F15&amp;"*",CATEGORIE,0)-1,,COUNTIF(CATEGORIE,F15&amp;"*"))</formula1>
    </dataValidation>
    <dataValidation type="list" allowBlank="1" showInputMessage="1" sqref="J15 G15" xr:uid="{38649E31-5DE0-4496-8BEB-E13DA6390430}">
      <formula1>OFFSET(TIERS,MATCH(G15&amp;"*",TIERS,0)-1,,COUNTIF(TIERS,G15&amp;"*"))</formula1>
    </dataValidation>
    <dataValidation type="list" allowBlank="1" showInputMessage="1" showErrorMessage="1" sqref="I12" xr:uid="{3BCDF757-8583-4491-96B2-4BC45357A893}">
      <formula1>PREMIERJOURMOIS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15" xr:uid="{A85BF1A3-91D4-440C-9594-B32EE08D047F}">
      <formula1>$I$12</formula1>
      <formula2>EOMONTH($I$12,0)</formula2>
    </dataValidation>
  </dataValidations>
  <printOptions horizontalCentered="1" verticalCentered="1"/>
  <pageMargins left="0.25" right="0.25" top="0.75" bottom="0.75" header="0.3" footer="0.3"/>
  <pageSetup paperSize="9" scale="39" fitToHeight="0" orientation="landscape" verticalDpi="1200" r:id="rId1"/>
  <headerFooter>
    <oddHeader>&amp;L&amp;"-,Gras"SARL DIKTRANS
10 rue Roger Planchon 69200 Vénissieux&amp;C&amp;"-,Gras"JOURNAL DES OPÉRATIONS BANCAIRES&amp;RGÉRANT : Monsieur DRISS Mohamed (DM)
GÉRANT : Monsieur HABI Fayçal (HF)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469128-8DE3-4C85-A25D-4AD7EFDCD7BA}">
  <sheetPr codeName="Feuil128">
    <tabColor rgb="FF7030A0"/>
  </sheetPr>
  <dimension ref="A1:P61"/>
  <sheetViews>
    <sheetView showGridLines="0" workbookViewId="0">
      <pane ySplit="4" topLeftCell="A5" activePane="bottomLeft" state="frozen"/>
      <selection pane="bottomLeft" activeCell="F2" sqref="F2"/>
    </sheetView>
  </sheetViews>
  <sheetFormatPr baseColWidth="10" defaultRowHeight="15.75" x14ac:dyDescent="0.25"/>
  <cols>
    <col min="1" max="1" width="2.85546875" style="1" customWidth="1"/>
    <col min="2" max="2" width="12.85546875" style="3" customWidth="1"/>
    <col min="3" max="3" width="8.5703125" style="3" customWidth="1"/>
    <col min="4" max="4" width="19.28515625" style="3" customWidth="1"/>
    <col min="5" max="5" width="39.28515625" style="3" customWidth="1"/>
    <col min="6" max="6" width="53.5703125" style="3" customWidth="1"/>
    <col min="7" max="7" width="32.140625" style="3" customWidth="1"/>
    <col min="8" max="8" width="35.7109375" style="3" customWidth="1"/>
    <col min="9" max="9" width="50" style="3" customWidth="1"/>
    <col min="10" max="10" width="32.140625" style="3" customWidth="1"/>
    <col min="11" max="12" width="14.28515625" style="3" customWidth="1"/>
    <col min="13" max="13" width="8.5703125" style="3" customWidth="1"/>
    <col min="14" max="14" width="14.28515625" style="3" customWidth="1"/>
    <col min="15" max="16" width="14.28515625" style="30" customWidth="1"/>
    <col min="17" max="16384" width="11.42578125" style="30"/>
  </cols>
  <sheetData>
    <row r="1" spans="2:16" ht="15" customHeight="1" x14ac:dyDescent="0.25"/>
    <row r="2" spans="2:16" ht="37.5" customHeight="1" x14ac:dyDescent="0.25">
      <c r="F2" s="126" t="s">
        <v>6</v>
      </c>
      <c r="G2" s="31">
        <f>ANNEEN</f>
        <v>2020</v>
      </c>
      <c r="H2" s="30"/>
      <c r="I2" s="30"/>
      <c r="J2" s="30"/>
      <c r="K2" s="32" t="s">
        <v>5</v>
      </c>
      <c r="L2" s="12">
        <v>0</v>
      </c>
      <c r="M2" s="33" t="s">
        <v>7</v>
      </c>
      <c r="N2" s="14">
        <f>EOMONTH(DATE(G2,1,1),-1)</f>
        <v>43830</v>
      </c>
    </row>
    <row r="3" spans="2:16" ht="22.5" customHeight="1" x14ac:dyDescent="0.25"/>
    <row r="4" spans="2:16" ht="67.5" customHeight="1" x14ac:dyDescent="0.25">
      <c r="B4" s="113" t="s">
        <v>0</v>
      </c>
      <c r="C4" s="114" t="s">
        <v>76</v>
      </c>
      <c r="D4" s="115" t="s">
        <v>28</v>
      </c>
      <c r="E4" s="116" t="s">
        <v>56</v>
      </c>
      <c r="F4" s="116" t="s">
        <v>83</v>
      </c>
      <c r="G4" s="116" t="s">
        <v>1</v>
      </c>
      <c r="H4" s="116" t="s">
        <v>59</v>
      </c>
      <c r="I4" s="116" t="s">
        <v>57</v>
      </c>
      <c r="J4" s="116" t="s">
        <v>2</v>
      </c>
      <c r="K4" s="117" t="s">
        <v>3</v>
      </c>
      <c r="L4" s="118" t="s">
        <v>4</v>
      </c>
      <c r="M4" s="30"/>
      <c r="N4" s="34" t="s">
        <v>54</v>
      </c>
      <c r="O4" s="35" t="s">
        <v>52</v>
      </c>
      <c r="P4" s="36" t="s">
        <v>53</v>
      </c>
    </row>
    <row r="5" spans="2:16" ht="22.5" customHeight="1" x14ac:dyDescent="0.25">
      <c r="B5" s="128"/>
      <c r="C5" s="79"/>
      <c r="D5" s="112"/>
      <c r="E5" s="112"/>
      <c r="F5" s="112"/>
      <c r="G5" s="112"/>
      <c r="H5" s="135"/>
      <c r="I5" s="112"/>
      <c r="J5" s="112"/>
      <c r="K5" s="86"/>
      <c r="L5" s="90"/>
      <c r="N5" s="28">
        <f>IFERROR(IF(ROW()=ROW($B$5),SUM($L$2,K5,-L5),SUM(N4,K5,-L5)),"")</f>
        <v>0</v>
      </c>
      <c r="O5" s="54" t="str">
        <f>IFERROR(IF(TABLEAUSOLDERDM[[#This Row],[Cumul]]&gt;0,TABLEAUSOLDERDM[[#This Row],[Cumul]],""),"")</f>
        <v/>
      </c>
      <c r="P5" s="29" t="str">
        <f>IFERROR(IF(TABLEAUSOLDERDM[[#This Row],[Cumul]]&lt;0,-TABLEAUSOLDERDM[[#This Row],[Cumul]],""),"")</f>
        <v/>
      </c>
    </row>
    <row r="6" spans="2:16" ht="22.5" customHeight="1" x14ac:dyDescent="0.25">
      <c r="B6" s="128"/>
      <c r="C6" s="79"/>
      <c r="D6" s="112"/>
      <c r="E6" s="112"/>
      <c r="F6" s="112"/>
      <c r="G6" s="112"/>
      <c r="H6" s="135"/>
      <c r="I6" s="112"/>
      <c r="J6" s="112"/>
      <c r="K6" s="86"/>
      <c r="L6" s="90"/>
      <c r="N6" s="28">
        <f t="shared" ref="N6:N11" si="0">IFERROR(IF(ROW()=ROW($B$5),SUM($L$2,K6,-L6),SUM(N5,K6,-L6)),"")</f>
        <v>0</v>
      </c>
      <c r="O6" s="54" t="str">
        <f>IFERROR(IF(TABLEAUSOLDERDM[[#This Row],[Cumul]]&gt;0,TABLEAUSOLDERDM[[#This Row],[Cumul]],""),"")</f>
        <v/>
      </c>
      <c r="P6" s="29" t="str">
        <f>IFERROR(IF(TABLEAUSOLDERDM[[#This Row],[Cumul]]&lt;0,-TABLEAUSOLDERDM[[#This Row],[Cumul]],""),"")</f>
        <v/>
      </c>
    </row>
    <row r="7" spans="2:16" ht="22.5" customHeight="1" x14ac:dyDescent="0.25">
      <c r="B7" s="128"/>
      <c r="C7" s="79"/>
      <c r="D7" s="112"/>
      <c r="E7" s="112"/>
      <c r="F7" s="112"/>
      <c r="G7" s="112"/>
      <c r="H7" s="135"/>
      <c r="I7" s="112"/>
      <c r="J7" s="112"/>
      <c r="K7" s="86"/>
      <c r="L7" s="90"/>
      <c r="N7" s="28">
        <f t="shared" si="0"/>
        <v>0</v>
      </c>
      <c r="O7" s="54" t="str">
        <f>IFERROR(IF(TABLEAUSOLDERDM[[#This Row],[Cumul]]&gt;0,TABLEAUSOLDERDM[[#This Row],[Cumul]],""),"")</f>
        <v/>
      </c>
      <c r="P7" s="29" t="str">
        <f>IFERROR(IF(TABLEAUSOLDERDM[[#This Row],[Cumul]]&lt;0,-TABLEAUSOLDERDM[[#This Row],[Cumul]],""),"")</f>
        <v/>
      </c>
    </row>
    <row r="8" spans="2:16" ht="22.5" customHeight="1" x14ac:dyDescent="0.25">
      <c r="B8" s="128"/>
      <c r="C8" s="79"/>
      <c r="D8" s="112"/>
      <c r="E8" s="112"/>
      <c r="F8" s="112"/>
      <c r="G8" s="112"/>
      <c r="H8" s="135"/>
      <c r="I8" s="112"/>
      <c r="J8" s="112"/>
      <c r="K8" s="86"/>
      <c r="L8" s="90"/>
      <c r="N8" s="28">
        <f t="shared" si="0"/>
        <v>0</v>
      </c>
      <c r="O8" s="54" t="str">
        <f>IFERROR(IF(TABLEAUSOLDERDM[[#This Row],[Cumul]]&gt;0,TABLEAUSOLDERDM[[#This Row],[Cumul]],""),"")</f>
        <v/>
      </c>
      <c r="P8" s="29" t="str">
        <f>IFERROR(IF(TABLEAUSOLDERDM[[#This Row],[Cumul]]&lt;0,-TABLEAUSOLDERDM[[#This Row],[Cumul]],""),"")</f>
        <v/>
      </c>
    </row>
    <row r="9" spans="2:16" ht="22.5" customHeight="1" x14ac:dyDescent="0.25">
      <c r="B9" s="128"/>
      <c r="C9" s="79"/>
      <c r="D9" s="112"/>
      <c r="E9" s="112"/>
      <c r="F9" s="112"/>
      <c r="G9" s="112"/>
      <c r="H9" s="135"/>
      <c r="I9" s="112"/>
      <c r="J9" s="112"/>
      <c r="K9" s="86"/>
      <c r="L9" s="90"/>
      <c r="N9" s="28">
        <f t="shared" si="0"/>
        <v>0</v>
      </c>
      <c r="O9" s="54" t="str">
        <f>IFERROR(IF(TABLEAUSOLDERDM[[#This Row],[Cumul]]&gt;0,TABLEAUSOLDERDM[[#This Row],[Cumul]],""),"")</f>
        <v/>
      </c>
      <c r="P9" s="29" t="str">
        <f>IFERROR(IF(TABLEAUSOLDERDM[[#This Row],[Cumul]]&lt;0,-TABLEAUSOLDERDM[[#This Row],[Cumul]],""),"")</f>
        <v/>
      </c>
    </row>
    <row r="10" spans="2:16" ht="22.5" customHeight="1" x14ac:dyDescent="0.25">
      <c r="B10" s="129"/>
      <c r="C10" s="119"/>
      <c r="D10" s="120"/>
      <c r="E10" s="120"/>
      <c r="F10" s="121"/>
      <c r="G10" s="121"/>
      <c r="H10" s="121"/>
      <c r="I10" s="120"/>
      <c r="J10" s="121"/>
      <c r="K10" s="110"/>
      <c r="L10" s="111"/>
      <c r="N10" s="28">
        <f t="shared" si="0"/>
        <v>0</v>
      </c>
      <c r="O10" s="54" t="str">
        <f>IFERROR(IF(TABLEAUSOLDERDM[[#This Row],[Cumul]]&gt;0,TABLEAUSOLDERDM[[#This Row],[Cumul]],""),"")</f>
        <v/>
      </c>
      <c r="P10" s="29" t="str">
        <f>IFERROR(IF(TABLEAUSOLDERDM[[#This Row],[Cumul]]&lt;0,-TABLEAUSOLDERDM[[#This Row],[Cumul]],""),"")</f>
        <v/>
      </c>
    </row>
    <row r="11" spans="2:16" ht="22.5" customHeight="1" x14ac:dyDescent="0.25">
      <c r="B11" s="129"/>
      <c r="C11" s="119"/>
      <c r="D11" s="120"/>
      <c r="E11" s="120"/>
      <c r="F11" s="121"/>
      <c r="G11" s="121"/>
      <c r="H11" s="121"/>
      <c r="I11" s="120"/>
      <c r="J11" s="121"/>
      <c r="K11" s="110"/>
      <c r="L11" s="111"/>
      <c r="N11" s="28">
        <f t="shared" si="0"/>
        <v>0</v>
      </c>
      <c r="O11" s="54" t="str">
        <f>IFERROR(IF(TABLEAUSOLDERDM[[#This Row],[Cumul]]&gt;0,TABLEAUSOLDERDM[[#This Row],[Cumul]],""),"")</f>
        <v/>
      </c>
      <c r="P11" s="29" t="str">
        <f>IFERROR(IF(TABLEAUSOLDERDM[[#This Row],[Cumul]]&lt;0,-TABLEAUSOLDERDM[[#This Row],[Cumul]],""),"")</f>
        <v/>
      </c>
    </row>
    <row r="12" spans="2:16" ht="22.5" customHeight="1" x14ac:dyDescent="0.25">
      <c r="B12" s="129"/>
      <c r="C12" s="119"/>
      <c r="D12" s="120"/>
      <c r="E12" s="120"/>
      <c r="F12" s="121"/>
      <c r="G12" s="121"/>
      <c r="H12" s="121"/>
      <c r="I12" s="120"/>
      <c r="J12" s="121"/>
      <c r="K12" s="110"/>
      <c r="L12" s="111"/>
      <c r="N12" s="28">
        <f t="shared" ref="N12:N53" si="1">IFERROR(IF(ROW()=ROW($B$5),SUM($L$2,K12,-L12),SUM(N11,K12,-L12)),"")</f>
        <v>0</v>
      </c>
      <c r="O12" s="54" t="str">
        <f>IFERROR(IF(TABLEAUSOLDERDM[[#This Row],[Cumul]]&gt;0,TABLEAUSOLDERDM[[#This Row],[Cumul]],""),"")</f>
        <v/>
      </c>
      <c r="P12" s="29" t="str">
        <f>IFERROR(IF(TABLEAUSOLDERDM[[#This Row],[Cumul]]&lt;0,-TABLEAUSOLDERDM[[#This Row],[Cumul]],""),"")</f>
        <v/>
      </c>
    </row>
    <row r="13" spans="2:16" ht="22.5" customHeight="1" x14ac:dyDescent="0.25">
      <c r="B13" s="129"/>
      <c r="C13" s="119"/>
      <c r="D13" s="120"/>
      <c r="E13" s="120"/>
      <c r="F13" s="121"/>
      <c r="G13" s="121"/>
      <c r="H13" s="121"/>
      <c r="I13" s="120"/>
      <c r="J13" s="121"/>
      <c r="K13" s="110"/>
      <c r="L13" s="111"/>
      <c r="N13" s="28">
        <f t="shared" si="1"/>
        <v>0</v>
      </c>
      <c r="O13" s="54" t="str">
        <f>IFERROR(IF(TABLEAUSOLDERDM[[#This Row],[Cumul]]&gt;0,TABLEAUSOLDERDM[[#This Row],[Cumul]],""),"")</f>
        <v/>
      </c>
      <c r="P13" s="29" t="str">
        <f>IFERROR(IF(TABLEAUSOLDERDM[[#This Row],[Cumul]]&lt;0,-TABLEAUSOLDERDM[[#This Row],[Cumul]],""),"")</f>
        <v/>
      </c>
    </row>
    <row r="14" spans="2:16" ht="22.5" customHeight="1" x14ac:dyDescent="0.25">
      <c r="B14" s="129"/>
      <c r="C14" s="119"/>
      <c r="D14" s="120"/>
      <c r="E14" s="120"/>
      <c r="F14" s="121"/>
      <c r="G14" s="121"/>
      <c r="H14" s="121"/>
      <c r="I14" s="120"/>
      <c r="J14" s="121"/>
      <c r="K14" s="110"/>
      <c r="L14" s="111"/>
      <c r="N14" s="28">
        <f t="shared" si="1"/>
        <v>0</v>
      </c>
      <c r="O14" s="54" t="str">
        <f>IFERROR(IF(TABLEAUSOLDERDM[[#This Row],[Cumul]]&gt;0,TABLEAUSOLDERDM[[#This Row],[Cumul]],""),"")</f>
        <v/>
      </c>
      <c r="P14" s="29" t="str">
        <f>IFERROR(IF(TABLEAUSOLDERDM[[#This Row],[Cumul]]&lt;0,-TABLEAUSOLDERDM[[#This Row],[Cumul]],""),"")</f>
        <v/>
      </c>
    </row>
    <row r="15" spans="2:16" ht="22.5" customHeight="1" x14ac:dyDescent="0.25">
      <c r="B15" s="129"/>
      <c r="C15" s="119"/>
      <c r="D15" s="120"/>
      <c r="E15" s="120"/>
      <c r="F15" s="121"/>
      <c r="G15" s="121"/>
      <c r="H15" s="121"/>
      <c r="I15" s="120"/>
      <c r="J15" s="121"/>
      <c r="K15" s="110"/>
      <c r="L15" s="111"/>
      <c r="N15" s="28">
        <f t="shared" si="1"/>
        <v>0</v>
      </c>
      <c r="O15" s="54" t="str">
        <f>IFERROR(IF(TABLEAUSOLDERDM[[#This Row],[Cumul]]&gt;0,TABLEAUSOLDERDM[[#This Row],[Cumul]],""),"")</f>
        <v/>
      </c>
      <c r="P15" s="29" t="str">
        <f>IFERROR(IF(TABLEAUSOLDERDM[[#This Row],[Cumul]]&lt;0,-TABLEAUSOLDERDM[[#This Row],[Cumul]],""),"")</f>
        <v/>
      </c>
    </row>
    <row r="16" spans="2:16" ht="22.5" customHeight="1" x14ac:dyDescent="0.25">
      <c r="B16" s="129"/>
      <c r="C16" s="119"/>
      <c r="D16" s="120"/>
      <c r="E16" s="120"/>
      <c r="F16" s="121"/>
      <c r="G16" s="121"/>
      <c r="H16" s="121"/>
      <c r="I16" s="120"/>
      <c r="J16" s="121"/>
      <c r="K16" s="110"/>
      <c r="L16" s="111"/>
      <c r="N16" s="28">
        <f t="shared" si="1"/>
        <v>0</v>
      </c>
      <c r="O16" s="54" t="str">
        <f>IFERROR(IF(TABLEAUSOLDERDM[[#This Row],[Cumul]]&gt;0,TABLEAUSOLDERDM[[#This Row],[Cumul]],""),"")</f>
        <v/>
      </c>
      <c r="P16" s="29" t="str">
        <f>IFERROR(IF(TABLEAUSOLDERDM[[#This Row],[Cumul]]&lt;0,-TABLEAUSOLDERDM[[#This Row],[Cumul]],""),"")</f>
        <v/>
      </c>
    </row>
    <row r="17" spans="2:16" ht="22.5" customHeight="1" x14ac:dyDescent="0.25">
      <c r="B17" s="129"/>
      <c r="C17" s="119"/>
      <c r="D17" s="120"/>
      <c r="E17" s="120"/>
      <c r="F17" s="121"/>
      <c r="G17" s="121"/>
      <c r="H17" s="121"/>
      <c r="I17" s="120"/>
      <c r="J17" s="121"/>
      <c r="K17" s="110"/>
      <c r="L17" s="111"/>
      <c r="N17" s="28">
        <f t="shared" si="1"/>
        <v>0</v>
      </c>
      <c r="O17" s="54" t="str">
        <f>IFERROR(IF(TABLEAUSOLDERDM[[#This Row],[Cumul]]&gt;0,TABLEAUSOLDERDM[[#This Row],[Cumul]],""),"")</f>
        <v/>
      </c>
      <c r="P17" s="29" t="str">
        <f>IFERROR(IF(TABLEAUSOLDERDM[[#This Row],[Cumul]]&lt;0,-TABLEAUSOLDERDM[[#This Row],[Cumul]],""),"")</f>
        <v/>
      </c>
    </row>
    <row r="18" spans="2:16" ht="22.5" customHeight="1" x14ac:dyDescent="0.25">
      <c r="B18" s="129"/>
      <c r="C18" s="119"/>
      <c r="D18" s="120"/>
      <c r="E18" s="120"/>
      <c r="F18" s="121"/>
      <c r="G18" s="121"/>
      <c r="H18" s="121"/>
      <c r="I18" s="120"/>
      <c r="J18" s="121"/>
      <c r="K18" s="110"/>
      <c r="L18" s="111"/>
      <c r="N18" s="28">
        <f t="shared" si="1"/>
        <v>0</v>
      </c>
      <c r="O18" s="54" t="str">
        <f>IFERROR(IF(TABLEAUSOLDERDM[[#This Row],[Cumul]]&gt;0,TABLEAUSOLDERDM[[#This Row],[Cumul]],""),"")</f>
        <v/>
      </c>
      <c r="P18" s="29" t="str">
        <f>IFERROR(IF(TABLEAUSOLDERDM[[#This Row],[Cumul]]&lt;0,-TABLEAUSOLDERDM[[#This Row],[Cumul]],""),"")</f>
        <v/>
      </c>
    </row>
    <row r="19" spans="2:16" ht="22.5" customHeight="1" x14ac:dyDescent="0.25">
      <c r="B19" s="129"/>
      <c r="C19" s="119"/>
      <c r="D19" s="120"/>
      <c r="E19" s="120"/>
      <c r="F19" s="121"/>
      <c r="G19" s="121"/>
      <c r="H19" s="121"/>
      <c r="I19" s="120"/>
      <c r="J19" s="121"/>
      <c r="K19" s="110"/>
      <c r="L19" s="111"/>
      <c r="N19" s="28">
        <f t="shared" si="1"/>
        <v>0</v>
      </c>
      <c r="O19" s="54" t="str">
        <f>IFERROR(IF(TABLEAUSOLDERDM[[#This Row],[Cumul]]&gt;0,TABLEAUSOLDERDM[[#This Row],[Cumul]],""),"")</f>
        <v/>
      </c>
      <c r="P19" s="29" t="str">
        <f>IFERROR(IF(TABLEAUSOLDERDM[[#This Row],[Cumul]]&lt;0,-TABLEAUSOLDERDM[[#This Row],[Cumul]],""),"")</f>
        <v/>
      </c>
    </row>
    <row r="20" spans="2:16" ht="22.5" customHeight="1" x14ac:dyDescent="0.25">
      <c r="B20" s="129"/>
      <c r="C20" s="119"/>
      <c r="D20" s="120"/>
      <c r="E20" s="120"/>
      <c r="F20" s="121"/>
      <c r="G20" s="121"/>
      <c r="H20" s="121"/>
      <c r="I20" s="120"/>
      <c r="J20" s="121"/>
      <c r="K20" s="110"/>
      <c r="L20" s="111"/>
      <c r="N20" s="28">
        <f t="shared" si="1"/>
        <v>0</v>
      </c>
      <c r="O20" s="54" t="str">
        <f>IFERROR(IF(TABLEAUSOLDERDM[[#This Row],[Cumul]]&gt;0,TABLEAUSOLDERDM[[#This Row],[Cumul]],""),"")</f>
        <v/>
      </c>
      <c r="P20" s="29" t="str">
        <f>IFERROR(IF(TABLEAUSOLDERDM[[#This Row],[Cumul]]&lt;0,-TABLEAUSOLDERDM[[#This Row],[Cumul]],""),"")</f>
        <v/>
      </c>
    </row>
    <row r="21" spans="2:16" ht="22.5" customHeight="1" x14ac:dyDescent="0.25">
      <c r="B21" s="129"/>
      <c r="C21" s="119"/>
      <c r="D21" s="120"/>
      <c r="E21" s="120"/>
      <c r="F21" s="121"/>
      <c r="G21" s="121"/>
      <c r="H21" s="121"/>
      <c r="I21" s="120"/>
      <c r="J21" s="121"/>
      <c r="K21" s="110"/>
      <c r="L21" s="111"/>
      <c r="N21" s="28">
        <f t="shared" si="1"/>
        <v>0</v>
      </c>
      <c r="O21" s="54" t="str">
        <f>IFERROR(IF(TABLEAUSOLDERDM[[#This Row],[Cumul]]&gt;0,TABLEAUSOLDERDM[[#This Row],[Cumul]],""),"")</f>
        <v/>
      </c>
      <c r="P21" s="29" t="str">
        <f>IFERROR(IF(TABLEAUSOLDERDM[[#This Row],[Cumul]]&lt;0,-TABLEAUSOLDERDM[[#This Row],[Cumul]],""),"")</f>
        <v/>
      </c>
    </row>
    <row r="22" spans="2:16" ht="22.5" customHeight="1" x14ac:dyDescent="0.25">
      <c r="B22" s="129"/>
      <c r="C22" s="119"/>
      <c r="D22" s="120"/>
      <c r="E22" s="120"/>
      <c r="F22" s="121"/>
      <c r="G22" s="121"/>
      <c r="H22" s="121"/>
      <c r="I22" s="120"/>
      <c r="J22" s="121"/>
      <c r="K22" s="110"/>
      <c r="L22" s="111"/>
      <c r="N22" s="28">
        <f t="shared" si="1"/>
        <v>0</v>
      </c>
      <c r="O22" s="54" t="str">
        <f>IFERROR(IF(TABLEAUSOLDERDM[[#This Row],[Cumul]]&gt;0,TABLEAUSOLDERDM[[#This Row],[Cumul]],""),"")</f>
        <v/>
      </c>
      <c r="P22" s="29" t="str">
        <f>IFERROR(IF(TABLEAUSOLDERDM[[#This Row],[Cumul]]&lt;0,-TABLEAUSOLDERDM[[#This Row],[Cumul]],""),"")</f>
        <v/>
      </c>
    </row>
    <row r="23" spans="2:16" ht="22.5" customHeight="1" x14ac:dyDescent="0.25">
      <c r="B23" s="129"/>
      <c r="C23" s="119"/>
      <c r="D23" s="120"/>
      <c r="E23" s="120"/>
      <c r="F23" s="121"/>
      <c r="G23" s="121"/>
      <c r="H23" s="121"/>
      <c r="I23" s="120"/>
      <c r="J23" s="121"/>
      <c r="K23" s="110"/>
      <c r="L23" s="111"/>
      <c r="N23" s="28">
        <f t="shared" si="1"/>
        <v>0</v>
      </c>
      <c r="O23" s="54" t="str">
        <f>IFERROR(IF(TABLEAUSOLDERDM[[#This Row],[Cumul]]&gt;0,TABLEAUSOLDERDM[[#This Row],[Cumul]],""),"")</f>
        <v/>
      </c>
      <c r="P23" s="29" t="str">
        <f>IFERROR(IF(TABLEAUSOLDERDM[[#This Row],[Cumul]]&lt;0,-TABLEAUSOLDERDM[[#This Row],[Cumul]],""),"")</f>
        <v/>
      </c>
    </row>
    <row r="24" spans="2:16" ht="22.5" customHeight="1" x14ac:dyDescent="0.25">
      <c r="B24" s="129"/>
      <c r="C24" s="119"/>
      <c r="D24" s="120"/>
      <c r="E24" s="120"/>
      <c r="F24" s="121"/>
      <c r="G24" s="121"/>
      <c r="H24" s="121"/>
      <c r="I24" s="120"/>
      <c r="J24" s="121"/>
      <c r="K24" s="110"/>
      <c r="L24" s="111"/>
      <c r="N24" s="28">
        <f t="shared" si="1"/>
        <v>0</v>
      </c>
      <c r="O24" s="54" t="str">
        <f>IFERROR(IF(TABLEAUSOLDERDM[[#This Row],[Cumul]]&gt;0,TABLEAUSOLDERDM[[#This Row],[Cumul]],""),"")</f>
        <v/>
      </c>
      <c r="P24" s="29" t="str">
        <f>IFERROR(IF(TABLEAUSOLDERDM[[#This Row],[Cumul]]&lt;0,-TABLEAUSOLDERDM[[#This Row],[Cumul]],""),"")</f>
        <v/>
      </c>
    </row>
    <row r="25" spans="2:16" ht="22.5" customHeight="1" x14ac:dyDescent="0.25">
      <c r="B25" s="129"/>
      <c r="C25" s="119"/>
      <c r="D25" s="120"/>
      <c r="E25" s="120"/>
      <c r="F25" s="121"/>
      <c r="G25" s="121"/>
      <c r="H25" s="121"/>
      <c r="I25" s="120"/>
      <c r="J25" s="121"/>
      <c r="K25" s="110"/>
      <c r="L25" s="111"/>
      <c r="N25" s="28">
        <f t="shared" si="1"/>
        <v>0</v>
      </c>
      <c r="O25" s="54" t="str">
        <f>IFERROR(IF(TABLEAUSOLDERDM[[#This Row],[Cumul]]&gt;0,TABLEAUSOLDERDM[[#This Row],[Cumul]],""),"")</f>
        <v/>
      </c>
      <c r="P25" s="29" t="str">
        <f>IFERROR(IF(TABLEAUSOLDERDM[[#This Row],[Cumul]]&lt;0,-TABLEAUSOLDERDM[[#This Row],[Cumul]],""),"")</f>
        <v/>
      </c>
    </row>
    <row r="26" spans="2:16" ht="22.5" customHeight="1" x14ac:dyDescent="0.25">
      <c r="B26" s="129"/>
      <c r="C26" s="119"/>
      <c r="D26" s="120"/>
      <c r="E26" s="120"/>
      <c r="F26" s="121"/>
      <c r="G26" s="121"/>
      <c r="H26" s="121"/>
      <c r="I26" s="120"/>
      <c r="J26" s="121"/>
      <c r="K26" s="110"/>
      <c r="L26" s="111"/>
      <c r="N26" s="28">
        <f t="shared" si="1"/>
        <v>0</v>
      </c>
      <c r="O26" s="54" t="str">
        <f>IFERROR(IF(TABLEAUSOLDERDM[[#This Row],[Cumul]]&gt;0,TABLEAUSOLDERDM[[#This Row],[Cumul]],""),"")</f>
        <v/>
      </c>
      <c r="P26" s="29" t="str">
        <f>IFERROR(IF(TABLEAUSOLDERDM[[#This Row],[Cumul]]&lt;0,-TABLEAUSOLDERDM[[#This Row],[Cumul]],""),"")</f>
        <v/>
      </c>
    </row>
    <row r="27" spans="2:16" ht="22.5" customHeight="1" x14ac:dyDescent="0.25">
      <c r="B27" s="129"/>
      <c r="C27" s="119"/>
      <c r="D27" s="120"/>
      <c r="E27" s="120"/>
      <c r="F27" s="121"/>
      <c r="G27" s="121"/>
      <c r="H27" s="121"/>
      <c r="I27" s="120"/>
      <c r="J27" s="121"/>
      <c r="K27" s="110"/>
      <c r="L27" s="111"/>
      <c r="N27" s="28">
        <f t="shared" si="1"/>
        <v>0</v>
      </c>
      <c r="O27" s="54" t="str">
        <f>IFERROR(IF(TABLEAUSOLDERDM[[#This Row],[Cumul]]&gt;0,TABLEAUSOLDERDM[[#This Row],[Cumul]],""),"")</f>
        <v/>
      </c>
      <c r="P27" s="29" t="str">
        <f>IFERROR(IF(TABLEAUSOLDERDM[[#This Row],[Cumul]]&lt;0,-TABLEAUSOLDERDM[[#This Row],[Cumul]],""),"")</f>
        <v/>
      </c>
    </row>
    <row r="28" spans="2:16" ht="22.5" customHeight="1" x14ac:dyDescent="0.25">
      <c r="B28" s="129"/>
      <c r="C28" s="119"/>
      <c r="D28" s="120"/>
      <c r="E28" s="120"/>
      <c r="F28" s="121"/>
      <c r="G28" s="121"/>
      <c r="H28" s="121"/>
      <c r="I28" s="120"/>
      <c r="J28" s="121"/>
      <c r="K28" s="110"/>
      <c r="L28" s="111"/>
      <c r="N28" s="28">
        <f t="shared" si="1"/>
        <v>0</v>
      </c>
      <c r="O28" s="54" t="str">
        <f>IFERROR(IF(TABLEAUSOLDERDM[[#This Row],[Cumul]]&gt;0,TABLEAUSOLDERDM[[#This Row],[Cumul]],""),"")</f>
        <v/>
      </c>
      <c r="P28" s="29" t="str">
        <f>IFERROR(IF(TABLEAUSOLDERDM[[#This Row],[Cumul]]&lt;0,-TABLEAUSOLDERDM[[#This Row],[Cumul]],""),"")</f>
        <v/>
      </c>
    </row>
    <row r="29" spans="2:16" ht="22.5" customHeight="1" x14ac:dyDescent="0.25">
      <c r="B29" s="129"/>
      <c r="C29" s="119"/>
      <c r="D29" s="120"/>
      <c r="E29" s="120"/>
      <c r="F29" s="121"/>
      <c r="G29" s="121"/>
      <c r="H29" s="121"/>
      <c r="I29" s="120"/>
      <c r="J29" s="121"/>
      <c r="K29" s="110"/>
      <c r="L29" s="111"/>
      <c r="N29" s="28">
        <f t="shared" si="1"/>
        <v>0</v>
      </c>
      <c r="O29" s="54" t="str">
        <f>IFERROR(IF(TABLEAUSOLDERDM[[#This Row],[Cumul]]&gt;0,TABLEAUSOLDERDM[[#This Row],[Cumul]],""),"")</f>
        <v/>
      </c>
      <c r="P29" s="29" t="str">
        <f>IFERROR(IF(TABLEAUSOLDERDM[[#This Row],[Cumul]]&lt;0,-TABLEAUSOLDERDM[[#This Row],[Cumul]],""),"")</f>
        <v/>
      </c>
    </row>
    <row r="30" spans="2:16" ht="22.5" customHeight="1" x14ac:dyDescent="0.25">
      <c r="B30" s="129"/>
      <c r="C30" s="119"/>
      <c r="D30" s="120"/>
      <c r="E30" s="120"/>
      <c r="F30" s="121"/>
      <c r="G30" s="121"/>
      <c r="H30" s="121"/>
      <c r="I30" s="120"/>
      <c r="J30" s="121"/>
      <c r="K30" s="110"/>
      <c r="L30" s="111"/>
      <c r="N30" s="28">
        <f t="shared" si="1"/>
        <v>0</v>
      </c>
      <c r="O30" s="54" t="str">
        <f>IFERROR(IF(TABLEAUSOLDERDM[[#This Row],[Cumul]]&gt;0,TABLEAUSOLDERDM[[#This Row],[Cumul]],""),"")</f>
        <v/>
      </c>
      <c r="P30" s="29" t="str">
        <f>IFERROR(IF(TABLEAUSOLDERDM[[#This Row],[Cumul]]&lt;0,-TABLEAUSOLDERDM[[#This Row],[Cumul]],""),"")</f>
        <v/>
      </c>
    </row>
    <row r="31" spans="2:16" ht="22.5" customHeight="1" x14ac:dyDescent="0.25">
      <c r="B31" s="129"/>
      <c r="C31" s="119"/>
      <c r="D31" s="120"/>
      <c r="E31" s="120"/>
      <c r="F31" s="121"/>
      <c r="G31" s="121"/>
      <c r="H31" s="121"/>
      <c r="I31" s="120"/>
      <c r="J31" s="121"/>
      <c r="K31" s="110"/>
      <c r="L31" s="111"/>
      <c r="N31" s="28">
        <f t="shared" si="1"/>
        <v>0</v>
      </c>
      <c r="O31" s="54" t="str">
        <f>IFERROR(IF(TABLEAUSOLDERDM[[#This Row],[Cumul]]&gt;0,TABLEAUSOLDERDM[[#This Row],[Cumul]],""),"")</f>
        <v/>
      </c>
      <c r="P31" s="29" t="str">
        <f>IFERROR(IF(TABLEAUSOLDERDM[[#This Row],[Cumul]]&lt;0,-TABLEAUSOLDERDM[[#This Row],[Cumul]],""),"")</f>
        <v/>
      </c>
    </row>
    <row r="32" spans="2:16" ht="22.5" customHeight="1" x14ac:dyDescent="0.25">
      <c r="B32" s="129"/>
      <c r="C32" s="119"/>
      <c r="D32" s="120"/>
      <c r="E32" s="120"/>
      <c r="F32" s="121"/>
      <c r="G32" s="121"/>
      <c r="H32" s="121"/>
      <c r="I32" s="120"/>
      <c r="J32" s="121"/>
      <c r="K32" s="110"/>
      <c r="L32" s="111"/>
      <c r="N32" s="28">
        <f t="shared" si="1"/>
        <v>0</v>
      </c>
      <c r="O32" s="54" t="str">
        <f>IFERROR(IF(TABLEAUSOLDERDM[[#This Row],[Cumul]]&gt;0,TABLEAUSOLDERDM[[#This Row],[Cumul]],""),"")</f>
        <v/>
      </c>
      <c r="P32" s="29" t="str">
        <f>IFERROR(IF(TABLEAUSOLDERDM[[#This Row],[Cumul]]&lt;0,-TABLEAUSOLDERDM[[#This Row],[Cumul]],""),"")</f>
        <v/>
      </c>
    </row>
    <row r="33" spans="2:16" ht="22.5" customHeight="1" x14ac:dyDescent="0.25">
      <c r="B33" s="129"/>
      <c r="C33" s="119"/>
      <c r="D33" s="120"/>
      <c r="E33" s="120"/>
      <c r="F33" s="121"/>
      <c r="G33" s="121"/>
      <c r="H33" s="121"/>
      <c r="I33" s="120"/>
      <c r="J33" s="121"/>
      <c r="K33" s="110"/>
      <c r="L33" s="111"/>
      <c r="N33" s="28">
        <f t="shared" si="1"/>
        <v>0</v>
      </c>
      <c r="O33" s="54" t="str">
        <f>IFERROR(IF(TABLEAUSOLDERDM[[#This Row],[Cumul]]&gt;0,TABLEAUSOLDERDM[[#This Row],[Cumul]],""),"")</f>
        <v/>
      </c>
      <c r="P33" s="29" t="str">
        <f>IFERROR(IF(TABLEAUSOLDERDM[[#This Row],[Cumul]]&lt;0,-TABLEAUSOLDERDM[[#This Row],[Cumul]],""),"")</f>
        <v/>
      </c>
    </row>
    <row r="34" spans="2:16" ht="22.5" customHeight="1" x14ac:dyDescent="0.25">
      <c r="B34" s="129"/>
      <c r="C34" s="119"/>
      <c r="D34" s="120"/>
      <c r="E34" s="120"/>
      <c r="F34" s="121"/>
      <c r="G34" s="121"/>
      <c r="H34" s="121"/>
      <c r="I34" s="120"/>
      <c r="J34" s="121"/>
      <c r="K34" s="110"/>
      <c r="L34" s="111"/>
      <c r="N34" s="28">
        <f t="shared" si="1"/>
        <v>0</v>
      </c>
      <c r="O34" s="54" t="str">
        <f>IFERROR(IF(TABLEAUSOLDERDM[[#This Row],[Cumul]]&gt;0,TABLEAUSOLDERDM[[#This Row],[Cumul]],""),"")</f>
        <v/>
      </c>
      <c r="P34" s="29" t="str">
        <f>IFERROR(IF(TABLEAUSOLDERDM[[#This Row],[Cumul]]&lt;0,-TABLEAUSOLDERDM[[#This Row],[Cumul]],""),"")</f>
        <v/>
      </c>
    </row>
    <row r="35" spans="2:16" ht="22.5" customHeight="1" x14ac:dyDescent="0.25">
      <c r="B35" s="129"/>
      <c r="C35" s="119"/>
      <c r="D35" s="120"/>
      <c r="E35" s="120"/>
      <c r="F35" s="121"/>
      <c r="G35" s="121"/>
      <c r="H35" s="121"/>
      <c r="I35" s="120"/>
      <c r="J35" s="121"/>
      <c r="K35" s="110"/>
      <c r="L35" s="111"/>
      <c r="N35" s="28">
        <f t="shared" si="1"/>
        <v>0</v>
      </c>
      <c r="O35" s="54" t="str">
        <f>IFERROR(IF(TABLEAUSOLDERDM[[#This Row],[Cumul]]&gt;0,TABLEAUSOLDERDM[[#This Row],[Cumul]],""),"")</f>
        <v/>
      </c>
      <c r="P35" s="29" t="str">
        <f>IFERROR(IF(TABLEAUSOLDERDM[[#This Row],[Cumul]]&lt;0,-TABLEAUSOLDERDM[[#This Row],[Cumul]],""),"")</f>
        <v/>
      </c>
    </row>
    <row r="36" spans="2:16" ht="22.5" customHeight="1" x14ac:dyDescent="0.25">
      <c r="B36" s="129"/>
      <c r="C36" s="119"/>
      <c r="D36" s="120"/>
      <c r="E36" s="120"/>
      <c r="F36" s="121"/>
      <c r="G36" s="121"/>
      <c r="H36" s="121"/>
      <c r="I36" s="120"/>
      <c r="J36" s="121"/>
      <c r="K36" s="110"/>
      <c r="L36" s="111"/>
      <c r="N36" s="28">
        <f t="shared" si="1"/>
        <v>0</v>
      </c>
      <c r="O36" s="54" t="str">
        <f>IFERROR(IF(TABLEAUSOLDERDM[[#This Row],[Cumul]]&gt;0,TABLEAUSOLDERDM[[#This Row],[Cumul]],""),"")</f>
        <v/>
      </c>
      <c r="P36" s="29" t="str">
        <f>IFERROR(IF(TABLEAUSOLDERDM[[#This Row],[Cumul]]&lt;0,-TABLEAUSOLDERDM[[#This Row],[Cumul]],""),"")</f>
        <v/>
      </c>
    </row>
    <row r="37" spans="2:16" ht="22.5" customHeight="1" x14ac:dyDescent="0.25">
      <c r="B37" s="129"/>
      <c r="C37" s="119"/>
      <c r="D37" s="120"/>
      <c r="E37" s="120"/>
      <c r="F37" s="121"/>
      <c r="G37" s="121"/>
      <c r="H37" s="121"/>
      <c r="I37" s="120"/>
      <c r="J37" s="121"/>
      <c r="K37" s="110"/>
      <c r="L37" s="111"/>
      <c r="N37" s="28">
        <f t="shared" si="1"/>
        <v>0</v>
      </c>
      <c r="O37" s="54" t="str">
        <f>IFERROR(IF(TABLEAUSOLDERDM[[#This Row],[Cumul]]&gt;0,TABLEAUSOLDERDM[[#This Row],[Cumul]],""),"")</f>
        <v/>
      </c>
      <c r="P37" s="29" t="str">
        <f>IFERROR(IF(TABLEAUSOLDERDM[[#This Row],[Cumul]]&lt;0,-TABLEAUSOLDERDM[[#This Row],[Cumul]],""),"")</f>
        <v/>
      </c>
    </row>
    <row r="38" spans="2:16" ht="22.5" customHeight="1" x14ac:dyDescent="0.25">
      <c r="B38" s="129"/>
      <c r="C38" s="119"/>
      <c r="D38" s="120"/>
      <c r="E38" s="120"/>
      <c r="F38" s="121"/>
      <c r="G38" s="121"/>
      <c r="H38" s="121"/>
      <c r="I38" s="120"/>
      <c r="J38" s="121"/>
      <c r="K38" s="110"/>
      <c r="L38" s="111"/>
      <c r="N38" s="28">
        <f t="shared" si="1"/>
        <v>0</v>
      </c>
      <c r="O38" s="54" t="str">
        <f>IFERROR(IF(TABLEAUSOLDERDM[[#This Row],[Cumul]]&gt;0,TABLEAUSOLDERDM[[#This Row],[Cumul]],""),"")</f>
        <v/>
      </c>
      <c r="P38" s="29" t="str">
        <f>IFERROR(IF(TABLEAUSOLDERDM[[#This Row],[Cumul]]&lt;0,-TABLEAUSOLDERDM[[#This Row],[Cumul]],""),"")</f>
        <v/>
      </c>
    </row>
    <row r="39" spans="2:16" ht="22.5" customHeight="1" x14ac:dyDescent="0.25">
      <c r="B39" s="129"/>
      <c r="C39" s="119"/>
      <c r="D39" s="120"/>
      <c r="E39" s="120"/>
      <c r="F39" s="121"/>
      <c r="G39" s="121"/>
      <c r="H39" s="121"/>
      <c r="I39" s="120"/>
      <c r="J39" s="121"/>
      <c r="K39" s="110"/>
      <c r="L39" s="111"/>
      <c r="N39" s="28">
        <f t="shared" si="1"/>
        <v>0</v>
      </c>
      <c r="O39" s="54" t="str">
        <f>IFERROR(IF(TABLEAUSOLDERDM[[#This Row],[Cumul]]&gt;0,TABLEAUSOLDERDM[[#This Row],[Cumul]],""),"")</f>
        <v/>
      </c>
      <c r="P39" s="29" t="str">
        <f>IFERROR(IF(TABLEAUSOLDERDM[[#This Row],[Cumul]]&lt;0,-TABLEAUSOLDERDM[[#This Row],[Cumul]],""),"")</f>
        <v/>
      </c>
    </row>
    <row r="40" spans="2:16" ht="22.5" customHeight="1" x14ac:dyDescent="0.25">
      <c r="B40" s="129"/>
      <c r="C40" s="119"/>
      <c r="D40" s="120"/>
      <c r="E40" s="120"/>
      <c r="F40" s="121"/>
      <c r="G40" s="121"/>
      <c r="H40" s="121"/>
      <c r="I40" s="120"/>
      <c r="J40" s="121"/>
      <c r="K40" s="110"/>
      <c r="L40" s="111"/>
      <c r="N40" s="28">
        <f t="shared" si="1"/>
        <v>0</v>
      </c>
      <c r="O40" s="54" t="str">
        <f>IFERROR(IF(TABLEAUSOLDERDM[[#This Row],[Cumul]]&gt;0,TABLEAUSOLDERDM[[#This Row],[Cumul]],""),"")</f>
        <v/>
      </c>
      <c r="P40" s="29" t="str">
        <f>IFERROR(IF(TABLEAUSOLDERDM[[#This Row],[Cumul]]&lt;0,-TABLEAUSOLDERDM[[#This Row],[Cumul]],""),"")</f>
        <v/>
      </c>
    </row>
    <row r="41" spans="2:16" ht="22.5" customHeight="1" x14ac:dyDescent="0.25">
      <c r="B41" s="129"/>
      <c r="C41" s="119"/>
      <c r="D41" s="120"/>
      <c r="E41" s="120"/>
      <c r="F41" s="121"/>
      <c r="G41" s="121"/>
      <c r="H41" s="121"/>
      <c r="I41" s="120"/>
      <c r="J41" s="121"/>
      <c r="K41" s="110"/>
      <c r="L41" s="111"/>
      <c r="N41" s="28">
        <f t="shared" si="1"/>
        <v>0</v>
      </c>
      <c r="O41" s="54" t="str">
        <f>IFERROR(IF(TABLEAUSOLDERDM[[#This Row],[Cumul]]&gt;0,TABLEAUSOLDERDM[[#This Row],[Cumul]],""),"")</f>
        <v/>
      </c>
      <c r="P41" s="29" t="str">
        <f>IFERROR(IF(TABLEAUSOLDERDM[[#This Row],[Cumul]]&lt;0,-TABLEAUSOLDERDM[[#This Row],[Cumul]],""),"")</f>
        <v/>
      </c>
    </row>
    <row r="42" spans="2:16" ht="22.5" customHeight="1" x14ac:dyDescent="0.25">
      <c r="B42" s="129"/>
      <c r="C42" s="119"/>
      <c r="D42" s="120"/>
      <c r="E42" s="120"/>
      <c r="F42" s="121"/>
      <c r="G42" s="121"/>
      <c r="H42" s="121"/>
      <c r="I42" s="120"/>
      <c r="J42" s="121"/>
      <c r="K42" s="110"/>
      <c r="L42" s="111"/>
      <c r="N42" s="28">
        <f t="shared" si="1"/>
        <v>0</v>
      </c>
      <c r="O42" s="54" t="str">
        <f>IFERROR(IF(TABLEAUSOLDERDM[[#This Row],[Cumul]]&gt;0,TABLEAUSOLDERDM[[#This Row],[Cumul]],""),"")</f>
        <v/>
      </c>
      <c r="P42" s="29" t="str">
        <f>IFERROR(IF(TABLEAUSOLDERDM[[#This Row],[Cumul]]&lt;0,-TABLEAUSOLDERDM[[#This Row],[Cumul]],""),"")</f>
        <v/>
      </c>
    </row>
    <row r="43" spans="2:16" ht="22.5" customHeight="1" x14ac:dyDescent="0.25">
      <c r="B43" s="129"/>
      <c r="C43" s="119"/>
      <c r="D43" s="120"/>
      <c r="E43" s="120"/>
      <c r="F43" s="121"/>
      <c r="G43" s="121"/>
      <c r="H43" s="121"/>
      <c r="I43" s="120"/>
      <c r="J43" s="121"/>
      <c r="K43" s="110"/>
      <c r="L43" s="111"/>
      <c r="N43" s="28">
        <f t="shared" si="1"/>
        <v>0</v>
      </c>
      <c r="O43" s="54" t="str">
        <f>IFERROR(IF(TABLEAUSOLDERDM[[#This Row],[Cumul]]&gt;0,TABLEAUSOLDERDM[[#This Row],[Cumul]],""),"")</f>
        <v/>
      </c>
      <c r="P43" s="29" t="str">
        <f>IFERROR(IF(TABLEAUSOLDERDM[[#This Row],[Cumul]]&lt;0,-TABLEAUSOLDERDM[[#This Row],[Cumul]],""),"")</f>
        <v/>
      </c>
    </row>
    <row r="44" spans="2:16" ht="22.5" customHeight="1" x14ac:dyDescent="0.25">
      <c r="B44" s="129"/>
      <c r="C44" s="119"/>
      <c r="D44" s="120"/>
      <c r="E44" s="120"/>
      <c r="F44" s="121"/>
      <c r="G44" s="121"/>
      <c r="H44" s="121"/>
      <c r="I44" s="120"/>
      <c r="J44" s="121"/>
      <c r="K44" s="110"/>
      <c r="L44" s="111"/>
      <c r="N44" s="28">
        <f t="shared" si="1"/>
        <v>0</v>
      </c>
      <c r="O44" s="54" t="str">
        <f>IFERROR(IF(TABLEAUSOLDERDM[[#This Row],[Cumul]]&gt;0,TABLEAUSOLDERDM[[#This Row],[Cumul]],""),"")</f>
        <v/>
      </c>
      <c r="P44" s="29" t="str">
        <f>IFERROR(IF(TABLEAUSOLDERDM[[#This Row],[Cumul]]&lt;0,-TABLEAUSOLDERDM[[#This Row],[Cumul]],""),"")</f>
        <v/>
      </c>
    </row>
    <row r="45" spans="2:16" ht="22.5" customHeight="1" x14ac:dyDescent="0.25">
      <c r="B45" s="129"/>
      <c r="C45" s="119"/>
      <c r="D45" s="120"/>
      <c r="E45" s="120"/>
      <c r="F45" s="121"/>
      <c r="G45" s="121"/>
      <c r="H45" s="121"/>
      <c r="I45" s="120"/>
      <c r="J45" s="121"/>
      <c r="K45" s="110"/>
      <c r="L45" s="111"/>
      <c r="N45" s="28">
        <f t="shared" si="1"/>
        <v>0</v>
      </c>
      <c r="O45" s="54" t="str">
        <f>IFERROR(IF(TABLEAUSOLDERDM[[#This Row],[Cumul]]&gt;0,TABLEAUSOLDERDM[[#This Row],[Cumul]],""),"")</f>
        <v/>
      </c>
      <c r="P45" s="29" t="str">
        <f>IFERROR(IF(TABLEAUSOLDERDM[[#This Row],[Cumul]]&lt;0,-TABLEAUSOLDERDM[[#This Row],[Cumul]],""),"")</f>
        <v/>
      </c>
    </row>
    <row r="46" spans="2:16" ht="22.5" customHeight="1" x14ac:dyDescent="0.25">
      <c r="B46" s="129"/>
      <c r="C46" s="119"/>
      <c r="D46" s="120"/>
      <c r="E46" s="120"/>
      <c r="F46" s="121"/>
      <c r="G46" s="121"/>
      <c r="H46" s="121"/>
      <c r="I46" s="120"/>
      <c r="J46" s="121"/>
      <c r="K46" s="110"/>
      <c r="L46" s="111"/>
      <c r="N46" s="28">
        <f t="shared" si="1"/>
        <v>0</v>
      </c>
      <c r="O46" s="54" t="str">
        <f>IFERROR(IF(TABLEAUSOLDERDM[[#This Row],[Cumul]]&gt;0,TABLEAUSOLDERDM[[#This Row],[Cumul]],""),"")</f>
        <v/>
      </c>
      <c r="P46" s="29" t="str">
        <f>IFERROR(IF(TABLEAUSOLDERDM[[#This Row],[Cumul]]&lt;0,-TABLEAUSOLDERDM[[#This Row],[Cumul]],""),"")</f>
        <v/>
      </c>
    </row>
    <row r="47" spans="2:16" ht="22.5" customHeight="1" x14ac:dyDescent="0.25">
      <c r="B47" s="129"/>
      <c r="C47" s="119"/>
      <c r="D47" s="120"/>
      <c r="E47" s="120"/>
      <c r="F47" s="121"/>
      <c r="G47" s="121"/>
      <c r="H47" s="121"/>
      <c r="I47" s="120"/>
      <c r="J47" s="121"/>
      <c r="K47" s="110"/>
      <c r="L47" s="111"/>
      <c r="N47" s="28">
        <f t="shared" si="1"/>
        <v>0</v>
      </c>
      <c r="O47" s="54" t="str">
        <f>IFERROR(IF(TABLEAUSOLDERDM[[#This Row],[Cumul]]&gt;0,TABLEAUSOLDERDM[[#This Row],[Cumul]],""),"")</f>
        <v/>
      </c>
      <c r="P47" s="29" t="str">
        <f>IFERROR(IF(TABLEAUSOLDERDM[[#This Row],[Cumul]]&lt;0,-TABLEAUSOLDERDM[[#This Row],[Cumul]],""),"")</f>
        <v/>
      </c>
    </row>
    <row r="48" spans="2:16" ht="22.5" customHeight="1" x14ac:dyDescent="0.25">
      <c r="B48" s="129"/>
      <c r="C48" s="119"/>
      <c r="D48" s="120"/>
      <c r="E48" s="120"/>
      <c r="F48" s="121"/>
      <c r="G48" s="121"/>
      <c r="H48" s="121"/>
      <c r="I48" s="120"/>
      <c r="J48" s="121"/>
      <c r="K48" s="110"/>
      <c r="L48" s="111"/>
      <c r="N48" s="28">
        <f t="shared" si="1"/>
        <v>0</v>
      </c>
      <c r="O48" s="54" t="str">
        <f>IFERROR(IF(TABLEAUSOLDERDM[[#This Row],[Cumul]]&gt;0,TABLEAUSOLDERDM[[#This Row],[Cumul]],""),"")</f>
        <v/>
      </c>
      <c r="P48" s="29" t="str">
        <f>IFERROR(IF(TABLEAUSOLDERDM[[#This Row],[Cumul]]&lt;0,-TABLEAUSOLDERDM[[#This Row],[Cumul]],""),"")</f>
        <v/>
      </c>
    </row>
    <row r="49" spans="2:16" ht="22.5" customHeight="1" x14ac:dyDescent="0.25">
      <c r="B49" s="129"/>
      <c r="C49" s="119"/>
      <c r="D49" s="120"/>
      <c r="E49" s="120"/>
      <c r="F49" s="121"/>
      <c r="G49" s="121"/>
      <c r="H49" s="121"/>
      <c r="I49" s="120"/>
      <c r="J49" s="121"/>
      <c r="K49" s="110"/>
      <c r="L49" s="111"/>
      <c r="N49" s="28">
        <f t="shared" si="1"/>
        <v>0</v>
      </c>
      <c r="O49" s="54" t="str">
        <f>IFERROR(IF(TABLEAUSOLDERDM[[#This Row],[Cumul]]&gt;0,TABLEAUSOLDERDM[[#This Row],[Cumul]],""),"")</f>
        <v/>
      </c>
      <c r="P49" s="29" t="str">
        <f>IFERROR(IF(TABLEAUSOLDERDM[[#This Row],[Cumul]]&lt;0,-TABLEAUSOLDERDM[[#This Row],[Cumul]],""),"")</f>
        <v/>
      </c>
    </row>
    <row r="50" spans="2:16" ht="22.5" customHeight="1" x14ac:dyDescent="0.25">
      <c r="B50" s="129"/>
      <c r="C50" s="119"/>
      <c r="D50" s="120"/>
      <c r="E50" s="120"/>
      <c r="F50" s="121"/>
      <c r="G50" s="121"/>
      <c r="H50" s="121"/>
      <c r="I50" s="120"/>
      <c r="J50" s="121"/>
      <c r="K50" s="110"/>
      <c r="L50" s="111"/>
      <c r="N50" s="28">
        <f t="shared" si="1"/>
        <v>0</v>
      </c>
      <c r="O50" s="54" t="str">
        <f>IFERROR(IF(TABLEAUSOLDERDM[[#This Row],[Cumul]]&gt;0,TABLEAUSOLDERDM[[#This Row],[Cumul]],""),"")</f>
        <v/>
      </c>
      <c r="P50" s="29" t="str">
        <f>IFERROR(IF(TABLEAUSOLDERDM[[#This Row],[Cumul]]&lt;0,-TABLEAUSOLDERDM[[#This Row],[Cumul]],""),"")</f>
        <v/>
      </c>
    </row>
    <row r="51" spans="2:16" ht="22.5" customHeight="1" x14ac:dyDescent="0.25">
      <c r="B51" s="129"/>
      <c r="C51" s="119"/>
      <c r="D51" s="120"/>
      <c r="E51" s="120"/>
      <c r="F51" s="121"/>
      <c r="G51" s="121"/>
      <c r="H51" s="121"/>
      <c r="I51" s="120"/>
      <c r="J51" s="121"/>
      <c r="K51" s="110"/>
      <c r="L51" s="111"/>
      <c r="N51" s="28">
        <f t="shared" si="1"/>
        <v>0</v>
      </c>
      <c r="O51" s="54" t="str">
        <f>IFERROR(IF(TABLEAUSOLDERDM[[#This Row],[Cumul]]&gt;0,TABLEAUSOLDERDM[[#This Row],[Cumul]],""),"")</f>
        <v/>
      </c>
      <c r="P51" s="29" t="str">
        <f>IFERROR(IF(TABLEAUSOLDERDM[[#This Row],[Cumul]]&lt;0,-TABLEAUSOLDERDM[[#This Row],[Cumul]],""),"")</f>
        <v/>
      </c>
    </row>
    <row r="52" spans="2:16" ht="22.5" customHeight="1" x14ac:dyDescent="0.25">
      <c r="B52" s="129"/>
      <c r="C52" s="119"/>
      <c r="D52" s="120"/>
      <c r="E52" s="120"/>
      <c r="F52" s="121"/>
      <c r="G52" s="121"/>
      <c r="H52" s="121"/>
      <c r="I52" s="120"/>
      <c r="J52" s="121"/>
      <c r="K52" s="110"/>
      <c r="L52" s="111"/>
      <c r="N52" s="28">
        <f t="shared" si="1"/>
        <v>0</v>
      </c>
      <c r="O52" s="54" t="str">
        <f>IFERROR(IF(TABLEAUSOLDERDM[[#This Row],[Cumul]]&gt;0,TABLEAUSOLDERDM[[#This Row],[Cumul]],""),"")</f>
        <v/>
      </c>
      <c r="P52" s="29" t="str">
        <f>IFERROR(IF(TABLEAUSOLDERDM[[#This Row],[Cumul]]&lt;0,-TABLEAUSOLDERDM[[#This Row],[Cumul]],""),"")</f>
        <v/>
      </c>
    </row>
    <row r="53" spans="2:16" ht="22.5" customHeight="1" x14ac:dyDescent="0.25">
      <c r="B53" s="129"/>
      <c r="C53" s="119"/>
      <c r="D53" s="120"/>
      <c r="E53" s="120"/>
      <c r="F53" s="121"/>
      <c r="G53" s="121"/>
      <c r="H53" s="121"/>
      <c r="I53" s="120"/>
      <c r="J53" s="121"/>
      <c r="K53" s="110"/>
      <c r="L53" s="111"/>
      <c r="N53" s="28">
        <f t="shared" si="1"/>
        <v>0</v>
      </c>
      <c r="O53" s="54" t="str">
        <f>IFERROR(IF(TABLEAUSOLDERDM[[#This Row],[Cumul]]&gt;0,TABLEAUSOLDERDM[[#This Row],[Cumul]],""),"")</f>
        <v/>
      </c>
      <c r="P53" s="29" t="str">
        <f>IFERROR(IF(TABLEAUSOLDERDM[[#This Row],[Cumul]]&lt;0,-TABLEAUSOLDERDM[[#This Row],[Cumul]],""),"")</f>
        <v/>
      </c>
    </row>
    <row r="54" spans="2:16" ht="22.5" customHeight="1" x14ac:dyDescent="0.25">
      <c r="B54" s="129"/>
      <c r="C54" s="119"/>
      <c r="D54" s="120"/>
      <c r="E54" s="120"/>
      <c r="F54" s="121"/>
      <c r="G54" s="121"/>
      <c r="H54" s="121"/>
      <c r="I54" s="120"/>
      <c r="J54" s="121"/>
      <c r="K54" s="110"/>
      <c r="L54" s="111"/>
      <c r="N54" s="28">
        <f t="shared" ref="N54:N60" si="2">IFERROR(IF(ROW()=ROW($B$5),SUM($L$2,K54,-L54),SUM(N53,K54,-L54)),"")</f>
        <v>0</v>
      </c>
      <c r="O54" s="54" t="str">
        <f>IFERROR(IF(TABLEAUSOLDERDM[[#This Row],[Cumul]]&gt;0,TABLEAUSOLDERDM[[#This Row],[Cumul]],""),"")</f>
        <v/>
      </c>
      <c r="P54" s="29" t="str">
        <f>IFERROR(IF(TABLEAUSOLDERDM[[#This Row],[Cumul]]&lt;0,-TABLEAUSOLDERDM[[#This Row],[Cumul]],""),"")</f>
        <v/>
      </c>
    </row>
    <row r="55" spans="2:16" ht="22.5" customHeight="1" x14ac:dyDescent="0.25">
      <c r="B55" s="129"/>
      <c r="C55" s="119"/>
      <c r="D55" s="120"/>
      <c r="E55" s="120"/>
      <c r="F55" s="121"/>
      <c r="G55" s="121"/>
      <c r="H55" s="121"/>
      <c r="I55" s="120"/>
      <c r="J55" s="121"/>
      <c r="K55" s="110"/>
      <c r="L55" s="111"/>
      <c r="N55" s="28">
        <f t="shared" si="2"/>
        <v>0</v>
      </c>
      <c r="O55" s="54" t="str">
        <f>IFERROR(IF(TABLEAUSOLDERDM[[#This Row],[Cumul]]&gt;0,TABLEAUSOLDERDM[[#This Row],[Cumul]],""),"")</f>
        <v/>
      </c>
      <c r="P55" s="29" t="str">
        <f>IFERROR(IF(TABLEAUSOLDERDM[[#This Row],[Cumul]]&lt;0,-TABLEAUSOLDERDM[[#This Row],[Cumul]],""),"")</f>
        <v/>
      </c>
    </row>
    <row r="56" spans="2:16" ht="22.5" customHeight="1" x14ac:dyDescent="0.25">
      <c r="B56" s="129"/>
      <c r="C56" s="119"/>
      <c r="D56" s="120"/>
      <c r="E56" s="120"/>
      <c r="F56" s="121"/>
      <c r="G56" s="121"/>
      <c r="H56" s="121"/>
      <c r="I56" s="120"/>
      <c r="J56" s="121"/>
      <c r="K56" s="110"/>
      <c r="L56" s="111"/>
      <c r="N56" s="28">
        <f t="shared" si="2"/>
        <v>0</v>
      </c>
      <c r="O56" s="54" t="str">
        <f>IFERROR(IF(TABLEAUSOLDERDM[[#This Row],[Cumul]]&gt;0,TABLEAUSOLDERDM[[#This Row],[Cumul]],""),"")</f>
        <v/>
      </c>
      <c r="P56" s="29" t="str">
        <f>IFERROR(IF(TABLEAUSOLDERDM[[#This Row],[Cumul]]&lt;0,-TABLEAUSOLDERDM[[#This Row],[Cumul]],""),"")</f>
        <v/>
      </c>
    </row>
    <row r="57" spans="2:16" ht="22.5" customHeight="1" x14ac:dyDescent="0.25">
      <c r="B57" s="129"/>
      <c r="C57" s="119"/>
      <c r="D57" s="120"/>
      <c r="E57" s="120"/>
      <c r="F57" s="121"/>
      <c r="G57" s="121"/>
      <c r="H57" s="121"/>
      <c r="I57" s="120"/>
      <c r="J57" s="121"/>
      <c r="K57" s="110"/>
      <c r="L57" s="111"/>
      <c r="N57" s="28">
        <f t="shared" si="2"/>
        <v>0</v>
      </c>
      <c r="O57" s="54" t="str">
        <f>IFERROR(IF(TABLEAUSOLDERDM[[#This Row],[Cumul]]&gt;0,TABLEAUSOLDERDM[[#This Row],[Cumul]],""),"")</f>
        <v/>
      </c>
      <c r="P57" s="29" t="str">
        <f>IFERROR(IF(TABLEAUSOLDERDM[[#This Row],[Cumul]]&lt;0,-TABLEAUSOLDERDM[[#This Row],[Cumul]],""),"")</f>
        <v/>
      </c>
    </row>
    <row r="58" spans="2:16" ht="22.5" customHeight="1" x14ac:dyDescent="0.25">
      <c r="B58" s="129"/>
      <c r="C58" s="119"/>
      <c r="D58" s="120"/>
      <c r="E58" s="120"/>
      <c r="F58" s="121"/>
      <c r="G58" s="121"/>
      <c r="H58" s="121"/>
      <c r="I58" s="120"/>
      <c r="J58" s="121"/>
      <c r="K58" s="110"/>
      <c r="L58" s="111"/>
      <c r="N58" s="28">
        <f t="shared" si="2"/>
        <v>0</v>
      </c>
      <c r="O58" s="54" t="str">
        <f>IFERROR(IF(TABLEAUSOLDERDM[[#This Row],[Cumul]]&gt;0,TABLEAUSOLDERDM[[#This Row],[Cumul]],""),"")</f>
        <v/>
      </c>
      <c r="P58" s="29" t="str">
        <f>IFERROR(IF(TABLEAUSOLDERDM[[#This Row],[Cumul]]&lt;0,-TABLEAUSOLDERDM[[#This Row],[Cumul]],""),"")</f>
        <v/>
      </c>
    </row>
    <row r="59" spans="2:16" ht="22.5" customHeight="1" x14ac:dyDescent="0.25">
      <c r="B59" s="129"/>
      <c r="C59" s="119"/>
      <c r="D59" s="120"/>
      <c r="E59" s="120"/>
      <c r="F59" s="121"/>
      <c r="G59" s="121"/>
      <c r="H59" s="121"/>
      <c r="I59" s="120"/>
      <c r="J59" s="121"/>
      <c r="K59" s="110"/>
      <c r="L59" s="111"/>
      <c r="N59" s="28">
        <f t="shared" si="2"/>
        <v>0</v>
      </c>
      <c r="O59" s="54" t="str">
        <f>IFERROR(IF(TABLEAUSOLDERDM[[#This Row],[Cumul]]&gt;0,TABLEAUSOLDERDM[[#This Row],[Cumul]],""),"")</f>
        <v/>
      </c>
      <c r="P59" s="29" t="str">
        <f>IFERROR(IF(TABLEAUSOLDERDM[[#This Row],[Cumul]]&lt;0,-TABLEAUSOLDERDM[[#This Row],[Cumul]],""),"")</f>
        <v/>
      </c>
    </row>
    <row r="60" spans="2:16" ht="22.5" customHeight="1" x14ac:dyDescent="0.25">
      <c r="B60" s="129"/>
      <c r="C60" s="119"/>
      <c r="D60" s="120"/>
      <c r="E60" s="120"/>
      <c r="F60" s="121"/>
      <c r="G60" s="121"/>
      <c r="H60" s="121"/>
      <c r="I60" s="120"/>
      <c r="J60" s="121"/>
      <c r="K60" s="110"/>
      <c r="L60" s="111"/>
      <c r="N60" s="28">
        <f t="shared" si="2"/>
        <v>0</v>
      </c>
      <c r="O60" s="54" t="str">
        <f>IFERROR(IF(TABLEAUSOLDERDM[[#This Row],[Cumul]]&gt;0,TABLEAUSOLDERDM[[#This Row],[Cumul]],""),"")</f>
        <v/>
      </c>
      <c r="P60" s="29" t="str">
        <f>IFERROR(IF(TABLEAUSOLDERDM[[#This Row],[Cumul]]&lt;0,-TABLEAUSOLDERDM[[#This Row],[Cumul]],""),"")</f>
        <v/>
      </c>
    </row>
    <row r="61" spans="2:16" ht="30" customHeight="1" x14ac:dyDescent="0.25">
      <c r="B61" s="122">
        <f>G2</f>
        <v>2020</v>
      </c>
      <c r="C61" s="122"/>
      <c r="D61" s="123"/>
      <c r="E61" s="123"/>
      <c r="F61" s="123"/>
      <c r="G61" s="123"/>
      <c r="H61" s="123"/>
      <c r="I61" s="123"/>
      <c r="J61" s="123"/>
      <c r="K61" s="124">
        <f>IFERROR(SUM(K5:K60),"")</f>
        <v>0</v>
      </c>
      <c r="L61" s="125">
        <f>IFERROR(SUM(L5:L60),"")</f>
        <v>0</v>
      </c>
      <c r="N61" s="27">
        <f>IFERROR(N60,"")</f>
        <v>0</v>
      </c>
      <c r="O61" s="37" t="str">
        <f>IFERROR(O60,"")</f>
        <v/>
      </c>
      <c r="P61" s="38" t="str">
        <f>IFERROR(P60,"")</f>
        <v/>
      </c>
    </row>
  </sheetData>
  <conditionalFormatting sqref="B10:C10">
    <cfRule type="expression" dxfId="105" priority="221">
      <formula>WEEKDAY($B10,2)=7</formula>
    </cfRule>
    <cfRule type="expression" dxfId="104" priority="222">
      <formula>COUNTIF(FERIES,$B10)</formula>
    </cfRule>
  </conditionalFormatting>
  <conditionalFormatting sqref="K10">
    <cfRule type="expression" dxfId="103" priority="217">
      <formula>WEEKDAY($B10,2)=7</formula>
    </cfRule>
    <cfRule type="expression" dxfId="102" priority="218">
      <formula>COUNTIF(FERIES,$B10)</formula>
    </cfRule>
  </conditionalFormatting>
  <conditionalFormatting sqref="L10">
    <cfRule type="expression" dxfId="101" priority="215">
      <formula>WEEKDAY($B10,2)=7</formula>
    </cfRule>
    <cfRule type="expression" dxfId="100" priority="216">
      <formula>COUNTIF(FERIES,$B10)</formula>
    </cfRule>
  </conditionalFormatting>
  <conditionalFormatting sqref="B11:C35">
    <cfRule type="expression" dxfId="99" priority="237">
      <formula>WEEKDAY($B11,2)=7</formula>
    </cfRule>
    <cfRule type="expression" dxfId="98" priority="238">
      <formula>COUNTIF(FERIES,$B11)</formula>
    </cfRule>
  </conditionalFormatting>
  <conditionalFormatting sqref="K11:K35">
    <cfRule type="expression" dxfId="97" priority="233">
      <formula>WEEKDAY($B11,2)=7</formula>
    </cfRule>
    <cfRule type="expression" dxfId="96" priority="234">
      <formula>COUNTIF(FERIES,$B11)</formula>
    </cfRule>
  </conditionalFormatting>
  <conditionalFormatting sqref="L11:L35">
    <cfRule type="expression" dxfId="95" priority="231">
      <formula>WEEKDAY($B11,2)=7</formula>
    </cfRule>
    <cfRule type="expression" dxfId="94" priority="232">
      <formula>COUNTIF(FERIES,$B11)</formula>
    </cfRule>
  </conditionalFormatting>
  <conditionalFormatting sqref="B36:C44">
    <cfRule type="expression" dxfId="93" priority="229">
      <formula>WEEKDAY($B36,2)=7</formula>
    </cfRule>
    <cfRule type="expression" dxfId="92" priority="230">
      <formula>COUNTIF(FERIES,$B36)</formula>
    </cfRule>
  </conditionalFormatting>
  <conditionalFormatting sqref="K36:K44">
    <cfRule type="expression" dxfId="91" priority="225">
      <formula>WEEKDAY($B36,2)=7</formula>
    </cfRule>
    <cfRule type="expression" dxfId="90" priority="226">
      <formula>COUNTIF(FERIES,$B36)</formula>
    </cfRule>
  </conditionalFormatting>
  <conditionalFormatting sqref="L36:L44">
    <cfRule type="expression" dxfId="89" priority="223">
      <formula>WEEKDAY($B36,2)=7</formula>
    </cfRule>
    <cfRule type="expression" dxfId="88" priority="224">
      <formula>COUNTIF(FERIES,$B36)</formula>
    </cfRule>
  </conditionalFormatting>
  <conditionalFormatting sqref="B45:C60">
    <cfRule type="expression" dxfId="87" priority="213">
      <formula>WEEKDAY($B45,2)=7</formula>
    </cfRule>
    <cfRule type="expression" dxfId="86" priority="214">
      <formula>COUNTIF(FERIES,$B45)</formula>
    </cfRule>
  </conditionalFormatting>
  <conditionalFormatting sqref="K45:K60">
    <cfRule type="expression" dxfId="85" priority="209">
      <formula>WEEKDAY($B45,2)=7</formula>
    </cfRule>
    <cfRule type="expression" dxfId="84" priority="210">
      <formula>COUNTIF(FERIES,$B45)</formula>
    </cfRule>
  </conditionalFormatting>
  <conditionalFormatting sqref="L45:L60">
    <cfRule type="expression" dxfId="83" priority="207">
      <formula>WEEKDAY($B45,2)=7</formula>
    </cfRule>
    <cfRule type="expression" dxfId="82" priority="208">
      <formula>COUNTIF(FERIES,$B45)</formula>
    </cfRule>
  </conditionalFormatting>
  <conditionalFormatting sqref="D45:J60">
    <cfRule type="expression" dxfId="81" priority="87">
      <formula>WEEKDAY($B45,2)=7</formula>
    </cfRule>
    <cfRule type="expression" dxfId="80" priority="88">
      <formula>COUNTIF(FERIES,$B45)</formula>
    </cfRule>
  </conditionalFormatting>
  <conditionalFormatting sqref="D36:J44">
    <cfRule type="expression" dxfId="79" priority="91">
      <formula>WEEKDAY($B36,2)=7</formula>
    </cfRule>
    <cfRule type="expression" dxfId="78" priority="92">
      <formula>COUNTIF(FERIES,$B36)</formula>
    </cfRule>
  </conditionalFormatting>
  <conditionalFormatting sqref="D10:J10">
    <cfRule type="expression" dxfId="77" priority="89">
      <formula>WEEKDAY($B10,2)=7</formula>
    </cfRule>
    <cfRule type="expression" dxfId="76" priority="90">
      <formula>COUNTIF(FERIES,$B10)</formula>
    </cfRule>
  </conditionalFormatting>
  <conditionalFormatting sqref="D11:J35">
    <cfRule type="expression" dxfId="75" priority="93">
      <formula>WEEKDAY($B11,2)=7</formula>
    </cfRule>
    <cfRule type="expression" dxfId="74" priority="94">
      <formula>COUNTIF(FERIES,$B11)</formula>
    </cfRule>
  </conditionalFormatting>
  <conditionalFormatting sqref="D10:J60">
    <cfRule type="containsBlanks" dxfId="73" priority="76">
      <formula>LEN(TRIM(D10))=0</formula>
    </cfRule>
  </conditionalFormatting>
  <conditionalFormatting sqref="F5">
    <cfRule type="containsText" dxfId="72" priority="13" operator="containsText" text="Compte courant d'associé">
      <formula>NOT(ISERROR(SEARCH("Compte courant d'associé",F5)))</formula>
    </cfRule>
    <cfRule type="containsText" dxfId="71" priority="15" operator="containsText" text="Rémunération gérant">
      <formula>NOT(ISERROR(SEARCH("Rémunération gérant",F5)))</formula>
    </cfRule>
  </conditionalFormatting>
  <conditionalFormatting sqref="D5:J5">
    <cfRule type="containsBlanks" dxfId="70" priority="14">
      <formula>LEN(TRIM(D5))=0</formula>
    </cfRule>
  </conditionalFormatting>
  <conditionalFormatting sqref="F6">
    <cfRule type="containsText" dxfId="69" priority="10" operator="containsText" text="Compte courant d'associé">
      <formula>NOT(ISERROR(SEARCH("Compte courant d'associé",F6)))</formula>
    </cfRule>
    <cfRule type="containsText" dxfId="68" priority="12" operator="containsText" text="Rémunération gérant">
      <formula>NOT(ISERROR(SEARCH("Rémunération gérant",F6)))</formula>
    </cfRule>
  </conditionalFormatting>
  <conditionalFormatting sqref="D6:J6">
    <cfRule type="containsBlanks" dxfId="67" priority="11">
      <formula>LEN(TRIM(D6))=0</formula>
    </cfRule>
  </conditionalFormatting>
  <conditionalFormatting sqref="F7">
    <cfRule type="containsText" dxfId="66" priority="7" operator="containsText" text="Compte courant d'associé">
      <formula>NOT(ISERROR(SEARCH("Compte courant d'associé",F7)))</formula>
    </cfRule>
    <cfRule type="containsText" dxfId="65" priority="9" operator="containsText" text="Rémunération gérant">
      <formula>NOT(ISERROR(SEARCH("Rémunération gérant",F7)))</formula>
    </cfRule>
  </conditionalFormatting>
  <conditionalFormatting sqref="D7:J7">
    <cfRule type="containsBlanks" dxfId="64" priority="8">
      <formula>LEN(TRIM(D7))=0</formula>
    </cfRule>
  </conditionalFormatting>
  <conditionalFormatting sqref="F8">
    <cfRule type="containsText" dxfId="63" priority="4" operator="containsText" text="Compte courant d'associé">
      <formula>NOT(ISERROR(SEARCH("Compte courant d'associé",F8)))</formula>
    </cfRule>
    <cfRule type="containsText" dxfId="62" priority="6" operator="containsText" text="Rémunération gérant">
      <formula>NOT(ISERROR(SEARCH("Rémunération gérant",F8)))</formula>
    </cfRule>
  </conditionalFormatting>
  <conditionalFormatting sqref="D8:J8">
    <cfRule type="containsBlanks" dxfId="61" priority="5">
      <formula>LEN(TRIM(D8))=0</formula>
    </cfRule>
  </conditionalFormatting>
  <conditionalFormatting sqref="F9">
    <cfRule type="containsText" dxfId="60" priority="1" operator="containsText" text="Compte courant d'associé">
      <formula>NOT(ISERROR(SEARCH("Compte courant d'associé",F9)))</formula>
    </cfRule>
    <cfRule type="containsText" dxfId="59" priority="3" operator="containsText" text="Rémunération gérant">
      <formula>NOT(ISERROR(SEARCH("Rémunération gérant",F9)))</formula>
    </cfRule>
  </conditionalFormatting>
  <conditionalFormatting sqref="D9:J9">
    <cfRule type="containsBlanks" dxfId="58" priority="2">
      <formula>LEN(TRIM(D9))=0</formula>
    </cfRule>
  </conditionalFormatting>
  <dataValidations count="4">
    <dataValidation type="list" allowBlank="1" showInputMessage="1" sqref="F5:F9" xr:uid="{1FE7F055-709E-468A-8509-F0BE2B0C2642}">
      <formula1>OFFSET(CATEGORIE,MATCH(F5&amp;"*",CATEGORIE,0)-1,,COUNTIF(CATEGORIE,F5&amp;"*"))</formula1>
    </dataValidation>
    <dataValidation type="list" allowBlank="1" showInputMessage="1" sqref="G5:G9 J5:J9" xr:uid="{5E35E094-280A-4BFB-A9FB-A023BEAE0843}">
      <formula1>OFFSET(TIERS,MATCH(G5&amp;"*",TIERS,0)-1,,COUNTIF(TIERS,G5&amp;"*"))</formula1>
    </dataValidation>
    <dataValidation type="list" allowBlank="1" showInputMessage="1" sqref="D5:D9" xr:uid="{54BD799F-CEA8-4279-B5F0-70D5333366F1}">
      <formula1>OFFSET(MODEDEREGLEMENT,MATCH(D5&amp;"*",MODEDEREGLEMENT,0)-1,,COUNTIF(MODEDEREGLEMENT,D5&amp;"*"))</formula1>
    </dataValidation>
    <dataValidation type="date" allowBlank="1" showInputMessage="1" showErrorMessage="1" errorTitle="Mauvaise date" error="La date n'est pas comprise dans les bornes de saisie._x000a__x000a_Veuillez indiquer une date qui correspond au mois indiqué." sqref="B5:B9" xr:uid="{9CFCE4D9-F934-4A2F-83F5-8D55598483C6}">
      <formula1>$I$12</formula1>
      <formula2>EOMONTH($I$12,0)</formula2>
    </dataValidation>
  </dataValidations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DC2E794-BF2B-4413-BE84-A63087C4965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7</vt:i4>
      </vt:variant>
    </vt:vector>
  </HeadingPairs>
  <TitlesOfParts>
    <vt:vector size="21" baseType="lpstr">
      <vt:lpstr>Paramètres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Codage</vt:lpstr>
      <vt:lpstr>ANNEEN</vt:lpstr>
      <vt:lpstr>CODETVA</vt:lpstr>
      <vt:lpstr>DEVERROUILLAGE</vt:lpstr>
      <vt:lpstr>FERIES</vt:lpstr>
      <vt:lpstr>MATRICEECHEANCE</vt:lpstr>
      <vt:lpstr>PREMIERJOURMOIS</vt:lpstr>
      <vt:lpstr>REMDM</vt:lpstr>
    </vt:vector>
  </TitlesOfParts>
  <Company>PC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Brousselit</dc:creator>
  <cp:lastModifiedBy>Faycal HABI - SARL DIKTRANS</cp:lastModifiedBy>
  <cp:lastPrinted>2020-05-15T16:29:13Z</cp:lastPrinted>
  <dcterms:created xsi:type="dcterms:W3CDTF">2010-03-11T10:10:59Z</dcterms:created>
  <dcterms:modified xsi:type="dcterms:W3CDTF">2020-05-16T17:20:03Z</dcterms:modified>
</cp:coreProperties>
</file>