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trlProps/ctrlProp19.xml" ContentType="application/vnd.ms-excel.controlproperties+xml"/>
  <Override PartName="/xl/ctrlProps/ctrlProp20.xml" ContentType="application/vnd.ms-excel.controlproperties+xml"/>
  <Override PartName="/xl/ctrlProps/ctrlProp21.xml" ContentType="application/vnd.ms-excel.controlproperties+xml"/>
  <Override PartName="/xl/ctrlProps/ctrlProp22.xml" ContentType="application/vnd.ms-excel.controlproperties+xml"/>
  <Override PartName="/xl/ctrlProps/ctrlProp23.xml" ContentType="application/vnd.ms-excel.controlproperties+xml"/>
  <Override PartName="/xl/ctrlProps/ctrlProp24.xml" ContentType="application/vnd.ms-excel.controlproperties+xml"/>
  <Override PartName="/xl/ctrlProps/ctrlProp25.xml" ContentType="application/vnd.ms-excel.controlproperties+xml"/>
  <Override PartName="/xl/ctrlProps/ctrlProp26.xml" ContentType="application/vnd.ms-excel.controlproperties+xml"/>
  <Override PartName="/xl/ctrlProps/ctrlProp27.xml" ContentType="application/vnd.ms-excel.controlproperties+xml"/>
  <Override PartName="/xl/ctrlProps/ctrlProp28.xml" ContentType="application/vnd.ms-excel.controlproperties+xml"/>
  <Override PartName="/xl/ctrlProps/ctrlProp29.xml" ContentType="application/vnd.ms-excel.controlproperties+xml"/>
  <Override PartName="/xl/ctrlProps/ctrlProp30.xml" ContentType="application/vnd.ms-excel.controlproperties+xml"/>
  <Override PartName="/xl/ctrlProps/ctrlProp31.xml" ContentType="application/vnd.ms-excel.controlproperties+xml"/>
  <Override PartName="/xl/ctrlProps/ctrlProp32.xml" ContentType="application/vnd.ms-excel.controlproperties+xml"/>
  <Override PartName="/xl/ctrlProps/ctrlProp33.xml" ContentType="application/vnd.ms-excel.controlproperties+xml"/>
  <Override PartName="/xl/ctrlProps/ctrlProp34.xml" ContentType="application/vnd.ms-excel.controlproperties+xml"/>
  <Override PartName="/xl/ctrlProps/ctrlProp35.xml" ContentType="application/vnd.ms-excel.controlproperties+xml"/>
  <Override PartName="/xl/ctrlProps/ctrlProp36.xml" ContentType="application/vnd.ms-excel.controlproperties+xml"/>
  <Override PartName="/xl/ctrlProps/ctrlProp37.xml" ContentType="application/vnd.ms-excel.controlproperties+xml"/>
  <Override PartName="/xl/ctrlProps/ctrlProp38.xml" ContentType="application/vnd.ms-excel.controlproperties+xml"/>
  <Override PartName="/xl/ctrlProps/ctrlProp39.xml" ContentType="application/vnd.ms-excel.controlproperties+xml"/>
  <Override PartName="/xl/ctrlProps/ctrlProp40.xml" ContentType="application/vnd.ms-excel.controlproperties+xml"/>
  <Override PartName="/xl/ctrlProps/ctrlProp41.xml" ContentType="application/vnd.ms-excel.controlproperties+xml"/>
  <Override PartName="/xl/ctrlProps/ctrlProp42.xml" ContentType="application/vnd.ms-excel.controlproperties+xml"/>
  <Override PartName="/xl/ctrlProps/ctrlProp43.xml" ContentType="application/vnd.ms-excel.controlproperties+xml"/>
  <Override PartName="/xl/ctrlProps/ctrlProp44.xml" ContentType="application/vnd.ms-excel.controlproperties+xml"/>
  <Override PartName="/xl/ctrlProps/ctrlProp45.xml" ContentType="application/vnd.ms-excel.controlproperties+xml"/>
  <Override PartName="/xl/ctrlProps/ctrlProp46.xml" ContentType="application/vnd.ms-excel.controlproperties+xml"/>
  <Override PartName="/xl/ctrlProps/ctrlProp47.xml" ContentType="application/vnd.ms-excel.controlproperties+xml"/>
  <Override PartName="/xl/ctrlProps/ctrlProp48.xml" ContentType="application/vnd.ms-excel.controlproperties+xml"/>
  <Override PartName="/xl/ctrlProps/ctrlProp49.xml" ContentType="application/vnd.ms-excel.controlproperties+xml"/>
  <Override PartName="/xl/ctrlProps/ctrlProp50.xml" ContentType="application/vnd.ms-excel.controlproperties+xml"/>
  <Override PartName="/xl/ctrlProps/ctrlProp51.xml" ContentType="application/vnd.ms-excel.controlproperties+xml"/>
  <Override PartName="/xl/ctrlProps/ctrlProp52.xml" ContentType="application/vnd.ms-excel.controlproperties+xml"/>
  <Override PartName="/xl/ctrlProps/ctrlProp53.xml" ContentType="application/vnd.ms-excel.controlproperties+xml"/>
  <Override PartName="/xl/drawings/drawing2.xml" ContentType="application/vnd.openxmlformats-officedocument.drawing+xml"/>
  <Override PartName="/xl/ctrlProps/ctrlProp54.xml" ContentType="application/vnd.ms-excel.controlproperties+xml"/>
  <Override PartName="/xl/ctrlProps/ctrlProp55.xml" ContentType="application/vnd.ms-excel.controlproperties+xml"/>
  <Override PartName="/xl/ctrlProps/ctrlProp56.xml" ContentType="application/vnd.ms-excel.controlproperties+xml"/>
  <Override PartName="/xl/ctrlProps/ctrlProp57.xml" ContentType="application/vnd.ms-excel.controlproperties+xml"/>
  <Override PartName="/xl/ctrlProps/ctrlProp58.xml" ContentType="application/vnd.ms-excel.controlproperties+xml"/>
  <Override PartName="/xl/ctrlProps/ctrlProp59.xml" ContentType="application/vnd.ms-excel.controlproperties+xml"/>
  <Override PartName="/xl/ctrlProps/ctrlProp60.xml" ContentType="application/vnd.ms-excel.controlproperties+xml"/>
  <Override PartName="/xl/ctrlProps/ctrlProp61.xml" ContentType="application/vnd.ms-excel.controlproperties+xml"/>
  <Override PartName="/xl/ctrlProps/ctrlProp62.xml" ContentType="application/vnd.ms-excel.controlproperties+xml"/>
  <Override PartName="/xl/drawings/drawing3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hidePivotFieldList="1" defaultThemeVersion="124226"/>
  <mc:AlternateContent xmlns:mc="http://schemas.openxmlformats.org/markup-compatibility/2006">
    <mc:Choice Requires="x15">
      <x15ac:absPath xmlns:x15ac="http://schemas.microsoft.com/office/spreadsheetml/2010/11/ac" url="K:\"/>
    </mc:Choice>
  </mc:AlternateContent>
  <bookViews>
    <workbookView xWindow="0" yWindow="0" windowWidth="38400" windowHeight="17010" activeTab="2"/>
  </bookViews>
  <sheets>
    <sheet name="Paramètres_Application" sheetId="5" r:id="rId1"/>
    <sheet name="Relevé bancaire" sheetId="7" r:id="rId2"/>
    <sheet name="Planning Perpétuel" sheetId="1" r:id="rId3"/>
  </sheets>
  <externalReferences>
    <externalReference r:id="rId4"/>
  </externalReferences>
  <definedNames>
    <definedName name="_DC">Paramètres_Application!$A$2</definedName>
    <definedName name="_P">Paramètres_Application!$I$1:$J$15</definedName>
    <definedName name="_SB">Paramètres_Application!$A$3</definedName>
    <definedName name="Archive">Paramètres_Application!$A$7</definedName>
    <definedName name="Balance">Paramètres_Application!$A$22:$A$23</definedName>
    <definedName name="Chômés">Paramètres_Application!$B$9</definedName>
    <definedName name="Date_Deb">'Planning Perpétuel'!$L$5</definedName>
    <definedName name="Fériés">OFFSET(Paramètres_Application!$D$2,,,COUNTA(Paramètres_Application!$D:$D),)</definedName>
    <definedName name="MOYENDEPAIEMENT">[1]Feuil3!$A$2:$A$10</definedName>
    <definedName name="Opérations">Paramètres_Application!$A$19:$A$20</definedName>
    <definedName name="Paiement">Paramètres_Application!$A$12:$A$17</definedName>
    <definedName name="Pâq_Année_N">ROUND(DATE(YEAR(Date_Deb),4,1)/7+MOD(19*MOD(YEAR(Date_Deb),19)-7,30)*14/100,0)*7-6</definedName>
    <definedName name="Pâq_Année_N1" localSheetId="1">ROUND(DATE(YEAR(DEBUT)+1,4,1)/7+MOD(19*MOD(YEAR(DEBUT)+1,19)-7,30)*14/100,0)*7-6</definedName>
    <definedName name="Pâq_Année_N1">ROUND(DATE(YEAR(Date_Deb)+1,4,1)/7+MOD(19*MOD(YEAR(Date_Deb)+1,19)-7,30)*14/100,0)*7-6</definedName>
    <definedName name="PAQANNEEN">ROUND(DATE(YEAR(DEBUT),4,1)/7+MOD(19*MOD(YEAR(DEBUT),19)-7,30)*14/100,0)*7-6</definedName>
    <definedName name="Période">Paramètres_Application!$I$2:$I$15</definedName>
    <definedName name="Ponts">OFFSET(Paramètres_Application!$G$2,,,COUNTA(Paramètres_Application!$G:$G)-1,)</definedName>
    <definedName name="T_SE">Paramètres_Application!$H$3</definedName>
    <definedName name="Tab_Période">Paramètres_Application!$I$2:$J$15</definedName>
    <definedName name="TVA">Paramètres_Application!$A$25:$A$26</definedName>
  </definedNames>
  <calcPr calcId="162913"/>
</workbook>
</file>

<file path=xl/calcChain.xml><?xml version="1.0" encoding="utf-8"?>
<calcChain xmlns="http://schemas.openxmlformats.org/spreadsheetml/2006/main">
  <c r="L5" i="1" l="1"/>
  <c r="K13" i="1" l="1"/>
  <c r="H24" i="7"/>
  <c r="P21" i="7"/>
  <c r="M21" i="7"/>
  <c r="K21" i="7"/>
  <c r="J21" i="7"/>
  <c r="H21" i="7"/>
  <c r="P20" i="7"/>
  <c r="M20" i="7"/>
  <c r="K20" i="7"/>
  <c r="J20" i="7"/>
  <c r="H20" i="7"/>
  <c r="P19" i="7"/>
  <c r="M19" i="7"/>
  <c r="K19" i="7"/>
  <c r="J19" i="7"/>
  <c r="H19" i="7"/>
  <c r="P18" i="7"/>
  <c r="M18" i="7"/>
  <c r="K18" i="7"/>
  <c r="J18" i="7"/>
  <c r="H18" i="7"/>
  <c r="P17" i="7"/>
  <c r="M17" i="7"/>
  <c r="K17" i="7"/>
  <c r="J17" i="7"/>
  <c r="H17" i="7"/>
  <c r="P16" i="7"/>
  <c r="M16" i="7"/>
  <c r="K16" i="7"/>
  <c r="J16" i="7"/>
  <c r="H16" i="7"/>
  <c r="P15" i="7"/>
  <c r="M15" i="7"/>
  <c r="K15" i="7"/>
  <c r="J15" i="7"/>
  <c r="H15" i="7"/>
  <c r="P14" i="7"/>
  <c r="M14" i="7"/>
  <c r="K14" i="7"/>
  <c r="J14" i="7"/>
  <c r="H14" i="7"/>
  <c r="P13" i="7"/>
  <c r="M13" i="7"/>
  <c r="K13" i="7"/>
  <c r="J13" i="7"/>
  <c r="H13" i="7"/>
  <c r="G32" i="5"/>
  <c r="G31" i="5"/>
  <c r="G30" i="5"/>
  <c r="G29" i="5"/>
  <c r="G28" i="5"/>
  <c r="G27" i="5"/>
  <c r="G26" i="5"/>
  <c r="G25" i="5"/>
  <c r="G24" i="5"/>
  <c r="G23" i="5"/>
  <c r="G22" i="5"/>
  <c r="G21" i="5"/>
  <c r="G20" i="5"/>
  <c r="G19" i="5"/>
  <c r="G18" i="5"/>
  <c r="G17" i="5"/>
  <c r="G16" i="5"/>
  <c r="D16" i="5"/>
  <c r="G15" i="5"/>
  <c r="G14" i="5"/>
  <c r="G13" i="5"/>
  <c r="G12" i="5"/>
  <c r="G11" i="5"/>
  <c r="G10" i="5"/>
  <c r="D10" i="5"/>
  <c r="G9" i="5"/>
  <c r="D9" i="5"/>
  <c r="B9" i="5"/>
  <c r="G8" i="5"/>
  <c r="G7" i="5"/>
  <c r="D7" i="5"/>
  <c r="G6" i="5"/>
  <c r="G5" i="5"/>
  <c r="G4" i="5"/>
  <c r="H3" i="5"/>
  <c r="G3" i="5"/>
  <c r="D3" i="5"/>
  <c r="G2" i="5"/>
  <c r="D14" i="5" l="1"/>
  <c r="L3" i="1"/>
  <c r="D11" i="5"/>
  <c r="D15" i="5"/>
  <c r="D12" i="5"/>
  <c r="L2" i="1"/>
  <c r="M5" i="1"/>
  <c r="D5" i="5"/>
  <c r="D4" i="5"/>
  <c r="D2" i="5"/>
  <c r="D13" i="5"/>
  <c r="L4" i="1"/>
  <c r="D8" i="5"/>
  <c r="D6" i="5"/>
  <c r="L10" i="1" l="1"/>
  <c r="M10" i="1" s="1"/>
  <c r="L8" i="1"/>
  <c r="M8" i="1" s="1"/>
  <c r="L9" i="1"/>
  <c r="M9" i="1" s="1"/>
  <c r="L7" i="1"/>
  <c r="M7" i="1" s="1"/>
  <c r="M4" i="1"/>
  <c r="N5" i="1"/>
  <c r="M2" i="1"/>
  <c r="M3" i="1"/>
  <c r="N7" i="1" l="1"/>
  <c r="L14" i="1"/>
  <c r="N10" i="1"/>
  <c r="N3" i="1"/>
  <c r="N9" i="1"/>
  <c r="O5" i="1"/>
  <c r="N2" i="1"/>
  <c r="N4" i="1"/>
  <c r="N8" i="1"/>
  <c r="M14" i="1" l="1"/>
  <c r="O7" i="1"/>
  <c r="P5" i="1"/>
  <c r="O2" i="1"/>
  <c r="O3" i="1"/>
  <c r="O9" i="1"/>
  <c r="O4" i="1"/>
  <c r="O10" i="1"/>
  <c r="O8" i="1"/>
  <c r="N14" i="1" l="1"/>
  <c r="O14" i="1" s="1"/>
  <c r="P3" i="1"/>
  <c r="P2" i="1"/>
  <c r="P7" i="1"/>
  <c r="P8" i="1"/>
  <c r="P9" i="1"/>
  <c r="P4" i="1"/>
  <c r="P10" i="1"/>
  <c r="Q5" i="1"/>
  <c r="P14" i="1" l="1"/>
  <c r="Q2" i="1"/>
  <c r="Q3" i="1"/>
  <c r="Q7" i="1"/>
  <c r="Q8" i="1"/>
  <c r="Q4" i="1"/>
  <c r="Q9" i="1"/>
  <c r="Q10" i="1"/>
  <c r="R5" i="1"/>
  <c r="Q14" i="1" l="1"/>
  <c r="R3" i="1"/>
  <c r="R7" i="1"/>
  <c r="R8" i="1"/>
  <c r="R9" i="1"/>
  <c r="R4" i="1"/>
  <c r="R10" i="1"/>
  <c r="S5" i="1"/>
  <c r="R2" i="1"/>
  <c r="R14" i="1" l="1"/>
  <c r="S7" i="1"/>
  <c r="S2" i="1"/>
  <c r="S8" i="1"/>
  <c r="S9" i="1"/>
  <c r="S4" i="1"/>
  <c r="S10" i="1"/>
  <c r="T5" i="1"/>
  <c r="S3" i="1"/>
  <c r="S14" i="1" l="1"/>
  <c r="T8" i="1"/>
  <c r="T9" i="1"/>
  <c r="T4" i="1"/>
  <c r="T10" i="1"/>
  <c r="T7" i="1"/>
  <c r="U5" i="1"/>
  <c r="T2" i="1"/>
  <c r="T3" i="1"/>
  <c r="T14" i="1" l="1"/>
  <c r="U9" i="1"/>
  <c r="U4" i="1"/>
  <c r="U10" i="1"/>
  <c r="U7" i="1"/>
  <c r="V5" i="1"/>
  <c r="U2" i="1"/>
  <c r="U8" i="1"/>
  <c r="U3" i="1"/>
  <c r="U14" i="1" l="1"/>
  <c r="V10" i="1"/>
  <c r="V8" i="1"/>
  <c r="W5" i="1"/>
  <c r="V2" i="1"/>
  <c r="V9" i="1"/>
  <c r="V3" i="1"/>
  <c r="V7" i="1"/>
  <c r="V4" i="1"/>
  <c r="V14" i="1" l="1"/>
  <c r="X5" i="1"/>
  <c r="W2" i="1"/>
  <c r="W9" i="1"/>
  <c r="W4" i="1"/>
  <c r="W3" i="1"/>
  <c r="W10" i="1"/>
  <c r="W7" i="1"/>
  <c r="W8" i="1"/>
  <c r="W14" i="1" l="1"/>
  <c r="X10" i="1"/>
  <c r="X3" i="1"/>
  <c r="X7" i="1"/>
  <c r="X8" i="1"/>
  <c r="Y5" i="1"/>
  <c r="X9" i="1"/>
  <c r="X4" i="1"/>
  <c r="X2" i="1"/>
  <c r="X14" i="1" l="1"/>
  <c r="Y4" i="1"/>
  <c r="Y3" i="1"/>
  <c r="Y7" i="1"/>
  <c r="Y8" i="1"/>
  <c r="Y9" i="1"/>
  <c r="Z5" i="1"/>
  <c r="Y10" i="1"/>
  <c r="Y2" i="1"/>
  <c r="Y14" i="1" l="1"/>
  <c r="Z3" i="1"/>
  <c r="Z7" i="1"/>
  <c r="Z8" i="1"/>
  <c r="Z9" i="1"/>
  <c r="Z4" i="1"/>
  <c r="Z10" i="1"/>
  <c r="AA5" i="1"/>
  <c r="Z2" i="1"/>
  <c r="Z14" i="1" l="1"/>
  <c r="AA7" i="1"/>
  <c r="AA3" i="1"/>
  <c r="AA8" i="1"/>
  <c r="AA9" i="1"/>
  <c r="AA4" i="1"/>
  <c r="AA10" i="1"/>
  <c r="AA2" i="1"/>
  <c r="AB5" i="1"/>
  <c r="AA14" i="1" l="1"/>
  <c r="AB8" i="1"/>
  <c r="AB3" i="1"/>
  <c r="AB9" i="1"/>
  <c r="AB4" i="1"/>
  <c r="AB10" i="1"/>
  <c r="AC5" i="1"/>
  <c r="AB2" i="1"/>
  <c r="AB7" i="1"/>
  <c r="AB14" i="1" l="1"/>
  <c r="AC9" i="1"/>
  <c r="AC4" i="1"/>
  <c r="AC7" i="1"/>
  <c r="AC10" i="1"/>
  <c r="AD5" i="1"/>
  <c r="AC2" i="1"/>
  <c r="AC8" i="1"/>
  <c r="AC3" i="1"/>
  <c r="AC14" i="1" l="1"/>
  <c r="AD10" i="1"/>
  <c r="AD4" i="1"/>
  <c r="AE5" i="1"/>
  <c r="AD2" i="1"/>
  <c r="AD3" i="1"/>
  <c r="AD8" i="1"/>
  <c r="AD9" i="1"/>
  <c r="AD7" i="1"/>
  <c r="AD14" i="1" l="1"/>
  <c r="AF5" i="1"/>
  <c r="AE2" i="1"/>
  <c r="AE10" i="1"/>
  <c r="AE3" i="1"/>
  <c r="AE4" i="1"/>
  <c r="AE7" i="1"/>
  <c r="AE8" i="1"/>
  <c r="AE9" i="1"/>
  <c r="AE14" i="1" l="1"/>
  <c r="AF3" i="1"/>
  <c r="AF7" i="1"/>
  <c r="AF8" i="1"/>
  <c r="AF9" i="1"/>
  <c r="AF4" i="1"/>
  <c r="AF10" i="1"/>
  <c r="AG5" i="1"/>
  <c r="AF2" i="1"/>
  <c r="AF14" i="1" l="1"/>
  <c r="AG3" i="1"/>
  <c r="AG4" i="1"/>
  <c r="AG7" i="1"/>
  <c r="AG8" i="1"/>
  <c r="AH5" i="1"/>
  <c r="AG2" i="1"/>
  <c r="AG9" i="1"/>
  <c r="AG10" i="1"/>
  <c r="AG14" i="1" l="1"/>
  <c r="AH3" i="1"/>
  <c r="AH7" i="1"/>
  <c r="AH8" i="1"/>
  <c r="AH9" i="1"/>
  <c r="AH4" i="1"/>
  <c r="AH10" i="1"/>
  <c r="AI5" i="1"/>
  <c r="AH2" i="1"/>
  <c r="AH14" i="1" l="1"/>
  <c r="AI7" i="1"/>
  <c r="AI2" i="1"/>
  <c r="AI8" i="1"/>
  <c r="AI9" i="1"/>
  <c r="AI4" i="1"/>
  <c r="AI3" i="1"/>
  <c r="AI10" i="1"/>
  <c r="AJ5" i="1"/>
  <c r="AI14" i="1" l="1"/>
  <c r="AJ8" i="1"/>
  <c r="AJ9" i="1"/>
  <c r="AJ4" i="1"/>
  <c r="AJ10" i="1"/>
  <c r="AK5" i="1"/>
  <c r="AJ2" i="1"/>
  <c r="AJ3" i="1"/>
  <c r="AJ7" i="1"/>
  <c r="AJ14" i="1" l="1"/>
  <c r="AK9" i="1"/>
  <c r="AK4" i="1"/>
  <c r="AK10" i="1"/>
  <c r="AL5" i="1"/>
  <c r="AK2" i="1"/>
  <c r="AK7" i="1"/>
  <c r="AK3" i="1"/>
  <c r="AK8" i="1"/>
  <c r="AK14" i="1" l="1"/>
  <c r="AL10" i="1"/>
  <c r="AM5" i="1"/>
  <c r="AL2" i="1"/>
  <c r="AL8" i="1"/>
  <c r="AL3" i="1"/>
  <c r="AL4" i="1"/>
  <c r="AL7" i="1"/>
  <c r="AL9" i="1"/>
  <c r="AL14" i="1" l="1"/>
  <c r="AN5" i="1"/>
  <c r="AM2" i="1"/>
  <c r="AM9" i="1"/>
  <c r="AM3" i="1"/>
  <c r="AM4" i="1"/>
  <c r="AM7" i="1"/>
  <c r="AM10" i="1"/>
  <c r="AM8" i="1"/>
  <c r="AM14" i="1" l="1"/>
  <c r="AO5" i="1"/>
  <c r="AN10" i="1"/>
  <c r="AN3" i="1"/>
  <c r="AN7" i="1"/>
  <c r="AN8" i="1"/>
  <c r="AN9" i="1"/>
  <c r="AN4" i="1"/>
  <c r="AN2" i="1"/>
  <c r="AN14" i="1" l="1"/>
  <c r="AO3" i="1"/>
  <c r="AO7" i="1"/>
  <c r="AO2" i="1"/>
  <c r="AO8" i="1"/>
  <c r="AO4" i="1"/>
  <c r="AO9" i="1"/>
  <c r="AO10" i="1"/>
  <c r="AP5" i="1"/>
  <c r="AO14" i="1" l="1"/>
  <c r="AP3" i="1"/>
  <c r="AP7" i="1"/>
  <c r="AP8" i="1"/>
  <c r="AP9" i="1"/>
  <c r="AP4" i="1"/>
  <c r="AP10" i="1"/>
  <c r="AQ5" i="1"/>
  <c r="AP2" i="1"/>
  <c r="AP14" i="1" l="1"/>
  <c r="AQ7" i="1"/>
  <c r="AQ8" i="1"/>
  <c r="AQ2" i="1"/>
  <c r="AQ9" i="1"/>
  <c r="AQ4" i="1"/>
  <c r="AQ10" i="1"/>
  <c r="AR5" i="1"/>
  <c r="AQ3" i="1"/>
  <c r="AQ14" i="1" l="1"/>
  <c r="AR8" i="1"/>
  <c r="AR7" i="1"/>
  <c r="AR9" i="1"/>
  <c r="AR4" i="1"/>
  <c r="AR10" i="1"/>
  <c r="AS5" i="1"/>
  <c r="AR2" i="1"/>
  <c r="AR3" i="1"/>
  <c r="AR14" i="1" l="1"/>
  <c r="AS9" i="1"/>
  <c r="AS4" i="1"/>
  <c r="AS10" i="1"/>
  <c r="AT5" i="1"/>
  <c r="AS2" i="1"/>
  <c r="AS7" i="1"/>
  <c r="AS8" i="1"/>
  <c r="AS3" i="1"/>
  <c r="AS14" i="1" l="1"/>
  <c r="AT10" i="1"/>
  <c r="AT3" i="1"/>
  <c r="AU5" i="1"/>
  <c r="AT2" i="1"/>
  <c r="AT9" i="1"/>
  <c r="AT4" i="1"/>
  <c r="AT7" i="1"/>
  <c r="AT8" i="1"/>
  <c r="AT14" i="1" l="1"/>
  <c r="AV5" i="1"/>
  <c r="AU2" i="1"/>
  <c r="AU4" i="1"/>
  <c r="AU3" i="1"/>
  <c r="AU9" i="1" a="1"/>
  <c r="AU9" i="1" s="1"/>
  <c r="AU7" i="1" a="1"/>
  <c r="AU7" i="1" s="1"/>
  <c r="AU8" i="1" a="1"/>
  <c r="AU8" i="1" s="1"/>
  <c r="AU10" i="1" a="1"/>
  <c r="AU10" i="1" s="1"/>
  <c r="AU14" i="1" l="1"/>
  <c r="AV7" i="1" a="1"/>
  <c r="AV7" i="1" s="1"/>
  <c r="AV3" i="1"/>
  <c r="AV8" i="1" a="1"/>
  <c r="AV8" i="1" s="1"/>
  <c r="AV9" i="1" a="1"/>
  <c r="AV9" i="1" s="1"/>
  <c r="AV10" i="1" a="1"/>
  <c r="AV10" i="1" s="1"/>
  <c r="AV4" i="1"/>
  <c r="AV2" i="1"/>
  <c r="AV14" i="1" l="1"/>
</calcChain>
</file>

<file path=xl/sharedStrings.xml><?xml version="1.0" encoding="utf-8"?>
<sst xmlns="http://schemas.openxmlformats.org/spreadsheetml/2006/main" count="214" uniqueCount="148">
  <si>
    <t>Décalage d'affichage du Planning</t>
  </si>
  <si>
    <t>Sélection des
jours fériés</t>
  </si>
  <si>
    <t>Sélection des
jours chômés</t>
  </si>
  <si>
    <t>Indications des dates chômées supplémentaires</t>
  </si>
  <si>
    <t>Nombre de jours</t>
  </si>
  <si>
    <t>d'archive sur</t>
  </si>
  <si>
    <t>"Aujourd'hui"</t>
  </si>
  <si>
    <t>Colonne1</t>
  </si>
  <si>
    <t>Colonne2</t>
  </si>
  <si>
    <t>Colonne3</t>
  </si>
  <si>
    <t>Colonne4</t>
  </si>
  <si>
    <t>Colonne5</t>
  </si>
  <si>
    <t>Colonne6</t>
  </si>
  <si>
    <t>Colonne7</t>
  </si>
  <si>
    <t>Colonne8</t>
  </si>
  <si>
    <t>Colonne9</t>
  </si>
  <si>
    <t>Colonne10</t>
  </si>
  <si>
    <t>Colonne11</t>
  </si>
  <si>
    <t>Colonne12</t>
  </si>
  <si>
    <t>Colonne13</t>
  </si>
  <si>
    <t>Colonne14</t>
  </si>
  <si>
    <t>Colonne15</t>
  </si>
  <si>
    <t>Colonne16</t>
  </si>
  <si>
    <t>Colonne17</t>
  </si>
  <si>
    <t>Colonne18</t>
  </si>
  <si>
    <t>Colonne19</t>
  </si>
  <si>
    <t>Colonne20</t>
  </si>
  <si>
    <t>Colonne21</t>
  </si>
  <si>
    <t>Colonne22</t>
  </si>
  <si>
    <t>Colonne23</t>
  </si>
  <si>
    <t>Colonne24</t>
  </si>
  <si>
    <t>Colonne25</t>
  </si>
  <si>
    <t>Colonne26</t>
  </si>
  <si>
    <t>Colonne27</t>
  </si>
  <si>
    <t>Colonne28</t>
  </si>
  <si>
    <t>Colonne29</t>
  </si>
  <si>
    <t>Colonne30</t>
  </si>
  <si>
    <t>Colonne31</t>
  </si>
  <si>
    <t>Colonne32</t>
  </si>
  <si>
    <t>Colonne33</t>
  </si>
  <si>
    <t>Colonne34</t>
  </si>
  <si>
    <t>Colonne35</t>
  </si>
  <si>
    <t>Colonne36</t>
  </si>
  <si>
    <t>Colonne37</t>
  </si>
  <si>
    <t xml:space="preserve"> </t>
  </si>
  <si>
    <t>Premier jour de la semaine</t>
  </si>
  <si>
    <t>Lundi</t>
  </si>
  <si>
    <t>Répétitif ?</t>
  </si>
  <si>
    <t>Dates calculées</t>
  </si>
  <si>
    <t>Montant</t>
  </si>
  <si>
    <t>Date de début</t>
  </si>
  <si>
    <t>Nb échéance</t>
  </si>
  <si>
    <t>Bimensuel</t>
  </si>
  <si>
    <t>Opération</t>
  </si>
  <si>
    <t>Période</t>
  </si>
  <si>
    <t>Mode de paiement</t>
  </si>
  <si>
    <t>Chèque</t>
  </si>
  <si>
    <t>Espèces</t>
  </si>
  <si>
    <t>CB DM</t>
  </si>
  <si>
    <t>CB HF</t>
  </si>
  <si>
    <t>Virement</t>
  </si>
  <si>
    <t>Prélèvement SEPA</t>
  </si>
  <si>
    <t>Payée par</t>
  </si>
  <si>
    <t>Payée à</t>
  </si>
  <si>
    <t>Débit Crédit</t>
  </si>
  <si>
    <t>Location</t>
  </si>
  <si>
    <t>Hebdomadaire</t>
  </si>
  <si>
    <t>Fréquence</t>
  </si>
  <si>
    <t>Une seule fois</t>
  </si>
  <si>
    <t>Journalière</t>
  </si>
  <si>
    <t>Tous les 2 semaines</t>
  </si>
  <si>
    <t>Tous les 4 semaines</t>
  </si>
  <si>
    <t>Mensuelle</t>
  </si>
  <si>
    <t>Bimestrielle</t>
  </si>
  <si>
    <t>Trimestrielle</t>
  </si>
  <si>
    <t>Tous les 4 mois</t>
  </si>
  <si>
    <t>Semestrielle</t>
  </si>
  <si>
    <t>Annuelle</t>
  </si>
  <si>
    <t>Bisannuelle</t>
  </si>
  <si>
    <t>&lt;- peut apparaitre 3 fois par mois (si mois à 5 semaines)</t>
  </si>
  <si>
    <t>&lt;- peut apparaitre 2 fois par mois (si mois à 5 semaines)</t>
  </si>
  <si>
    <t>&lt;- ne doit apparaitre qu'1 fois par mois</t>
  </si>
  <si>
    <t>Electricité</t>
  </si>
  <si>
    <t>Mois</t>
  </si>
  <si>
    <t>Rent</t>
  </si>
  <si>
    <t>Moi</t>
  </si>
  <si>
    <t>EDF</t>
  </si>
  <si>
    <t>Date de la prochaine échéance</t>
  </si>
  <si>
    <t>Garage</t>
  </si>
  <si>
    <t>Débit</t>
  </si>
  <si>
    <t>Crédit</t>
  </si>
  <si>
    <t>Bilou</t>
  </si>
  <si>
    <t>Rob</t>
  </si>
  <si>
    <t>Totaux</t>
  </si>
  <si>
    <t>Solde</t>
  </si>
  <si>
    <t>Date opération</t>
  </si>
  <si>
    <t>Emetteur</t>
  </si>
  <si>
    <t>Pointage relevé</t>
  </si>
  <si>
    <t>Date d'encaissement</t>
  </si>
  <si>
    <t>HT</t>
  </si>
  <si>
    <t>TVA</t>
  </si>
  <si>
    <t>TTC</t>
  </si>
  <si>
    <t>Intitulé</t>
  </si>
  <si>
    <t>Catégorie</t>
  </si>
  <si>
    <t>Sous catégorie</t>
  </si>
  <si>
    <t>Loyer</t>
  </si>
  <si>
    <t>Robert</t>
  </si>
  <si>
    <t>Carburant</t>
  </si>
  <si>
    <t>gazole 101</t>
  </si>
  <si>
    <t>Jean</t>
  </si>
  <si>
    <t>Carburant 102</t>
  </si>
  <si>
    <t>Vente</t>
  </si>
  <si>
    <t>gazole 102</t>
  </si>
  <si>
    <t>Carburant 103</t>
  </si>
  <si>
    <t>gazole 103</t>
  </si>
  <si>
    <t>Carburant 104</t>
  </si>
  <si>
    <t>gazole 104</t>
  </si>
  <si>
    <t>Carburant 105</t>
  </si>
  <si>
    <t>gazole 105</t>
  </si>
  <si>
    <t>Carburant 106</t>
  </si>
  <si>
    <t>gazole 106</t>
  </si>
  <si>
    <t>Carburant 107</t>
  </si>
  <si>
    <t>Di</t>
  </si>
  <si>
    <t>Jef</t>
  </si>
  <si>
    <t>Dépenses Recettes</t>
  </si>
  <si>
    <t>Solde final</t>
  </si>
  <si>
    <t>Solde départ</t>
  </si>
  <si>
    <t>Dépenses</t>
  </si>
  <si>
    <t>Recettes</t>
  </si>
  <si>
    <t>Si catégorie de dépenses alors dépenses</t>
  </si>
  <si>
    <t>Si catégorie de recettes alors recettes</t>
  </si>
  <si>
    <t>Catégorie de dépenses</t>
  </si>
  <si>
    <t>Catégorie de recettes</t>
  </si>
  <si>
    <t>Ventes</t>
  </si>
  <si>
    <t>Sous-catégorie de carburant</t>
  </si>
  <si>
    <t>Encaissement</t>
  </si>
  <si>
    <t>Date facture</t>
  </si>
  <si>
    <t>Solde relevé bancaire</t>
  </si>
  <si>
    <t>???</t>
  </si>
  <si>
    <t>| si débit</t>
  </si>
  <si>
    <t xml:space="preserve"> mettre dans le calendrier les chiffres en négatif et si crédit chiffre en positif</t>
  </si>
  <si>
    <t>Prévision trésorerie</t>
  </si>
  <si>
    <t>-</t>
  </si>
  <si>
    <t>+</t>
  </si>
  <si>
    <t>|date de la prochaine échéance différente de date de début. Date de la prochaine échéance affiche la prochaine échéance par rapport à la date d'aujourdhui</t>
  </si>
  <si>
    <t>Subventions</t>
  </si>
  <si>
    <t>Aide financière</t>
  </si>
  <si>
    <t>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</si>
</sst>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7">
    <numFmt numFmtId="42" formatCode="_-* #,##0\ &quot;€&quot;_-;\-* #,##0\ &quot;€&quot;_-;_-* &quot;-&quot;\ &quot;€&quot;_-;_-@_-"/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"/>
    <numFmt numFmtId="165" formatCode="#,##0.00\ &quot;€&quot;"/>
    <numFmt numFmtId="166" formatCode="#,##0\ &quot;€&quot;"/>
    <numFmt numFmtId="167" formatCode="00"/>
  </numFmts>
  <fonts count="17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1"/>
      <color theme="7" tint="-0.499984740745262"/>
      <name val="Calibri"/>
      <family val="2"/>
      <scheme val="minor"/>
    </font>
    <font>
      <sz val="11"/>
      <color theme="7" tint="0.79998168889431442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-0.49998474074526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00206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4" fontId="11" fillId="0" borderId="0" applyFont="0" applyFill="0" applyBorder="0" applyAlignment="0" applyProtection="0"/>
  </cellStyleXfs>
  <cellXfs count="90">
    <xf numFmtId="0" fontId="0" fillId="0" borderId="0" xfId="0"/>
    <xf numFmtId="14" fontId="0" fillId="0" borderId="0" xfId="0" applyNumberFormat="1"/>
    <xf numFmtId="0" fontId="4" fillId="3" borderId="2" xfId="0" applyFont="1" applyFill="1" applyBorder="1" applyAlignment="1">
      <alignment horizontal="center"/>
    </xf>
    <xf numFmtId="0" fontId="4" fillId="3" borderId="2" xfId="0" applyFont="1" applyFill="1" applyBorder="1"/>
    <xf numFmtId="0" fontId="5" fillId="2" borderId="2" xfId="0" applyFont="1" applyFill="1" applyBorder="1"/>
    <xf numFmtId="16" fontId="5" fillId="2" borderId="2" xfId="0" applyNumberFormat="1" applyFont="1" applyFill="1" applyBorder="1"/>
    <xf numFmtId="14" fontId="5" fillId="2" borderId="4" xfId="0" applyNumberFormat="1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3" fillId="4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6" fillId="2" borderId="2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8" fillId="2" borderId="2" xfId="0" applyFont="1" applyFill="1" applyBorder="1" applyAlignment="1">
      <alignment horizontal="center" vertical="center" textRotation="90"/>
    </xf>
    <xf numFmtId="0" fontId="8" fillId="2" borderId="4" xfId="0" applyFont="1" applyFill="1" applyBorder="1" applyAlignment="1">
      <alignment horizontal="center" vertical="center" textRotation="90"/>
    </xf>
    <xf numFmtId="0" fontId="8" fillId="2" borderId="3" xfId="0" applyFont="1" applyFill="1" applyBorder="1" applyAlignment="1">
      <alignment horizontal="center" vertical="center" textRotation="90"/>
    </xf>
    <xf numFmtId="164" fontId="6" fillId="0" borderId="5" xfId="0" applyNumberFormat="1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 wrapText="1"/>
    </xf>
    <xf numFmtId="0" fontId="9" fillId="3" borderId="5" xfId="0" applyFont="1" applyFill="1" applyBorder="1" applyAlignment="1">
      <alignment horizontal="center" vertical="center"/>
    </xf>
    <xf numFmtId="0" fontId="9" fillId="3" borderId="6" xfId="0" applyFont="1" applyFill="1" applyBorder="1" applyAlignment="1">
      <alignment horizontal="center" vertical="center"/>
    </xf>
    <xf numFmtId="0" fontId="9" fillId="3" borderId="7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/>
    <xf numFmtId="0" fontId="7" fillId="0" borderId="3" xfId="0" applyFont="1" applyBorder="1" applyAlignment="1">
      <alignment horizontal="center" vertical="center"/>
    </xf>
    <xf numFmtId="164" fontId="6" fillId="0" borderId="12" xfId="0" applyNumberFormat="1" applyFont="1" applyFill="1" applyBorder="1" applyAlignment="1">
      <alignment horizontal="center"/>
    </xf>
    <xf numFmtId="0" fontId="4" fillId="3" borderId="4" xfId="0" applyFont="1" applyFill="1" applyBorder="1"/>
    <xf numFmtId="0" fontId="4" fillId="3" borderId="3" xfId="0" applyFont="1" applyFill="1" applyBorder="1"/>
    <xf numFmtId="14" fontId="3" fillId="4" borderId="1" xfId="0" applyNumberFormat="1" applyFont="1" applyFill="1" applyBorder="1" applyAlignment="1">
      <alignment horizontal="left" vertical="center" indent="1"/>
    </xf>
    <xf numFmtId="0" fontId="3" fillId="4" borderId="1" xfId="0" applyFont="1" applyFill="1" applyBorder="1" applyAlignment="1">
      <alignment horizontal="left" vertical="center" indent="1"/>
    </xf>
    <xf numFmtId="14" fontId="3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4" borderId="2" xfId="0" applyNumberFormat="1" applyFill="1" applyBorder="1" applyAlignment="1">
      <alignment horizontal="center"/>
    </xf>
    <xf numFmtId="0" fontId="0" fillId="3" borderId="0" xfId="0" applyFill="1" applyAlignment="1">
      <alignment horizontal="centerContinuous"/>
    </xf>
    <xf numFmtId="0" fontId="0" fillId="3" borderId="2" xfId="0" applyFill="1" applyBorder="1"/>
    <xf numFmtId="0" fontId="0" fillId="3" borderId="3" xfId="0" applyFill="1" applyBorder="1"/>
    <xf numFmtId="166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6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9" fillId="3" borderId="5" xfId="0" applyFont="1" applyFill="1" applyBorder="1" applyAlignment="1">
      <alignment horizontal="centerContinuous" vertical="center" wrapText="1"/>
    </xf>
    <xf numFmtId="0" fontId="0" fillId="0" borderId="1" xfId="0" applyFill="1" applyBorder="1"/>
    <xf numFmtId="166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65" fontId="0" fillId="0" borderId="0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44" fontId="0" fillId="0" borderId="0" xfId="2" applyFont="1" applyAlignment="1">
      <alignment vertical="center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2" applyFont="1" applyAlignment="1">
      <alignment horizontal="center" vertical="center"/>
    </xf>
    <xf numFmtId="167" fontId="0" fillId="0" borderId="0" xfId="1" applyNumberFormat="1" applyFon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13" fillId="0" borderId="0" xfId="0" applyFont="1"/>
    <xf numFmtId="0" fontId="0" fillId="5" borderId="1" xfId="0" applyFill="1" applyBorder="1"/>
    <xf numFmtId="0" fontId="12" fillId="0" borderId="0" xfId="0" applyFont="1"/>
    <xf numFmtId="0" fontId="12" fillId="0" borderId="0" xfId="0" applyNumberFormat="1" applyFont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/>
    </xf>
    <xf numFmtId="0" fontId="6" fillId="7" borderId="0" xfId="0" applyNumberFormat="1" applyFont="1" applyFill="1" applyAlignment="1">
      <alignment horizontal="center" vertical="center" wrapText="1"/>
    </xf>
    <xf numFmtId="0" fontId="14" fillId="7" borderId="0" xfId="0" applyNumberFormat="1" applyFont="1" applyFill="1" applyAlignment="1">
      <alignment horizontal="center" vertical="center" wrapText="1"/>
    </xf>
    <xf numFmtId="0" fontId="12" fillId="0" borderId="1" xfId="0" applyFont="1" applyBorder="1" applyAlignment="1">
      <alignment horizontal="center" vertical="center"/>
    </xf>
    <xf numFmtId="0" fontId="12" fillId="0" borderId="5" xfId="0" applyFont="1" applyBorder="1" applyAlignment="1">
      <alignment horizontal="center" vertical="center"/>
    </xf>
    <xf numFmtId="0" fontId="0" fillId="0" borderId="0" xfId="0" quotePrefix="1"/>
    <xf numFmtId="0" fontId="9" fillId="6" borderId="0" xfId="0" applyFont="1" applyFill="1" applyAlignment="1">
      <alignment horizontal="center" vertical="center"/>
    </xf>
    <xf numFmtId="0" fontId="9" fillId="6" borderId="0" xfId="0" applyFont="1" applyFill="1" applyAlignment="1">
      <alignment horizontal="center" vertical="center" wrapText="1"/>
    </xf>
    <xf numFmtId="0" fontId="9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 wrapText="1"/>
    </xf>
    <xf numFmtId="0" fontId="0" fillId="7" borderId="10" xfId="0" applyFill="1" applyBorder="1"/>
    <xf numFmtId="0" fontId="2" fillId="7" borderId="13" xfId="0" applyFont="1" applyFill="1" applyBorder="1"/>
    <xf numFmtId="0" fontId="2" fillId="7" borderId="0" xfId="0" applyFont="1" applyFill="1" applyBorder="1"/>
    <xf numFmtId="0" fontId="9" fillId="3" borderId="8" xfId="0" applyFont="1" applyFill="1" applyBorder="1" applyAlignment="1">
      <alignment horizontal="center" vertical="center" wrapText="1"/>
    </xf>
    <xf numFmtId="0" fontId="9" fillId="3" borderId="9" xfId="0" applyFont="1" applyFill="1" applyBorder="1" applyAlignment="1">
      <alignment horizontal="center" vertical="center" wrapText="1"/>
    </xf>
    <xf numFmtId="0" fontId="2" fillId="8" borderId="2" xfId="0" applyFont="1" applyFill="1" applyBorder="1" applyAlignment="1"/>
    <xf numFmtId="0" fontId="2" fillId="8" borderId="4" xfId="0" applyFont="1" applyFill="1" applyBorder="1" applyAlignment="1"/>
    <xf numFmtId="0" fontId="2" fillId="8" borderId="3" xfId="0" applyFont="1" applyFill="1" applyBorder="1" applyAlignment="1"/>
    <xf numFmtId="0" fontId="10" fillId="7" borderId="0" xfId="0" applyFont="1" applyFill="1" applyBorder="1" applyAlignment="1">
      <alignment horizontal="center" vertical="center" wrapText="1"/>
    </xf>
    <xf numFmtId="0" fontId="10" fillId="7" borderId="14" xfId="0" applyFont="1" applyFill="1" applyBorder="1" applyAlignment="1">
      <alignment horizontal="center" vertical="center" wrapText="1"/>
    </xf>
    <xf numFmtId="0" fontId="0" fillId="7" borderId="11" xfId="0" applyFill="1" applyBorder="1"/>
    <xf numFmtId="0" fontId="2" fillId="7" borderId="8" xfId="0" applyFont="1" applyFill="1" applyBorder="1"/>
    <xf numFmtId="166" fontId="15" fillId="0" borderId="0" xfId="0" applyNumberFormat="1" applyFont="1" applyAlignment="1">
      <alignment horizontal="center" vertical="center"/>
    </xf>
    <xf numFmtId="0" fontId="4" fillId="3" borderId="0" xfId="0" applyFont="1" applyFill="1"/>
    <xf numFmtId="166" fontId="15" fillId="0" borderId="2" xfId="0" applyNumberFormat="1" applyFont="1" applyFill="1" applyBorder="1" applyAlignment="1">
      <alignment horizontal="center" vertical="center"/>
    </xf>
    <xf numFmtId="166" fontId="15" fillId="0" borderId="4" xfId="0" applyNumberFormat="1" applyFont="1" applyFill="1" applyBorder="1" applyAlignment="1">
      <alignment horizontal="center" vertical="center"/>
    </xf>
    <xf numFmtId="166" fontId="15" fillId="0" borderId="3" xfId="0" applyNumberFormat="1" applyFont="1" applyFill="1" applyBorder="1" applyAlignment="1">
      <alignment horizontal="center" vertical="center"/>
    </xf>
    <xf numFmtId="42" fontId="16" fillId="0" borderId="0" xfId="2" applyNumberFormat="1" applyFont="1"/>
    <xf numFmtId="0" fontId="6" fillId="0" borderId="0" xfId="0" applyFont="1"/>
  </cellXfs>
  <cellStyles count="3">
    <cellStyle name="Milliers" xfId="1" builtinId="3"/>
    <cellStyle name="Monétaire" xfId="2" builtinId="4"/>
    <cellStyle name="Normal" xfId="0" builtinId="0"/>
  </cellStyles>
  <dxfs count="68">
    <dxf>
      <font>
        <color theme="6" tint="-0.499984740745262"/>
      </font>
    </dxf>
    <dxf>
      <font>
        <color rgb="FFC00000"/>
      </font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fill>
        <patternFill>
          <bgColor rgb="FF00FF00"/>
        </patternFill>
      </fill>
    </dxf>
    <dxf>
      <font>
        <color auto="1"/>
      </font>
    </dxf>
    <dxf>
      <font>
        <color rgb="FF00B0F0"/>
      </font>
      <fill>
        <patternFill>
          <bgColor rgb="FF00B0F0"/>
        </patternFill>
      </fill>
    </dxf>
    <dxf>
      <font>
        <color theme="7" tint="0.39994506668294322"/>
      </font>
      <fill>
        <patternFill>
          <bgColor theme="7" tint="0.39994506668294322"/>
        </patternFill>
      </fill>
    </dxf>
    <dxf>
      <font>
        <color theme="7" tint="-0.24994659260841701"/>
      </font>
      <fill>
        <patternFill>
          <bgColor theme="7" tint="-0.24994659260841701"/>
        </patternFill>
      </fill>
    </dxf>
    <dxf>
      <font>
        <color theme="7" tint="-0.499984740745262"/>
      </font>
      <fill>
        <patternFill>
          <bgColor theme="7" tint="-0.499984740745262"/>
        </patternFill>
      </fill>
    </dxf>
    <dxf>
      <border>
        <left style="thin">
          <color auto="1"/>
        </left>
        <vertical/>
        <horizontal/>
      </border>
    </dxf>
    <dxf>
      <border>
        <left style="thin">
          <color auto="1"/>
        </left>
        <vertical/>
        <horizontal/>
      </border>
    </dxf>
    <dxf>
      <font>
        <color theme="0"/>
      </font>
      <fill>
        <patternFill>
          <bgColor theme="7" tint="-0.24994659260841701"/>
        </patternFill>
      </fill>
    </dxf>
    <dxf>
      <fill>
        <patternFill>
          <bgColor theme="7" tint="-0.24994659260841701"/>
        </patternFill>
      </fill>
    </dxf>
    <dxf>
      <font>
        <b/>
        <i val="0"/>
        <color rgb="FFFFFF00"/>
      </font>
      <fill>
        <patternFill>
          <bgColor rgb="FFFF0000"/>
        </patternFill>
      </fill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8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  <border outline="0">
        <left style="thin">
          <color indexed="64"/>
        </left>
        <right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5" formatCode="#,##0.00\ &quot;€&quot;"/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numFmt numFmtId="166" formatCode="#,##0\ &quot;€&quot;"/>
      <alignment horizontal="center" vertical="center" textRotation="0" wrapText="0" indent="0" justifyLastLine="0" shrinkToFit="0" readingOrder="0"/>
    </dxf>
    <dxf>
      <border outline="0">
        <top style="thin">
          <color indexed="64"/>
        </top>
      </border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ill>
        <patternFill patternType="solid">
          <fgColor indexed="64"/>
          <bgColor theme="7" tint="-0.499984740745262"/>
        </patternFill>
      </fill>
      <alignment vertical="center" textRotation="0" wrapText="0" indent="0" justifyLastLine="0" shrinkToFit="0" readingOrder="0"/>
    </dxf>
    <dxf>
      <fill>
        <patternFill>
          <bgColor theme="7" tint="-0.499984740745262"/>
        </patternFill>
      </fill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</dxfs>
  <tableStyles count="1" defaultTableStyle="TableStyleMedium2" defaultPivotStyle="PivotStyleLight16">
    <tableStyle name="Style de tableau 1" pivot="0" count="2">
      <tableStyleElement type="wholeTable" dxfId="67"/>
      <tableStyleElement type="headerRow" dxfId="66"/>
    </tableStyle>
  </tableStyles>
  <colors>
    <mruColors>
      <color rgb="FFFFCC00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9" Type="http://schemas.microsoft.com/office/2006/relationships/vbaProject" Target="vbaProject.bin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FD181E0-5E2F-11CE-A449-00AA004A803D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79176FB0-B7F2-11CE-97EF-00AA006D2776}" ax:persistence="persistStreamInit" r:id="rId1"/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areaChart>
        <c:grouping val="stacked"/>
        <c:varyColors val="0"/>
        <c:ser>
          <c:idx val="0"/>
          <c:order val="0"/>
          <c:tx>
            <c:strRef>
              <c:f>'Planning Perpétuel'!$J$14</c:f>
              <c:strCache>
                <c:ptCount val="1"/>
                <c:pt idx="0">
                  <c:v>Totaux</c:v>
                </c:pt>
              </c:strCache>
            </c:strRef>
          </c:tx>
          <c:spPr>
            <a:solidFill>
              <a:srgbClr val="FFCC00">
                <a:alpha val="85000"/>
              </a:srgb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</c:spPr>
          <c:cat>
            <c:multiLvlStrRef>
              <c:f>'Planning Perpétuel'!$L$2:$AH$5</c:f>
              <c:multiLvlStrCache>
                <c:ptCount val="23"/>
                <c:lvl>
                  <c:pt idx="0">
                    <c:v>03</c:v>
                  </c:pt>
                  <c:pt idx="1">
                    <c:v>04</c:v>
                  </c:pt>
                  <c:pt idx="2">
                    <c:v>05</c:v>
                  </c:pt>
                  <c:pt idx="3">
                    <c:v>06</c:v>
                  </c:pt>
                  <c:pt idx="4">
                    <c:v>07</c:v>
                  </c:pt>
                  <c:pt idx="5">
                    <c:v>08</c:v>
                  </c:pt>
                  <c:pt idx="6">
                    <c:v>09</c:v>
                  </c:pt>
                  <c:pt idx="7">
                    <c:v>10</c:v>
                  </c:pt>
                  <c:pt idx="8">
                    <c:v>11</c:v>
                  </c:pt>
                  <c:pt idx="9">
                    <c:v>12</c:v>
                  </c:pt>
                  <c:pt idx="10">
                    <c:v>13</c:v>
                  </c:pt>
                  <c:pt idx="11">
                    <c:v>14</c:v>
                  </c:pt>
                  <c:pt idx="12">
                    <c:v>15</c:v>
                  </c:pt>
                  <c:pt idx="13">
                    <c:v>16</c:v>
                  </c:pt>
                  <c:pt idx="14">
                    <c:v>17</c:v>
                  </c:pt>
                  <c:pt idx="15">
                    <c:v>18</c:v>
                  </c:pt>
                  <c:pt idx="16">
                    <c:v>19</c:v>
                  </c:pt>
                  <c:pt idx="17">
                    <c:v>20</c:v>
                  </c:pt>
                  <c:pt idx="18">
                    <c:v>21</c:v>
                  </c:pt>
                  <c:pt idx="19">
                    <c:v>22</c:v>
                  </c:pt>
                  <c:pt idx="20">
                    <c:v>23</c:v>
                  </c:pt>
                  <c:pt idx="21">
                    <c:v>24</c:v>
                  </c:pt>
                  <c:pt idx="22">
                    <c:v>25</c:v>
                  </c:pt>
                </c:lvl>
                <c:lvl>
                  <c:pt idx="0">
                    <c:v>Sam</c:v>
                  </c:pt>
                  <c:pt idx="1">
                    <c:v>Dim</c:v>
                  </c:pt>
                  <c:pt idx="2">
                    <c:v>Lun</c:v>
                  </c:pt>
                  <c:pt idx="3">
                    <c:v>Mar</c:v>
                  </c:pt>
                  <c:pt idx="4">
                    <c:v>Mer</c:v>
                  </c:pt>
                  <c:pt idx="5">
                    <c:v>Jeu</c:v>
                  </c:pt>
                  <c:pt idx="6">
                    <c:v>Ven</c:v>
                  </c:pt>
                  <c:pt idx="7">
                    <c:v>Sam</c:v>
                  </c:pt>
                  <c:pt idx="8">
                    <c:v>Dim</c:v>
                  </c:pt>
                  <c:pt idx="9">
                    <c:v>Lun</c:v>
                  </c:pt>
                  <c:pt idx="10">
                    <c:v>Mar</c:v>
                  </c:pt>
                  <c:pt idx="11">
                    <c:v>Mer</c:v>
                  </c:pt>
                  <c:pt idx="12">
                    <c:v>Jeu</c:v>
                  </c:pt>
                  <c:pt idx="13">
                    <c:v>Ven</c:v>
                  </c:pt>
                  <c:pt idx="14">
                    <c:v>Sam</c:v>
                  </c:pt>
                  <c:pt idx="15">
                    <c:v>Dim</c:v>
                  </c:pt>
                  <c:pt idx="16">
                    <c:v>Lun</c:v>
                  </c:pt>
                  <c:pt idx="17">
                    <c:v>Mar</c:v>
                  </c:pt>
                  <c:pt idx="18">
                    <c:v>Mer</c:v>
                  </c:pt>
                  <c:pt idx="19">
                    <c:v>Jeu</c:v>
                  </c:pt>
                  <c:pt idx="20">
                    <c:v>Ven</c:v>
                  </c:pt>
                  <c:pt idx="21">
                    <c:v>Sam</c:v>
                  </c:pt>
                  <c:pt idx="22">
                    <c:v>Dim</c:v>
                  </c:pt>
                </c:lvl>
                <c:lvl>
                  <c:pt idx="0">
                    <c:v>S09</c:v>
                  </c:pt>
                  <c:pt idx="5">
                    <c:v>S10</c:v>
                  </c:pt>
                  <c:pt idx="12">
                    <c:v>S11</c:v>
                  </c:pt>
                  <c:pt idx="19">
                    <c:v>S12</c:v>
                  </c:pt>
                </c:lvl>
                <c:lvl>
                  <c:pt idx="0">
                    <c:v>Mars 2018</c:v>
                  </c:pt>
                </c:lvl>
              </c:multiLvlStrCache>
            </c:multiLvlStrRef>
          </c:cat>
          <c:val>
            <c:numRef>
              <c:f>'Planning Perpétuel'!$L$14:$AV$14</c:f>
              <c:numCache>
                <c:formatCode>_("€"* #,##0_);_("€"* \(#,##0\);_("€"* "-"_);_(@_)</c:formatCode>
                <c:ptCount val="37"/>
                <c:pt idx="0">
                  <c:v>-100</c:v>
                </c:pt>
                <c:pt idx="1">
                  <c:v>-100</c:v>
                </c:pt>
                <c:pt idx="2">
                  <c:v>-250</c:v>
                </c:pt>
                <c:pt idx="3">
                  <c:v>200</c:v>
                </c:pt>
                <c:pt idx="4">
                  <c:v>150</c:v>
                </c:pt>
                <c:pt idx="5">
                  <c:v>100</c:v>
                </c:pt>
                <c:pt idx="6">
                  <c:v>50</c:v>
                </c:pt>
                <c:pt idx="7">
                  <c:v>50</c:v>
                </c:pt>
                <c:pt idx="8">
                  <c:v>50</c:v>
                </c:pt>
                <c:pt idx="9">
                  <c:v>-200</c:v>
                </c:pt>
                <c:pt idx="10">
                  <c:v>-250</c:v>
                </c:pt>
                <c:pt idx="11">
                  <c:v>-300</c:v>
                </c:pt>
                <c:pt idx="12">
                  <c:v>-350</c:v>
                </c:pt>
                <c:pt idx="13">
                  <c:v>-400</c:v>
                </c:pt>
                <c:pt idx="14">
                  <c:v>-400</c:v>
                </c:pt>
                <c:pt idx="15">
                  <c:v>-400</c:v>
                </c:pt>
                <c:pt idx="16">
                  <c:v>-450</c:v>
                </c:pt>
                <c:pt idx="17">
                  <c:v>-500</c:v>
                </c:pt>
                <c:pt idx="18">
                  <c:v>-50</c:v>
                </c:pt>
                <c:pt idx="19">
                  <c:v>-100</c:v>
                </c:pt>
                <c:pt idx="20">
                  <c:v>-150</c:v>
                </c:pt>
                <c:pt idx="21">
                  <c:v>-150</c:v>
                </c:pt>
                <c:pt idx="22">
                  <c:v>-150</c:v>
                </c:pt>
                <c:pt idx="23">
                  <c:v>-200</c:v>
                </c:pt>
                <c:pt idx="24">
                  <c:v>-250</c:v>
                </c:pt>
                <c:pt idx="25">
                  <c:v>-300</c:v>
                </c:pt>
                <c:pt idx="26">
                  <c:v>-350</c:v>
                </c:pt>
                <c:pt idx="27">
                  <c:v>-400</c:v>
                </c:pt>
                <c:pt idx="28">
                  <c:v>-400</c:v>
                </c:pt>
                <c:pt idx="29">
                  <c:v>-400</c:v>
                </c:pt>
                <c:pt idx="30">
                  <c:v>-450</c:v>
                </c:pt>
                <c:pt idx="31">
                  <c:v>-500</c:v>
                </c:pt>
                <c:pt idx="32">
                  <c:v>-550</c:v>
                </c:pt>
                <c:pt idx="33">
                  <c:v>-100</c:v>
                </c:pt>
                <c:pt idx="34">
                  <c:v>-150</c:v>
                </c:pt>
                <c:pt idx="35">
                  <c:v>-150</c:v>
                </c:pt>
                <c:pt idx="36">
                  <c:v>-150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8-AD97-4025-A31B-09F50CC25C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714356576"/>
        <c:axId val="714355264"/>
      </c:areaChart>
      <c:catAx>
        <c:axId val="7143565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low"/>
        <c:spPr>
          <a:noFill/>
          <a:ln w="9525" cap="flat" cmpd="sng" algn="ctr">
            <a:solidFill>
              <a:schemeClr val="accent2">
                <a:shade val="95000"/>
                <a:satMod val="105000"/>
              </a:schemeClr>
            </a:solidFill>
            <a:prstDash val="solid"/>
            <a:round/>
          </a:ln>
          <a:effectLst/>
        </c:spPr>
        <c:txPr>
          <a:bodyPr rot="5400000" spcFirstLastPara="1" vertOverflow="ellipsis" wrap="square" anchor="ctr" anchorCtr="1"/>
          <a:lstStyle/>
          <a:p>
            <a:pPr>
              <a:defRPr sz="900" b="0" i="0" u="none" strike="noStrike" kern="1200" cap="all" baseline="0">
                <a:solidFill>
                  <a:schemeClr val="tx1"/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355264"/>
        <c:crosses val="autoZero"/>
        <c:auto val="1"/>
        <c:lblAlgn val="ctr"/>
        <c:lblOffset val="100"/>
        <c:noMultiLvlLbl val="0"/>
      </c:catAx>
      <c:valAx>
        <c:axId val="714355264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_(&quot;€&quot;* #,##0_);_(&quot;€&quot;* \(#,##0\);_(&quot;€&quot;* &quot;-&quot;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143565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79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65000"/>
        <a:lumOff val="35000"/>
      </a:schemeClr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trlProps/ctrlProp1.xml><?xml version="1.0" encoding="utf-8"?>
<formControlPr xmlns="http://schemas.microsoft.com/office/spreadsheetml/2009/9/main" objectType="CheckBox" fmlaLink="B2" lockText="1" noThreeD="1"/>
</file>

<file path=xl/ctrlProps/ctrlProp2.xml><?xml version="1.0" encoding="utf-8"?>
<formControlPr xmlns="http://schemas.microsoft.com/office/spreadsheetml/2009/9/main" objectType="CheckBox" fmlaLink="B3" lockText="1" noThreeD="1"/>
</file>

<file path=xl/ctrlProps/ctrlProp3.xml><?xml version="1.0" encoding="utf-8"?>
<formControlPr xmlns="http://schemas.microsoft.com/office/spreadsheetml/2009/9/main" objectType="CheckBox" fmlaLink="B4" lockText="1" noThreeD="1"/>
</file>

<file path=xl/ctrlProps/ctrlProp4.xml><?xml version="1.0" encoding="utf-8"?>
<formControlPr xmlns="http://schemas.microsoft.com/office/spreadsheetml/2009/9/main" objectType="CheckBox" fmlaLink="B5" lockText="1" noThreeD="1"/>
</file>

<file path=xl/ctrlProps/ctrlProp5.xml><?xml version="1.0" encoding="utf-8"?>
<formControlPr xmlns="http://schemas.microsoft.com/office/spreadsheetml/2009/9/main" objectType="CheckBox" fmlaLink="B6" lockText="1" noThreeD="1"/>
</file>

<file path=xl/ctrlProps/ctrlProp6.xml><?xml version="1.0" encoding="utf-8"?>
<formControlPr xmlns="http://schemas.microsoft.com/office/spreadsheetml/2009/9/main" objectType="CheckBox" checked="Checked" fmlaLink="B7" lockText="1" noThreeD="1"/>
</file>

<file path=xl/ctrlProps/ctrlProp7.xml><?xml version="1.0" encoding="utf-8"?>
<formControlPr xmlns="http://schemas.microsoft.com/office/spreadsheetml/2009/9/main" objectType="CheckBox" checked="Checked" fmlaLink="B8" lockText="1" noThreeD="1"/>
</file>

<file path=xl/ctrlProps/ctrlProp8.xml><?xml version="1.0" encoding="utf-8"?>
<formControlPr xmlns="http://schemas.microsoft.com/office/spreadsheetml/2009/9/main" objectType="CheckBox" checked="Checked" fmlaLink="C2" lockText="1" noThreeD="1"/>
</file>

<file path=xl/ctrlProps/ctrlProp9.xml><?xml version="1.0" encoding="utf-8"?>
<formControlPr xmlns="http://schemas.microsoft.com/office/spreadsheetml/2009/9/main" objectType="CheckBox" fmlaLink="C3" lockText="1" noThreeD="1"/>
</file>

<file path=xl/ctrlProps/ctrlProp10.xml><?xml version="1.0" encoding="utf-8"?>
<formControlPr xmlns="http://schemas.microsoft.com/office/spreadsheetml/2009/9/main" objectType="CheckBox" checked="Checked" fmlaLink="C4" lockText="1" noThreeD="1"/>
</file>

<file path=xl/ctrlProps/ctrlProp11.xml><?xml version="1.0" encoding="utf-8"?>
<formControlPr xmlns="http://schemas.microsoft.com/office/spreadsheetml/2009/9/main" objectType="CheckBox" checked="Checked" fmlaLink="C5" lockText="1" noThreeD="1"/>
</file>

<file path=xl/ctrlProps/ctrlProp12.xml><?xml version="1.0" encoding="utf-8"?>
<formControlPr xmlns="http://schemas.microsoft.com/office/spreadsheetml/2009/9/main" objectType="CheckBox" checked="Checked" fmlaLink="C6" lockText="1" noThreeD="1"/>
</file>

<file path=xl/ctrlProps/ctrlProp13.xml><?xml version="1.0" encoding="utf-8"?>
<formControlPr xmlns="http://schemas.microsoft.com/office/spreadsheetml/2009/9/main" objectType="CheckBox" checked="Checked" fmlaLink="C8" lockText="1" noThreeD="1"/>
</file>

<file path=xl/ctrlProps/ctrlProp14.xml><?xml version="1.0" encoding="utf-8"?>
<formControlPr xmlns="http://schemas.microsoft.com/office/spreadsheetml/2009/9/main" objectType="CheckBox" checked="Checked" fmlaLink="C10" lockText="1" noThreeD="1"/>
</file>

<file path=xl/ctrlProps/ctrlProp15.xml><?xml version="1.0" encoding="utf-8"?>
<formControlPr xmlns="http://schemas.microsoft.com/office/spreadsheetml/2009/9/main" objectType="CheckBox" fmlaLink="C9" lockText="1" noThreeD="1"/>
</file>

<file path=xl/ctrlProps/ctrlProp16.xml><?xml version="1.0" encoding="utf-8"?>
<formControlPr xmlns="http://schemas.microsoft.com/office/spreadsheetml/2009/9/main" objectType="CheckBox" checked="Checked" fmlaLink="C11" lockText="1" noThreeD="1"/>
</file>

<file path=xl/ctrlProps/ctrlProp17.xml><?xml version="1.0" encoding="utf-8"?>
<formControlPr xmlns="http://schemas.microsoft.com/office/spreadsheetml/2009/9/main" objectType="CheckBox" checked="Checked" fmlaLink="C12" lockText="1" noThreeD="1"/>
</file>

<file path=xl/ctrlProps/ctrlProp18.xml><?xml version="1.0" encoding="utf-8"?>
<formControlPr xmlns="http://schemas.microsoft.com/office/spreadsheetml/2009/9/main" objectType="CheckBox" checked="Checked" fmlaLink="C13" lockText="1" noThreeD="1"/>
</file>

<file path=xl/ctrlProps/ctrlProp19.xml><?xml version="1.0" encoding="utf-8"?>
<formControlPr xmlns="http://schemas.microsoft.com/office/spreadsheetml/2009/9/main" objectType="CheckBox" checked="Checked" fmlaLink="C14" lockText="1" noThreeD="1"/>
</file>

<file path=xl/ctrlProps/ctrlProp20.xml><?xml version="1.0" encoding="utf-8"?>
<formControlPr xmlns="http://schemas.microsoft.com/office/spreadsheetml/2009/9/main" objectType="CheckBox" fmlaLink="C7" lockText="1" noThreeD="1"/>
</file>

<file path=xl/ctrlProps/ctrlProp21.xml><?xml version="1.0" encoding="utf-8"?>
<formControlPr xmlns="http://schemas.microsoft.com/office/spreadsheetml/2009/9/main" objectType="CheckBox" checked="Checked" fmlaLink="C15" lockText="1" noThreeD="1"/>
</file>

<file path=xl/ctrlProps/ctrlProp22.xml><?xml version="1.0" encoding="utf-8"?>
<formControlPr xmlns="http://schemas.microsoft.com/office/spreadsheetml/2009/9/main" objectType="CheckBox" fmlaLink="C16" lockText="1" noThreeD="1"/>
</file>

<file path=xl/ctrlProps/ctrlProp23.xml><?xml version="1.0" encoding="utf-8"?>
<formControlPr xmlns="http://schemas.microsoft.com/office/spreadsheetml/2009/9/main" objectType="CheckBox" fmlaLink="F2" lockText="1" noThreeD="1"/>
</file>

<file path=xl/ctrlProps/ctrlProp24.xml><?xml version="1.0" encoding="utf-8"?>
<formControlPr xmlns="http://schemas.microsoft.com/office/spreadsheetml/2009/9/main" objectType="CheckBox" fmlaLink="F3" lockText="1" noThreeD="1"/>
</file>

<file path=xl/ctrlProps/ctrlProp25.xml><?xml version="1.0" encoding="utf-8"?>
<formControlPr xmlns="http://schemas.microsoft.com/office/spreadsheetml/2009/9/main" objectType="CheckBox" fmlaLink="F4" lockText="1" noThreeD="1"/>
</file>

<file path=xl/ctrlProps/ctrlProp26.xml><?xml version="1.0" encoding="utf-8"?>
<formControlPr xmlns="http://schemas.microsoft.com/office/spreadsheetml/2009/9/main" objectType="CheckBox" fmlaLink="F5" lockText="1" noThreeD="1"/>
</file>

<file path=xl/ctrlProps/ctrlProp27.xml><?xml version="1.0" encoding="utf-8"?>
<formControlPr xmlns="http://schemas.microsoft.com/office/spreadsheetml/2009/9/main" objectType="CheckBox" fmlaLink="F6" lockText="1" noThreeD="1"/>
</file>

<file path=xl/ctrlProps/ctrlProp28.xml><?xml version="1.0" encoding="utf-8"?>
<formControlPr xmlns="http://schemas.microsoft.com/office/spreadsheetml/2009/9/main" objectType="CheckBox" fmlaLink="F7" lockText="1" noThreeD="1"/>
</file>

<file path=xl/ctrlProps/ctrlProp29.xml><?xml version="1.0" encoding="utf-8"?>
<formControlPr xmlns="http://schemas.microsoft.com/office/spreadsheetml/2009/9/main" objectType="CheckBox" fmlaLink="F8" lockText="1" noThreeD="1"/>
</file>

<file path=xl/ctrlProps/ctrlProp30.xml><?xml version="1.0" encoding="utf-8"?>
<formControlPr xmlns="http://schemas.microsoft.com/office/spreadsheetml/2009/9/main" objectType="CheckBox" fmlaLink="F9" lockText="1" noThreeD="1"/>
</file>

<file path=xl/ctrlProps/ctrlProp31.xml><?xml version="1.0" encoding="utf-8"?>
<formControlPr xmlns="http://schemas.microsoft.com/office/spreadsheetml/2009/9/main" objectType="CheckBox" fmlaLink="F10" lockText="1" noThreeD="1"/>
</file>

<file path=xl/ctrlProps/ctrlProp32.xml><?xml version="1.0" encoding="utf-8"?>
<formControlPr xmlns="http://schemas.microsoft.com/office/spreadsheetml/2009/9/main" objectType="CheckBox" fmlaLink="F11" lockText="1" noThreeD="1"/>
</file>

<file path=xl/ctrlProps/ctrlProp33.xml><?xml version="1.0" encoding="utf-8"?>
<formControlPr xmlns="http://schemas.microsoft.com/office/spreadsheetml/2009/9/main" objectType="CheckBox" fmlaLink="F12" lockText="1" noThreeD="1"/>
</file>

<file path=xl/ctrlProps/ctrlProp34.xml><?xml version="1.0" encoding="utf-8"?>
<formControlPr xmlns="http://schemas.microsoft.com/office/spreadsheetml/2009/9/main" objectType="CheckBox" fmlaLink="F13" lockText="1" noThreeD="1"/>
</file>

<file path=xl/ctrlProps/ctrlProp35.xml><?xml version="1.0" encoding="utf-8"?>
<formControlPr xmlns="http://schemas.microsoft.com/office/spreadsheetml/2009/9/main" objectType="CheckBox" fmlaLink="F14" lockText="1" noThreeD="1"/>
</file>

<file path=xl/ctrlProps/ctrlProp36.xml><?xml version="1.0" encoding="utf-8"?>
<formControlPr xmlns="http://schemas.microsoft.com/office/spreadsheetml/2009/9/main" objectType="CheckBox" fmlaLink="F15" lockText="1" noThreeD="1"/>
</file>

<file path=xl/ctrlProps/ctrlProp37.xml><?xml version="1.0" encoding="utf-8"?>
<formControlPr xmlns="http://schemas.microsoft.com/office/spreadsheetml/2009/9/main" objectType="CheckBox" fmlaLink="F16" lockText="1" noThreeD="1"/>
</file>

<file path=xl/ctrlProps/ctrlProp38.xml><?xml version="1.0" encoding="utf-8"?>
<formControlPr xmlns="http://schemas.microsoft.com/office/spreadsheetml/2009/9/main" objectType="CheckBox" fmlaLink="F17" lockText="1" noThreeD="1"/>
</file>

<file path=xl/ctrlProps/ctrlProp39.xml><?xml version="1.0" encoding="utf-8"?>
<formControlPr xmlns="http://schemas.microsoft.com/office/spreadsheetml/2009/9/main" objectType="CheckBox" fmlaLink="F18" lockText="1" noThreeD="1"/>
</file>

<file path=xl/ctrlProps/ctrlProp40.xml><?xml version="1.0" encoding="utf-8"?>
<formControlPr xmlns="http://schemas.microsoft.com/office/spreadsheetml/2009/9/main" objectType="CheckBox" fmlaLink="F19" lockText="1" noThreeD="1"/>
</file>

<file path=xl/ctrlProps/ctrlProp41.xml><?xml version="1.0" encoding="utf-8"?>
<formControlPr xmlns="http://schemas.microsoft.com/office/spreadsheetml/2009/9/main" objectType="CheckBox" fmlaLink="F20" lockText="1" noThreeD="1"/>
</file>

<file path=xl/ctrlProps/ctrlProp42.xml><?xml version="1.0" encoding="utf-8"?>
<formControlPr xmlns="http://schemas.microsoft.com/office/spreadsheetml/2009/9/main" objectType="CheckBox" fmlaLink="F21" lockText="1" noThreeD="1"/>
</file>

<file path=xl/ctrlProps/ctrlProp43.xml><?xml version="1.0" encoding="utf-8"?>
<formControlPr xmlns="http://schemas.microsoft.com/office/spreadsheetml/2009/9/main" objectType="CheckBox" fmlaLink="F22" lockText="1" noThreeD="1"/>
</file>

<file path=xl/ctrlProps/ctrlProp44.xml><?xml version="1.0" encoding="utf-8"?>
<formControlPr xmlns="http://schemas.microsoft.com/office/spreadsheetml/2009/9/main" objectType="CheckBox" fmlaLink="F23" lockText="1" noThreeD="1"/>
</file>

<file path=xl/ctrlProps/ctrlProp45.xml><?xml version="1.0" encoding="utf-8"?>
<formControlPr xmlns="http://schemas.microsoft.com/office/spreadsheetml/2009/9/main" objectType="CheckBox" fmlaLink="F24" lockText="1" noThreeD="1"/>
</file>

<file path=xl/ctrlProps/ctrlProp46.xml><?xml version="1.0" encoding="utf-8"?>
<formControlPr xmlns="http://schemas.microsoft.com/office/spreadsheetml/2009/9/main" objectType="CheckBox" fmlaLink="F25" lockText="1" noThreeD="1"/>
</file>

<file path=xl/ctrlProps/ctrlProp47.xml><?xml version="1.0" encoding="utf-8"?>
<formControlPr xmlns="http://schemas.microsoft.com/office/spreadsheetml/2009/9/main" objectType="CheckBox" fmlaLink="F26" lockText="1" noThreeD="1"/>
</file>

<file path=xl/ctrlProps/ctrlProp48.xml><?xml version="1.0" encoding="utf-8"?>
<formControlPr xmlns="http://schemas.microsoft.com/office/spreadsheetml/2009/9/main" objectType="CheckBox" fmlaLink="F27" lockText="1" noThreeD="1"/>
</file>

<file path=xl/ctrlProps/ctrlProp49.xml><?xml version="1.0" encoding="utf-8"?>
<formControlPr xmlns="http://schemas.microsoft.com/office/spreadsheetml/2009/9/main" objectType="CheckBox" fmlaLink="F28" lockText="1" noThreeD="1"/>
</file>

<file path=xl/ctrlProps/ctrlProp50.xml><?xml version="1.0" encoding="utf-8"?>
<formControlPr xmlns="http://schemas.microsoft.com/office/spreadsheetml/2009/9/main" objectType="CheckBox" fmlaLink="F29" lockText="1" noThreeD="1"/>
</file>

<file path=xl/ctrlProps/ctrlProp51.xml><?xml version="1.0" encoding="utf-8"?>
<formControlPr xmlns="http://schemas.microsoft.com/office/spreadsheetml/2009/9/main" objectType="CheckBox" fmlaLink="F30" lockText="1" noThreeD="1"/>
</file>

<file path=xl/ctrlProps/ctrlProp52.xml><?xml version="1.0" encoding="utf-8"?>
<formControlPr xmlns="http://schemas.microsoft.com/office/spreadsheetml/2009/9/main" objectType="CheckBox" fmlaLink="F31" lockText="1" noThreeD="1"/>
</file>

<file path=xl/ctrlProps/ctrlProp53.xml><?xml version="1.0" encoding="utf-8"?>
<formControlPr xmlns="http://schemas.microsoft.com/office/spreadsheetml/2009/9/main" objectType="CheckBox" fmlaLink="F32" lockText="1" noThreeD="1"/>
</file>

<file path=xl/ctrlProps/ctrlProp54.xml><?xml version="1.0" encoding="utf-8"?>
<formControlPr xmlns="http://schemas.microsoft.com/office/spreadsheetml/2009/9/main" objectType="CheckBox" lockText="1" noThreeD="1"/>
</file>

<file path=xl/ctrlProps/ctrlProp55.xml><?xml version="1.0" encoding="utf-8"?>
<formControlPr xmlns="http://schemas.microsoft.com/office/spreadsheetml/2009/9/main" objectType="CheckBox" lockText="1" noThreeD="1"/>
</file>

<file path=xl/ctrlProps/ctrlProp56.xml><?xml version="1.0" encoding="utf-8"?>
<formControlPr xmlns="http://schemas.microsoft.com/office/spreadsheetml/2009/9/main" objectType="CheckBox" lockText="1" noThreeD="1"/>
</file>

<file path=xl/ctrlProps/ctrlProp57.xml><?xml version="1.0" encoding="utf-8"?>
<formControlPr xmlns="http://schemas.microsoft.com/office/spreadsheetml/2009/9/main" objectType="CheckBox" lockText="1" noThreeD="1"/>
</file>

<file path=xl/ctrlProps/ctrlProp58.xml><?xml version="1.0" encoding="utf-8"?>
<formControlPr xmlns="http://schemas.microsoft.com/office/spreadsheetml/2009/9/main" objectType="CheckBox" lockText="1" noThreeD="1"/>
</file>

<file path=xl/ctrlProps/ctrlProp59.xml><?xml version="1.0" encoding="utf-8"?>
<formControlPr xmlns="http://schemas.microsoft.com/office/spreadsheetml/2009/9/main" objectType="CheckBox" lockText="1" noThreeD="1"/>
</file>

<file path=xl/ctrlProps/ctrlProp60.xml><?xml version="1.0" encoding="utf-8"?>
<formControlPr xmlns="http://schemas.microsoft.com/office/spreadsheetml/2009/9/main" objectType="CheckBox" lockText="1" noThreeD="1"/>
</file>

<file path=xl/ctrlProps/ctrlProp61.xml><?xml version="1.0" encoding="utf-8"?>
<formControlPr xmlns="http://schemas.microsoft.com/office/spreadsheetml/2009/9/main" objectType="CheckBox" lockText="1" noThreeD="1"/>
</file>

<file path=xl/ctrlProps/ctrlProp62.xml><?xml version="1.0" encoding="utf-8"?>
<formControlPr xmlns="http://schemas.microsoft.com/office/spreadsheetml/2009/9/main" objectType="CheckBox" lockText="1" noThreeD="1"/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vmlDrawing3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0</xdr:row>
          <xdr:rowOff>561975</xdr:rowOff>
        </xdr:from>
        <xdr:to>
          <xdr:col>1</xdr:col>
          <xdr:colOff>742950</xdr:colOff>
          <xdr:row>2</xdr:row>
          <xdr:rowOff>9525</xdr:rowOff>
        </xdr:to>
        <xdr:sp macro="" textlink="">
          <xdr:nvSpPr>
            <xdr:cNvPr id="3075" name="Case à cocher 3" hidden="1">
              <a:extLst>
                <a:ext uri="{63B3BB69-23CF-44E3-9099-C40C66FF867C}">
                  <a14:compatExt spid="_x0000_s3075"/>
                </a:ext>
                <a:ext uri="{FF2B5EF4-FFF2-40B4-BE49-F238E27FC236}">
                  <a16:creationId xmlns:a16="http://schemas.microsoft.com/office/drawing/2014/main" id="{5A325FF2-AAEB-4A9A-9CE6-92B9B532DE1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1</xdr:row>
          <xdr:rowOff>180975</xdr:rowOff>
        </xdr:from>
        <xdr:to>
          <xdr:col>1</xdr:col>
          <xdr:colOff>742950</xdr:colOff>
          <xdr:row>3</xdr:row>
          <xdr:rowOff>9525</xdr:rowOff>
        </xdr:to>
        <xdr:sp macro="" textlink="">
          <xdr:nvSpPr>
            <xdr:cNvPr id="3076" name="Case à cocher 4" hidden="1">
              <a:extLst>
                <a:ext uri="{63B3BB69-23CF-44E3-9099-C40C66FF867C}">
                  <a14:compatExt spid="_x0000_s3076"/>
                </a:ext>
                <a:ext uri="{FF2B5EF4-FFF2-40B4-BE49-F238E27FC236}">
                  <a16:creationId xmlns:a16="http://schemas.microsoft.com/office/drawing/2014/main" id="{DEC9B9F5-3F56-4D2F-89CA-D621CBFEE0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Mardi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2</xdr:row>
          <xdr:rowOff>180975</xdr:rowOff>
        </xdr:from>
        <xdr:to>
          <xdr:col>1</xdr:col>
          <xdr:colOff>742950</xdr:colOff>
          <xdr:row>4</xdr:row>
          <xdr:rowOff>9525</xdr:rowOff>
        </xdr:to>
        <xdr:sp macro="" textlink="">
          <xdr:nvSpPr>
            <xdr:cNvPr id="3077" name="Case à cocher 5" hidden="1">
              <a:extLst>
                <a:ext uri="{63B3BB69-23CF-44E3-9099-C40C66FF867C}">
                  <a14:compatExt spid="_x0000_s3077"/>
                </a:ext>
                <a:ext uri="{FF2B5EF4-FFF2-40B4-BE49-F238E27FC236}">
                  <a16:creationId xmlns:a16="http://schemas.microsoft.com/office/drawing/2014/main" id="{1CA7C210-4EC3-48C3-80F8-5F01BC4339B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Mercredi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3</xdr:row>
          <xdr:rowOff>180975</xdr:rowOff>
        </xdr:from>
        <xdr:to>
          <xdr:col>1</xdr:col>
          <xdr:colOff>742950</xdr:colOff>
          <xdr:row>5</xdr:row>
          <xdr:rowOff>9525</xdr:rowOff>
        </xdr:to>
        <xdr:sp macro="" textlink="">
          <xdr:nvSpPr>
            <xdr:cNvPr id="3078" name="Case à cocher 6" hidden="1">
              <a:extLst>
                <a:ext uri="{63B3BB69-23CF-44E3-9099-C40C66FF867C}">
                  <a14:compatExt spid="_x0000_s3078"/>
                </a:ext>
                <a:ext uri="{FF2B5EF4-FFF2-40B4-BE49-F238E27FC236}">
                  <a16:creationId xmlns:a16="http://schemas.microsoft.com/office/drawing/2014/main" id="{8001021B-B860-4DC6-9D76-7BFE717DA1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4</xdr:row>
          <xdr:rowOff>180975</xdr:rowOff>
        </xdr:from>
        <xdr:to>
          <xdr:col>1</xdr:col>
          <xdr:colOff>742950</xdr:colOff>
          <xdr:row>6</xdr:row>
          <xdr:rowOff>9525</xdr:rowOff>
        </xdr:to>
        <xdr:sp macro="" textlink="">
          <xdr:nvSpPr>
            <xdr:cNvPr id="3079" name="Case à cocher 7" hidden="1">
              <a:extLst>
                <a:ext uri="{63B3BB69-23CF-44E3-9099-C40C66FF867C}">
                  <a14:compatExt spid="_x0000_s3079"/>
                </a:ext>
                <a:ext uri="{FF2B5EF4-FFF2-40B4-BE49-F238E27FC236}">
                  <a16:creationId xmlns:a16="http://schemas.microsoft.com/office/drawing/2014/main" id="{AFB3B76E-AF00-4280-80D8-81A042B1C1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5</xdr:row>
          <xdr:rowOff>180975</xdr:rowOff>
        </xdr:from>
        <xdr:to>
          <xdr:col>1</xdr:col>
          <xdr:colOff>742950</xdr:colOff>
          <xdr:row>7</xdr:row>
          <xdr:rowOff>9525</xdr:rowOff>
        </xdr:to>
        <xdr:sp macro="" textlink="">
          <xdr:nvSpPr>
            <xdr:cNvPr id="3080" name="Case à cocher 8" hidden="1">
              <a:extLst>
                <a:ext uri="{63B3BB69-23CF-44E3-9099-C40C66FF867C}">
                  <a14:compatExt spid="_x0000_s3080"/>
                </a:ext>
                <a:ext uri="{FF2B5EF4-FFF2-40B4-BE49-F238E27FC236}">
                  <a16:creationId xmlns:a16="http://schemas.microsoft.com/office/drawing/2014/main" id="{EE547CC1-6B07-4D6D-8906-C2E0833A48D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Samedi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38100</xdr:colOff>
          <xdr:row>6</xdr:row>
          <xdr:rowOff>180975</xdr:rowOff>
        </xdr:from>
        <xdr:to>
          <xdr:col>1</xdr:col>
          <xdr:colOff>742950</xdr:colOff>
          <xdr:row>8</xdr:row>
          <xdr:rowOff>9525</xdr:rowOff>
        </xdr:to>
        <xdr:sp macro="" textlink="">
          <xdr:nvSpPr>
            <xdr:cNvPr id="3081" name="Case à cocher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9B1DC002-1110-4D62-AB3E-A6A9182CFA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Dimanche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0</xdr:row>
          <xdr:rowOff>561975</xdr:rowOff>
        </xdr:from>
        <xdr:to>
          <xdr:col>3</xdr:col>
          <xdr:colOff>733425</xdr:colOff>
          <xdr:row>2</xdr:row>
          <xdr:rowOff>9525</xdr:rowOff>
        </xdr:to>
        <xdr:sp macro="" textlink="">
          <xdr:nvSpPr>
            <xdr:cNvPr id="3098" name="Case à cocher 26" hidden="1">
              <a:extLst>
                <a:ext uri="{63B3BB69-23CF-44E3-9099-C40C66FF867C}">
                  <a14:compatExt spid="_x0000_s3098"/>
                </a:ext>
                <a:ext uri="{FF2B5EF4-FFF2-40B4-BE49-F238E27FC236}">
                  <a16:creationId xmlns:a16="http://schemas.microsoft.com/office/drawing/2014/main" id="{B2D82B08-3849-4D53-992F-562949046C9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Jour de l'an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0</xdr:rowOff>
        </xdr:from>
        <xdr:to>
          <xdr:col>3</xdr:col>
          <xdr:colOff>733425</xdr:colOff>
          <xdr:row>3</xdr:row>
          <xdr:rowOff>19050</xdr:rowOff>
        </xdr:to>
        <xdr:sp macro="" textlink="">
          <xdr:nvSpPr>
            <xdr:cNvPr id="3099" name="Case à cocher 27" hidden="1">
              <a:extLst>
                <a:ext uri="{63B3BB69-23CF-44E3-9099-C40C66FF867C}">
                  <a14:compatExt spid="_x0000_s3099"/>
                </a:ext>
                <a:ext uri="{FF2B5EF4-FFF2-40B4-BE49-F238E27FC236}">
                  <a16:creationId xmlns:a16="http://schemas.microsoft.com/office/drawing/2014/main" id="{F2407F7D-BE3D-4E1F-A084-A3ECB6DCFF5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2</xdr:row>
          <xdr:rowOff>180975</xdr:rowOff>
        </xdr:from>
        <xdr:to>
          <xdr:col>3</xdr:col>
          <xdr:colOff>733425</xdr:colOff>
          <xdr:row>4</xdr:row>
          <xdr:rowOff>9525</xdr:rowOff>
        </xdr:to>
        <xdr:sp macro="" textlink="">
          <xdr:nvSpPr>
            <xdr:cNvPr id="3106" name="Case à cocher 34" hidden="1">
              <a:extLst>
                <a:ext uri="{63B3BB69-23CF-44E3-9099-C40C66FF867C}">
                  <a14:compatExt spid="_x0000_s3106"/>
                </a:ext>
                <a:ext uri="{FF2B5EF4-FFF2-40B4-BE49-F238E27FC236}">
                  <a16:creationId xmlns:a16="http://schemas.microsoft.com/office/drawing/2014/main" id="{96340EE5-C48B-4B88-AA6C-529F3E9C68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Pâques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3</xdr:row>
          <xdr:rowOff>180975</xdr:rowOff>
        </xdr:from>
        <xdr:to>
          <xdr:col>3</xdr:col>
          <xdr:colOff>733425</xdr:colOff>
          <xdr:row>5</xdr:row>
          <xdr:rowOff>9525</xdr:rowOff>
        </xdr:to>
        <xdr:sp macro="" textlink="">
          <xdr:nvSpPr>
            <xdr:cNvPr id="3107" name="Case à cocher 35" hidden="1">
              <a:extLst>
                <a:ext uri="{63B3BB69-23CF-44E3-9099-C40C66FF867C}">
                  <a14:compatExt spid="_x0000_s3107"/>
                </a:ext>
                <a:ext uri="{FF2B5EF4-FFF2-40B4-BE49-F238E27FC236}">
                  <a16:creationId xmlns:a16="http://schemas.microsoft.com/office/drawing/2014/main" id="{C87A18B5-FF08-4A73-B093-757FA4B0401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du travail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4</xdr:row>
          <xdr:rowOff>161925</xdr:rowOff>
        </xdr:from>
        <xdr:to>
          <xdr:col>4</xdr:col>
          <xdr:colOff>133350</xdr:colOff>
          <xdr:row>6</xdr:row>
          <xdr:rowOff>0</xdr:rowOff>
        </xdr:to>
        <xdr:sp macro="" textlink="">
          <xdr:nvSpPr>
            <xdr:cNvPr id="3109" name="Case à cocher 37" hidden="1">
              <a:extLst>
                <a:ext uri="{63B3BB69-23CF-44E3-9099-C40C66FF867C}">
                  <a14:compatExt spid="_x0000_s3109"/>
                </a:ext>
                <a:ext uri="{FF2B5EF4-FFF2-40B4-BE49-F238E27FC236}">
                  <a16:creationId xmlns:a16="http://schemas.microsoft.com/office/drawing/2014/main" id="{96B53346-AA0D-4A59-B340-93344C57AF5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Jeudi de l'ascension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6</xdr:row>
          <xdr:rowOff>180975</xdr:rowOff>
        </xdr:from>
        <xdr:to>
          <xdr:col>3</xdr:col>
          <xdr:colOff>733425</xdr:colOff>
          <xdr:row>8</xdr:row>
          <xdr:rowOff>9525</xdr:rowOff>
        </xdr:to>
        <xdr:sp macro="" textlink="">
          <xdr:nvSpPr>
            <xdr:cNvPr id="3110" name="Case à cocher 38" hidden="1">
              <a:extLst>
                <a:ext uri="{63B3BB69-23CF-44E3-9099-C40C66FF867C}">
                  <a14:compatExt spid="_x0000_s3110"/>
                </a:ext>
                <a:ext uri="{FF2B5EF4-FFF2-40B4-BE49-F238E27FC236}">
                  <a16:creationId xmlns:a16="http://schemas.microsoft.com/office/drawing/2014/main" id="{5A624A65-FAC0-4CE5-AB01-AA7D0FE2E1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Victoire 1945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8</xdr:row>
          <xdr:rowOff>180975</xdr:rowOff>
        </xdr:from>
        <xdr:to>
          <xdr:col>3</xdr:col>
          <xdr:colOff>733425</xdr:colOff>
          <xdr:row>10</xdr:row>
          <xdr:rowOff>9525</xdr:rowOff>
        </xdr:to>
        <xdr:sp macro="" textlink="">
          <xdr:nvSpPr>
            <xdr:cNvPr id="3111" name="Case à cocher 39" hidden="1">
              <a:extLst>
                <a:ext uri="{63B3BB69-23CF-44E3-9099-C40C66FF867C}">
                  <a14:compatExt spid="_x0000_s3111"/>
                </a:ext>
                <a:ext uri="{FF2B5EF4-FFF2-40B4-BE49-F238E27FC236}">
                  <a16:creationId xmlns:a16="http://schemas.microsoft.com/office/drawing/2014/main" id="{22BB356C-73A7-4FEA-8282-526AA956448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Lundi de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7</xdr:row>
          <xdr:rowOff>180975</xdr:rowOff>
        </xdr:from>
        <xdr:to>
          <xdr:col>3</xdr:col>
          <xdr:colOff>733425</xdr:colOff>
          <xdr:row>9</xdr:row>
          <xdr:rowOff>9525</xdr:rowOff>
        </xdr:to>
        <xdr:sp macro="" textlink="">
          <xdr:nvSpPr>
            <xdr:cNvPr id="3112" name="Case à cocher 40" hidden="1">
              <a:extLst>
                <a:ext uri="{63B3BB69-23CF-44E3-9099-C40C66FF867C}">
                  <a14:compatExt spid="_x0000_s3112"/>
                </a:ext>
                <a:ext uri="{FF2B5EF4-FFF2-40B4-BE49-F238E27FC236}">
                  <a16:creationId xmlns:a16="http://schemas.microsoft.com/office/drawing/2014/main" id="{CE141ACD-888A-4559-BCC4-EDA01F294C1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Pentecôte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9</xdr:row>
          <xdr:rowOff>180975</xdr:rowOff>
        </xdr:from>
        <xdr:to>
          <xdr:col>3</xdr:col>
          <xdr:colOff>733425</xdr:colOff>
          <xdr:row>11</xdr:row>
          <xdr:rowOff>9525</xdr:rowOff>
        </xdr:to>
        <xdr:sp macro="" textlink="">
          <xdr:nvSpPr>
            <xdr:cNvPr id="3113" name="Case à cocher 41" hidden="1">
              <a:extLst>
                <a:ext uri="{63B3BB69-23CF-44E3-9099-C40C66FF867C}">
                  <a14:compatExt spid="_x0000_s3113"/>
                </a:ext>
                <a:ext uri="{FF2B5EF4-FFF2-40B4-BE49-F238E27FC236}">
                  <a16:creationId xmlns:a16="http://schemas.microsoft.com/office/drawing/2014/main" id="{FC81E1DE-F144-4403-97A3-E7A0940B233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Fête Nationale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10</xdr:row>
          <xdr:rowOff>171450</xdr:rowOff>
        </xdr:from>
        <xdr:to>
          <xdr:col>3</xdr:col>
          <xdr:colOff>733425</xdr:colOff>
          <xdr:row>12</xdr:row>
          <xdr:rowOff>0</xdr:rowOff>
        </xdr:to>
        <xdr:sp macro="" textlink="">
          <xdr:nvSpPr>
            <xdr:cNvPr id="3114" name="Case à cocher 42" hidden="1">
              <a:extLst>
                <a:ext uri="{63B3BB69-23CF-44E3-9099-C40C66FF867C}">
                  <a14:compatExt spid="_x0000_s3114"/>
                </a:ext>
                <a:ext uri="{FF2B5EF4-FFF2-40B4-BE49-F238E27FC236}">
                  <a16:creationId xmlns:a16="http://schemas.microsoft.com/office/drawing/2014/main" id="{E28C36FD-A836-4012-A367-844DD41F882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L'Assomption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11</xdr:row>
          <xdr:rowOff>171450</xdr:rowOff>
        </xdr:from>
        <xdr:to>
          <xdr:col>3</xdr:col>
          <xdr:colOff>733425</xdr:colOff>
          <xdr:row>13</xdr:row>
          <xdr:rowOff>0</xdr:rowOff>
        </xdr:to>
        <xdr:sp macro="" textlink="">
          <xdr:nvSpPr>
            <xdr:cNvPr id="3115" name="Case à cocher 43" hidden="1">
              <a:extLst>
                <a:ext uri="{63B3BB69-23CF-44E3-9099-C40C66FF867C}">
                  <a14:compatExt spid="_x0000_s3115"/>
                </a:ext>
                <a:ext uri="{FF2B5EF4-FFF2-40B4-BE49-F238E27FC236}">
                  <a16:creationId xmlns:a16="http://schemas.microsoft.com/office/drawing/2014/main" id="{1B3639C1-7B7E-4365-8EAA-0221F707FA7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Toussaint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12</xdr:row>
          <xdr:rowOff>180975</xdr:rowOff>
        </xdr:from>
        <xdr:to>
          <xdr:col>4</xdr:col>
          <xdr:colOff>314325</xdr:colOff>
          <xdr:row>14</xdr:row>
          <xdr:rowOff>0</xdr:rowOff>
        </xdr:to>
        <xdr:sp macro="" textlink="">
          <xdr:nvSpPr>
            <xdr:cNvPr id="3116" name="Case à cocher 44" hidden="1">
              <a:extLst>
                <a:ext uri="{63B3BB69-23CF-44E3-9099-C40C66FF867C}">
                  <a14:compatExt spid="_x0000_s3116"/>
                </a:ext>
                <a:ext uri="{FF2B5EF4-FFF2-40B4-BE49-F238E27FC236}">
                  <a16:creationId xmlns:a16="http://schemas.microsoft.com/office/drawing/2014/main" id="{2E43C2B6-554A-4B68-A94A-CCCE110265A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Armistice 1918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5</xdr:row>
          <xdr:rowOff>180975</xdr:rowOff>
        </xdr:from>
        <xdr:to>
          <xdr:col>3</xdr:col>
          <xdr:colOff>733425</xdr:colOff>
          <xdr:row>7</xdr:row>
          <xdr:rowOff>9525</xdr:rowOff>
        </xdr:to>
        <xdr:sp macro="" textlink="">
          <xdr:nvSpPr>
            <xdr:cNvPr id="3117" name="Case à cocher 45" hidden="1">
              <a:extLst>
                <a:ext uri="{63B3BB69-23CF-44E3-9099-C40C66FF867C}">
                  <a14:compatExt spid="_x0000_s3117"/>
                </a:ext>
                <a:ext uri="{FF2B5EF4-FFF2-40B4-BE49-F238E27FC236}">
                  <a16:creationId xmlns:a16="http://schemas.microsoft.com/office/drawing/2014/main" id="{14C20B36-D767-433A-AEEC-1822422B114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Vendredi Saint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13</xdr:row>
          <xdr:rowOff>180975</xdr:rowOff>
        </xdr:from>
        <xdr:to>
          <xdr:col>3</xdr:col>
          <xdr:colOff>733425</xdr:colOff>
          <xdr:row>15</xdr:row>
          <xdr:rowOff>9525</xdr:rowOff>
        </xdr:to>
        <xdr:sp macro="" textlink="">
          <xdr:nvSpPr>
            <xdr:cNvPr id="3118" name="Case à cocher 46" hidden="1">
              <a:extLst>
                <a:ext uri="{63B3BB69-23CF-44E3-9099-C40C66FF867C}">
                  <a14:compatExt spid="_x0000_s3118"/>
                </a:ext>
                <a:ext uri="{FF2B5EF4-FFF2-40B4-BE49-F238E27FC236}">
                  <a16:creationId xmlns:a16="http://schemas.microsoft.com/office/drawing/2014/main" id="{4C45725E-E74F-4934-B64E-66103FCDCA0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Noël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9525</xdr:colOff>
          <xdr:row>14</xdr:row>
          <xdr:rowOff>180975</xdr:rowOff>
        </xdr:from>
        <xdr:to>
          <xdr:col>3</xdr:col>
          <xdr:colOff>733425</xdr:colOff>
          <xdr:row>16</xdr:row>
          <xdr:rowOff>9525</xdr:rowOff>
        </xdr:to>
        <xdr:sp macro="" textlink="">
          <xdr:nvSpPr>
            <xdr:cNvPr id="3119" name="Case à cocher 47" hidden="1">
              <a:extLst>
                <a:ext uri="{63B3BB69-23CF-44E3-9099-C40C66FF867C}">
                  <a14:compatExt spid="_x0000_s3119"/>
                </a:ext>
                <a:ext uri="{FF2B5EF4-FFF2-40B4-BE49-F238E27FC236}">
                  <a16:creationId xmlns:a16="http://schemas.microsoft.com/office/drawing/2014/main" id="{76F3BB2C-CAB0-49CD-80F4-51707C1D35A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FR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La Saint Etienne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0</xdr:row>
          <xdr:rowOff>552450</xdr:rowOff>
        </xdr:from>
        <xdr:to>
          <xdr:col>7</xdr:col>
          <xdr:colOff>104775</xdr:colOff>
          <xdr:row>2</xdr:row>
          <xdr:rowOff>9525</xdr:rowOff>
        </xdr:to>
        <xdr:sp macro="" textlink="">
          <xdr:nvSpPr>
            <xdr:cNvPr id="3122" name="Case à cocher 50" hidden="1">
              <a:extLst>
                <a:ext uri="{63B3BB69-23CF-44E3-9099-C40C66FF867C}">
                  <a14:compatExt spid="_x0000_s3122"/>
                </a:ext>
                <a:ext uri="{FF2B5EF4-FFF2-40B4-BE49-F238E27FC236}">
                  <a16:creationId xmlns:a16="http://schemas.microsoft.com/office/drawing/2014/main" id="{6A8FE809-E897-4198-88D3-97AC4A54D8F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</xdr:row>
          <xdr:rowOff>171450</xdr:rowOff>
        </xdr:from>
        <xdr:to>
          <xdr:col>7</xdr:col>
          <xdr:colOff>104775</xdr:colOff>
          <xdr:row>3</xdr:row>
          <xdr:rowOff>9525</xdr:rowOff>
        </xdr:to>
        <xdr:sp macro="" textlink="">
          <xdr:nvSpPr>
            <xdr:cNvPr id="3123" name="Case à cocher 51" hidden="1">
              <a:extLst>
                <a:ext uri="{63B3BB69-23CF-44E3-9099-C40C66FF867C}">
                  <a14:compatExt spid="_x0000_s3123"/>
                </a:ext>
                <a:ext uri="{FF2B5EF4-FFF2-40B4-BE49-F238E27FC236}">
                  <a16:creationId xmlns:a16="http://schemas.microsoft.com/office/drawing/2014/main" id="{9CF87F15-7054-4BCD-9134-A2677B2204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</xdr:row>
          <xdr:rowOff>171450</xdr:rowOff>
        </xdr:from>
        <xdr:to>
          <xdr:col>7</xdr:col>
          <xdr:colOff>104775</xdr:colOff>
          <xdr:row>4</xdr:row>
          <xdr:rowOff>9525</xdr:rowOff>
        </xdr:to>
        <xdr:sp macro="" textlink="">
          <xdr:nvSpPr>
            <xdr:cNvPr id="3124" name="Case à cocher 52" hidden="1">
              <a:extLst>
                <a:ext uri="{63B3BB69-23CF-44E3-9099-C40C66FF867C}">
                  <a14:compatExt spid="_x0000_s3124"/>
                </a:ext>
                <a:ext uri="{FF2B5EF4-FFF2-40B4-BE49-F238E27FC236}">
                  <a16:creationId xmlns:a16="http://schemas.microsoft.com/office/drawing/2014/main" id="{B45420CC-24FD-4696-A18E-EC8D00F27F4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</xdr:row>
          <xdr:rowOff>171450</xdr:rowOff>
        </xdr:from>
        <xdr:to>
          <xdr:col>7</xdr:col>
          <xdr:colOff>104775</xdr:colOff>
          <xdr:row>5</xdr:row>
          <xdr:rowOff>9525</xdr:rowOff>
        </xdr:to>
        <xdr:sp macro="" textlink="">
          <xdr:nvSpPr>
            <xdr:cNvPr id="3125" name="Case à cocher 53" hidden="1">
              <a:extLst>
                <a:ext uri="{63B3BB69-23CF-44E3-9099-C40C66FF867C}">
                  <a14:compatExt spid="_x0000_s3125"/>
                </a:ext>
                <a:ext uri="{FF2B5EF4-FFF2-40B4-BE49-F238E27FC236}">
                  <a16:creationId xmlns:a16="http://schemas.microsoft.com/office/drawing/2014/main" id="{01CF4215-CF51-4D6A-A01D-47834F9167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4</xdr:row>
          <xdr:rowOff>171450</xdr:rowOff>
        </xdr:from>
        <xdr:to>
          <xdr:col>7</xdr:col>
          <xdr:colOff>104775</xdr:colOff>
          <xdr:row>6</xdr:row>
          <xdr:rowOff>9525</xdr:rowOff>
        </xdr:to>
        <xdr:sp macro="" textlink="">
          <xdr:nvSpPr>
            <xdr:cNvPr id="3126" name="Case à cocher 54" hidden="1">
              <a:extLst>
                <a:ext uri="{63B3BB69-23CF-44E3-9099-C40C66FF867C}">
                  <a14:compatExt spid="_x0000_s3126"/>
                </a:ext>
                <a:ext uri="{FF2B5EF4-FFF2-40B4-BE49-F238E27FC236}">
                  <a16:creationId xmlns:a16="http://schemas.microsoft.com/office/drawing/2014/main" id="{BE276B91-428E-49B7-9024-02FC33DEBA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5</xdr:row>
          <xdr:rowOff>171450</xdr:rowOff>
        </xdr:from>
        <xdr:to>
          <xdr:col>7</xdr:col>
          <xdr:colOff>104775</xdr:colOff>
          <xdr:row>7</xdr:row>
          <xdr:rowOff>9525</xdr:rowOff>
        </xdr:to>
        <xdr:sp macro="" textlink="">
          <xdr:nvSpPr>
            <xdr:cNvPr id="3127" name="Case à cocher 55" hidden="1">
              <a:extLst>
                <a:ext uri="{63B3BB69-23CF-44E3-9099-C40C66FF867C}">
                  <a14:compatExt spid="_x0000_s3127"/>
                </a:ext>
                <a:ext uri="{FF2B5EF4-FFF2-40B4-BE49-F238E27FC236}">
                  <a16:creationId xmlns:a16="http://schemas.microsoft.com/office/drawing/2014/main" id="{37F0D00E-143A-429E-AE64-5FCF3197B26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6</xdr:row>
          <xdr:rowOff>171450</xdr:rowOff>
        </xdr:from>
        <xdr:to>
          <xdr:col>7</xdr:col>
          <xdr:colOff>104775</xdr:colOff>
          <xdr:row>8</xdr:row>
          <xdr:rowOff>9525</xdr:rowOff>
        </xdr:to>
        <xdr:sp macro="" textlink="">
          <xdr:nvSpPr>
            <xdr:cNvPr id="3128" name="Case à cocher 56" hidden="1">
              <a:extLst>
                <a:ext uri="{63B3BB69-23CF-44E3-9099-C40C66FF867C}">
                  <a14:compatExt spid="_x0000_s3128"/>
                </a:ext>
                <a:ext uri="{FF2B5EF4-FFF2-40B4-BE49-F238E27FC236}">
                  <a16:creationId xmlns:a16="http://schemas.microsoft.com/office/drawing/2014/main" id="{827BD929-B51F-40D5-BC0F-2EEAD752FA5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7</xdr:row>
          <xdr:rowOff>171450</xdr:rowOff>
        </xdr:from>
        <xdr:to>
          <xdr:col>7</xdr:col>
          <xdr:colOff>104775</xdr:colOff>
          <xdr:row>9</xdr:row>
          <xdr:rowOff>9525</xdr:rowOff>
        </xdr:to>
        <xdr:sp macro="" textlink="">
          <xdr:nvSpPr>
            <xdr:cNvPr id="3129" name="Case à cocher 57" hidden="1">
              <a:extLst>
                <a:ext uri="{63B3BB69-23CF-44E3-9099-C40C66FF867C}">
                  <a14:compatExt spid="_x0000_s3129"/>
                </a:ext>
                <a:ext uri="{FF2B5EF4-FFF2-40B4-BE49-F238E27FC236}">
                  <a16:creationId xmlns:a16="http://schemas.microsoft.com/office/drawing/2014/main" id="{E21A20C4-8296-45E7-A4D6-4677B105446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8</xdr:row>
          <xdr:rowOff>171450</xdr:rowOff>
        </xdr:from>
        <xdr:to>
          <xdr:col>7</xdr:col>
          <xdr:colOff>104775</xdr:colOff>
          <xdr:row>10</xdr:row>
          <xdr:rowOff>9525</xdr:rowOff>
        </xdr:to>
        <xdr:sp macro="" textlink="">
          <xdr:nvSpPr>
            <xdr:cNvPr id="3130" name="Case à cocher 58" hidden="1">
              <a:extLst>
                <a:ext uri="{63B3BB69-23CF-44E3-9099-C40C66FF867C}">
                  <a14:compatExt spid="_x0000_s3130"/>
                </a:ext>
                <a:ext uri="{FF2B5EF4-FFF2-40B4-BE49-F238E27FC236}">
                  <a16:creationId xmlns:a16="http://schemas.microsoft.com/office/drawing/2014/main" id="{4550C9F5-61F6-4BA9-87AD-B9579B1234E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9</xdr:row>
          <xdr:rowOff>171450</xdr:rowOff>
        </xdr:from>
        <xdr:to>
          <xdr:col>7</xdr:col>
          <xdr:colOff>104775</xdr:colOff>
          <xdr:row>11</xdr:row>
          <xdr:rowOff>9525</xdr:rowOff>
        </xdr:to>
        <xdr:sp macro="" textlink="">
          <xdr:nvSpPr>
            <xdr:cNvPr id="3131" name="Case à cocher 59" hidden="1">
              <a:extLst>
                <a:ext uri="{63B3BB69-23CF-44E3-9099-C40C66FF867C}">
                  <a14:compatExt spid="_x0000_s3131"/>
                </a:ext>
                <a:ext uri="{FF2B5EF4-FFF2-40B4-BE49-F238E27FC236}">
                  <a16:creationId xmlns:a16="http://schemas.microsoft.com/office/drawing/2014/main" id="{ED9737DD-7A49-41E1-B9AA-90F076E4906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10</xdr:row>
          <xdr:rowOff>171450</xdr:rowOff>
        </xdr:from>
        <xdr:to>
          <xdr:col>7</xdr:col>
          <xdr:colOff>104775</xdr:colOff>
          <xdr:row>12</xdr:row>
          <xdr:rowOff>9525</xdr:rowOff>
        </xdr:to>
        <xdr:sp macro="" textlink="">
          <xdr:nvSpPr>
            <xdr:cNvPr id="3132" name="Case à cocher 60" hidden="1">
              <a:extLst>
                <a:ext uri="{63B3BB69-23CF-44E3-9099-C40C66FF867C}">
                  <a14:compatExt spid="_x0000_s3132"/>
                </a:ext>
                <a:ext uri="{FF2B5EF4-FFF2-40B4-BE49-F238E27FC236}">
                  <a16:creationId xmlns:a16="http://schemas.microsoft.com/office/drawing/2014/main" id="{6E6908D2-51B8-48BF-9780-171EA890AF0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11</xdr:row>
          <xdr:rowOff>171450</xdr:rowOff>
        </xdr:from>
        <xdr:to>
          <xdr:col>7</xdr:col>
          <xdr:colOff>104775</xdr:colOff>
          <xdr:row>13</xdr:row>
          <xdr:rowOff>9525</xdr:rowOff>
        </xdr:to>
        <xdr:sp macro="" textlink="">
          <xdr:nvSpPr>
            <xdr:cNvPr id="3133" name="Case à cocher 61" hidden="1">
              <a:extLst>
                <a:ext uri="{63B3BB69-23CF-44E3-9099-C40C66FF867C}">
                  <a14:compatExt spid="_x0000_s3133"/>
                </a:ext>
                <a:ext uri="{FF2B5EF4-FFF2-40B4-BE49-F238E27FC236}">
                  <a16:creationId xmlns:a16="http://schemas.microsoft.com/office/drawing/2014/main" id="{5453CF80-2859-479D-8465-ABE06FDA138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12</xdr:row>
          <xdr:rowOff>171450</xdr:rowOff>
        </xdr:from>
        <xdr:to>
          <xdr:col>7</xdr:col>
          <xdr:colOff>104775</xdr:colOff>
          <xdr:row>14</xdr:row>
          <xdr:rowOff>9525</xdr:rowOff>
        </xdr:to>
        <xdr:sp macro="" textlink="">
          <xdr:nvSpPr>
            <xdr:cNvPr id="3134" name="Case à cocher 62" hidden="1">
              <a:extLst>
                <a:ext uri="{63B3BB69-23CF-44E3-9099-C40C66FF867C}">
                  <a14:compatExt spid="_x0000_s3134"/>
                </a:ext>
                <a:ext uri="{FF2B5EF4-FFF2-40B4-BE49-F238E27FC236}">
                  <a16:creationId xmlns:a16="http://schemas.microsoft.com/office/drawing/2014/main" id="{48085C48-6426-4BEA-9728-CC582F27909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13</xdr:row>
          <xdr:rowOff>171450</xdr:rowOff>
        </xdr:from>
        <xdr:to>
          <xdr:col>7</xdr:col>
          <xdr:colOff>104775</xdr:colOff>
          <xdr:row>15</xdr:row>
          <xdr:rowOff>9525</xdr:rowOff>
        </xdr:to>
        <xdr:sp macro="" textlink="">
          <xdr:nvSpPr>
            <xdr:cNvPr id="3135" name="Case à cocher 63" hidden="1">
              <a:extLst>
                <a:ext uri="{63B3BB69-23CF-44E3-9099-C40C66FF867C}">
                  <a14:compatExt spid="_x0000_s3135"/>
                </a:ext>
                <a:ext uri="{FF2B5EF4-FFF2-40B4-BE49-F238E27FC236}">
                  <a16:creationId xmlns:a16="http://schemas.microsoft.com/office/drawing/2014/main" id="{FB9DF85D-E73C-419E-86BC-C06C0DFFE7D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14</xdr:row>
          <xdr:rowOff>171450</xdr:rowOff>
        </xdr:from>
        <xdr:to>
          <xdr:col>7</xdr:col>
          <xdr:colOff>104775</xdr:colOff>
          <xdr:row>16</xdr:row>
          <xdr:rowOff>9525</xdr:rowOff>
        </xdr:to>
        <xdr:sp macro="" textlink="">
          <xdr:nvSpPr>
            <xdr:cNvPr id="3136" name="Case à cocher 64" hidden="1">
              <a:extLst>
                <a:ext uri="{63B3BB69-23CF-44E3-9099-C40C66FF867C}">
                  <a14:compatExt spid="_x0000_s3136"/>
                </a:ext>
                <a:ext uri="{FF2B5EF4-FFF2-40B4-BE49-F238E27FC236}">
                  <a16:creationId xmlns:a16="http://schemas.microsoft.com/office/drawing/2014/main" id="{641F1C7B-F6B4-49BA-ADC3-33E590D8541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15</xdr:row>
          <xdr:rowOff>171450</xdr:rowOff>
        </xdr:from>
        <xdr:to>
          <xdr:col>7</xdr:col>
          <xdr:colOff>104775</xdr:colOff>
          <xdr:row>17</xdr:row>
          <xdr:rowOff>9525</xdr:rowOff>
        </xdr:to>
        <xdr:sp macro="" textlink="">
          <xdr:nvSpPr>
            <xdr:cNvPr id="3137" name="Case à cocher 65" hidden="1">
              <a:extLst>
                <a:ext uri="{63B3BB69-23CF-44E3-9099-C40C66FF867C}">
                  <a14:compatExt spid="_x0000_s3137"/>
                </a:ext>
                <a:ext uri="{FF2B5EF4-FFF2-40B4-BE49-F238E27FC236}">
                  <a16:creationId xmlns:a16="http://schemas.microsoft.com/office/drawing/2014/main" id="{6308F1B2-5141-4F6E-9BA2-E9AF7B91E4A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16</xdr:row>
          <xdr:rowOff>171450</xdr:rowOff>
        </xdr:from>
        <xdr:to>
          <xdr:col>7</xdr:col>
          <xdr:colOff>104775</xdr:colOff>
          <xdr:row>18</xdr:row>
          <xdr:rowOff>9525</xdr:rowOff>
        </xdr:to>
        <xdr:sp macro="" textlink="">
          <xdr:nvSpPr>
            <xdr:cNvPr id="3138" name="Case à cocher 66" hidden="1">
              <a:extLst>
                <a:ext uri="{63B3BB69-23CF-44E3-9099-C40C66FF867C}">
                  <a14:compatExt spid="_x0000_s3138"/>
                </a:ext>
                <a:ext uri="{FF2B5EF4-FFF2-40B4-BE49-F238E27FC236}">
                  <a16:creationId xmlns:a16="http://schemas.microsoft.com/office/drawing/2014/main" id="{8F91BEF4-E76F-4BC0-99A7-39080AF57BE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17</xdr:row>
          <xdr:rowOff>171450</xdr:rowOff>
        </xdr:from>
        <xdr:to>
          <xdr:col>7</xdr:col>
          <xdr:colOff>104775</xdr:colOff>
          <xdr:row>19</xdr:row>
          <xdr:rowOff>9525</xdr:rowOff>
        </xdr:to>
        <xdr:sp macro="" textlink="">
          <xdr:nvSpPr>
            <xdr:cNvPr id="3139" name="Case à cocher 67" hidden="1">
              <a:extLst>
                <a:ext uri="{63B3BB69-23CF-44E3-9099-C40C66FF867C}">
                  <a14:compatExt spid="_x0000_s3139"/>
                </a:ext>
                <a:ext uri="{FF2B5EF4-FFF2-40B4-BE49-F238E27FC236}">
                  <a16:creationId xmlns:a16="http://schemas.microsoft.com/office/drawing/2014/main" id="{8A74D5A7-FC8B-465B-A668-BA6BB8B7FD6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18</xdr:row>
          <xdr:rowOff>171450</xdr:rowOff>
        </xdr:from>
        <xdr:to>
          <xdr:col>7</xdr:col>
          <xdr:colOff>104775</xdr:colOff>
          <xdr:row>20</xdr:row>
          <xdr:rowOff>9525</xdr:rowOff>
        </xdr:to>
        <xdr:sp macro="" textlink="">
          <xdr:nvSpPr>
            <xdr:cNvPr id="3140" name="Case à cocher 68" hidden="1">
              <a:extLst>
                <a:ext uri="{63B3BB69-23CF-44E3-9099-C40C66FF867C}">
                  <a14:compatExt spid="_x0000_s3140"/>
                </a:ext>
                <a:ext uri="{FF2B5EF4-FFF2-40B4-BE49-F238E27FC236}">
                  <a16:creationId xmlns:a16="http://schemas.microsoft.com/office/drawing/2014/main" id="{13D68FD3-4E0D-4D3D-9478-57301B708D2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19</xdr:row>
          <xdr:rowOff>171450</xdr:rowOff>
        </xdr:from>
        <xdr:to>
          <xdr:col>7</xdr:col>
          <xdr:colOff>104775</xdr:colOff>
          <xdr:row>21</xdr:row>
          <xdr:rowOff>9525</xdr:rowOff>
        </xdr:to>
        <xdr:sp macro="" textlink="">
          <xdr:nvSpPr>
            <xdr:cNvPr id="3141" name="Case à cocher 69" hidden="1">
              <a:extLst>
                <a:ext uri="{63B3BB69-23CF-44E3-9099-C40C66FF867C}">
                  <a14:compatExt spid="_x0000_s3141"/>
                </a:ext>
                <a:ext uri="{FF2B5EF4-FFF2-40B4-BE49-F238E27FC236}">
                  <a16:creationId xmlns:a16="http://schemas.microsoft.com/office/drawing/2014/main" id="{CBEFC4EC-02A3-436A-8E00-4034B351F24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20</xdr:row>
          <xdr:rowOff>171450</xdr:rowOff>
        </xdr:from>
        <xdr:to>
          <xdr:col>7</xdr:col>
          <xdr:colOff>104775</xdr:colOff>
          <xdr:row>22</xdr:row>
          <xdr:rowOff>9525</xdr:rowOff>
        </xdr:to>
        <xdr:sp macro="" textlink="">
          <xdr:nvSpPr>
            <xdr:cNvPr id="3142" name="Case à cocher 70" hidden="1">
              <a:extLst>
                <a:ext uri="{63B3BB69-23CF-44E3-9099-C40C66FF867C}">
                  <a14:compatExt spid="_x0000_s3142"/>
                </a:ext>
                <a:ext uri="{FF2B5EF4-FFF2-40B4-BE49-F238E27FC236}">
                  <a16:creationId xmlns:a16="http://schemas.microsoft.com/office/drawing/2014/main" id="{5A448636-B96B-4173-B2A0-301A278BF4AE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21</xdr:row>
          <xdr:rowOff>171450</xdr:rowOff>
        </xdr:from>
        <xdr:to>
          <xdr:col>7</xdr:col>
          <xdr:colOff>104775</xdr:colOff>
          <xdr:row>23</xdr:row>
          <xdr:rowOff>9525</xdr:rowOff>
        </xdr:to>
        <xdr:sp macro="" textlink="">
          <xdr:nvSpPr>
            <xdr:cNvPr id="3143" name="Case à cocher 71" hidden="1">
              <a:extLst>
                <a:ext uri="{63B3BB69-23CF-44E3-9099-C40C66FF867C}">
                  <a14:compatExt spid="_x0000_s3143"/>
                </a:ext>
                <a:ext uri="{FF2B5EF4-FFF2-40B4-BE49-F238E27FC236}">
                  <a16:creationId xmlns:a16="http://schemas.microsoft.com/office/drawing/2014/main" id="{0CFA0CA9-DF3A-4676-A9EF-38E33BF28DC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22</xdr:row>
          <xdr:rowOff>171450</xdr:rowOff>
        </xdr:from>
        <xdr:to>
          <xdr:col>7</xdr:col>
          <xdr:colOff>104775</xdr:colOff>
          <xdr:row>24</xdr:row>
          <xdr:rowOff>9525</xdr:rowOff>
        </xdr:to>
        <xdr:sp macro="" textlink="">
          <xdr:nvSpPr>
            <xdr:cNvPr id="3144" name="Case à cocher 72" hidden="1">
              <a:extLst>
                <a:ext uri="{63B3BB69-23CF-44E3-9099-C40C66FF867C}">
                  <a14:compatExt spid="_x0000_s3144"/>
                </a:ext>
                <a:ext uri="{FF2B5EF4-FFF2-40B4-BE49-F238E27FC236}">
                  <a16:creationId xmlns:a16="http://schemas.microsoft.com/office/drawing/2014/main" id="{174C92CA-3809-4AAA-9253-6BD4514F05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23</xdr:row>
          <xdr:rowOff>171450</xdr:rowOff>
        </xdr:from>
        <xdr:to>
          <xdr:col>7</xdr:col>
          <xdr:colOff>104775</xdr:colOff>
          <xdr:row>25</xdr:row>
          <xdr:rowOff>9525</xdr:rowOff>
        </xdr:to>
        <xdr:sp macro="" textlink="">
          <xdr:nvSpPr>
            <xdr:cNvPr id="3145" name="Case à cocher 73" hidden="1">
              <a:extLst>
                <a:ext uri="{63B3BB69-23CF-44E3-9099-C40C66FF867C}">
                  <a14:compatExt spid="_x0000_s3145"/>
                </a:ext>
                <a:ext uri="{FF2B5EF4-FFF2-40B4-BE49-F238E27FC236}">
                  <a16:creationId xmlns:a16="http://schemas.microsoft.com/office/drawing/2014/main" id="{2159890A-8DCA-4B7C-A84F-74A86234C3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24</xdr:row>
          <xdr:rowOff>171450</xdr:rowOff>
        </xdr:from>
        <xdr:to>
          <xdr:col>7</xdr:col>
          <xdr:colOff>104775</xdr:colOff>
          <xdr:row>26</xdr:row>
          <xdr:rowOff>9525</xdr:rowOff>
        </xdr:to>
        <xdr:sp macro="" textlink="">
          <xdr:nvSpPr>
            <xdr:cNvPr id="3146" name="Case à cocher 74" hidden="1">
              <a:extLst>
                <a:ext uri="{63B3BB69-23CF-44E3-9099-C40C66FF867C}">
                  <a14:compatExt spid="_x0000_s3146"/>
                </a:ext>
                <a:ext uri="{FF2B5EF4-FFF2-40B4-BE49-F238E27FC236}">
                  <a16:creationId xmlns:a16="http://schemas.microsoft.com/office/drawing/2014/main" id="{91730F99-F42E-462E-9AAB-7191A8E3B52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25</xdr:row>
          <xdr:rowOff>171450</xdr:rowOff>
        </xdr:from>
        <xdr:to>
          <xdr:col>7</xdr:col>
          <xdr:colOff>104775</xdr:colOff>
          <xdr:row>27</xdr:row>
          <xdr:rowOff>9525</xdr:rowOff>
        </xdr:to>
        <xdr:sp macro="" textlink="">
          <xdr:nvSpPr>
            <xdr:cNvPr id="3147" name="Case à cocher 75" hidden="1">
              <a:extLst>
                <a:ext uri="{63B3BB69-23CF-44E3-9099-C40C66FF867C}">
                  <a14:compatExt spid="_x0000_s3147"/>
                </a:ext>
                <a:ext uri="{FF2B5EF4-FFF2-40B4-BE49-F238E27FC236}">
                  <a16:creationId xmlns:a16="http://schemas.microsoft.com/office/drawing/2014/main" id="{11B53DC7-BAB2-45C7-A092-BB3FC1D6FC31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26</xdr:row>
          <xdr:rowOff>171450</xdr:rowOff>
        </xdr:from>
        <xdr:to>
          <xdr:col>7</xdr:col>
          <xdr:colOff>104775</xdr:colOff>
          <xdr:row>28</xdr:row>
          <xdr:rowOff>9525</xdr:rowOff>
        </xdr:to>
        <xdr:sp macro="" textlink="">
          <xdr:nvSpPr>
            <xdr:cNvPr id="3148" name="Case à cocher 76" hidden="1">
              <a:extLst>
                <a:ext uri="{63B3BB69-23CF-44E3-9099-C40C66FF867C}">
                  <a14:compatExt spid="_x0000_s3148"/>
                </a:ext>
                <a:ext uri="{FF2B5EF4-FFF2-40B4-BE49-F238E27FC236}">
                  <a16:creationId xmlns:a16="http://schemas.microsoft.com/office/drawing/2014/main" id="{CC3802BD-62C4-40C1-AEB2-FA8D294CE06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27</xdr:row>
          <xdr:rowOff>171450</xdr:rowOff>
        </xdr:from>
        <xdr:to>
          <xdr:col>7</xdr:col>
          <xdr:colOff>104775</xdr:colOff>
          <xdr:row>29</xdr:row>
          <xdr:rowOff>9525</xdr:rowOff>
        </xdr:to>
        <xdr:sp macro="" textlink="">
          <xdr:nvSpPr>
            <xdr:cNvPr id="3149" name="Case à cocher 77" hidden="1">
              <a:extLst>
                <a:ext uri="{63B3BB69-23CF-44E3-9099-C40C66FF867C}">
                  <a14:compatExt spid="_x0000_s3149"/>
                </a:ext>
                <a:ext uri="{FF2B5EF4-FFF2-40B4-BE49-F238E27FC236}">
                  <a16:creationId xmlns:a16="http://schemas.microsoft.com/office/drawing/2014/main" id="{18B4408E-CDC2-48F8-9CBD-81E7D80002C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28</xdr:row>
          <xdr:rowOff>171450</xdr:rowOff>
        </xdr:from>
        <xdr:to>
          <xdr:col>7</xdr:col>
          <xdr:colOff>104775</xdr:colOff>
          <xdr:row>30</xdr:row>
          <xdr:rowOff>9525</xdr:rowOff>
        </xdr:to>
        <xdr:sp macro="" textlink="">
          <xdr:nvSpPr>
            <xdr:cNvPr id="3150" name="Case à cocher 78" hidden="1">
              <a:extLst>
                <a:ext uri="{63B3BB69-23CF-44E3-9099-C40C66FF867C}">
                  <a14:compatExt spid="_x0000_s3150"/>
                </a:ext>
                <a:ext uri="{FF2B5EF4-FFF2-40B4-BE49-F238E27FC236}">
                  <a16:creationId xmlns:a16="http://schemas.microsoft.com/office/drawing/2014/main" id="{F1D4A0BD-D576-4E96-8383-52F9FD8AE67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29</xdr:row>
          <xdr:rowOff>171450</xdr:rowOff>
        </xdr:from>
        <xdr:to>
          <xdr:col>7</xdr:col>
          <xdr:colOff>104775</xdr:colOff>
          <xdr:row>31</xdr:row>
          <xdr:rowOff>9525</xdr:rowOff>
        </xdr:to>
        <xdr:sp macro="" textlink="">
          <xdr:nvSpPr>
            <xdr:cNvPr id="3151" name="Case à cocher 79" hidden="1">
              <a:extLst>
                <a:ext uri="{63B3BB69-23CF-44E3-9099-C40C66FF867C}">
                  <a14:compatExt spid="_x0000_s3151"/>
                </a:ext>
                <a:ext uri="{FF2B5EF4-FFF2-40B4-BE49-F238E27FC236}">
                  <a16:creationId xmlns:a16="http://schemas.microsoft.com/office/drawing/2014/main" id="{6266D2E6-5374-4DED-9952-A4F00EA6784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923925</xdr:colOff>
          <xdr:row>30</xdr:row>
          <xdr:rowOff>171450</xdr:rowOff>
        </xdr:from>
        <xdr:to>
          <xdr:col>7</xdr:col>
          <xdr:colOff>104775</xdr:colOff>
          <xdr:row>32</xdr:row>
          <xdr:rowOff>9525</xdr:rowOff>
        </xdr:to>
        <xdr:sp macro="" textlink="">
          <xdr:nvSpPr>
            <xdr:cNvPr id="3152" name="Case à cocher 80" hidden="1">
              <a:extLst>
                <a:ext uri="{63B3BB69-23CF-44E3-9099-C40C66FF867C}">
                  <a14:compatExt spid="_x0000_s3152"/>
                </a:ext>
                <a:ext uri="{FF2B5EF4-FFF2-40B4-BE49-F238E27FC236}">
                  <a16:creationId xmlns:a16="http://schemas.microsoft.com/office/drawing/2014/main" id="{89D3A8B1-6545-45A0-9107-4F2EBE99DEF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1038225</xdr:colOff>
          <xdr:row>12</xdr:row>
          <xdr:rowOff>0</xdr:rowOff>
        </xdr:from>
        <xdr:to>
          <xdr:col>8</xdr:col>
          <xdr:colOff>352425</xdr:colOff>
          <xdr:row>13</xdr:row>
          <xdr:rowOff>9525</xdr:rowOff>
        </xdr:to>
        <xdr:sp macro="" textlink="">
          <xdr:nvSpPr>
            <xdr:cNvPr id="4099" name="Case à cocher 3" hidden="1">
              <a:extLst>
                <a:ext uri="{63B3BB69-23CF-44E3-9099-C40C66FF867C}">
                  <a14:compatExt spid="_x0000_s4099"/>
                </a:ext>
                <a:ext uri="{FF2B5EF4-FFF2-40B4-BE49-F238E27FC236}">
                  <a16:creationId xmlns:a16="http://schemas.microsoft.com/office/drawing/2014/main" id="{1313E7F6-AE55-4DD4-ADF3-C3CB46F221D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13</xdr:row>
          <xdr:rowOff>0</xdr:rowOff>
        </xdr:from>
        <xdr:to>
          <xdr:col>8</xdr:col>
          <xdr:colOff>361950</xdr:colOff>
          <xdr:row>14</xdr:row>
          <xdr:rowOff>9525</xdr:rowOff>
        </xdr:to>
        <xdr:sp macro="" textlink="">
          <xdr:nvSpPr>
            <xdr:cNvPr id="4100" name="Case à cocher 4" hidden="1">
              <a:extLst>
                <a:ext uri="{63B3BB69-23CF-44E3-9099-C40C66FF867C}">
                  <a14:compatExt spid="_x0000_s4100"/>
                </a:ext>
                <a:ext uri="{FF2B5EF4-FFF2-40B4-BE49-F238E27FC236}">
                  <a16:creationId xmlns:a16="http://schemas.microsoft.com/office/drawing/2014/main" id="{EEC4591A-6C9A-48BD-92AB-AB6E9D8F228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14</xdr:row>
          <xdr:rowOff>0</xdr:rowOff>
        </xdr:from>
        <xdr:to>
          <xdr:col>8</xdr:col>
          <xdr:colOff>361950</xdr:colOff>
          <xdr:row>15</xdr:row>
          <xdr:rowOff>9525</xdr:rowOff>
        </xdr:to>
        <xdr:sp macro="" textlink="">
          <xdr:nvSpPr>
            <xdr:cNvPr id="4101" name="Case à cocher 5" hidden="1">
              <a:extLst>
                <a:ext uri="{63B3BB69-23CF-44E3-9099-C40C66FF867C}">
                  <a14:compatExt spid="_x0000_s4101"/>
                </a:ext>
                <a:ext uri="{FF2B5EF4-FFF2-40B4-BE49-F238E27FC236}">
                  <a16:creationId xmlns:a16="http://schemas.microsoft.com/office/drawing/2014/main" id="{939430A2-D8CA-4051-A64B-1D030C5BF0E7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15</xdr:row>
          <xdr:rowOff>0</xdr:rowOff>
        </xdr:from>
        <xdr:to>
          <xdr:col>8</xdr:col>
          <xdr:colOff>361950</xdr:colOff>
          <xdr:row>16</xdr:row>
          <xdr:rowOff>9525</xdr:rowOff>
        </xdr:to>
        <xdr:sp macro="" textlink="">
          <xdr:nvSpPr>
            <xdr:cNvPr id="4102" name="Case à cocher 6" hidden="1">
              <a:extLst>
                <a:ext uri="{63B3BB69-23CF-44E3-9099-C40C66FF867C}">
                  <a14:compatExt spid="_x0000_s4102"/>
                </a:ext>
                <a:ext uri="{FF2B5EF4-FFF2-40B4-BE49-F238E27FC236}">
                  <a16:creationId xmlns:a16="http://schemas.microsoft.com/office/drawing/2014/main" id="{CBFC326C-3F03-45AF-9BF1-AD1EC6E04A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16</xdr:row>
          <xdr:rowOff>0</xdr:rowOff>
        </xdr:from>
        <xdr:to>
          <xdr:col>8</xdr:col>
          <xdr:colOff>361950</xdr:colOff>
          <xdr:row>17</xdr:row>
          <xdr:rowOff>9525</xdr:rowOff>
        </xdr:to>
        <xdr:sp macro="" textlink="">
          <xdr:nvSpPr>
            <xdr:cNvPr id="4103" name="Case à cocher 7" hidden="1">
              <a:extLst>
                <a:ext uri="{63B3BB69-23CF-44E3-9099-C40C66FF867C}">
                  <a14:compatExt spid="_x0000_s4103"/>
                </a:ext>
                <a:ext uri="{FF2B5EF4-FFF2-40B4-BE49-F238E27FC236}">
                  <a16:creationId xmlns:a16="http://schemas.microsoft.com/office/drawing/2014/main" id="{271BDA05-08F4-40D5-8FD5-29882341BFA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17</xdr:row>
          <xdr:rowOff>0</xdr:rowOff>
        </xdr:from>
        <xdr:to>
          <xdr:col>8</xdr:col>
          <xdr:colOff>361950</xdr:colOff>
          <xdr:row>18</xdr:row>
          <xdr:rowOff>9525</xdr:rowOff>
        </xdr:to>
        <xdr:sp macro="" textlink="">
          <xdr:nvSpPr>
            <xdr:cNvPr id="4104" name="Case à cocher 8" hidden="1">
              <a:extLst>
                <a:ext uri="{63B3BB69-23CF-44E3-9099-C40C66FF867C}">
                  <a14:compatExt spid="_x0000_s4104"/>
                </a:ext>
                <a:ext uri="{FF2B5EF4-FFF2-40B4-BE49-F238E27FC236}">
                  <a16:creationId xmlns:a16="http://schemas.microsoft.com/office/drawing/2014/main" id="{B8E445B5-25AE-4BDB-8B95-CE4DD628764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18</xdr:row>
          <xdr:rowOff>0</xdr:rowOff>
        </xdr:from>
        <xdr:to>
          <xdr:col>8</xdr:col>
          <xdr:colOff>361950</xdr:colOff>
          <xdr:row>19</xdr:row>
          <xdr:rowOff>9525</xdr:rowOff>
        </xdr:to>
        <xdr:sp macro="" textlink="">
          <xdr:nvSpPr>
            <xdr:cNvPr id="4105" name="Case à cocher 9" hidden="1">
              <a:extLst>
                <a:ext uri="{63B3BB69-23CF-44E3-9099-C40C66FF867C}">
                  <a14:compatExt spid="_x0000_s4105"/>
                </a:ext>
                <a:ext uri="{FF2B5EF4-FFF2-40B4-BE49-F238E27FC236}">
                  <a16:creationId xmlns:a16="http://schemas.microsoft.com/office/drawing/2014/main" id="{69358A93-7D47-42E9-8994-0CB1F316E9E5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19</xdr:row>
          <xdr:rowOff>0</xdr:rowOff>
        </xdr:from>
        <xdr:to>
          <xdr:col>8</xdr:col>
          <xdr:colOff>361950</xdr:colOff>
          <xdr:row>20</xdr:row>
          <xdr:rowOff>9525</xdr:rowOff>
        </xdr:to>
        <xdr:sp macro="" textlink="">
          <xdr:nvSpPr>
            <xdr:cNvPr id="4106" name="Case à cocher 10" hidden="1">
              <a:extLst>
                <a:ext uri="{63B3BB69-23CF-44E3-9099-C40C66FF867C}">
                  <a14:compatExt spid="_x0000_s4106"/>
                </a:ext>
                <a:ext uri="{FF2B5EF4-FFF2-40B4-BE49-F238E27FC236}">
                  <a16:creationId xmlns:a16="http://schemas.microsoft.com/office/drawing/2014/main" id="{CC375C79-3E9D-466C-A554-D4A6DC09092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0</xdr:colOff>
          <xdr:row>20</xdr:row>
          <xdr:rowOff>0</xdr:rowOff>
        </xdr:from>
        <xdr:to>
          <xdr:col>8</xdr:col>
          <xdr:colOff>361950</xdr:colOff>
          <xdr:row>21</xdr:row>
          <xdr:rowOff>9525</xdr:rowOff>
        </xdr:to>
        <xdr:sp macro="" textlink="">
          <xdr:nvSpPr>
            <xdr:cNvPr id="4107" name="Case à cocher 11" hidden="1">
              <a:extLst>
                <a:ext uri="{63B3BB69-23CF-44E3-9099-C40C66FF867C}">
                  <a14:compatExt spid="_x0000_s4107"/>
                </a:ext>
                <a:ext uri="{FF2B5EF4-FFF2-40B4-BE49-F238E27FC236}">
                  <a16:creationId xmlns:a16="http://schemas.microsoft.com/office/drawing/2014/main" id="{7119B373-A51A-4DF7-AB10-3E8398DC52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533400</xdr:colOff>
          <xdr:row>1</xdr:row>
          <xdr:rowOff>1171575</xdr:rowOff>
        </xdr:from>
        <xdr:to>
          <xdr:col>11</xdr:col>
          <xdr:colOff>19050</xdr:colOff>
          <xdr:row>2</xdr:row>
          <xdr:rowOff>0</xdr:rowOff>
        </xdr:to>
        <xdr:sp macro="" textlink="">
          <xdr:nvSpPr>
            <xdr:cNvPr id="1028" name="ScrollBar1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3CD3370F-0B26-476A-979F-99779C12823F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228600</xdr:colOff>
          <xdr:row>1</xdr:row>
          <xdr:rowOff>1171575</xdr:rowOff>
        </xdr:from>
        <xdr:to>
          <xdr:col>8</xdr:col>
          <xdr:colOff>552450</xdr:colOff>
          <xdr:row>2</xdr:row>
          <xdr:rowOff>0</xdr:rowOff>
        </xdr:to>
        <xdr:sp macro="" textlink="">
          <xdr:nvSpPr>
            <xdr:cNvPr id="1029" name="SpinButton1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CDC677C6-6B94-4162-8F71-84B2E93766DB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xdr:twoCellAnchor>
    <xdr:from>
      <xdr:col>11</xdr:col>
      <xdr:colOff>0</xdr:colOff>
      <xdr:row>15</xdr:row>
      <xdr:rowOff>1</xdr:rowOff>
    </xdr:from>
    <xdr:to>
      <xdr:col>48</xdr:col>
      <xdr:colOff>0</xdr:colOff>
      <xdr:row>33</xdr:row>
      <xdr:rowOff>1</xdr:rowOff>
    </xdr:to>
    <xdr:graphicFrame macro="">
      <xdr:nvGraphicFramePr>
        <xdr:cNvPr id="23" name="Graphique 22">
          <a:extLst>
            <a:ext uri="{FF2B5EF4-FFF2-40B4-BE49-F238E27FC236}">
              <a16:creationId xmlns:a16="http://schemas.microsoft.com/office/drawing/2014/main" id="{B031720D-C6B7-48B1-86B1-60994CBB1491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0</xdr:colOff>
      <xdr:row>10</xdr:row>
      <xdr:rowOff>371475</xdr:rowOff>
    </xdr:from>
    <xdr:to>
      <xdr:col>11</xdr:col>
      <xdr:colOff>0</xdr:colOff>
      <xdr:row>11</xdr:row>
      <xdr:rowOff>371475</xdr:rowOff>
    </xdr:to>
    <xdr:cxnSp macro="">
      <xdr:nvCxnSpPr>
        <xdr:cNvPr id="30" name="Connecteur droit avec flèche 29">
          <a:extLst>
            <a:ext uri="{FF2B5EF4-FFF2-40B4-BE49-F238E27FC236}">
              <a16:creationId xmlns:a16="http://schemas.microsoft.com/office/drawing/2014/main" id="{A8B74EA6-0D74-4FC3-AA3F-413534CCB0CF}"/>
            </a:ext>
          </a:extLst>
        </xdr:cNvPr>
        <xdr:cNvCxnSpPr/>
      </xdr:nvCxnSpPr>
      <xdr:spPr>
        <a:xfrm>
          <a:off x="7019925" y="4752975"/>
          <a:ext cx="5229225" cy="381000"/>
        </a:xfrm>
        <a:prstGeom prst="straightConnector1">
          <a:avLst/>
        </a:prstGeom>
        <a:ln>
          <a:tailEnd type="triangle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&#233;riodique%20maj%20-%20II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3"/>
      <sheetName val="Feuil2"/>
      <sheetName val="Feuil1"/>
    </sheetNames>
    <sheetDataSet>
      <sheetData sheetId="0">
        <row r="2">
          <cell r="A2" t="str">
            <v>Espèces</v>
          </cell>
        </row>
        <row r="3">
          <cell r="A3" t="str">
            <v>Chèque</v>
          </cell>
        </row>
        <row r="4">
          <cell r="A4" t="str">
            <v>Carte bancaire DM</v>
          </cell>
        </row>
        <row r="5">
          <cell r="A5" t="str">
            <v>Carte bancaire HF</v>
          </cell>
        </row>
        <row r="6">
          <cell r="A6" t="str">
            <v>Virement</v>
          </cell>
        </row>
        <row r="7">
          <cell r="A7" t="str">
            <v>Prélèvement SEPA</v>
          </cell>
        </row>
        <row r="8">
          <cell r="A8"/>
        </row>
        <row r="9">
          <cell r="A9"/>
        </row>
        <row r="10">
          <cell r="A10"/>
        </row>
      </sheetData>
      <sheetData sheetId="1"/>
      <sheetData sheetId="2"/>
    </sheetDataSet>
  </externalBook>
</externalLink>
</file>

<file path=xl/tables/table1.xml><?xml version="1.0" encoding="utf-8"?>
<table xmlns="http://schemas.openxmlformats.org/spreadsheetml/2006/main" id="1" name="Tab_Résa" displayName="Tab_Résa" ref="B6:AV10" totalsRowShown="0" headerRowDxfId="65" dataDxfId="64" tableBorderDxfId="63">
  <tableColumns count="47">
    <tableColumn id="6" name="Mode de paiement" dataDxfId="62"/>
    <tableColumn id="45" name="Payée par" dataDxfId="61"/>
    <tableColumn id="1" name="Opération" dataDxfId="60"/>
    <tableColumn id="46" name="Payée à" dataDxfId="59"/>
    <tableColumn id="47" name="Débit Crédit" dataDxfId="58"/>
    <tableColumn id="2" name="Montant" dataDxfId="57"/>
    <tableColumn id="3" name="Date de début" dataDxfId="56"/>
    <tableColumn id="4" name="Période" dataDxfId="55"/>
    <tableColumn id="5" name="Nb échéance" dataDxfId="54"/>
    <tableColumn id="44" name="Date de la prochaine échéance" dataDxfId="53"/>
    <tableColumn id="7" name="Colonne1" dataDxfId="52">
      <calculatedColumnFormula>IF(Date_Deb&lt;Tab_Résa[[#This Row],[Date de début]]-5,"",IF(Tab_Résa[[#This Row],[Date de début]]+(VLOOKUP(Tab_Résa[[#This Row],[Période]],_P,2,0)*IF(OR(Tab_Résa[[#This Row],[Nb échéance]]=0,Tab_Résa[[#This Row],[Nb échéance]]=""),10000,Tab_Résa[[#This Row],[Nb échéance]]))&lt;Date_Deb,"",IFERROR(IF($L$5=$H7,IF(OR(L$5=Fériés,WEEKDAY(L$5,2)&gt;5),0,IF(Tab_Résa[[#This Row],[Débit Crédit]]="Débit",-$G7,$G7)),IF(AND(MOD(($L$5-$H7),VLOOKUP($I7,_P,2,0))=0,$I7&lt;&gt;""),IF(OR(L$5=Fériés,WEEKDAY(L$5,2)&gt;5),0,IF(Tab_Résa[[#This Row],[Débit Crédit]]="Débit",-$G7,$G7)),"")),"")))</calculatedColumnFormula>
    </tableColumn>
    <tableColumn id="8" name="Colonne2" dataDxfId="51">
      <calculatedColumnFormula>IF(M$5&lt;Tab_Résa[[#This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échéance]]-1))&lt;M$5,"",IFERROR(IF(AND(OR(WEEKDAY(L$5,2)&gt;5,L$5=Fériés),L7&lt;&gt;""),
IF(OR(M$5=Fériés,WEEKDAY(M$5,2)&gt;5),0,IF(Tab_Résa[[#This Row],[Débit Crédit]]="Débit",-$G7,$G7)),IF(M$5=$H7,IF(OR(M$5=Fériés,WEEKDAY(M$5,2)&gt;5),0,IF(Tab_Résa[[#This Row],[Débit Crédit]]="Débit",-$G7,$G7)),IF(AND(MOD((M$5-$H7),VLOOKUP($I7,_P,2,0))=0,$I7&lt;&gt;""),
IF(OR(M$5=Fériés,WEEKDAY(M$5,2)&gt;5),0,IF(Tab_Résa[[#This Row],[Débit Crédit]]="Débit",-$G7,$G7)),""))),"")))</calculatedColumnFormula>
    </tableColumn>
    <tableColumn id="9" name="Colonne3" dataDxfId="50">
      <calculatedColumnFormula>IF(N$5&lt;Tab_Résa[[#This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échéance]]-1))&lt;N$5,"",IFERROR(IF(AND(OR(WEEKDAY(M$5,2)&gt;5,M$5=Fériés),M7&lt;&gt;""),
IF(OR(N$5=Fériés,WEEKDAY(N$5,2)&gt;5),0,IF(Tab_Résa[[#This Row],[Débit Crédit]]="Débit",-$G7,$G7)),IF(N$5=$H7,IF(OR(N$5=Fériés,WEEKDAY(N$5,2)&gt;5),0,IF(Tab_Résa[[#This Row],[Débit Crédit]]="Débit",-$G7,$G7)),IF(AND(MOD((N$5-$H7),VLOOKUP($I7,_P,2,0))=0,$I7&lt;&gt;""),
IF(OR(N$5=Fériés,WEEKDAY(N$5,2)&gt;5),0,IF(Tab_Résa[[#This Row],[Débit Crédit]]="Débit",-$G7,$G7)),""))),"")))</calculatedColumnFormula>
    </tableColumn>
    <tableColumn id="10" name="Colonne4" dataDxfId="49">
      <calculatedColumnFormula>IF(O$5&lt;Tab_Résa[[#This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échéance]]-1))&lt;O$5,"",IFERROR(IF(AND(OR(WEEKDAY(N$5,2)&gt;5,N$5=Fériés),N7&lt;&gt;""),
IF(OR(O$5=Fériés,WEEKDAY(O$5,2)&gt;5),0,IF(Tab_Résa[[#This Row],[Débit Crédit]]="Débit",-$G7,$G7)),IF(O$5=$H7,IF(OR(O$5=Fériés,WEEKDAY(O$5,2)&gt;5),0,IF(Tab_Résa[[#This Row],[Débit Crédit]]="Débit",-$G7,$G7)),IF(AND(MOD((O$5-$H7),VLOOKUP($I7,_P,2,0))=0,$I7&lt;&gt;""),
IF(OR(O$5=Fériés,WEEKDAY(O$5,2)&gt;5),0,IF(Tab_Résa[[#This Row],[Débit Crédit]]="Débit",-$G7,$G7)),""))),"")))</calculatedColumnFormula>
    </tableColumn>
    <tableColumn id="11" name="Colonne5" dataDxfId="48">
      <calculatedColumnFormula>IF(P$5&lt;Tab_Résa[[#This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échéance]]-1))&lt;P$5,"",IFERROR(IF(AND(OR(WEEKDAY(O$5,2)&gt;5,O$5=Fériés),O7&lt;&gt;""),
IF(OR(P$5=Fériés,WEEKDAY(P$5,2)&gt;5),0,IF(Tab_Résa[[#This Row],[Débit Crédit]]="Débit",-$G7,$G7)),IF(P$5=$H7,IF(OR(P$5=Fériés,WEEKDAY(P$5,2)&gt;5),0,IF(Tab_Résa[[#This Row],[Débit Crédit]]="Débit",-$G7,$G7)),IF(AND(MOD((P$5-$H7),VLOOKUP($I7,_P,2,0))=0,$I7&lt;&gt;""),
IF(OR(P$5=Fériés,WEEKDAY(P$5,2)&gt;5),0,IF(Tab_Résa[[#This Row],[Débit Crédit]]="Débit",-$G7,$G7)),""))),"")))</calculatedColumnFormula>
    </tableColumn>
    <tableColumn id="12" name="Colonne6" dataDxfId="47">
      <calculatedColumnFormula>IF(Q$5&lt;Tab_Résa[[#This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échéance]]-1))&lt;Q$5,"",IFERROR(IF(AND(OR(WEEKDAY(P$5,2)&gt;5,P$5=Fériés),P7&lt;&gt;""),
IF(OR(Q$5=Fériés,WEEKDAY(Q$5,2)&gt;5),0,IF(Tab_Résa[[#This Row],[Débit Crédit]]="Débit",-$G7,$G7)),IF(Q$5=$H7,IF(OR(Q$5=Fériés,WEEKDAY(Q$5,2)&gt;5),0,IF(Tab_Résa[[#This Row],[Débit Crédit]]="Débit",-$G7,$G7)),IF(AND(MOD((Q$5-$H7),VLOOKUP($I7,_P,2,0))=0,$I7&lt;&gt;""),
IF(OR(Q$5=Fériés,WEEKDAY(Q$5,2)&gt;5),0,IF(Tab_Résa[[#This Row],[Débit Crédit]]="Débit",-$G7,$G7)),""))),"")))</calculatedColumnFormula>
    </tableColumn>
    <tableColumn id="13" name="Colonne7" dataDxfId="46">
      <calculatedColumnFormula>IF(R$5&lt;Tab_Résa[[#This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échéance]]-1))&lt;R$5,"",IFERROR(IF(AND(OR(WEEKDAY(Q$5,2)&gt;5,Q$5=Fériés),Q7&lt;&gt;""),
IF(OR(R$5=Fériés,WEEKDAY(R$5,2)&gt;5),0,IF(Tab_Résa[[#This Row],[Débit Crédit]]="Débit",-$G7,$G7)),IF(R$5=$H7,IF(OR(R$5=Fériés,WEEKDAY(R$5,2)&gt;5),0,IF(Tab_Résa[[#This Row],[Débit Crédit]]="Débit",-$G7,$G7)),IF(AND(MOD((R$5-$H7),VLOOKUP($I7,_P,2,0))=0,$I7&lt;&gt;""),
IF(OR(R$5=Fériés,WEEKDAY(R$5,2)&gt;5),0,IF(Tab_Résa[[#This Row],[Débit Crédit]]="Débit",-$G7,$G7)),""))),"")))</calculatedColumnFormula>
    </tableColumn>
    <tableColumn id="14" name="Colonne8" dataDxfId="45">
      <calculatedColumnFormula>IF(S$5&lt;Tab_Résa[[#This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échéance]]-1))&lt;S$5,"",IFERROR(IF(AND(OR(WEEKDAY(R$5,2)&gt;5,R$5=Fériés),R7&lt;&gt;""),
IF(OR(S$5=Fériés,WEEKDAY(S$5,2)&gt;5),0,IF(Tab_Résa[[#This Row],[Débit Crédit]]="Débit",-$G7,$G7)),IF(S$5=$H7,IF(OR(S$5=Fériés,WEEKDAY(S$5,2)&gt;5),0,IF(Tab_Résa[[#This Row],[Débit Crédit]]="Débit",-$G7,$G7)),IF(AND(MOD((S$5-$H7),VLOOKUP($I7,_P,2,0))=0,$I7&lt;&gt;""),
IF(OR(S$5=Fériés,WEEKDAY(S$5,2)&gt;5),0,IF(Tab_Résa[[#This Row],[Débit Crédit]]="Débit",-$G7,$G7)),""))),"")))</calculatedColumnFormula>
    </tableColumn>
    <tableColumn id="15" name="Colonne9" dataDxfId="44">
      <calculatedColumnFormula>IF(T$5&lt;Tab_Résa[[#This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échéance]]-1))&lt;T$5,"",IFERROR(IF(AND(OR(WEEKDAY(S$5,2)&gt;5,S$5=Fériés),S7&lt;&gt;""),
IF(OR(T$5=Fériés,WEEKDAY(T$5,2)&gt;5),0,IF(Tab_Résa[[#This Row],[Débit Crédit]]="Débit",-$G7,$G7)),IF(T$5=$H7,IF(OR(T$5=Fériés,WEEKDAY(T$5,2)&gt;5),0,IF(Tab_Résa[[#This Row],[Débit Crédit]]="Débit",-$G7,$G7)),IF(AND(MOD((T$5-$H7),VLOOKUP($I7,_P,2,0))=0,$I7&lt;&gt;""),
IF(OR(T$5=Fériés,WEEKDAY(T$5,2)&gt;5),0,IF(Tab_Résa[[#This Row],[Débit Crédit]]="Débit",-$G7,$G7)),""))),"")))</calculatedColumnFormula>
    </tableColumn>
    <tableColumn id="16" name="Colonne10" dataDxfId="43">
      <calculatedColumnFormula>IF(U$5&lt;Tab_Résa[[#This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échéance]]-1))&lt;U$5,"",IFERROR(IF(AND(OR(WEEKDAY(T$5,2)&gt;5,T$5=Fériés),T7&lt;&gt;""),
IF(OR(U$5=Fériés,WEEKDAY(U$5,2)&gt;5),0,IF(Tab_Résa[[#This Row],[Débit Crédit]]="Débit",-$G7,$G7)),IF(U$5=$H7,IF(OR(U$5=Fériés,WEEKDAY(U$5,2)&gt;5),0,IF(Tab_Résa[[#This Row],[Débit Crédit]]="Débit",-$G7,$G7)),IF(AND(MOD((U$5-$H7),VLOOKUP($I7,_P,2,0))=0,$I7&lt;&gt;""),
IF(OR(U$5=Fériés,WEEKDAY(U$5,2)&gt;5),0,IF(Tab_Résa[[#This Row],[Débit Crédit]]="Débit",-$G7,$G7)),""))),"")))</calculatedColumnFormula>
    </tableColumn>
    <tableColumn id="17" name="Colonne11" dataDxfId="42">
      <calculatedColumnFormula>IF(V$5&lt;Tab_Résa[[#This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échéance]]-1))&lt;V$5,"",IFERROR(IF(AND(OR(WEEKDAY(U$5,2)&gt;5,U$5=Fériés),U7&lt;&gt;""),
IF(OR(V$5=Fériés,WEEKDAY(V$5,2)&gt;5),0,IF(Tab_Résa[[#This Row],[Débit Crédit]]="Débit",-$G7,$G7)),IF(V$5=$H7,IF(OR(V$5=Fériés,WEEKDAY(V$5,2)&gt;5),0,IF(Tab_Résa[[#This Row],[Débit Crédit]]="Débit",-$G7,$G7)),IF(AND(MOD((V$5-$H7),VLOOKUP($I7,_P,2,0))=0,$I7&lt;&gt;""),
IF(OR(V$5=Fériés,WEEKDAY(V$5,2)&gt;5),0,IF(Tab_Résa[[#This Row],[Débit Crédit]]="Débit",-$G7,$G7)),""))),"")))</calculatedColumnFormula>
    </tableColumn>
    <tableColumn id="18" name="Colonne12" dataDxfId="41">
      <calculatedColumnFormula>IF(W$5&lt;Tab_Résa[[#This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échéance]]-1))&lt;W$5,"",IFERROR(IF(AND(OR(WEEKDAY(V$5,2)&gt;5,V$5=Fériés),V7&lt;&gt;""),
IF(OR(W$5=Fériés,WEEKDAY(W$5,2)&gt;5),0,IF(Tab_Résa[[#This Row],[Débit Crédit]]="Débit",-$G7,$G7)),IF(W$5=$H7,IF(OR(W$5=Fériés,WEEKDAY(W$5,2)&gt;5),0,IF(Tab_Résa[[#This Row],[Débit Crédit]]="Débit",-$G7,$G7)),IF(AND(MOD((W$5-$H7),VLOOKUP($I7,_P,2,0))=0,$I7&lt;&gt;""),
IF(OR(W$5=Fériés,WEEKDAY(W$5,2)&gt;5),0,IF(Tab_Résa[[#This Row],[Débit Crédit]]="Débit",-$G7,$G7)),""))),"")))</calculatedColumnFormula>
    </tableColumn>
    <tableColumn id="19" name="Colonne13" dataDxfId="40">
      <calculatedColumnFormula>IF(X$5&lt;Tab_Résa[[#This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échéance]]-1))&lt;X$5,"",IFERROR(IF(AND(OR(WEEKDAY(W$5,2)&gt;5,W$5=Fériés),W7&lt;&gt;""),
IF(OR(X$5=Fériés,WEEKDAY(X$5,2)&gt;5),0,IF(Tab_Résa[[#This Row],[Débit Crédit]]="Débit",-$G7,$G7)),IF(X$5=$H7,IF(OR(X$5=Fériés,WEEKDAY(X$5,2)&gt;5),0,IF(Tab_Résa[[#This Row],[Débit Crédit]]="Débit",-$G7,$G7)),IF(AND(MOD((X$5-$H7),VLOOKUP($I7,_P,2,0))=0,$I7&lt;&gt;""),
IF(OR(X$5=Fériés,WEEKDAY(X$5,2)&gt;5),0,IF(Tab_Résa[[#This Row],[Débit Crédit]]="Débit",-$G7,$G7)),""))),"")))</calculatedColumnFormula>
    </tableColumn>
    <tableColumn id="20" name="Colonne14" dataDxfId="39">
      <calculatedColumnFormula>IF(Y$5&lt;Tab_Résa[[#This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échéance]]-1))&lt;Y$5,"",IFERROR(IF(AND(OR(WEEKDAY(X$5,2)&gt;5,X$5=Fériés),X7&lt;&gt;""),
IF(OR(Y$5=Fériés,WEEKDAY(Y$5,2)&gt;5),0,IF(Tab_Résa[[#This Row],[Débit Crédit]]="Débit",-$G7,$G7)),IF(Y$5=$H7,IF(OR(Y$5=Fériés,WEEKDAY(Y$5,2)&gt;5),0,IF(Tab_Résa[[#This Row],[Débit Crédit]]="Débit",-$G7,$G7)),IF(AND(MOD((Y$5-$H7),VLOOKUP($I7,_P,2,0))=0,$I7&lt;&gt;""),
IF(OR(Y$5=Fériés,WEEKDAY(Y$5,2)&gt;5),0,IF(Tab_Résa[[#This Row],[Débit Crédit]]="Débit",-$G7,$G7)),""))),"")))</calculatedColumnFormula>
    </tableColumn>
    <tableColumn id="21" name="Colonne15" dataDxfId="38">
      <calculatedColumnFormula>IF(Z$5&lt;Tab_Résa[[#This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échéance]]-1))&lt;Z$5,"",IFERROR(IF(AND(OR(WEEKDAY(Y$5,2)&gt;5,Y$5=Fériés),Y7&lt;&gt;""),
IF(OR(Z$5=Fériés,WEEKDAY(Z$5,2)&gt;5),0,IF(Tab_Résa[[#This Row],[Débit Crédit]]="Débit",-$G7,$G7)),IF(Z$5=$H7,IF(OR(Z$5=Fériés,WEEKDAY(Z$5,2)&gt;5),0,IF(Tab_Résa[[#This Row],[Débit Crédit]]="Débit",-$G7,$G7)),IF(AND(MOD((Z$5-$H7),VLOOKUP($I7,_P,2,0))=0,$I7&lt;&gt;""),
IF(OR(Z$5=Fériés,WEEKDAY(Z$5,2)&gt;5),0,IF(Tab_Résa[[#This Row],[Débit Crédit]]="Débit",-$G7,$G7)),""))),"")))</calculatedColumnFormula>
    </tableColumn>
    <tableColumn id="22" name="Colonne16" dataDxfId="37">
      <calculatedColumnFormula>IF(AA$5&lt;Tab_Résa[[#This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échéance]]-1))&lt;AA$5,"",IFERROR(IF(AND(OR(WEEKDAY(Z$5,2)&gt;5,Z$5=Fériés),Z7&lt;&gt;""),
IF(OR(AA$5=Fériés,WEEKDAY(AA$5,2)&gt;5),0,IF(Tab_Résa[[#This Row],[Débit Crédit]]="Débit",-$G7,$G7)),IF(AA$5=$H7,IF(OR(AA$5=Fériés,WEEKDAY(AA$5,2)&gt;5),0,IF(Tab_Résa[[#This Row],[Débit Crédit]]="Débit",-$G7,$G7)),IF(AND(MOD((AA$5-$H7),VLOOKUP($I7,_P,2,0))=0,$I7&lt;&gt;""),
IF(OR(AA$5=Fériés,WEEKDAY(AA$5,2)&gt;5),0,IF(Tab_Résa[[#This Row],[Débit Crédit]]="Débit",-$G7,$G7)),""))),"")))</calculatedColumnFormula>
    </tableColumn>
    <tableColumn id="23" name="Colonne17" dataDxfId="36">
      <calculatedColumnFormula>IF(AB$5&lt;Tab_Résa[[#This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échéance]]-1))&lt;AB$5,"",IFERROR(IF(AND(OR(WEEKDAY(AA$5,2)&gt;5,AA$5=Fériés),AA7&lt;&gt;""),
IF(OR(AB$5=Fériés,WEEKDAY(AB$5,2)&gt;5),0,IF(Tab_Résa[[#This Row],[Débit Crédit]]="Débit",-$G7,$G7)),IF(AB$5=$H7,IF(OR(AB$5=Fériés,WEEKDAY(AB$5,2)&gt;5),0,IF(Tab_Résa[[#This Row],[Débit Crédit]]="Débit",-$G7,$G7)),IF(AND(MOD((AB$5-$H7),VLOOKUP($I7,_P,2,0))=0,$I7&lt;&gt;""),
IF(OR(AB$5=Fériés,WEEKDAY(AB$5,2)&gt;5),0,IF(Tab_Résa[[#This Row],[Débit Crédit]]="Débit",-$G7,$G7)),""))),"")))</calculatedColumnFormula>
    </tableColumn>
    <tableColumn id="24" name="Colonne18" dataDxfId="35">
      <calculatedColumnFormula>IF(AC$5&lt;Tab_Résa[[#This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échéance]]-1))&lt;AC$5,"",IFERROR(IF(AND(OR(WEEKDAY(AB$5,2)&gt;5,AB$5=Fériés),AB7&lt;&gt;""),
IF(OR(AC$5=Fériés,WEEKDAY(AC$5,2)&gt;5),0,IF(Tab_Résa[[#This Row],[Débit Crédit]]="Débit",-$G7,$G7)),IF(AC$5=$H7,IF(OR(AC$5=Fériés,WEEKDAY(AC$5,2)&gt;5),0,IF(Tab_Résa[[#This Row],[Débit Crédit]]="Débit",-$G7,$G7)),IF(AND(MOD((AC$5-$H7),VLOOKUP($I7,_P,2,0))=0,$I7&lt;&gt;""),
IF(OR(AC$5=Fériés,WEEKDAY(AC$5,2)&gt;5),0,IF(Tab_Résa[[#This Row],[Débit Crédit]]="Débit",-$G7,$G7)),""))),"")))</calculatedColumnFormula>
    </tableColumn>
    <tableColumn id="25" name="Colonne19" dataDxfId="34">
      <calculatedColumnFormula>IF(AD$5&lt;Tab_Résa[[#This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échéance]]-1))&lt;AD$5,"",IFERROR(IF(AND(OR(WEEKDAY(AC$5,2)&gt;5,AC$5=Fériés),AC7&lt;&gt;""),
IF(OR(AD$5=Fériés,WEEKDAY(AD$5,2)&gt;5),0,IF(Tab_Résa[[#This Row],[Débit Crédit]]="Débit",-$G7,$G7)),IF(AD$5=$H7,IF(OR(AD$5=Fériés,WEEKDAY(AD$5,2)&gt;5),0,IF(Tab_Résa[[#This Row],[Débit Crédit]]="Débit",-$G7,$G7)),IF(AND(MOD((AD$5-$H7),VLOOKUP($I7,_P,2,0))=0,$I7&lt;&gt;""),
IF(OR(AD$5=Fériés,WEEKDAY(AD$5,2)&gt;5),0,IF(Tab_Résa[[#This Row],[Débit Crédit]]="Débit",-$G7,$G7)),""))),"")))</calculatedColumnFormula>
    </tableColumn>
    <tableColumn id="26" name="Colonne20" dataDxfId="33">
      <calculatedColumnFormula>IF(AE$5&lt;Tab_Résa[[#This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échéance]]-1))&lt;AE$5,"",IFERROR(IF(AND(OR(WEEKDAY(AD$5,2)&gt;5,AD$5=Fériés),AD7&lt;&gt;""),
IF(OR(AE$5=Fériés,WEEKDAY(AE$5,2)&gt;5),0,IF(Tab_Résa[[#This Row],[Débit Crédit]]="Débit",-$G7,$G7)),IF(AE$5=$H7,IF(OR(AE$5=Fériés,WEEKDAY(AE$5,2)&gt;5),0,IF(Tab_Résa[[#This Row],[Débit Crédit]]="Débit",-$G7,$G7)),IF(AND(MOD((AE$5-$H7),VLOOKUP($I7,_P,2,0))=0,$I7&lt;&gt;""),
IF(OR(AE$5=Fériés,WEEKDAY(AE$5,2)&gt;5),0,IF(Tab_Résa[[#This Row],[Débit Crédit]]="Débit",-$G7,$G7)),""))),"")))</calculatedColumnFormula>
    </tableColumn>
    <tableColumn id="27" name="Colonne21" dataDxfId="32">
      <calculatedColumnFormula>IF(AF$5&lt;Tab_Résa[[#This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échéance]]-1))&lt;AF$5,"",IFERROR(IF(AND(OR(WEEKDAY(AE$5,2)&gt;5,AE$5=Fériés),AE7&lt;&gt;""),
IF(OR(AF$5=Fériés,WEEKDAY(AF$5,2)&gt;5),0,IF(Tab_Résa[[#This Row],[Débit Crédit]]="Débit",-$G7,$G7)),IF(AF$5=$H7,IF(OR(AF$5=Fériés,WEEKDAY(AF$5,2)&gt;5),0,IF(Tab_Résa[[#This Row],[Débit Crédit]]="Débit",-$G7,$G7)),IF(AND(MOD((AF$5-$H7),VLOOKUP($I7,_P,2,0))=0,$I7&lt;&gt;""),
IF(OR(AF$5=Fériés,WEEKDAY(AF$5,2)&gt;5),0,IF(Tab_Résa[[#This Row],[Débit Crédit]]="Débit",-$G7,$G7)),""))),"")))</calculatedColumnFormula>
    </tableColumn>
    <tableColumn id="28" name="Colonne22" dataDxfId="31">
      <calculatedColumnFormula>IF(AG$5&lt;Tab_Résa[[#This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échéance]]-1))&lt;AG$5,"",IFERROR(IF(AND(OR(WEEKDAY(AF$5,2)&gt;5,AF$5=Fériés),AF7&lt;&gt;""),
IF(OR(AG$5=Fériés,WEEKDAY(AG$5,2)&gt;5),0,IF(Tab_Résa[[#This Row],[Débit Crédit]]="Débit",-$G7,$G7)),IF(AG$5=$H7,IF(OR(AG$5=Fériés,WEEKDAY(AG$5,2)&gt;5),0,IF(Tab_Résa[[#This Row],[Débit Crédit]]="Débit",-$G7,$G7)),IF(AND(MOD((AG$5-$H7),VLOOKUP($I7,_P,2,0))=0,$I7&lt;&gt;""),
IF(OR(AG$5=Fériés,WEEKDAY(AG$5,2)&gt;5),0,IF(Tab_Résa[[#This Row],[Débit Crédit]]="Débit",-$G7,$G7)),""))),"")))</calculatedColumnFormula>
    </tableColumn>
    <tableColumn id="29" name="Colonne23" dataDxfId="30">
      <calculatedColumnFormula>IF(AH$5&lt;Tab_Résa[[#This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échéance]]-1))&lt;AH$5,"",IFERROR(IF(AND(OR(WEEKDAY(AG$5,2)&gt;5,AG$5=Fériés),AG7&lt;&gt;""),
IF(OR(AH$5=Fériés,WEEKDAY(AH$5,2)&gt;5),0,IF(Tab_Résa[[#This Row],[Débit Crédit]]="Débit",-$G7,$G7)),IF(AH$5=$H7,IF(OR(AH$5=Fériés,WEEKDAY(AH$5,2)&gt;5),0,IF(Tab_Résa[[#This Row],[Débit Crédit]]="Débit",-$G7,$G7)),IF(AND(MOD((AH$5-$H7),VLOOKUP($I7,_P,2,0))=0,$I7&lt;&gt;""),
IF(OR(AH$5=Fériés,WEEKDAY(AH$5,2)&gt;5),0,IF(Tab_Résa[[#This Row],[Débit Crédit]]="Débit",-$G7,$G7)),""))),"")))</calculatedColumnFormula>
    </tableColumn>
    <tableColumn id="30" name="Colonne24" dataDxfId="29">
      <calculatedColumnFormula>IF(AI$5&lt;Tab_Résa[[#This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échéance]]-1))&lt;AI$5,"",IFERROR(IF(AND(OR(WEEKDAY(AH$5,2)&gt;5,AH$5=Fériés),AH7&lt;&gt;""),
IF(OR(AI$5=Fériés,WEEKDAY(AI$5,2)&gt;5),0,IF(Tab_Résa[[#This Row],[Débit Crédit]]="Débit",-$G7,$G7)),IF(AI$5=$H7,IF(OR(AI$5=Fériés,WEEKDAY(AI$5,2)&gt;5),0,IF(Tab_Résa[[#This Row],[Débit Crédit]]="Débit",-$G7,$G7)),IF(AND(MOD((AI$5-$H7),VLOOKUP($I7,_P,2,0))=0,$I7&lt;&gt;""),
IF(OR(AI$5=Fériés,WEEKDAY(AI$5,2)&gt;5),0,IF(Tab_Résa[[#This Row],[Débit Crédit]]="Débit",-$G7,$G7)),""))),"")))</calculatedColumnFormula>
    </tableColumn>
    <tableColumn id="31" name="Colonne25" dataDxfId="28">
      <calculatedColumnFormula>IF(AJ$5&lt;Tab_Résa[[#This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échéance]]-1))&lt;AJ$5,"",IFERROR(IF(AND(OR(WEEKDAY(AI$5,2)&gt;5,AI$5=Fériés),AI7&lt;&gt;""),
IF(OR(AJ$5=Fériés,WEEKDAY(AJ$5,2)&gt;5),0,IF(Tab_Résa[[#This Row],[Débit Crédit]]="Débit",-$G7,$G7)),IF(AJ$5=$H7,IF(OR(AJ$5=Fériés,WEEKDAY(AJ$5,2)&gt;5),0,IF(Tab_Résa[[#This Row],[Débit Crédit]]="Débit",-$G7,$G7)),IF(AND(MOD((AJ$5-$H7),VLOOKUP($I7,_P,2,0))=0,$I7&lt;&gt;""),
IF(OR(AJ$5=Fériés,WEEKDAY(AJ$5,2)&gt;5),0,IF(Tab_Résa[[#This Row],[Débit Crédit]]="Débit",-$G7,$G7)),""))),"")))</calculatedColumnFormula>
    </tableColumn>
    <tableColumn id="32" name="Colonne26" dataDxfId="27">
      <calculatedColumnFormula>IF(AK$5&lt;Tab_Résa[[#This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échéance]]-1))&lt;AK$5,"",IFERROR(IF(AND(OR(WEEKDAY(AJ$5,2)&gt;5,AJ$5=Fériés),AJ7&lt;&gt;""),
IF(OR(AK$5=Fériés,WEEKDAY(AK$5,2)&gt;5),0,IF(Tab_Résa[[#This Row],[Débit Crédit]]="Débit",-$G7,$G7)),IF(AK$5=$H7,IF(OR(AK$5=Fériés,WEEKDAY(AK$5,2)&gt;5),0,IF(Tab_Résa[[#This Row],[Débit Crédit]]="Débit",-$G7,$G7)),IF(AND(MOD((AK$5-$H7),VLOOKUP($I7,_P,2,0))=0,$I7&lt;&gt;""),
IF(OR(AK$5=Fériés,WEEKDAY(AK$5,2)&gt;5),0,IF(Tab_Résa[[#This Row],[Débit Crédit]]="Débit",-$G7,$G7)),""))),"")))</calculatedColumnFormula>
    </tableColumn>
    <tableColumn id="33" name="Colonne27" dataDxfId="26">
      <calculatedColumnFormula>IF(AL$5&lt;Tab_Résa[[#This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échéance]]-1))&lt;AL$5,"",IFERROR(IF(AND(OR(WEEKDAY(AK$5,2)&gt;5,AK$5=Fériés),AK7&lt;&gt;""),
IF(OR(AL$5=Fériés,WEEKDAY(AL$5,2)&gt;5),0,IF(Tab_Résa[[#This Row],[Débit Crédit]]="Débit",-$G7,$G7)),IF(AL$5=$H7,IF(OR(AL$5=Fériés,WEEKDAY(AL$5,2)&gt;5),0,IF(Tab_Résa[[#This Row],[Débit Crédit]]="Débit",-$G7,$G7)),IF(AND(MOD((AL$5-$H7),VLOOKUP($I7,_P,2,0))=0,$I7&lt;&gt;""),
IF(OR(AL$5=Fériés,WEEKDAY(AL$5,2)&gt;5),0,IF(Tab_Résa[[#This Row],[Débit Crédit]]="Débit",-$G7,$G7)),""))),"")))</calculatedColumnFormula>
    </tableColumn>
    <tableColumn id="34" name="Colonne28" dataDxfId="25">
      <calculatedColumnFormula>IF(AM$5&lt;Tab_Résa[[#This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échéance]]-1))&lt;AM$5,"",IFERROR(IF(AND(OR(WEEKDAY(AL$5,2)&gt;5,AL$5=Fériés),AL7&lt;&gt;""),
IF(OR(AM$5=Fériés,WEEKDAY(AM$5,2)&gt;5),0,IF(Tab_Résa[[#This Row],[Débit Crédit]]="Débit",-$G7,$G7)),IF(AM$5=$H7,IF(OR(AM$5=Fériés,WEEKDAY(AM$5,2)&gt;5),0,IF(Tab_Résa[[#This Row],[Débit Crédit]]="Débit",-$G7,$G7)),IF(AND(MOD((AM$5-$H7),VLOOKUP($I7,_P,2,0))=0,$I7&lt;&gt;""),
IF(OR(AM$5=Fériés,WEEKDAY(AM$5,2)&gt;5),0,IF(Tab_Résa[[#This Row],[Débit Crédit]]="Débit",-$G7,$G7)),""))),"")))</calculatedColumnFormula>
    </tableColumn>
    <tableColumn id="35" name="Colonne29" dataDxfId="24">
      <calculatedColumnFormula>IF(AN$5&lt;Tab_Résa[[#This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échéance]]-1))&lt;AN$5,"",IFERROR(IF(AND(OR(WEEKDAY(AM$5,2)&gt;5,AM$5=Fériés),AM7&lt;&gt;""),
IF(OR(AN$5=Fériés,WEEKDAY(AN$5,2)&gt;5),0,IF(Tab_Résa[[#This Row],[Débit Crédit]]="Débit",-$G7,$G7)),IF(AN$5=$H7,IF(OR(AN$5=Fériés,WEEKDAY(AN$5,2)&gt;5),0,IF(Tab_Résa[[#This Row],[Débit Crédit]]="Débit",-$G7,$G7)),IF(AND(MOD((AN$5-$H7),VLOOKUP($I7,_P,2,0))=0,$I7&lt;&gt;""),
IF(OR(AN$5=Fériés,WEEKDAY(AN$5,2)&gt;5),0,IF(Tab_Résa[[#This Row],[Débit Crédit]]="Débit",-$G7,$G7)),""))),"")))</calculatedColumnFormula>
    </tableColumn>
    <tableColumn id="36" name="Colonne30" dataDxfId="23">
      <calculatedColumnFormula>IF(AO$5&lt;Tab_Résa[[#This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échéance]]-1))&lt;AO$5,"",IFERROR(IF(AND(OR(WEEKDAY(AN$5,2)&gt;5,AN$5=Fériés),AN7&lt;&gt;""),
IF(OR(AO$5=Fériés,WEEKDAY(AO$5,2)&gt;5),0,IF(Tab_Résa[[#This Row],[Débit Crédit]]="Débit",-$G7,$G7)),IF(AO$5=$H7,IF(OR(AO$5=Fériés,WEEKDAY(AO$5,2)&gt;5),0,IF(Tab_Résa[[#This Row],[Débit Crédit]]="Débit",-$G7,$G7)),IF(AND(MOD((AO$5-$H7),VLOOKUP($I7,_P,2,0))=0,$I7&lt;&gt;""),
IF(OR(AO$5=Fériés,WEEKDAY(AO$5,2)&gt;5),0,IF(Tab_Résa[[#This Row],[Débit Crédit]]="Débit",-$G7,$G7)),""))),"")))</calculatedColumnFormula>
    </tableColumn>
    <tableColumn id="37" name="Colonne31" dataDxfId="22">
      <calculatedColumnFormula>IF(AP$5&lt;Tab_Résa[[#This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échéance]]-1))&lt;AP$5,"",IFERROR(IF(AND(OR(WEEKDAY(AO$5,2)&gt;5,AO$5=Fériés),AO7&lt;&gt;""),
IF(OR(AP$5=Fériés,WEEKDAY(AP$5,2)&gt;5),0,IF(Tab_Résa[[#This Row],[Débit Crédit]]="Débit",-$G7,$G7)),IF(AP$5=$H7,IF(OR(AP$5=Fériés,WEEKDAY(AP$5,2)&gt;5),0,IF(Tab_Résa[[#This Row],[Débit Crédit]]="Débit",-$G7,$G7)),IF(AND(MOD((AP$5-$H7),VLOOKUP($I7,_P,2,0))=0,$I7&lt;&gt;""),
IF(OR(AP$5=Fériés,WEEKDAY(AP$5,2)&gt;5),0,IF(Tab_Résa[[#This Row],[Débit Crédit]]="Débit",-$G7,$G7)),""))),"")))</calculatedColumnFormula>
    </tableColumn>
    <tableColumn id="38" name="Colonne32" dataDxfId="21">
      <calculatedColumnFormula>IF(AQ$5&lt;Tab_Résa[[#This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échéance]]-1))&lt;AQ$5,"",IFERROR(IF(AND(OR(WEEKDAY(AP$5,2)&gt;5,AP$5=Fériés),AP7&lt;&gt;""),
IF(OR(AQ$5=Fériés,WEEKDAY(AQ$5,2)&gt;5),0,IF(Tab_Résa[[#This Row],[Débit Crédit]]="Débit",-$G7,$G7)),IF(AQ$5=$H7,IF(OR(AQ$5=Fériés,WEEKDAY(AQ$5,2)&gt;5),0,IF(Tab_Résa[[#This Row],[Débit Crédit]]="Débit",-$G7,$G7)),IF(AND(MOD((AQ$5-$H7),VLOOKUP($I7,_P,2,0))=0,$I7&lt;&gt;""),
IF(OR(AQ$5=Fériés,WEEKDAY(AQ$5,2)&gt;5),0,IF(Tab_Résa[[#This Row],[Débit Crédit]]="Débit",-$G7,$G7)),""))),"")))</calculatedColumnFormula>
    </tableColumn>
    <tableColumn id="39" name="Colonne33" dataDxfId="20">
      <calculatedColumnFormula>IF(AR$5&lt;Tab_Résa[[#This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échéance]]-1))&lt;AR$5,"",IFERROR(IF(AND(OR(WEEKDAY(AQ$5,2)&gt;5,AQ$5=Fériés),AQ7&lt;&gt;""),
IF(OR(AR$5=Fériés,WEEKDAY(AR$5,2)&gt;5),0,IF(Tab_Résa[[#This Row],[Débit Crédit]]="Débit",-$G7,$G7)),IF(AR$5=$H7,IF(OR(AR$5=Fériés,WEEKDAY(AR$5,2)&gt;5),0,IF(Tab_Résa[[#This Row],[Débit Crédit]]="Débit",-$G7,$G7)),IF(AND(MOD((AR$5-$H7),VLOOKUP($I7,_P,2,0))=0,$I7&lt;&gt;""),
IF(OR(AR$5=Fériés,WEEKDAY(AR$5,2)&gt;5),0,IF(Tab_Résa[[#This Row],[Débit Crédit]]="Débit",-$G7,$G7)),""))),"")))</calculatedColumnFormula>
    </tableColumn>
    <tableColumn id="40" name="Colonne34" dataDxfId="19">
      <calculatedColumnFormula>IF(AS$5&lt;Tab_Résa[[#This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échéance]]-1))&lt;AS$5,"",IFERROR(IF(AND(OR(WEEKDAY(AR$5,2)&gt;5,AR$5=Fériés),AR7&lt;&gt;""),
IF(OR(AS$5=Fériés,WEEKDAY(AS$5,2)&gt;5),0,IF(Tab_Résa[[#This Row],[Débit Crédit]]="Débit",-$G7,$G7)),IF(AS$5=$H7,IF(OR(AS$5=Fériés,WEEKDAY(AS$5,2)&gt;5),0,IF(Tab_Résa[[#This Row],[Débit Crédit]]="Débit",-$G7,$G7)),IF(AND(MOD((AS$5-$H7),VLOOKUP($I7,_P,2,0))=0,$I7&lt;&gt;""),
IF(OR(AS$5=Fériés,WEEKDAY(AS$5,2)&gt;5),0,IF(Tab_Résa[[#This Row],[Débit Crédit]]="Débit",-$G7,$G7)),""))),"")))</calculatedColumnFormula>
    </tableColumn>
    <tableColumn id="41" name="Colonne35" dataDxfId="18">
      <calculatedColumnFormula>IF(AT$5&lt;Tab_Résa[[#This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échéance]]-1))&lt;AT$5,"",IFERROR(IF(AND(OR(WEEKDAY(AS$5,2)&gt;5,AS$5=Fériés),AS7&lt;&gt;""),
IF(OR(AT$5=Fériés,WEEKDAY(AT$5,2)&gt;5),0,IF(Tab_Résa[[#This Row],[Débit Crédit]]="Débit",-$G7,$G7)),IF(AT$5=$H7,IF(OR(AT$5=Fériés,WEEKDAY(AT$5,2)&gt;5),0,IF(Tab_Résa[[#This Row],[Débit Crédit]]="Débit",-$G7,$G7)),IF(AND(MOD((AT$5-$H7),VLOOKUP($I7,_P,2,0))=0,$I7&lt;&gt;""),
IF(OR(AT$5=Fériés,WEEKDAY(AT$5,2)&gt;5),0,IF(Tab_Résa[[#This Row],[Débit Crédit]]="Débit",-$G7,$G7)),""))),"")))</calculatedColumnFormula>
    </tableColumn>
    <tableColumn id="42" name="Colonne36" dataDxfId="17">
      <calculatedColumnFormula array="1">IF(AU$5&lt;Tab_Résa[[#This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échéance]]-1))&lt;AU$5,"",IFERROR(IF(AND(OR(WEEKDAY(AT$5,2)&gt;5,AT$5=Fériés),AT7&lt;&gt;""),
IF(OR(AU$5=Fériés,WEEKDAY(AU$5,2)&gt;5),0,$G7),IF(AU$5=$H7,IF(OR(AU$5=Fériés,WEEKDAY(AU$5,2)&gt;5),0,$G7),IF(AND(MOD((AU$5-$H7),VLOOKUP($I7,_P,2,0))=0,$I7&lt;&gt;""),
IF(OR(AU$5=Fériés,WEEKDAY(AU$5,2)&gt;5),0,$G7),""))),"")))</calculatedColumnFormula>
    </tableColumn>
    <tableColumn id="43" name="Colonne37" dataDxfId="16">
      <calculatedColumnFormula array="1">IF(AV$5&lt;Tab_Résa[[#This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échéance]]-1))&lt;AV$5,"",IFERROR(IF(AND(OR(WEEKDAY(AU$5,2)&gt;5,AU$5=Fériés),AU7&lt;&gt;""),
IF(OR(AV$5=Fériés,WEEKDAY(AV$5,2)&gt;5),0,$G7),IF(AV$5=$H7,IF(OR(AV$5=Fériés,WEEKDAY(AV$5,2)&gt;5),0,$G7),IF(AND(MOD((AV$5-$H7),VLOOKUP($I7,_P,2,0))=0,$I7&lt;&gt;""),
IF(OR(AV$5=Fériés,WEEKDAY(AV$5,2)&gt;5),0,$G7),""))),"")))</calculatedColumnFormula>
    </tableColumn>
  </tableColumns>
  <tableStyleInfo name="Style de tableau 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26" Type="http://schemas.openxmlformats.org/officeDocument/2006/relationships/ctrlProp" Target="../ctrlProps/ctrlProp23.xml"/><Relationship Id="rId39" Type="http://schemas.openxmlformats.org/officeDocument/2006/relationships/ctrlProp" Target="../ctrlProps/ctrlProp36.xml"/><Relationship Id="rId21" Type="http://schemas.openxmlformats.org/officeDocument/2006/relationships/ctrlProp" Target="../ctrlProps/ctrlProp18.xml"/><Relationship Id="rId34" Type="http://schemas.openxmlformats.org/officeDocument/2006/relationships/ctrlProp" Target="../ctrlProps/ctrlProp31.xml"/><Relationship Id="rId42" Type="http://schemas.openxmlformats.org/officeDocument/2006/relationships/ctrlProp" Target="../ctrlProps/ctrlProp39.xml"/><Relationship Id="rId47" Type="http://schemas.openxmlformats.org/officeDocument/2006/relationships/ctrlProp" Target="../ctrlProps/ctrlProp44.xml"/><Relationship Id="rId50" Type="http://schemas.openxmlformats.org/officeDocument/2006/relationships/ctrlProp" Target="../ctrlProps/ctrlProp47.xml"/><Relationship Id="rId55" Type="http://schemas.openxmlformats.org/officeDocument/2006/relationships/ctrlProp" Target="../ctrlProps/ctrlProp52.x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29" Type="http://schemas.openxmlformats.org/officeDocument/2006/relationships/ctrlProp" Target="../ctrlProps/ctrlProp26.xml"/><Relationship Id="rId11" Type="http://schemas.openxmlformats.org/officeDocument/2006/relationships/ctrlProp" Target="../ctrlProps/ctrlProp8.xml"/><Relationship Id="rId24" Type="http://schemas.openxmlformats.org/officeDocument/2006/relationships/ctrlProp" Target="../ctrlProps/ctrlProp21.xml"/><Relationship Id="rId32" Type="http://schemas.openxmlformats.org/officeDocument/2006/relationships/ctrlProp" Target="../ctrlProps/ctrlProp29.xml"/><Relationship Id="rId37" Type="http://schemas.openxmlformats.org/officeDocument/2006/relationships/ctrlProp" Target="../ctrlProps/ctrlProp34.xml"/><Relationship Id="rId40" Type="http://schemas.openxmlformats.org/officeDocument/2006/relationships/ctrlProp" Target="../ctrlProps/ctrlProp37.xml"/><Relationship Id="rId45" Type="http://schemas.openxmlformats.org/officeDocument/2006/relationships/ctrlProp" Target="../ctrlProps/ctrlProp42.xml"/><Relationship Id="rId53" Type="http://schemas.openxmlformats.org/officeDocument/2006/relationships/ctrlProp" Target="../ctrlProps/ctrlProp50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19" Type="http://schemas.openxmlformats.org/officeDocument/2006/relationships/ctrlProp" Target="../ctrlProps/ctrlProp16.xml"/><Relationship Id="rId31" Type="http://schemas.openxmlformats.org/officeDocument/2006/relationships/ctrlProp" Target="../ctrlProps/ctrlProp28.xml"/><Relationship Id="rId44" Type="http://schemas.openxmlformats.org/officeDocument/2006/relationships/ctrlProp" Target="../ctrlProps/ctrlProp41.xml"/><Relationship Id="rId52" Type="http://schemas.openxmlformats.org/officeDocument/2006/relationships/ctrlProp" Target="../ctrlProps/ctrlProp49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Relationship Id="rId22" Type="http://schemas.openxmlformats.org/officeDocument/2006/relationships/ctrlProp" Target="../ctrlProps/ctrlProp19.xml"/><Relationship Id="rId27" Type="http://schemas.openxmlformats.org/officeDocument/2006/relationships/ctrlProp" Target="../ctrlProps/ctrlProp24.xml"/><Relationship Id="rId30" Type="http://schemas.openxmlformats.org/officeDocument/2006/relationships/ctrlProp" Target="../ctrlProps/ctrlProp27.xml"/><Relationship Id="rId35" Type="http://schemas.openxmlformats.org/officeDocument/2006/relationships/ctrlProp" Target="../ctrlProps/ctrlProp32.xml"/><Relationship Id="rId43" Type="http://schemas.openxmlformats.org/officeDocument/2006/relationships/ctrlProp" Target="../ctrlProps/ctrlProp40.xml"/><Relationship Id="rId48" Type="http://schemas.openxmlformats.org/officeDocument/2006/relationships/ctrlProp" Target="../ctrlProps/ctrlProp45.xml"/><Relationship Id="rId56" Type="http://schemas.openxmlformats.org/officeDocument/2006/relationships/ctrlProp" Target="../ctrlProps/ctrlProp53.xml"/><Relationship Id="rId8" Type="http://schemas.openxmlformats.org/officeDocument/2006/relationships/ctrlProp" Target="../ctrlProps/ctrlProp5.xml"/><Relationship Id="rId51" Type="http://schemas.openxmlformats.org/officeDocument/2006/relationships/ctrlProp" Target="../ctrlProps/ctrlProp48.xml"/><Relationship Id="rId3" Type="http://schemas.openxmlformats.org/officeDocument/2006/relationships/vmlDrawing" Target="../drawings/vmlDrawing1.v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5" Type="http://schemas.openxmlformats.org/officeDocument/2006/relationships/ctrlProp" Target="../ctrlProps/ctrlProp22.xml"/><Relationship Id="rId33" Type="http://schemas.openxmlformats.org/officeDocument/2006/relationships/ctrlProp" Target="../ctrlProps/ctrlProp30.xml"/><Relationship Id="rId38" Type="http://schemas.openxmlformats.org/officeDocument/2006/relationships/ctrlProp" Target="../ctrlProps/ctrlProp35.xml"/><Relationship Id="rId46" Type="http://schemas.openxmlformats.org/officeDocument/2006/relationships/ctrlProp" Target="../ctrlProps/ctrlProp43.xml"/><Relationship Id="rId20" Type="http://schemas.openxmlformats.org/officeDocument/2006/relationships/ctrlProp" Target="../ctrlProps/ctrlProp17.xml"/><Relationship Id="rId41" Type="http://schemas.openxmlformats.org/officeDocument/2006/relationships/ctrlProp" Target="../ctrlProps/ctrlProp38.xml"/><Relationship Id="rId54" Type="http://schemas.openxmlformats.org/officeDocument/2006/relationships/ctrlProp" Target="../ctrlProps/ctrlProp5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5" Type="http://schemas.openxmlformats.org/officeDocument/2006/relationships/ctrlProp" Target="../ctrlProps/ctrlProp12.xml"/><Relationship Id="rId23" Type="http://schemas.openxmlformats.org/officeDocument/2006/relationships/ctrlProp" Target="../ctrlProps/ctrlProp20.xml"/><Relationship Id="rId28" Type="http://schemas.openxmlformats.org/officeDocument/2006/relationships/ctrlProp" Target="../ctrlProps/ctrlProp25.xml"/><Relationship Id="rId36" Type="http://schemas.openxmlformats.org/officeDocument/2006/relationships/ctrlProp" Target="../ctrlProps/ctrlProp33.xml"/><Relationship Id="rId49" Type="http://schemas.openxmlformats.org/officeDocument/2006/relationships/ctrlProp" Target="../ctrlProps/ctrlProp4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9.xml"/><Relationship Id="rId3" Type="http://schemas.openxmlformats.org/officeDocument/2006/relationships/ctrlProp" Target="../ctrlProps/ctrlProp54.xml"/><Relationship Id="rId7" Type="http://schemas.openxmlformats.org/officeDocument/2006/relationships/ctrlProp" Target="../ctrlProps/ctrlProp5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ctrlProp" Target="../ctrlProps/ctrlProp57.xml"/><Relationship Id="rId11" Type="http://schemas.openxmlformats.org/officeDocument/2006/relationships/ctrlProp" Target="../ctrlProps/ctrlProp62.xml"/><Relationship Id="rId5" Type="http://schemas.openxmlformats.org/officeDocument/2006/relationships/ctrlProp" Target="../ctrlProps/ctrlProp56.xml"/><Relationship Id="rId10" Type="http://schemas.openxmlformats.org/officeDocument/2006/relationships/ctrlProp" Target="../ctrlProps/ctrlProp61.xml"/><Relationship Id="rId4" Type="http://schemas.openxmlformats.org/officeDocument/2006/relationships/ctrlProp" Target="../ctrlProps/ctrlProp55.xml"/><Relationship Id="rId9" Type="http://schemas.openxmlformats.org/officeDocument/2006/relationships/ctrlProp" Target="../ctrlProps/ctrlProp60.xml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3.vml"/><Relationship Id="rId7" Type="http://schemas.openxmlformats.org/officeDocument/2006/relationships/image" Target="../media/image2.emf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aramètres"/>
  <dimension ref="A1:O51"/>
  <sheetViews>
    <sheetView showGridLines="0" workbookViewId="0">
      <pane xSplit="11" ySplit="1" topLeftCell="L2" activePane="bottomRight" state="frozen"/>
      <selection pane="topRight" activeCell="M1" sqref="M1"/>
      <selection pane="bottomLeft" activeCell="A2" sqref="A2"/>
      <selection pane="bottomRight" activeCell="K3" sqref="K3"/>
    </sheetView>
  </sheetViews>
  <sheetFormatPr baseColWidth="10" defaultColWidth="11.42578125" defaultRowHeight="15" x14ac:dyDescent="0.25"/>
  <cols>
    <col min="1" max="2" width="18.5703125" customWidth="1"/>
    <col min="3" max="3" width="4.28515625" customWidth="1"/>
    <col min="4" max="4" width="13.5703125" customWidth="1"/>
    <col min="5" max="5" width="16.85546875" customWidth="1"/>
    <col min="6" max="6" width="10.140625" hidden="1" customWidth="1"/>
    <col min="7" max="7" width="18.5703125" hidden="1" customWidth="1"/>
    <col min="8" max="9" width="18.5703125" customWidth="1"/>
    <col min="10" max="10" width="7.140625" customWidth="1"/>
    <col min="11" max="14" width="11.42578125" customWidth="1"/>
    <col min="15" max="15" width="11.85546875" customWidth="1"/>
    <col min="16" max="27" width="11.42578125" customWidth="1"/>
  </cols>
  <sheetData>
    <row r="1" spans="1:15" ht="45" customHeight="1" x14ac:dyDescent="0.25">
      <c r="A1" s="19" t="s">
        <v>0</v>
      </c>
      <c r="B1" s="19" t="s">
        <v>2</v>
      </c>
      <c r="C1" s="74" t="s">
        <v>1</v>
      </c>
      <c r="D1" s="75"/>
      <c r="E1" s="19" t="s">
        <v>3</v>
      </c>
      <c r="F1" s="19" t="s">
        <v>47</v>
      </c>
      <c r="G1" s="19" t="s">
        <v>48</v>
      </c>
      <c r="H1" s="23" t="s">
        <v>45</v>
      </c>
      <c r="I1" s="42" t="s">
        <v>67</v>
      </c>
      <c r="J1" s="34"/>
      <c r="K1" s="8"/>
      <c r="L1" s="8"/>
      <c r="M1" s="8"/>
      <c r="N1" s="8"/>
      <c r="O1" s="8"/>
    </row>
    <row r="2" spans="1:15" x14ac:dyDescent="0.25">
      <c r="A2" s="7">
        <v>-51</v>
      </c>
      <c r="B2" s="4" t="b">
        <v>0</v>
      </c>
      <c r="C2" s="5" t="b">
        <v>1</v>
      </c>
      <c r="D2" s="6">
        <f ca="1">IF($C2,DATE(IF(Date_Deb&gt;DATE(YEAR(Date_Deb),1,1),YEAR(Date_Deb)+1,YEAR(Date_Deb)),1,1),"")</f>
        <v>43466</v>
      </c>
      <c r="E2" s="29"/>
      <c r="F2" s="31" t="b">
        <v>0</v>
      </c>
      <c r="G2" s="31" t="str">
        <f>IF($E2&lt;&gt;"",IF($F2,DATE(IF(Date_Deb&gt;DATE(YEAR(Date_Deb),MONTH(E2),DAY(E2)),YEAR(Date_Deb)+1,YEAR(Date_Deb)),MONTH(E2),DAY(E2)),$E2),"")</f>
        <v/>
      </c>
      <c r="H2" s="33" t="s">
        <v>46</v>
      </c>
      <c r="I2" s="32" t="s">
        <v>68</v>
      </c>
      <c r="J2" s="32">
        <v>0</v>
      </c>
      <c r="K2" s="1"/>
    </row>
    <row r="3" spans="1:15" x14ac:dyDescent="0.25">
      <c r="A3" s="7">
        <v>61</v>
      </c>
      <c r="B3" s="4" t="b">
        <v>0</v>
      </c>
      <c r="C3" s="4" t="b">
        <v>0</v>
      </c>
      <c r="D3" s="6" t="str">
        <f>IF(C3,IF(AND(Date_Deb&gt;Pâq_Année_N,Date_Deb&lt;=Pâq_Année_N1),Pâq_Année_N1,Pâq_Année_N),"")</f>
        <v/>
      </c>
      <c r="E3" s="29"/>
      <c r="F3" s="31" t="b">
        <v>0</v>
      </c>
      <c r="G3" s="31" t="str">
        <f>IF($E3&lt;&gt;"",IF($F3,DATE(IF(Date_Deb&gt;DATE(YEAR(Date_Deb),MONTH(E3),DAY(E3)),YEAR(Date_Deb)+1,YEAR(Date_Deb)),MONTH(E3),DAY(E3)),$E3),"")</f>
        <v/>
      </c>
      <c r="H3" s="2">
        <f>LOOKUP(H2,{"Dimanche";"Jeudi";"Lundi";"Mardi";"Mercredi";"Samedi";"Vendredi"},{17;14;11;12;13;16;15})</f>
        <v>11</v>
      </c>
      <c r="I3" s="32" t="s">
        <v>69</v>
      </c>
      <c r="J3" s="32">
        <v>1</v>
      </c>
      <c r="K3" s="1"/>
    </row>
    <row r="4" spans="1:15" x14ac:dyDescent="0.25">
      <c r="A4" s="20" t="s">
        <v>4</v>
      </c>
      <c r="B4" s="4" t="b">
        <v>0</v>
      </c>
      <c r="C4" s="4" t="b">
        <v>1</v>
      </c>
      <c r="D4" s="6">
        <f ca="1">IF(C4,IF(AND(Date_Deb&gt;Pâq_Année_N+1,Date_Deb&lt;=Pâq_Année_N1),Pâq_Année_N1+1,Pâq_Année_N+1),"")</f>
        <v>43192</v>
      </c>
      <c r="E4" s="30"/>
      <c r="F4" s="31" t="b">
        <v>0</v>
      </c>
      <c r="G4" s="31" t="str">
        <f t="shared" ref="G4:G32" si="0">IF($E4&lt;&gt;"",IF($F4,DATE(IF(Date_Deb&gt;DATE(YEAR(Date_Deb),MONTH(E4),DAY(E4)),YEAR(Date_Deb)+1,YEAR(Date_Deb)),MONTH(E4),DAY(E4)),$E4),"")</f>
        <v/>
      </c>
      <c r="I4" s="32" t="s">
        <v>66</v>
      </c>
      <c r="J4" s="32">
        <v>7</v>
      </c>
    </row>
    <row r="5" spans="1:15" x14ac:dyDescent="0.25">
      <c r="A5" s="21" t="s">
        <v>5</v>
      </c>
      <c r="B5" s="4" t="b">
        <v>0</v>
      </c>
      <c r="C5" s="4" t="b">
        <v>1</v>
      </c>
      <c r="D5" s="6">
        <f ca="1">IF($C5,DATE(IF(Date_Deb&gt;DATE(YEAR(Date_Deb),5,1),YEAR(Date_Deb)+1,YEAR(Date_Deb)),5,1),"")</f>
        <v>43221</v>
      </c>
      <c r="E5" s="30"/>
      <c r="F5" s="31" t="b">
        <v>0</v>
      </c>
      <c r="G5" s="31" t="str">
        <f t="shared" si="0"/>
        <v/>
      </c>
      <c r="I5" s="43" t="s">
        <v>70</v>
      </c>
      <c r="J5" s="32">
        <v>15</v>
      </c>
      <c r="K5" s="59" t="s">
        <v>79</v>
      </c>
    </row>
    <row r="6" spans="1:15" x14ac:dyDescent="0.25">
      <c r="A6" s="22" t="s">
        <v>6</v>
      </c>
      <c r="B6" s="4" t="b">
        <v>0</v>
      </c>
      <c r="C6" s="4" t="b">
        <v>1</v>
      </c>
      <c r="D6" s="6">
        <f ca="1">IF(C6,IF(AND(Date_Deb&gt;Pâq_Année_N+39,Date_Deb&lt;=Pâq_Année_N1),Pâq_Année_N1+39,Pâq_Année_N+39),"")</f>
        <v>43230</v>
      </c>
      <c r="E6" s="30"/>
      <c r="F6" s="31" t="b">
        <v>0</v>
      </c>
      <c r="G6" s="31" t="str">
        <f t="shared" si="0"/>
        <v/>
      </c>
      <c r="I6" s="32" t="s">
        <v>52</v>
      </c>
      <c r="J6" s="32">
        <v>15</v>
      </c>
      <c r="K6" s="59"/>
    </row>
    <row r="7" spans="1:15" x14ac:dyDescent="0.25">
      <c r="A7" s="9">
        <v>14</v>
      </c>
      <c r="B7" s="4" t="b">
        <v>1</v>
      </c>
      <c r="C7" s="4" t="b">
        <v>0</v>
      </c>
      <c r="D7" s="6" t="str">
        <f>IF(C7,IF(AND(Date_Deb&gt;Pâq_Année_N+40,Date_Deb&lt;=Pâq_Année_N1),Pâq_Année_N1+40,Pâq_Année_N+40),"")</f>
        <v/>
      </c>
      <c r="E7" s="30"/>
      <c r="F7" s="31" t="b">
        <v>0</v>
      </c>
      <c r="G7" s="31" t="str">
        <f t="shared" si="0"/>
        <v/>
      </c>
      <c r="I7" s="43" t="s">
        <v>71</v>
      </c>
      <c r="J7" s="58"/>
      <c r="K7" s="59" t="s">
        <v>80</v>
      </c>
    </row>
    <row r="8" spans="1:15" x14ac:dyDescent="0.25">
      <c r="A8" s="10"/>
      <c r="B8" s="4" t="b">
        <v>1</v>
      </c>
      <c r="C8" s="4" t="b">
        <v>1</v>
      </c>
      <c r="D8" s="6">
        <f ca="1">IF($C8,DATE(IF(Date_Deb&gt;DATE(YEAR(Date_Deb),5,8),YEAR(Date_Deb)+1,YEAR(Date_Deb)),5,8),"")</f>
        <v>43228</v>
      </c>
      <c r="E8" s="30"/>
      <c r="F8" s="31" t="b">
        <v>0</v>
      </c>
      <c r="G8" s="31" t="str">
        <f t="shared" si="0"/>
        <v/>
      </c>
      <c r="I8" s="32" t="s">
        <v>72</v>
      </c>
      <c r="J8" s="32">
        <v>30</v>
      </c>
      <c r="K8" s="59" t="s">
        <v>81</v>
      </c>
    </row>
    <row r="9" spans="1:15" x14ac:dyDescent="0.25">
      <c r="B9" s="2" t="str">
        <f>CONCATENATE(B2*1,B3*1,B4*1,B5*1,B6*1,B7*1,B8*1)</f>
        <v>0000011</v>
      </c>
      <c r="C9" s="4" t="b">
        <v>0</v>
      </c>
      <c r="D9" s="6" t="str">
        <f>IF(C9,IF(AND(Date_Deb&gt;Pâq_Année_N+49,Date_Deb&lt;=Pâq_Année_N1),Pâq_Année_N1+49,Pâq_Année_N+49),"")</f>
        <v/>
      </c>
      <c r="E9" s="30"/>
      <c r="F9" s="31" t="b">
        <v>0</v>
      </c>
      <c r="G9" s="31" t="str">
        <f t="shared" si="0"/>
        <v/>
      </c>
      <c r="I9" s="32" t="s">
        <v>73</v>
      </c>
      <c r="J9" s="32">
        <v>60</v>
      </c>
    </row>
    <row r="10" spans="1:15" x14ac:dyDescent="0.25">
      <c r="C10" s="4" t="b">
        <v>1</v>
      </c>
      <c r="D10" s="6" t="str">
        <f>IF(C16,IF(AND(Date_Deb&gt;Pâq_Année_N+50,Date_Deb&lt;=Pâq_Année_N1),Pâq_Année_N1+50,Pâq_Année_N+50),"")</f>
        <v/>
      </c>
      <c r="E10" s="30"/>
      <c r="F10" s="31" t="b">
        <v>0</v>
      </c>
      <c r="G10" s="31" t="str">
        <f t="shared" si="0"/>
        <v/>
      </c>
      <c r="I10" s="32" t="s">
        <v>74</v>
      </c>
      <c r="J10" s="32">
        <v>90</v>
      </c>
    </row>
    <row r="11" spans="1:15" x14ac:dyDescent="0.25">
      <c r="C11" s="4" t="b">
        <v>1</v>
      </c>
      <c r="D11" s="6">
        <f ca="1">IF($C11,DATE(IF(Date_Deb&gt;DATE(YEAR(Date_Deb),7,14),YEAR(Date_Deb)+1,YEAR(Date_Deb)),7,14),"")</f>
        <v>43295</v>
      </c>
      <c r="E11" s="30"/>
      <c r="F11" s="31" t="b">
        <v>0</v>
      </c>
      <c r="G11" s="31" t="str">
        <f t="shared" si="0"/>
        <v/>
      </c>
      <c r="I11" s="32" t="s">
        <v>75</v>
      </c>
      <c r="J11" s="58"/>
    </row>
    <row r="12" spans="1:15" x14ac:dyDescent="0.25">
      <c r="A12" t="s">
        <v>57</v>
      </c>
      <c r="C12" s="4" t="b">
        <v>1</v>
      </c>
      <c r="D12" s="6">
        <f ca="1">IF($C12,DATE(IF(Date_Deb&gt;DATE(YEAR(Date_Deb),8,15),YEAR(Date_Deb)+1,YEAR(Date_Deb)),8,15),"")</f>
        <v>43327</v>
      </c>
      <c r="E12" s="30"/>
      <c r="F12" s="31" t="b">
        <v>0</v>
      </c>
      <c r="G12" s="31" t="str">
        <f t="shared" si="0"/>
        <v/>
      </c>
      <c r="I12" s="32" t="s">
        <v>76</v>
      </c>
      <c r="J12" s="32">
        <v>180</v>
      </c>
    </row>
    <row r="13" spans="1:15" x14ac:dyDescent="0.25">
      <c r="A13" t="s">
        <v>56</v>
      </c>
      <c r="C13" s="4" t="b">
        <v>1</v>
      </c>
      <c r="D13" s="6">
        <f ca="1">IF($C13,DATE(IF(Date_Deb&gt;DATE(YEAR(Date_Deb),11,1),YEAR(Date_Deb)+1,YEAR(Date_Deb)),11,1),"")</f>
        <v>43405</v>
      </c>
      <c r="E13" s="30"/>
      <c r="F13" s="31" t="b">
        <v>0</v>
      </c>
      <c r="G13" s="31" t="str">
        <f t="shared" si="0"/>
        <v/>
      </c>
      <c r="I13" s="32" t="s">
        <v>77</v>
      </c>
      <c r="J13" s="32">
        <v>365</v>
      </c>
    </row>
    <row r="14" spans="1:15" x14ac:dyDescent="0.25">
      <c r="A14" t="s">
        <v>58</v>
      </c>
      <c r="C14" s="4" t="b">
        <v>1</v>
      </c>
      <c r="D14" s="6">
        <f ca="1">IF($C14,DATE(IF(Date_Deb&gt;DATE(YEAR(Date_Deb),11,11),YEAR(Date_Deb)+1,YEAR(Date_Deb)),11,11),"")</f>
        <v>43415</v>
      </c>
      <c r="E14" s="30"/>
      <c r="F14" s="31" t="b">
        <v>0</v>
      </c>
      <c r="G14" s="31" t="str">
        <f t="shared" si="0"/>
        <v/>
      </c>
      <c r="I14" s="43" t="s">
        <v>78</v>
      </c>
      <c r="J14" s="58"/>
    </row>
    <row r="15" spans="1:15" x14ac:dyDescent="0.25">
      <c r="A15" t="s">
        <v>59</v>
      </c>
      <c r="C15" s="4" t="b">
        <v>1</v>
      </c>
      <c r="D15" s="6">
        <f ca="1">IF($C15,DATE(IF(Date_Deb&gt;DATE(YEAR(Date_Deb),12,25),YEAR(Date_Deb)+1,YEAR(Date_Deb)),12,25),"")</f>
        <v>43459</v>
      </c>
      <c r="E15" s="30"/>
      <c r="F15" s="31" t="b">
        <v>0</v>
      </c>
      <c r="G15" s="31" t="str">
        <f t="shared" si="0"/>
        <v/>
      </c>
      <c r="I15" s="35">
        <v>0</v>
      </c>
      <c r="J15" s="36">
        <v>0</v>
      </c>
    </row>
    <row r="16" spans="1:15" x14ac:dyDescent="0.25">
      <c r="A16" t="s">
        <v>60</v>
      </c>
      <c r="C16" s="4" t="b">
        <v>0</v>
      </c>
      <c r="D16" s="6" t="str">
        <f>IF($C16,DATE(IF(Date_Deb&gt;DATE(YEAR(Date_Deb),12,26),YEAR(Date_Deb)+1,YEAR(Date_Deb)),12,26),"")</f>
        <v/>
      </c>
      <c r="E16" s="30"/>
      <c r="F16" s="31" t="b">
        <v>0</v>
      </c>
      <c r="G16" s="31" t="str">
        <f t="shared" si="0"/>
        <v/>
      </c>
    </row>
    <row r="17" spans="1:7" x14ac:dyDescent="0.25">
      <c r="A17" t="s">
        <v>61</v>
      </c>
      <c r="C17" s="3"/>
      <c r="D17" s="24"/>
      <c r="E17" s="30"/>
      <c r="F17" s="31" t="b">
        <v>0</v>
      </c>
      <c r="G17" s="31" t="str">
        <f t="shared" si="0"/>
        <v/>
      </c>
    </row>
    <row r="18" spans="1:7" x14ac:dyDescent="0.25">
      <c r="E18" s="30"/>
      <c r="F18" s="31" t="b">
        <v>0</v>
      </c>
      <c r="G18" s="31" t="str">
        <f t="shared" si="0"/>
        <v/>
      </c>
    </row>
    <row r="19" spans="1:7" x14ac:dyDescent="0.25">
      <c r="A19" t="s">
        <v>89</v>
      </c>
      <c r="B19" s="66" t="s">
        <v>142</v>
      </c>
      <c r="E19" s="30"/>
      <c r="F19" s="31" t="b">
        <v>0</v>
      </c>
      <c r="G19" s="31" t="str">
        <f t="shared" si="0"/>
        <v/>
      </c>
    </row>
    <row r="20" spans="1:7" x14ac:dyDescent="0.25">
      <c r="A20" t="s">
        <v>90</v>
      </c>
      <c r="B20" s="66" t="s">
        <v>143</v>
      </c>
      <c r="E20" s="30"/>
      <c r="F20" s="31" t="b">
        <v>0</v>
      </c>
      <c r="G20" s="31" t="str">
        <f t="shared" si="0"/>
        <v/>
      </c>
    </row>
    <row r="21" spans="1:7" x14ac:dyDescent="0.25">
      <c r="E21" s="30"/>
      <c r="F21" s="31" t="b">
        <v>0</v>
      </c>
      <c r="G21" s="31" t="str">
        <f t="shared" si="0"/>
        <v/>
      </c>
    </row>
    <row r="22" spans="1:7" x14ac:dyDescent="0.25">
      <c r="A22" t="s">
        <v>127</v>
      </c>
      <c r="E22" s="30"/>
      <c r="F22" s="31" t="b">
        <v>0</v>
      </c>
      <c r="G22" s="31" t="str">
        <f t="shared" si="0"/>
        <v/>
      </c>
    </row>
    <row r="23" spans="1:7" x14ac:dyDescent="0.25">
      <c r="A23" t="s">
        <v>128</v>
      </c>
      <c r="E23" s="30"/>
      <c r="F23" s="31" t="b">
        <v>0</v>
      </c>
      <c r="G23" s="31" t="str">
        <f t="shared" si="0"/>
        <v/>
      </c>
    </row>
    <row r="24" spans="1:7" x14ac:dyDescent="0.25">
      <c r="E24" s="30"/>
      <c r="F24" s="31" t="b">
        <v>0</v>
      </c>
      <c r="G24" s="31" t="str">
        <f t="shared" si="0"/>
        <v/>
      </c>
    </row>
    <row r="25" spans="1:7" x14ac:dyDescent="0.25">
      <c r="A25" t="s">
        <v>89</v>
      </c>
      <c r="E25" s="30"/>
      <c r="F25" s="31" t="b">
        <v>0</v>
      </c>
      <c r="G25" s="31" t="str">
        <f t="shared" si="0"/>
        <v/>
      </c>
    </row>
    <row r="26" spans="1:7" x14ac:dyDescent="0.25">
      <c r="A26" t="s">
        <v>135</v>
      </c>
      <c r="E26" s="30"/>
      <c r="F26" s="31" t="b">
        <v>0</v>
      </c>
      <c r="G26" s="31" t="str">
        <f t="shared" si="0"/>
        <v/>
      </c>
    </row>
    <row r="27" spans="1:7" x14ac:dyDescent="0.25">
      <c r="E27" s="30"/>
      <c r="F27" s="31" t="b">
        <v>0</v>
      </c>
      <c r="G27" s="31" t="str">
        <f t="shared" si="0"/>
        <v/>
      </c>
    </row>
    <row r="28" spans="1:7" x14ac:dyDescent="0.25">
      <c r="E28" s="30"/>
      <c r="F28" s="31" t="b">
        <v>0</v>
      </c>
      <c r="G28" s="31" t="str">
        <f t="shared" si="0"/>
        <v/>
      </c>
    </row>
    <row r="29" spans="1:7" x14ac:dyDescent="0.25">
      <c r="E29" s="30"/>
      <c r="F29" s="31" t="b">
        <v>0</v>
      </c>
      <c r="G29" s="31" t="str">
        <f t="shared" si="0"/>
        <v/>
      </c>
    </row>
    <row r="30" spans="1:7" x14ac:dyDescent="0.25">
      <c r="E30" s="30"/>
      <c r="F30" s="31" t="b">
        <v>0</v>
      </c>
      <c r="G30" s="31" t="str">
        <f t="shared" si="0"/>
        <v/>
      </c>
    </row>
    <row r="31" spans="1:7" x14ac:dyDescent="0.25">
      <c r="E31" s="30"/>
      <c r="F31" s="31" t="b">
        <v>0</v>
      </c>
      <c r="G31" s="31" t="str">
        <f t="shared" si="0"/>
        <v/>
      </c>
    </row>
    <row r="32" spans="1:7" x14ac:dyDescent="0.25">
      <c r="E32" s="30"/>
      <c r="F32" s="31" t="b">
        <v>0</v>
      </c>
      <c r="G32" s="31" t="str">
        <f t="shared" si="0"/>
        <v/>
      </c>
    </row>
    <row r="33" spans="1:7" x14ac:dyDescent="0.25">
      <c r="E33" s="3"/>
      <c r="F33" s="27"/>
      <c r="G33" s="28"/>
    </row>
    <row r="35" spans="1:7" x14ac:dyDescent="0.25">
      <c r="A35" s="89" t="s">
        <v>131</v>
      </c>
    </row>
    <row r="36" spans="1:7" x14ac:dyDescent="0.25">
      <c r="A36" t="s">
        <v>105</v>
      </c>
    </row>
    <row r="37" spans="1:7" x14ac:dyDescent="0.25">
      <c r="A37" t="s">
        <v>88</v>
      </c>
    </row>
    <row r="38" spans="1:7" x14ac:dyDescent="0.25">
      <c r="A38" t="s">
        <v>107</v>
      </c>
    </row>
    <row r="39" spans="1:7" x14ac:dyDescent="0.25">
      <c r="A39" s="57" t="s">
        <v>134</v>
      </c>
    </row>
    <row r="40" spans="1:7" x14ac:dyDescent="0.25">
      <c r="A40" s="52" t="s">
        <v>110</v>
      </c>
    </row>
    <row r="41" spans="1:7" x14ac:dyDescent="0.25">
      <c r="A41" s="52" t="s">
        <v>113</v>
      </c>
    </row>
    <row r="42" spans="1:7" x14ac:dyDescent="0.25">
      <c r="A42" s="52" t="s">
        <v>115</v>
      </c>
    </row>
    <row r="43" spans="1:7" x14ac:dyDescent="0.25">
      <c r="A43" s="52" t="s">
        <v>117</v>
      </c>
    </row>
    <row r="44" spans="1:7" x14ac:dyDescent="0.25">
      <c r="A44" s="52" t="s">
        <v>119</v>
      </c>
    </row>
    <row r="45" spans="1:7" x14ac:dyDescent="0.25">
      <c r="A45" s="52" t="s">
        <v>121</v>
      </c>
    </row>
    <row r="47" spans="1:7" x14ac:dyDescent="0.25">
      <c r="A47" s="89" t="s">
        <v>132</v>
      </c>
    </row>
    <row r="48" spans="1:7" x14ac:dyDescent="0.25">
      <c r="A48" t="s">
        <v>133</v>
      </c>
    </row>
    <row r="49" spans="1:1" x14ac:dyDescent="0.25">
      <c r="A49" t="s">
        <v>145</v>
      </c>
    </row>
    <row r="50" spans="1:1" x14ac:dyDescent="0.25">
      <c r="A50" t="s">
        <v>146</v>
      </c>
    </row>
    <row r="51" spans="1:1" x14ac:dyDescent="0.25">
      <c r="A51" t="s">
        <v>147</v>
      </c>
    </row>
  </sheetData>
  <mergeCells count="1">
    <mergeCell ref="C1:D1"/>
  </mergeCells>
  <conditionalFormatting sqref="B1">
    <cfRule type="expression" dxfId="15" priority="2">
      <formula>AND($B$9="1111111")</formula>
    </cfRule>
  </conditionalFormatting>
  <dataValidations count="2">
    <dataValidation type="list" allowBlank="1" showInputMessage="1" showErrorMessage="1" sqref="H2">
      <formula1>"Lundi,Mardi,Mercredi,Jeudi,Vendredi,Samedi,Dimanche"</formula1>
    </dataValidation>
    <dataValidation type="list" allowBlank="1" showInputMessage="1" showErrorMessage="1" sqref="F2:F32">
      <formula1>"Oui"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5" r:id="rId4" name="Case à cocher 3">
              <controlPr defaultSize="0" autoFill="0" autoLine="0" autoPict="0">
                <anchor moveWithCells="1">
                  <from>
                    <xdr:col>1</xdr:col>
                    <xdr:colOff>38100</xdr:colOff>
                    <xdr:row>0</xdr:row>
                    <xdr:rowOff>561975</xdr:rowOff>
                  </from>
                  <to>
                    <xdr:col>1</xdr:col>
                    <xdr:colOff>742950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6" r:id="rId5" name="Case à cocher 4">
              <controlPr defaultSize="0" autoFill="0" autoLine="0" autoPict="0">
                <anchor moveWithCells="1">
                  <from>
                    <xdr:col>1</xdr:col>
                    <xdr:colOff>38100</xdr:colOff>
                    <xdr:row>1</xdr:row>
                    <xdr:rowOff>180975</xdr:rowOff>
                  </from>
                  <to>
                    <xdr:col>1</xdr:col>
                    <xdr:colOff>742950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7" r:id="rId6" name="Case à cocher 5">
              <controlPr defaultSize="0" autoFill="0" autoLine="0" autoPict="0">
                <anchor moveWithCells="1">
                  <from>
                    <xdr:col>1</xdr:col>
                    <xdr:colOff>38100</xdr:colOff>
                    <xdr:row>2</xdr:row>
                    <xdr:rowOff>180975</xdr:rowOff>
                  </from>
                  <to>
                    <xdr:col>1</xdr:col>
                    <xdr:colOff>742950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8" r:id="rId7" name="Case à cocher 6">
              <controlPr defaultSize="0" autoFill="0" autoLine="0" autoPict="0">
                <anchor moveWithCells="1">
                  <from>
                    <xdr:col>1</xdr:col>
                    <xdr:colOff>38100</xdr:colOff>
                    <xdr:row>3</xdr:row>
                    <xdr:rowOff>180975</xdr:rowOff>
                  </from>
                  <to>
                    <xdr:col>1</xdr:col>
                    <xdr:colOff>742950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79" r:id="rId8" name="Case à cocher 7">
              <controlPr defaultSize="0" autoFill="0" autoLine="0" autoPict="0">
                <anchor moveWithCells="1">
                  <from>
                    <xdr:col>1</xdr:col>
                    <xdr:colOff>38100</xdr:colOff>
                    <xdr:row>4</xdr:row>
                    <xdr:rowOff>180975</xdr:rowOff>
                  </from>
                  <to>
                    <xdr:col>1</xdr:col>
                    <xdr:colOff>742950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0" r:id="rId9" name="Case à cocher 8">
              <controlPr defaultSize="0" autoFill="0" autoLine="0" autoPict="0">
                <anchor moveWithCells="1">
                  <from>
                    <xdr:col>1</xdr:col>
                    <xdr:colOff>38100</xdr:colOff>
                    <xdr:row>5</xdr:row>
                    <xdr:rowOff>180975</xdr:rowOff>
                  </from>
                  <to>
                    <xdr:col>1</xdr:col>
                    <xdr:colOff>742950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10" name="Case à cocher 9">
              <controlPr defaultSize="0" autoFill="0" autoLine="0" autoPict="0">
                <anchor moveWithCells="1">
                  <from>
                    <xdr:col>1</xdr:col>
                    <xdr:colOff>38100</xdr:colOff>
                    <xdr:row>6</xdr:row>
                    <xdr:rowOff>180975</xdr:rowOff>
                  </from>
                  <to>
                    <xdr:col>1</xdr:col>
                    <xdr:colOff>742950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8" r:id="rId11" name="Case à cocher 26">
              <controlPr defaultSize="0" autoFill="0" autoLine="0" autoPict="0">
                <anchor moveWithCells="1">
                  <from>
                    <xdr:col>2</xdr:col>
                    <xdr:colOff>9525</xdr:colOff>
                    <xdr:row>0</xdr:row>
                    <xdr:rowOff>561975</xdr:rowOff>
                  </from>
                  <to>
                    <xdr:col>3</xdr:col>
                    <xdr:colOff>733425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99" r:id="rId12" name="Case à cocher 27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0</xdr:rowOff>
                  </from>
                  <to>
                    <xdr:col>3</xdr:col>
                    <xdr:colOff>733425</xdr:colOff>
                    <xdr:row>3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6" r:id="rId13" name="Case à cocher 34">
              <controlPr defaultSize="0" autoFill="0" autoLine="0" autoPict="0">
                <anchor moveWithCells="1">
                  <from>
                    <xdr:col>2</xdr:col>
                    <xdr:colOff>9525</xdr:colOff>
                    <xdr:row>2</xdr:row>
                    <xdr:rowOff>180975</xdr:rowOff>
                  </from>
                  <to>
                    <xdr:col>3</xdr:col>
                    <xdr:colOff>733425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7" r:id="rId14" name="Case à cocher 35">
              <controlPr defaultSize="0" autoFill="0" autoLine="0" autoPict="0">
                <anchor moveWithCells="1">
                  <from>
                    <xdr:col>2</xdr:col>
                    <xdr:colOff>9525</xdr:colOff>
                    <xdr:row>3</xdr:row>
                    <xdr:rowOff>180975</xdr:rowOff>
                  </from>
                  <to>
                    <xdr:col>3</xdr:col>
                    <xdr:colOff>733425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09" r:id="rId15" name="Case à cocher 37">
              <controlPr defaultSize="0" autoFill="0" autoLine="0" autoPict="0">
                <anchor moveWithCells="1">
                  <from>
                    <xdr:col>2</xdr:col>
                    <xdr:colOff>9525</xdr:colOff>
                    <xdr:row>4</xdr:row>
                    <xdr:rowOff>161925</xdr:rowOff>
                  </from>
                  <to>
                    <xdr:col>4</xdr:col>
                    <xdr:colOff>133350</xdr:colOff>
                    <xdr:row>6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0" r:id="rId16" name="Case à cocher 38">
              <controlPr defaultSize="0" autoFill="0" autoLine="0" autoPict="0">
                <anchor moveWithCells="1">
                  <from>
                    <xdr:col>2</xdr:col>
                    <xdr:colOff>9525</xdr:colOff>
                    <xdr:row>6</xdr:row>
                    <xdr:rowOff>180975</xdr:rowOff>
                  </from>
                  <to>
                    <xdr:col>3</xdr:col>
                    <xdr:colOff>733425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1" r:id="rId17" name="Case à cocher 39">
              <controlPr defaultSize="0" autoFill="0" autoLine="0" autoPict="0">
                <anchor moveWithCells="1">
                  <from>
                    <xdr:col>2</xdr:col>
                    <xdr:colOff>9525</xdr:colOff>
                    <xdr:row>8</xdr:row>
                    <xdr:rowOff>180975</xdr:rowOff>
                  </from>
                  <to>
                    <xdr:col>3</xdr:col>
                    <xdr:colOff>733425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2" r:id="rId18" name="Case à cocher 40">
              <controlPr defaultSize="0" autoFill="0" autoLine="0" autoPict="0">
                <anchor moveWithCells="1">
                  <from>
                    <xdr:col>2</xdr:col>
                    <xdr:colOff>9525</xdr:colOff>
                    <xdr:row>7</xdr:row>
                    <xdr:rowOff>180975</xdr:rowOff>
                  </from>
                  <to>
                    <xdr:col>3</xdr:col>
                    <xdr:colOff>733425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3" r:id="rId19" name="Case à cocher 41">
              <controlPr defaultSize="0" autoFill="0" autoLine="0" autoPict="0">
                <anchor moveWithCells="1">
                  <from>
                    <xdr:col>2</xdr:col>
                    <xdr:colOff>9525</xdr:colOff>
                    <xdr:row>9</xdr:row>
                    <xdr:rowOff>180975</xdr:rowOff>
                  </from>
                  <to>
                    <xdr:col>3</xdr:col>
                    <xdr:colOff>733425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4" r:id="rId20" name="Case à cocher 42">
              <controlPr defaultSize="0" autoFill="0" autoLine="0" autoPict="0">
                <anchor moveWithCells="1">
                  <from>
                    <xdr:col>2</xdr:col>
                    <xdr:colOff>9525</xdr:colOff>
                    <xdr:row>10</xdr:row>
                    <xdr:rowOff>171450</xdr:rowOff>
                  </from>
                  <to>
                    <xdr:col>3</xdr:col>
                    <xdr:colOff>733425</xdr:colOff>
                    <xdr:row>12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5" r:id="rId21" name="Case à cocher 43">
              <controlPr defaultSize="0" autoFill="0" autoLine="0" autoPict="0">
                <anchor moveWithCells="1">
                  <from>
                    <xdr:col>2</xdr:col>
                    <xdr:colOff>9525</xdr:colOff>
                    <xdr:row>11</xdr:row>
                    <xdr:rowOff>171450</xdr:rowOff>
                  </from>
                  <to>
                    <xdr:col>3</xdr:col>
                    <xdr:colOff>733425</xdr:colOff>
                    <xdr:row>13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6" r:id="rId22" name="Case à cocher 44">
              <controlPr defaultSize="0" autoFill="0" autoLine="0" autoPict="0">
                <anchor moveWithCells="1">
                  <from>
                    <xdr:col>2</xdr:col>
                    <xdr:colOff>9525</xdr:colOff>
                    <xdr:row>12</xdr:row>
                    <xdr:rowOff>180975</xdr:rowOff>
                  </from>
                  <to>
                    <xdr:col>4</xdr:col>
                    <xdr:colOff>314325</xdr:colOff>
                    <xdr:row>14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7" r:id="rId23" name="Case à cocher 45">
              <controlPr defaultSize="0" autoFill="0" autoLine="0" autoPict="0">
                <anchor moveWithCells="1">
                  <from>
                    <xdr:col>2</xdr:col>
                    <xdr:colOff>9525</xdr:colOff>
                    <xdr:row>5</xdr:row>
                    <xdr:rowOff>180975</xdr:rowOff>
                  </from>
                  <to>
                    <xdr:col>3</xdr:col>
                    <xdr:colOff>733425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8" r:id="rId24" name="Case à cocher 46">
              <controlPr defaultSize="0" autoFill="0" autoLine="0" autoPict="0">
                <anchor moveWithCells="1">
                  <from>
                    <xdr:col>2</xdr:col>
                    <xdr:colOff>9525</xdr:colOff>
                    <xdr:row>13</xdr:row>
                    <xdr:rowOff>180975</xdr:rowOff>
                  </from>
                  <to>
                    <xdr:col>3</xdr:col>
                    <xdr:colOff>733425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19" r:id="rId25" name="Case à cocher 47">
              <controlPr defaultSize="0" autoFill="0" autoLine="0" autoPict="0">
                <anchor moveWithCells="1">
                  <from>
                    <xdr:col>2</xdr:col>
                    <xdr:colOff>9525</xdr:colOff>
                    <xdr:row>14</xdr:row>
                    <xdr:rowOff>180975</xdr:rowOff>
                  </from>
                  <to>
                    <xdr:col>3</xdr:col>
                    <xdr:colOff>733425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2" r:id="rId26" name="Case à cocher 50">
              <controlPr defaultSize="0" autoFill="0" autoLine="0" autoPict="0">
                <anchor moveWithCells="1">
                  <from>
                    <xdr:col>4</xdr:col>
                    <xdr:colOff>923925</xdr:colOff>
                    <xdr:row>0</xdr:row>
                    <xdr:rowOff>552450</xdr:rowOff>
                  </from>
                  <to>
                    <xdr:col>7</xdr:col>
                    <xdr:colOff>104775</xdr:colOff>
                    <xdr:row>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3" r:id="rId27" name="Case à cocher 51">
              <controlPr defaultSize="0" autoFill="0" autoLine="0" autoPict="0">
                <anchor moveWithCells="1">
                  <from>
                    <xdr:col>4</xdr:col>
                    <xdr:colOff>923925</xdr:colOff>
                    <xdr:row>1</xdr:row>
                    <xdr:rowOff>171450</xdr:rowOff>
                  </from>
                  <to>
                    <xdr:col>7</xdr:col>
                    <xdr:colOff>104775</xdr:colOff>
                    <xdr:row>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4" r:id="rId28" name="Case à cocher 52">
              <controlPr defaultSize="0" autoFill="0" autoLine="0" autoPict="0">
                <anchor moveWithCells="1">
                  <from>
                    <xdr:col>4</xdr:col>
                    <xdr:colOff>923925</xdr:colOff>
                    <xdr:row>2</xdr:row>
                    <xdr:rowOff>171450</xdr:rowOff>
                  </from>
                  <to>
                    <xdr:col>7</xdr:col>
                    <xdr:colOff>104775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5" r:id="rId29" name="Case à cocher 53">
              <controlPr defaultSize="0" autoFill="0" autoLine="0" autoPict="0">
                <anchor moveWithCells="1">
                  <from>
                    <xdr:col>4</xdr:col>
                    <xdr:colOff>923925</xdr:colOff>
                    <xdr:row>3</xdr:row>
                    <xdr:rowOff>171450</xdr:rowOff>
                  </from>
                  <to>
                    <xdr:col>7</xdr:col>
                    <xdr:colOff>104775</xdr:colOff>
                    <xdr:row>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6" r:id="rId30" name="Case à cocher 54">
              <controlPr defaultSize="0" autoFill="0" autoLine="0" autoPict="0">
                <anchor moveWithCells="1">
                  <from>
                    <xdr:col>4</xdr:col>
                    <xdr:colOff>923925</xdr:colOff>
                    <xdr:row>4</xdr:row>
                    <xdr:rowOff>171450</xdr:rowOff>
                  </from>
                  <to>
                    <xdr:col>7</xdr:col>
                    <xdr:colOff>104775</xdr:colOff>
                    <xdr:row>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7" r:id="rId31" name="Case à cocher 55">
              <controlPr defaultSize="0" autoFill="0" autoLine="0" autoPict="0">
                <anchor moveWithCells="1">
                  <from>
                    <xdr:col>4</xdr:col>
                    <xdr:colOff>923925</xdr:colOff>
                    <xdr:row>5</xdr:row>
                    <xdr:rowOff>171450</xdr:rowOff>
                  </from>
                  <to>
                    <xdr:col>7</xdr:col>
                    <xdr:colOff>104775</xdr:colOff>
                    <xdr:row>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8" r:id="rId32" name="Case à cocher 56">
              <controlPr defaultSize="0" autoFill="0" autoLine="0" autoPict="0">
                <anchor moveWithCells="1">
                  <from>
                    <xdr:col>4</xdr:col>
                    <xdr:colOff>923925</xdr:colOff>
                    <xdr:row>6</xdr:row>
                    <xdr:rowOff>171450</xdr:rowOff>
                  </from>
                  <to>
                    <xdr:col>7</xdr:col>
                    <xdr:colOff>104775</xdr:colOff>
                    <xdr:row>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29" r:id="rId33" name="Case à cocher 57">
              <controlPr defaultSize="0" autoFill="0" autoLine="0" autoPict="0">
                <anchor moveWithCells="1">
                  <from>
                    <xdr:col>4</xdr:col>
                    <xdr:colOff>923925</xdr:colOff>
                    <xdr:row>7</xdr:row>
                    <xdr:rowOff>171450</xdr:rowOff>
                  </from>
                  <to>
                    <xdr:col>7</xdr:col>
                    <xdr:colOff>104775</xdr:colOff>
                    <xdr:row>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0" r:id="rId34" name="Case à cocher 58">
              <controlPr defaultSize="0" autoFill="0" autoLine="0" autoPict="0">
                <anchor moveWithCells="1">
                  <from>
                    <xdr:col>4</xdr:col>
                    <xdr:colOff>923925</xdr:colOff>
                    <xdr:row>8</xdr:row>
                    <xdr:rowOff>171450</xdr:rowOff>
                  </from>
                  <to>
                    <xdr:col>7</xdr:col>
                    <xdr:colOff>104775</xdr:colOff>
                    <xdr:row>10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1" r:id="rId35" name="Case à cocher 59">
              <controlPr defaultSize="0" autoFill="0" autoLine="0" autoPict="0">
                <anchor moveWithCells="1">
                  <from>
                    <xdr:col>4</xdr:col>
                    <xdr:colOff>923925</xdr:colOff>
                    <xdr:row>9</xdr:row>
                    <xdr:rowOff>171450</xdr:rowOff>
                  </from>
                  <to>
                    <xdr:col>7</xdr:col>
                    <xdr:colOff>104775</xdr:colOff>
                    <xdr:row>11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2" r:id="rId36" name="Case à cocher 60">
              <controlPr defaultSize="0" autoFill="0" autoLine="0" autoPict="0">
                <anchor moveWithCells="1">
                  <from>
                    <xdr:col>4</xdr:col>
                    <xdr:colOff>923925</xdr:colOff>
                    <xdr:row>10</xdr:row>
                    <xdr:rowOff>171450</xdr:rowOff>
                  </from>
                  <to>
                    <xdr:col>7</xdr:col>
                    <xdr:colOff>104775</xdr:colOff>
                    <xdr:row>12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3" r:id="rId37" name="Case à cocher 61">
              <controlPr defaultSize="0" autoFill="0" autoLine="0" autoPict="0">
                <anchor moveWithCells="1">
                  <from>
                    <xdr:col>4</xdr:col>
                    <xdr:colOff>923925</xdr:colOff>
                    <xdr:row>11</xdr:row>
                    <xdr:rowOff>171450</xdr:rowOff>
                  </from>
                  <to>
                    <xdr:col>7</xdr:col>
                    <xdr:colOff>104775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4" r:id="rId38" name="Case à cocher 62">
              <controlPr defaultSize="0" autoFill="0" autoLine="0" autoPict="0">
                <anchor moveWithCells="1">
                  <from>
                    <xdr:col>4</xdr:col>
                    <xdr:colOff>923925</xdr:colOff>
                    <xdr:row>12</xdr:row>
                    <xdr:rowOff>171450</xdr:rowOff>
                  </from>
                  <to>
                    <xdr:col>7</xdr:col>
                    <xdr:colOff>104775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5" r:id="rId39" name="Case à cocher 63">
              <controlPr defaultSize="0" autoFill="0" autoLine="0" autoPict="0">
                <anchor moveWithCells="1">
                  <from>
                    <xdr:col>4</xdr:col>
                    <xdr:colOff>923925</xdr:colOff>
                    <xdr:row>13</xdr:row>
                    <xdr:rowOff>171450</xdr:rowOff>
                  </from>
                  <to>
                    <xdr:col>7</xdr:col>
                    <xdr:colOff>104775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6" r:id="rId40" name="Case à cocher 64">
              <controlPr defaultSize="0" autoFill="0" autoLine="0" autoPict="0">
                <anchor moveWithCells="1">
                  <from>
                    <xdr:col>4</xdr:col>
                    <xdr:colOff>923925</xdr:colOff>
                    <xdr:row>14</xdr:row>
                    <xdr:rowOff>171450</xdr:rowOff>
                  </from>
                  <to>
                    <xdr:col>7</xdr:col>
                    <xdr:colOff>104775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7" r:id="rId41" name="Case à cocher 65">
              <controlPr defaultSize="0" autoFill="0" autoLine="0" autoPict="0">
                <anchor moveWithCells="1">
                  <from>
                    <xdr:col>4</xdr:col>
                    <xdr:colOff>923925</xdr:colOff>
                    <xdr:row>15</xdr:row>
                    <xdr:rowOff>171450</xdr:rowOff>
                  </from>
                  <to>
                    <xdr:col>7</xdr:col>
                    <xdr:colOff>104775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8" r:id="rId42" name="Case à cocher 66">
              <controlPr defaultSize="0" autoFill="0" autoLine="0" autoPict="0">
                <anchor moveWithCells="1">
                  <from>
                    <xdr:col>4</xdr:col>
                    <xdr:colOff>923925</xdr:colOff>
                    <xdr:row>16</xdr:row>
                    <xdr:rowOff>171450</xdr:rowOff>
                  </from>
                  <to>
                    <xdr:col>7</xdr:col>
                    <xdr:colOff>104775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39" r:id="rId43" name="Case à cocher 67">
              <controlPr defaultSize="0" autoFill="0" autoLine="0" autoPict="0">
                <anchor moveWithCells="1">
                  <from>
                    <xdr:col>4</xdr:col>
                    <xdr:colOff>923925</xdr:colOff>
                    <xdr:row>17</xdr:row>
                    <xdr:rowOff>171450</xdr:rowOff>
                  </from>
                  <to>
                    <xdr:col>7</xdr:col>
                    <xdr:colOff>104775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0" r:id="rId44" name="Case à cocher 68">
              <controlPr defaultSize="0" autoFill="0" autoLine="0" autoPict="0">
                <anchor moveWithCells="1">
                  <from>
                    <xdr:col>4</xdr:col>
                    <xdr:colOff>923925</xdr:colOff>
                    <xdr:row>18</xdr:row>
                    <xdr:rowOff>171450</xdr:rowOff>
                  </from>
                  <to>
                    <xdr:col>7</xdr:col>
                    <xdr:colOff>104775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1" r:id="rId45" name="Case à cocher 69">
              <controlPr defaultSize="0" autoFill="0" autoLine="0" autoPict="0">
                <anchor moveWithCells="1">
                  <from>
                    <xdr:col>4</xdr:col>
                    <xdr:colOff>923925</xdr:colOff>
                    <xdr:row>19</xdr:row>
                    <xdr:rowOff>171450</xdr:rowOff>
                  </from>
                  <to>
                    <xdr:col>7</xdr:col>
                    <xdr:colOff>104775</xdr:colOff>
                    <xdr:row>21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2" r:id="rId46" name="Case à cocher 70">
              <controlPr defaultSize="0" autoFill="0" autoLine="0" autoPict="0">
                <anchor moveWithCells="1">
                  <from>
                    <xdr:col>4</xdr:col>
                    <xdr:colOff>923925</xdr:colOff>
                    <xdr:row>20</xdr:row>
                    <xdr:rowOff>171450</xdr:rowOff>
                  </from>
                  <to>
                    <xdr:col>7</xdr:col>
                    <xdr:colOff>104775</xdr:colOff>
                    <xdr:row>22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3" r:id="rId47" name="Case à cocher 71">
              <controlPr defaultSize="0" autoFill="0" autoLine="0" autoPict="0">
                <anchor moveWithCells="1">
                  <from>
                    <xdr:col>4</xdr:col>
                    <xdr:colOff>923925</xdr:colOff>
                    <xdr:row>21</xdr:row>
                    <xdr:rowOff>171450</xdr:rowOff>
                  </from>
                  <to>
                    <xdr:col>7</xdr:col>
                    <xdr:colOff>104775</xdr:colOff>
                    <xdr:row>23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4" r:id="rId48" name="Case à cocher 72">
              <controlPr defaultSize="0" autoFill="0" autoLine="0" autoPict="0">
                <anchor moveWithCells="1">
                  <from>
                    <xdr:col>4</xdr:col>
                    <xdr:colOff>923925</xdr:colOff>
                    <xdr:row>22</xdr:row>
                    <xdr:rowOff>171450</xdr:rowOff>
                  </from>
                  <to>
                    <xdr:col>7</xdr:col>
                    <xdr:colOff>104775</xdr:colOff>
                    <xdr:row>24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5" r:id="rId49" name="Case à cocher 73">
              <controlPr defaultSize="0" autoFill="0" autoLine="0" autoPict="0">
                <anchor moveWithCells="1">
                  <from>
                    <xdr:col>4</xdr:col>
                    <xdr:colOff>923925</xdr:colOff>
                    <xdr:row>23</xdr:row>
                    <xdr:rowOff>171450</xdr:rowOff>
                  </from>
                  <to>
                    <xdr:col>7</xdr:col>
                    <xdr:colOff>104775</xdr:colOff>
                    <xdr:row>25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6" r:id="rId50" name="Case à cocher 74">
              <controlPr defaultSize="0" autoFill="0" autoLine="0" autoPict="0">
                <anchor moveWithCells="1">
                  <from>
                    <xdr:col>4</xdr:col>
                    <xdr:colOff>923925</xdr:colOff>
                    <xdr:row>24</xdr:row>
                    <xdr:rowOff>171450</xdr:rowOff>
                  </from>
                  <to>
                    <xdr:col>7</xdr:col>
                    <xdr:colOff>104775</xdr:colOff>
                    <xdr:row>26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7" r:id="rId51" name="Case à cocher 75">
              <controlPr defaultSize="0" autoFill="0" autoLine="0" autoPict="0">
                <anchor moveWithCells="1">
                  <from>
                    <xdr:col>4</xdr:col>
                    <xdr:colOff>923925</xdr:colOff>
                    <xdr:row>25</xdr:row>
                    <xdr:rowOff>171450</xdr:rowOff>
                  </from>
                  <to>
                    <xdr:col>7</xdr:col>
                    <xdr:colOff>104775</xdr:colOff>
                    <xdr:row>27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8" r:id="rId52" name="Case à cocher 76">
              <controlPr defaultSize="0" autoFill="0" autoLine="0" autoPict="0">
                <anchor moveWithCells="1">
                  <from>
                    <xdr:col>4</xdr:col>
                    <xdr:colOff>923925</xdr:colOff>
                    <xdr:row>26</xdr:row>
                    <xdr:rowOff>171450</xdr:rowOff>
                  </from>
                  <to>
                    <xdr:col>7</xdr:col>
                    <xdr:colOff>104775</xdr:colOff>
                    <xdr:row>28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49" r:id="rId53" name="Case à cocher 77">
              <controlPr defaultSize="0" autoFill="0" autoLine="0" autoPict="0">
                <anchor moveWithCells="1">
                  <from>
                    <xdr:col>4</xdr:col>
                    <xdr:colOff>923925</xdr:colOff>
                    <xdr:row>27</xdr:row>
                    <xdr:rowOff>171450</xdr:rowOff>
                  </from>
                  <to>
                    <xdr:col>7</xdr:col>
                    <xdr:colOff>104775</xdr:colOff>
                    <xdr:row>29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0" r:id="rId54" name="Case à cocher 78">
              <controlPr defaultSize="0" autoFill="0" autoLine="0" autoPict="0">
                <anchor moveWithCells="1">
                  <from>
                    <xdr:col>4</xdr:col>
                    <xdr:colOff>923925</xdr:colOff>
                    <xdr:row>28</xdr:row>
                    <xdr:rowOff>171450</xdr:rowOff>
                  </from>
                  <to>
                    <xdr:col>7</xdr:col>
                    <xdr:colOff>104775</xdr:colOff>
                    <xdr:row>30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1" r:id="rId55" name="Case à cocher 79">
              <controlPr defaultSize="0" autoFill="0" autoLine="0" autoPict="0">
                <anchor moveWithCells="1">
                  <from>
                    <xdr:col>4</xdr:col>
                    <xdr:colOff>923925</xdr:colOff>
                    <xdr:row>29</xdr:row>
                    <xdr:rowOff>171450</xdr:rowOff>
                  </from>
                  <to>
                    <xdr:col>7</xdr:col>
                    <xdr:colOff>104775</xdr:colOff>
                    <xdr:row>31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152" r:id="rId56" name="Case à cocher 80">
              <controlPr defaultSize="0" autoFill="0" autoLine="0" autoPict="0">
                <anchor moveWithCells="1">
                  <from>
                    <xdr:col>4</xdr:col>
                    <xdr:colOff>923925</xdr:colOff>
                    <xdr:row>30</xdr:row>
                    <xdr:rowOff>171450</xdr:rowOff>
                  </from>
                  <to>
                    <xdr:col>7</xdr:col>
                    <xdr:colOff>104775</xdr:colOff>
                    <xdr:row>32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B8:T29"/>
  <sheetViews>
    <sheetView topLeftCell="D1" workbookViewId="0">
      <selection activeCell="P23" sqref="P23"/>
    </sheetView>
  </sheetViews>
  <sheetFormatPr baseColWidth="10" defaultRowHeight="15" x14ac:dyDescent="0.25"/>
  <cols>
    <col min="1" max="1" width="2.85546875" style="52" customWidth="1"/>
    <col min="2" max="2" width="15.7109375" style="52" customWidth="1"/>
    <col min="3" max="3" width="18.5703125" style="52" customWidth="1"/>
    <col min="4" max="4" width="42.85546875" style="52" customWidth="1"/>
    <col min="5" max="8" width="15.7109375" style="52" customWidth="1"/>
    <col min="9" max="9" width="7.85546875" style="52" customWidth="1"/>
    <col min="10" max="10" width="7.140625" style="52" customWidth="1"/>
    <col min="11" max="23" width="15.7109375" style="52" customWidth="1"/>
    <col min="24" max="16384" width="11.42578125" style="52"/>
  </cols>
  <sheetData>
    <row r="8" spans="2:20" x14ac:dyDescent="0.25">
      <c r="D8" s="53"/>
    </row>
    <row r="9" spans="2:20" x14ac:dyDescent="0.25">
      <c r="G9" s="52" t="s">
        <v>126</v>
      </c>
      <c r="H9" s="54">
        <v>1000</v>
      </c>
    </row>
    <row r="11" spans="2:20" x14ac:dyDescent="0.25">
      <c r="E11" s="53"/>
    </row>
    <row r="12" spans="2:20" ht="30" customHeight="1" x14ac:dyDescent="0.25">
      <c r="B12" s="61" t="s">
        <v>95</v>
      </c>
      <c r="C12" s="61" t="s">
        <v>55</v>
      </c>
      <c r="D12" s="61" t="s">
        <v>53</v>
      </c>
      <c r="E12" s="61" t="s">
        <v>96</v>
      </c>
      <c r="F12" s="61" t="s">
        <v>89</v>
      </c>
      <c r="G12" s="61" t="s">
        <v>90</v>
      </c>
      <c r="H12" s="61" t="s">
        <v>94</v>
      </c>
      <c r="I12" s="63" t="s">
        <v>97</v>
      </c>
      <c r="J12" s="61" t="s">
        <v>83</v>
      </c>
      <c r="K12" s="61" t="s">
        <v>99</v>
      </c>
      <c r="L12" s="61" t="s">
        <v>100</v>
      </c>
      <c r="M12" s="61" t="s">
        <v>101</v>
      </c>
      <c r="N12" s="61" t="s">
        <v>100</v>
      </c>
      <c r="O12" s="61" t="s">
        <v>136</v>
      </c>
      <c r="P12" s="62" t="s">
        <v>98</v>
      </c>
      <c r="Q12" s="62" t="s">
        <v>124</v>
      </c>
      <c r="R12" s="61" t="s">
        <v>102</v>
      </c>
      <c r="S12" s="61" t="s">
        <v>103</v>
      </c>
      <c r="T12" s="61" t="s">
        <v>104</v>
      </c>
    </row>
    <row r="13" spans="2:20" ht="18.75" customHeight="1" x14ac:dyDescent="0.25">
      <c r="B13" s="53">
        <v>43101</v>
      </c>
      <c r="C13" s="52" t="s">
        <v>61</v>
      </c>
      <c r="D13" s="52" t="s">
        <v>105</v>
      </c>
      <c r="E13" s="52" t="s">
        <v>123</v>
      </c>
      <c r="F13" s="54">
        <v>600</v>
      </c>
      <c r="G13" s="54"/>
      <c r="H13" s="54">
        <f>H9-F13+G13</f>
        <v>400</v>
      </c>
      <c r="J13" s="55">
        <f t="shared" ref="J13:J21" si="0">IF(B13=0,0,MONTH(B13))</f>
        <v>1</v>
      </c>
      <c r="K13" s="54">
        <f t="shared" ref="K13:K21" si="1">IF(M13="","",M13/(L13+1))</f>
        <v>500</v>
      </c>
      <c r="L13" s="54">
        <v>0.2</v>
      </c>
      <c r="M13" s="54">
        <f t="shared" ref="M13:M21" si="2">IF(AND(F13&lt;&gt;"",G13&lt;&gt;""),FALSE,IF(AND(F13="",G13=""),"",IF(F13="",G13,F13)))</f>
        <v>600</v>
      </c>
      <c r="N13" s="52" t="s">
        <v>135</v>
      </c>
      <c r="O13" s="53">
        <v>43100</v>
      </c>
      <c r="P13" s="53">
        <f t="shared" ref="P13:P21" si="3">B13</f>
        <v>43101</v>
      </c>
      <c r="Q13" s="52" t="s">
        <v>127</v>
      </c>
      <c r="S13" s="52" t="s">
        <v>105</v>
      </c>
      <c r="T13" s="52" t="s">
        <v>105</v>
      </c>
    </row>
    <row r="14" spans="2:20" ht="18.75" customHeight="1" x14ac:dyDescent="0.25">
      <c r="B14" s="53">
        <v>43102</v>
      </c>
      <c r="D14" s="52" t="s">
        <v>88</v>
      </c>
      <c r="E14" s="52" t="s">
        <v>106</v>
      </c>
      <c r="F14" s="54">
        <v>200</v>
      </c>
      <c r="G14" s="54"/>
      <c r="H14" s="54">
        <f t="shared" ref="H14:H21" si="4">H13-F14+G14</f>
        <v>200</v>
      </c>
      <c r="J14" s="55">
        <f t="shared" si="0"/>
        <v>1</v>
      </c>
      <c r="K14" s="54">
        <f t="shared" si="1"/>
        <v>166.66666666666669</v>
      </c>
      <c r="L14" s="54">
        <v>0.2</v>
      </c>
      <c r="M14" s="54">
        <f t="shared" si="2"/>
        <v>200</v>
      </c>
      <c r="N14" s="52" t="s">
        <v>135</v>
      </c>
      <c r="O14" s="53">
        <v>43100</v>
      </c>
      <c r="P14" s="53">
        <f t="shared" si="3"/>
        <v>43102</v>
      </c>
      <c r="Q14" s="52" t="s">
        <v>127</v>
      </c>
      <c r="S14" s="52" t="s">
        <v>88</v>
      </c>
      <c r="T14" s="52" t="s">
        <v>88</v>
      </c>
    </row>
    <row r="15" spans="2:20" ht="18.75" customHeight="1" x14ac:dyDescent="0.25">
      <c r="B15" s="53">
        <v>43103</v>
      </c>
      <c r="D15" s="52" t="s">
        <v>108</v>
      </c>
      <c r="E15" s="52" t="s">
        <v>109</v>
      </c>
      <c r="F15" s="54">
        <v>300</v>
      </c>
      <c r="G15" s="54"/>
      <c r="H15" s="54">
        <f t="shared" si="4"/>
        <v>-100</v>
      </c>
      <c r="J15" s="55">
        <f t="shared" si="0"/>
        <v>1</v>
      </c>
      <c r="K15" s="54">
        <f t="shared" si="1"/>
        <v>250</v>
      </c>
      <c r="L15" s="54">
        <v>0.2</v>
      </c>
      <c r="M15" s="54">
        <f t="shared" si="2"/>
        <v>300</v>
      </c>
      <c r="N15" s="52" t="s">
        <v>89</v>
      </c>
      <c r="O15" s="53">
        <v>43100</v>
      </c>
      <c r="P15" s="53">
        <f t="shared" si="3"/>
        <v>43103</v>
      </c>
      <c r="Q15" s="52" t="s">
        <v>127</v>
      </c>
      <c r="S15" s="52" t="s">
        <v>107</v>
      </c>
    </row>
    <row r="16" spans="2:20" ht="18.75" customHeight="1" x14ac:dyDescent="0.25">
      <c r="B16" s="53">
        <v>43103</v>
      </c>
      <c r="D16" s="52" t="s">
        <v>112</v>
      </c>
      <c r="E16" s="52" t="s">
        <v>109</v>
      </c>
      <c r="F16" s="54">
        <v>300</v>
      </c>
      <c r="G16" s="54"/>
      <c r="H16" s="54">
        <f t="shared" si="4"/>
        <v>-400</v>
      </c>
      <c r="J16" s="55">
        <f t="shared" si="0"/>
        <v>1</v>
      </c>
      <c r="K16" s="54">
        <f t="shared" si="1"/>
        <v>250</v>
      </c>
      <c r="L16" s="54">
        <v>0.2</v>
      </c>
      <c r="M16" s="54">
        <f t="shared" si="2"/>
        <v>300</v>
      </c>
      <c r="N16" s="52" t="s">
        <v>89</v>
      </c>
      <c r="O16" s="53">
        <v>43079</v>
      </c>
      <c r="P16" s="53">
        <f t="shared" si="3"/>
        <v>43103</v>
      </c>
      <c r="Q16" s="52" t="s">
        <v>127</v>
      </c>
      <c r="S16" s="52" t="s">
        <v>107</v>
      </c>
    </row>
    <row r="17" spans="2:20" ht="18.75" customHeight="1" x14ac:dyDescent="0.25">
      <c r="B17" s="53">
        <v>43103</v>
      </c>
      <c r="D17" s="52" t="s">
        <v>114</v>
      </c>
      <c r="E17" s="52" t="s">
        <v>109</v>
      </c>
      <c r="F17" s="54">
        <v>300</v>
      </c>
      <c r="G17" s="54"/>
      <c r="H17" s="54">
        <f t="shared" si="4"/>
        <v>-700</v>
      </c>
      <c r="J17" s="55">
        <f t="shared" si="0"/>
        <v>1</v>
      </c>
      <c r="K17" s="54">
        <f t="shared" si="1"/>
        <v>250</v>
      </c>
      <c r="L17" s="54">
        <v>0.2</v>
      </c>
      <c r="M17" s="54">
        <f t="shared" si="2"/>
        <v>300</v>
      </c>
      <c r="N17" s="52" t="s">
        <v>89</v>
      </c>
      <c r="O17" s="53">
        <v>43080</v>
      </c>
      <c r="P17" s="53">
        <f t="shared" si="3"/>
        <v>43103</v>
      </c>
      <c r="Q17" s="52" t="s">
        <v>127</v>
      </c>
      <c r="S17" s="52" t="s">
        <v>107</v>
      </c>
    </row>
    <row r="18" spans="2:20" ht="18.75" customHeight="1" x14ac:dyDescent="0.25">
      <c r="B18" s="53">
        <v>43103</v>
      </c>
      <c r="C18" s="52" t="s">
        <v>56</v>
      </c>
      <c r="D18" s="52" t="s">
        <v>116</v>
      </c>
      <c r="E18" s="52" t="s">
        <v>109</v>
      </c>
      <c r="F18" s="54">
        <v>300</v>
      </c>
      <c r="G18" s="54"/>
      <c r="H18" s="54">
        <f t="shared" si="4"/>
        <v>-1000</v>
      </c>
      <c r="J18" s="55">
        <f t="shared" si="0"/>
        <v>1</v>
      </c>
      <c r="K18" s="54">
        <f t="shared" si="1"/>
        <v>250</v>
      </c>
      <c r="L18" s="54">
        <v>0.2</v>
      </c>
      <c r="M18" s="54">
        <f t="shared" si="2"/>
        <v>300</v>
      </c>
      <c r="N18" s="52" t="s">
        <v>89</v>
      </c>
      <c r="O18" s="53">
        <v>43081</v>
      </c>
      <c r="P18" s="53">
        <f t="shared" si="3"/>
        <v>43103</v>
      </c>
      <c r="Q18" s="52" t="s">
        <v>127</v>
      </c>
      <c r="S18" s="52" t="s">
        <v>107</v>
      </c>
    </row>
    <row r="19" spans="2:20" ht="18.75" customHeight="1" x14ac:dyDescent="0.25">
      <c r="B19" s="53">
        <v>43103</v>
      </c>
      <c r="C19" s="52" t="s">
        <v>59</v>
      </c>
      <c r="D19" s="52" t="s">
        <v>118</v>
      </c>
      <c r="E19" s="52" t="s">
        <v>109</v>
      </c>
      <c r="F19" s="54">
        <v>300</v>
      </c>
      <c r="G19" s="54"/>
      <c r="H19" s="54">
        <f t="shared" si="4"/>
        <v>-1300</v>
      </c>
      <c r="J19" s="55">
        <f t="shared" si="0"/>
        <v>1</v>
      </c>
      <c r="K19" s="54">
        <f t="shared" si="1"/>
        <v>250</v>
      </c>
      <c r="L19" s="54">
        <v>0.2</v>
      </c>
      <c r="M19" s="54">
        <f t="shared" si="2"/>
        <v>300</v>
      </c>
      <c r="N19" s="52" t="s">
        <v>89</v>
      </c>
      <c r="O19" s="53">
        <v>43082</v>
      </c>
      <c r="P19" s="53">
        <f t="shared" si="3"/>
        <v>43103</v>
      </c>
      <c r="Q19" s="52" t="s">
        <v>127</v>
      </c>
      <c r="S19" s="52" t="s">
        <v>107</v>
      </c>
    </row>
    <row r="20" spans="2:20" ht="18.75" customHeight="1" x14ac:dyDescent="0.25">
      <c r="B20" s="53">
        <v>43103</v>
      </c>
      <c r="D20" s="52" t="s">
        <v>120</v>
      </c>
      <c r="E20" s="52" t="s">
        <v>109</v>
      </c>
      <c r="F20" s="54">
        <v>300</v>
      </c>
      <c r="G20" s="54"/>
      <c r="H20" s="54">
        <f t="shared" si="4"/>
        <v>-1600</v>
      </c>
      <c r="J20" s="55">
        <f t="shared" si="0"/>
        <v>1</v>
      </c>
      <c r="K20" s="54">
        <f t="shared" si="1"/>
        <v>250</v>
      </c>
      <c r="L20" s="54">
        <v>0.2</v>
      </c>
      <c r="M20" s="54">
        <f t="shared" si="2"/>
        <v>300</v>
      </c>
      <c r="N20" s="52" t="s">
        <v>89</v>
      </c>
      <c r="O20" s="53">
        <v>43083</v>
      </c>
      <c r="P20" s="53">
        <f t="shared" si="3"/>
        <v>43103</v>
      </c>
      <c r="Q20" s="52" t="s">
        <v>127</v>
      </c>
      <c r="S20" s="52" t="s">
        <v>107</v>
      </c>
    </row>
    <row r="21" spans="2:20" ht="18.75" customHeight="1" x14ac:dyDescent="0.25">
      <c r="B21" s="53">
        <v>43109</v>
      </c>
      <c r="D21" s="52" t="s">
        <v>111</v>
      </c>
      <c r="E21" s="52" t="s">
        <v>122</v>
      </c>
      <c r="F21" s="54"/>
      <c r="G21" s="54">
        <v>1500</v>
      </c>
      <c r="H21" s="54">
        <f t="shared" si="4"/>
        <v>-100</v>
      </c>
      <c r="J21" s="55">
        <f t="shared" si="0"/>
        <v>1</v>
      </c>
      <c r="K21" s="54">
        <f t="shared" si="1"/>
        <v>1250</v>
      </c>
      <c r="L21" s="54">
        <v>0.2</v>
      </c>
      <c r="M21" s="54">
        <f t="shared" si="2"/>
        <v>1500</v>
      </c>
      <c r="N21" s="52" t="s">
        <v>135</v>
      </c>
      <c r="O21" s="53">
        <v>43084</v>
      </c>
      <c r="P21" s="53">
        <f t="shared" si="3"/>
        <v>43109</v>
      </c>
      <c r="Q21" s="52" t="s">
        <v>128</v>
      </c>
      <c r="S21" s="52" t="s">
        <v>111</v>
      </c>
      <c r="T21" s="52" t="s">
        <v>111</v>
      </c>
    </row>
    <row r="23" spans="2:20" x14ac:dyDescent="0.25">
      <c r="Q23" s="60" t="s">
        <v>129</v>
      </c>
    </row>
    <row r="24" spans="2:20" x14ac:dyDescent="0.25">
      <c r="G24" s="52" t="s">
        <v>125</v>
      </c>
      <c r="H24" s="56">
        <f>H21</f>
        <v>-100</v>
      </c>
      <c r="Q24" s="60" t="s">
        <v>130</v>
      </c>
    </row>
    <row r="29" spans="2:20" x14ac:dyDescent="0.25">
      <c r="D29" s="53"/>
    </row>
  </sheetData>
  <dataValidations count="3">
    <dataValidation type="list" allowBlank="1" showInputMessage="1" showErrorMessage="1" sqref="C13:C21">
      <formula1>Paiement</formula1>
    </dataValidation>
    <dataValidation type="list" allowBlank="1" showInputMessage="1" showErrorMessage="1" sqref="Q13:Q21">
      <formula1>Balance</formula1>
    </dataValidation>
    <dataValidation type="list" allowBlank="1" showInputMessage="1" showErrorMessage="1" sqref="N13:P21">
      <formula1>TVA</formula1>
    </dataValidation>
  </dataValidations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9" r:id="rId3" name="Case à cocher 3">
              <controlPr defaultSize="0" autoFill="0" autoLine="0" autoPict="0">
                <anchor moveWithCells="1">
                  <from>
                    <xdr:col>7</xdr:col>
                    <xdr:colOff>1038225</xdr:colOff>
                    <xdr:row>12</xdr:row>
                    <xdr:rowOff>0</xdr:rowOff>
                  </from>
                  <to>
                    <xdr:col>8</xdr:col>
                    <xdr:colOff>352425</xdr:colOff>
                    <xdr:row>13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0" r:id="rId4" name="Case à cocher 4">
              <controlPr defaultSize="0" autoFill="0" autoLine="0" autoPict="0">
                <anchor moveWithCells="1">
                  <from>
                    <xdr:col>8</xdr:col>
                    <xdr:colOff>0</xdr:colOff>
                    <xdr:row>13</xdr:row>
                    <xdr:rowOff>0</xdr:rowOff>
                  </from>
                  <to>
                    <xdr:col>8</xdr:col>
                    <xdr:colOff>361950</xdr:colOff>
                    <xdr:row>14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1" r:id="rId5" name="Case à cocher 5">
              <controlPr defaultSize="0" autoFill="0" autoLine="0" autoPict="0">
                <anchor moveWithCells="1">
                  <from>
                    <xdr:col>8</xdr:col>
                    <xdr:colOff>0</xdr:colOff>
                    <xdr:row>14</xdr:row>
                    <xdr:rowOff>0</xdr:rowOff>
                  </from>
                  <to>
                    <xdr:col>8</xdr:col>
                    <xdr:colOff>361950</xdr:colOff>
                    <xdr:row>15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2" r:id="rId6" name="Case à cocher 6">
              <controlPr defaultSize="0" autoFill="0" autoLine="0" autoPict="0">
                <anchor moveWithCells="1">
                  <from>
                    <xdr:col>8</xdr:col>
                    <xdr:colOff>0</xdr:colOff>
                    <xdr:row>15</xdr:row>
                    <xdr:rowOff>0</xdr:rowOff>
                  </from>
                  <to>
                    <xdr:col>8</xdr:col>
                    <xdr:colOff>361950</xdr:colOff>
                    <xdr:row>16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3" r:id="rId7" name="Case à cocher 7">
              <controlPr defaultSize="0" autoFill="0" autoLine="0" autoPict="0">
                <anchor moveWithCells="1">
                  <from>
                    <xdr:col>8</xdr:col>
                    <xdr:colOff>0</xdr:colOff>
                    <xdr:row>16</xdr:row>
                    <xdr:rowOff>0</xdr:rowOff>
                  </from>
                  <to>
                    <xdr:col>8</xdr:col>
                    <xdr:colOff>361950</xdr:colOff>
                    <xdr:row>17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4" r:id="rId8" name="Case à cocher 8">
              <controlPr defaultSize="0" autoFill="0" autoLine="0" autoPict="0">
                <anchor moveWithCells="1">
                  <from>
                    <xdr:col>8</xdr:col>
                    <xdr:colOff>0</xdr:colOff>
                    <xdr:row>17</xdr:row>
                    <xdr:rowOff>0</xdr:rowOff>
                  </from>
                  <to>
                    <xdr:col>8</xdr:col>
                    <xdr:colOff>361950</xdr:colOff>
                    <xdr:row>18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5" r:id="rId9" name="Case à cocher 9">
              <controlPr defaultSize="0" autoFill="0" autoLine="0" autoPict="0">
                <anchor moveWithCells="1">
                  <from>
                    <xdr:col>8</xdr:col>
                    <xdr:colOff>0</xdr:colOff>
                    <xdr:row>18</xdr:row>
                    <xdr:rowOff>0</xdr:rowOff>
                  </from>
                  <to>
                    <xdr:col>8</xdr:col>
                    <xdr:colOff>361950</xdr:colOff>
                    <xdr:row>19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6" r:id="rId10" name="Case à cocher 10">
              <controlPr defaultSize="0" autoFill="0" autoLine="0" autoPict="0">
                <anchor moveWithCells="1">
                  <from>
                    <xdr:col>8</xdr:col>
                    <xdr:colOff>0</xdr:colOff>
                    <xdr:row>19</xdr:row>
                    <xdr:rowOff>0</xdr:rowOff>
                  </from>
                  <to>
                    <xdr:col>8</xdr:col>
                    <xdr:colOff>361950</xdr:colOff>
                    <xdr:row>20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4107" r:id="rId11" name="Case à cocher 11">
              <controlPr defaultSize="0" autoFill="0" autoLine="0" autoPict="0">
                <anchor moveWithCells="1">
                  <from>
                    <xdr:col>8</xdr:col>
                    <xdr:colOff>0</xdr:colOff>
                    <xdr:row>20</xdr:row>
                    <xdr:rowOff>0</xdr:rowOff>
                  </from>
                  <to>
                    <xdr:col>8</xdr:col>
                    <xdr:colOff>361950</xdr:colOff>
                    <xdr:row>21</xdr:row>
                    <xdr:rowOff>9525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Planning">
    <pageSetUpPr fitToPage="1"/>
  </sheetPr>
  <dimension ref="B2:AW15"/>
  <sheetViews>
    <sheetView showGridLines="0" tabSelected="1" zoomScale="80" zoomScaleNormal="80" workbookViewId="0">
      <selection activeCell="I20" sqref="I20"/>
    </sheetView>
  </sheetViews>
  <sheetFormatPr baseColWidth="10" defaultColWidth="11.42578125" defaultRowHeight="15" x14ac:dyDescent="0.25"/>
  <cols>
    <col min="1" max="1" width="2.85546875" customWidth="1"/>
    <col min="2" max="2" width="20" customWidth="1"/>
    <col min="3" max="3" width="21.42578125" customWidth="1"/>
    <col min="4" max="4" width="28.5703125" customWidth="1"/>
    <col min="5" max="5" width="21.42578125" customWidth="1"/>
    <col min="6" max="6" width="11" customWidth="1"/>
    <col min="7" max="7" width="11.42578125" customWidth="1"/>
    <col min="8" max="8" width="15" customWidth="1"/>
    <col min="9" max="9" width="21.42578125" customWidth="1"/>
    <col min="10" max="10" width="15" customWidth="1"/>
    <col min="11" max="11" width="15.5703125" customWidth="1"/>
    <col min="12" max="48" width="5.7109375" customWidth="1"/>
  </cols>
  <sheetData>
    <row r="2" spans="2:49" ht="120.75" customHeight="1" x14ac:dyDescent="0.25">
      <c r="B2" s="79"/>
      <c r="C2" s="79"/>
      <c r="D2" s="79"/>
      <c r="E2" s="79"/>
      <c r="F2" s="79"/>
      <c r="G2" s="79"/>
      <c r="H2" s="79"/>
      <c r="I2" s="79"/>
      <c r="J2" s="79"/>
      <c r="K2" s="80"/>
      <c r="L2" s="15" t="str">
        <f ca="1">PROPER(TEXT(L$5,"MMMM"))&amp;" "&amp;YEAR(L5)</f>
        <v>Mars 2018</v>
      </c>
      <c r="M2" s="16" t="str">
        <f ca="1">IF(MONTH(M$5)=MONTH(L$5),"",PROPER(TEXT(M$5,"MMMM"))&amp;" "&amp;YEAR(M$5))</f>
        <v/>
      </c>
      <c r="N2" s="16" t="str">
        <f t="shared" ref="N2:AV2" ca="1" si="0">IF(MONTH(N$5)=MONTH(M$5),"",PROPER(TEXT(N$5,"MMMM"))&amp;" "&amp;YEAR(N$5))</f>
        <v/>
      </c>
      <c r="O2" s="16" t="str">
        <f t="shared" ca="1" si="0"/>
        <v/>
      </c>
      <c r="P2" s="16" t="str">
        <f t="shared" ca="1" si="0"/>
        <v/>
      </c>
      <c r="Q2" s="16" t="str">
        <f t="shared" ca="1" si="0"/>
        <v/>
      </c>
      <c r="R2" s="16" t="str">
        <f t="shared" ca="1" si="0"/>
        <v/>
      </c>
      <c r="S2" s="16" t="str">
        <f t="shared" ca="1" si="0"/>
        <v/>
      </c>
      <c r="T2" s="16" t="str">
        <f t="shared" ca="1" si="0"/>
        <v/>
      </c>
      <c r="U2" s="16" t="str">
        <f t="shared" ca="1" si="0"/>
        <v/>
      </c>
      <c r="V2" s="16" t="str">
        <f t="shared" ca="1" si="0"/>
        <v/>
      </c>
      <c r="W2" s="16" t="str">
        <f t="shared" ca="1" si="0"/>
        <v/>
      </c>
      <c r="X2" s="16" t="str">
        <f t="shared" ca="1" si="0"/>
        <v/>
      </c>
      <c r="Y2" s="16" t="str">
        <f t="shared" ca="1" si="0"/>
        <v/>
      </c>
      <c r="Z2" s="16" t="str">
        <f t="shared" ca="1" si="0"/>
        <v/>
      </c>
      <c r="AA2" s="16" t="str">
        <f t="shared" ca="1" si="0"/>
        <v/>
      </c>
      <c r="AB2" s="16" t="str">
        <f t="shared" ca="1" si="0"/>
        <v/>
      </c>
      <c r="AC2" s="16" t="str">
        <f t="shared" ca="1" si="0"/>
        <v/>
      </c>
      <c r="AD2" s="16" t="str">
        <f t="shared" ca="1" si="0"/>
        <v/>
      </c>
      <c r="AE2" s="16" t="str">
        <f t="shared" ca="1" si="0"/>
        <v/>
      </c>
      <c r="AF2" s="16" t="str">
        <f t="shared" ca="1" si="0"/>
        <v/>
      </c>
      <c r="AG2" s="16" t="str">
        <f t="shared" ca="1" si="0"/>
        <v/>
      </c>
      <c r="AH2" s="16" t="str">
        <f t="shared" ca="1" si="0"/>
        <v/>
      </c>
      <c r="AI2" s="16" t="str">
        <f t="shared" ca="1" si="0"/>
        <v/>
      </c>
      <c r="AJ2" s="16" t="str">
        <f t="shared" ca="1" si="0"/>
        <v/>
      </c>
      <c r="AK2" s="16" t="str">
        <f t="shared" ca="1" si="0"/>
        <v/>
      </c>
      <c r="AL2" s="16" t="str">
        <f t="shared" ca="1" si="0"/>
        <v/>
      </c>
      <c r="AM2" s="16" t="str">
        <f t="shared" ca="1" si="0"/>
        <v/>
      </c>
      <c r="AN2" s="16" t="str">
        <f t="shared" ca="1" si="0"/>
        <v/>
      </c>
      <c r="AO2" s="16" t="str">
        <f t="shared" ca="1" si="0"/>
        <v>Avril 2018</v>
      </c>
      <c r="AP2" s="16" t="str">
        <f t="shared" ca="1" si="0"/>
        <v/>
      </c>
      <c r="AQ2" s="16" t="str">
        <f t="shared" ca="1" si="0"/>
        <v/>
      </c>
      <c r="AR2" s="16" t="str">
        <f t="shared" ca="1" si="0"/>
        <v/>
      </c>
      <c r="AS2" s="16" t="str">
        <f t="shared" ca="1" si="0"/>
        <v/>
      </c>
      <c r="AT2" s="16" t="str">
        <f t="shared" ca="1" si="0"/>
        <v/>
      </c>
      <c r="AU2" s="16" t="str">
        <f t="shared" ca="1" si="0"/>
        <v/>
      </c>
      <c r="AV2" s="17" t="str">
        <f t="shared" ca="1" si="0"/>
        <v/>
      </c>
    </row>
    <row r="3" spans="2:49" x14ac:dyDescent="0.25">
      <c r="B3" s="76"/>
      <c r="C3" s="77"/>
      <c r="D3" s="77"/>
      <c r="E3" s="77"/>
      <c r="F3" s="77"/>
      <c r="G3" s="77"/>
      <c r="H3" s="77"/>
      <c r="I3" s="77"/>
      <c r="J3" s="77"/>
      <c r="K3" s="78"/>
      <c r="L3" s="11" t="str">
        <f ca="1">IF(WEEKDAY(L$5,T_SE)&gt;=4,"S"&amp;TEXT(INT((L$5-LOOKUP(L$5,DATE(YEAR(L$5)+{-1;0;1},1,3)-WEEKDAY(DATE(YEAR(L$5)+{-1;0;1},1,3))+2))/7)+1,"00"),"")</f>
        <v>S09</v>
      </c>
      <c r="M3" s="12" t="str">
        <f ca="1">IF(WEEKDAY(M$5,T_SE)=4,"S"&amp;TEXT(INT((M$5-LOOKUP(M$5,DATE(YEAR(M$5)+{-1;0;1},1,3)-WEEKDAY(DATE(YEAR(M$5)+{-1;0;1},1,3))+2))/7)+1,"00"),"")</f>
        <v/>
      </c>
      <c r="N3" s="12" t="str">
        <f ca="1">IF(WEEKDAY(N$5,T_SE)=4,"S"&amp;TEXT(INT((N$5-LOOKUP(N$5,DATE(YEAR(N$5)+{-1;0;1},1,3)-WEEKDAY(DATE(YEAR(N$5)+{-1;0;1},1,3))+2))/7)+1,"00"),"")</f>
        <v/>
      </c>
      <c r="O3" s="12" t="str">
        <f ca="1">IF(WEEKDAY(O$5,T_SE)=4,"S"&amp;TEXT(INT((O$5-LOOKUP(O$5,DATE(YEAR(O$5)+{-1;0;1},1,3)-WEEKDAY(DATE(YEAR(O$5)+{-1;0;1},1,3))+2))/7)+1,"00"),"")</f>
        <v/>
      </c>
      <c r="P3" s="12" t="str">
        <f ca="1">IF(WEEKDAY(P$5,T_SE)=4,"S"&amp;TEXT(INT((P$5-LOOKUP(P$5,DATE(YEAR(P$5)+{-1;0;1},1,3)-WEEKDAY(DATE(YEAR(P$5)+{-1;0;1},1,3))+2))/7)+1,"00"),"")</f>
        <v/>
      </c>
      <c r="Q3" s="12" t="str">
        <f ca="1">IF(WEEKDAY(Q$5,T_SE)=4,"S"&amp;TEXT(INT((Q$5-LOOKUP(Q$5,DATE(YEAR(Q$5)+{-1;0;1},1,3)-WEEKDAY(DATE(YEAR(Q$5)+{-1;0;1},1,3))+2))/7)+1,"00"),"")</f>
        <v>S10</v>
      </c>
      <c r="R3" s="12" t="str">
        <f ca="1">IF(WEEKDAY(R$5,T_SE)=4,"S"&amp;TEXT(INT((R$5-LOOKUP(R$5,DATE(YEAR(R$5)+{-1;0;1},1,3)-WEEKDAY(DATE(YEAR(R$5)+{-1;0;1},1,3))+2))/7)+1,"00"),"")</f>
        <v/>
      </c>
      <c r="S3" s="12" t="str">
        <f ca="1">IF(WEEKDAY(S$5,T_SE)=4,"S"&amp;TEXT(INT((S$5-LOOKUP(S$5,DATE(YEAR(S$5)+{-1;0;1},1,3)-WEEKDAY(DATE(YEAR(S$5)+{-1;0;1},1,3))+2))/7)+1,"00"),"")</f>
        <v/>
      </c>
      <c r="T3" s="12" t="str">
        <f ca="1">IF(WEEKDAY(T$5,T_SE)=4,"S"&amp;TEXT(INT((T$5-LOOKUP(T$5,DATE(YEAR(T$5)+{-1;0;1},1,3)-WEEKDAY(DATE(YEAR(T$5)+{-1;0;1},1,3))+2))/7)+1,"00"),"")</f>
        <v/>
      </c>
      <c r="U3" s="12" t="str">
        <f ca="1">IF(WEEKDAY(U$5,T_SE)=4,"S"&amp;TEXT(INT((U$5-LOOKUP(U$5,DATE(YEAR(U$5)+{-1;0;1},1,3)-WEEKDAY(DATE(YEAR(U$5)+{-1;0;1},1,3))+2))/7)+1,"00"),"")</f>
        <v/>
      </c>
      <c r="V3" s="12" t="str">
        <f ca="1">IF(WEEKDAY(V$5,T_SE)=4,"S"&amp;TEXT(INT((V$5-LOOKUP(V$5,DATE(YEAR(V$5)+{-1;0;1},1,3)-WEEKDAY(DATE(YEAR(V$5)+{-1;0;1},1,3))+2))/7)+1,"00"),"")</f>
        <v/>
      </c>
      <c r="W3" s="12" t="str">
        <f ca="1">IF(WEEKDAY(W$5,T_SE)=4,"S"&amp;TEXT(INT((W$5-LOOKUP(W$5,DATE(YEAR(W$5)+{-1;0;1},1,3)-WEEKDAY(DATE(YEAR(W$5)+{-1;0;1},1,3))+2))/7)+1,"00"),"")</f>
        <v/>
      </c>
      <c r="X3" s="12" t="str">
        <f ca="1">IF(WEEKDAY(X$5,T_SE)=4,"S"&amp;TEXT(INT((X$5-LOOKUP(X$5,DATE(YEAR(X$5)+{-1;0;1},1,3)-WEEKDAY(DATE(YEAR(X$5)+{-1;0;1},1,3))+2))/7)+1,"00"),"")</f>
        <v>S11</v>
      </c>
      <c r="Y3" s="12" t="str">
        <f ca="1">IF(WEEKDAY(Y$5,T_SE)=4,"S"&amp;TEXT(INT((Y$5-LOOKUP(Y$5,DATE(YEAR(Y$5)+{-1;0;1},1,3)-WEEKDAY(DATE(YEAR(Y$5)+{-1;0;1},1,3))+2))/7)+1,"00"),"")</f>
        <v/>
      </c>
      <c r="Z3" s="12" t="str">
        <f ca="1">IF(WEEKDAY(Z$5,T_SE)=4,"S"&amp;TEXT(INT((Z$5-LOOKUP(Z$5,DATE(YEAR(Z$5)+{-1;0;1},1,3)-WEEKDAY(DATE(YEAR(Z$5)+{-1;0;1},1,3))+2))/7)+1,"00"),"")</f>
        <v/>
      </c>
      <c r="AA3" s="12" t="str">
        <f ca="1">IF(WEEKDAY(AA$5,T_SE)=4,"S"&amp;TEXT(INT((AA$5-LOOKUP(AA$5,DATE(YEAR(AA$5)+{-1;0;1},1,3)-WEEKDAY(DATE(YEAR(AA$5)+{-1;0;1},1,3))+2))/7)+1,"00"),"")</f>
        <v/>
      </c>
      <c r="AB3" s="12" t="str">
        <f ca="1">IF(WEEKDAY(AB$5,T_SE)=4,"S"&amp;TEXT(INT((AB$5-LOOKUP(AB$5,DATE(YEAR(AB$5)+{-1;0;1},1,3)-WEEKDAY(DATE(YEAR(AB$5)+{-1;0;1},1,3))+2))/7)+1,"00"),"")</f>
        <v/>
      </c>
      <c r="AC3" s="12" t="str">
        <f ca="1">IF(WEEKDAY(AC$5,T_SE)=4,"S"&amp;TEXT(INT((AC$5-LOOKUP(AC$5,DATE(YEAR(AC$5)+{-1;0;1},1,3)-WEEKDAY(DATE(YEAR(AC$5)+{-1;0;1},1,3))+2))/7)+1,"00"),"")</f>
        <v/>
      </c>
      <c r="AD3" s="12" t="str">
        <f ca="1">IF(WEEKDAY(AD$5,T_SE)=4,"S"&amp;TEXT(INT((AD$5-LOOKUP(AD$5,DATE(YEAR(AD$5)+{-1;0;1},1,3)-WEEKDAY(DATE(YEAR(AD$5)+{-1;0;1},1,3))+2))/7)+1,"00"),"")</f>
        <v/>
      </c>
      <c r="AE3" s="12" t="str">
        <f ca="1">IF(WEEKDAY(AE$5,T_SE)=4,"S"&amp;TEXT(INT((AE$5-LOOKUP(AE$5,DATE(YEAR(AE$5)+{-1;0;1},1,3)-WEEKDAY(DATE(YEAR(AE$5)+{-1;0;1},1,3))+2))/7)+1,"00"),"")</f>
        <v>S12</v>
      </c>
      <c r="AF3" s="12" t="str">
        <f ca="1">IF(WEEKDAY(AF$5,T_SE)=4,"S"&amp;TEXT(INT((AF$5-LOOKUP(AF$5,DATE(YEAR(AF$5)+{-1;0;1},1,3)-WEEKDAY(DATE(YEAR(AF$5)+{-1;0;1},1,3))+2))/7)+1,"00"),"")</f>
        <v/>
      </c>
      <c r="AG3" s="12" t="str">
        <f ca="1">IF(WEEKDAY(AG$5,T_SE)=4,"S"&amp;TEXT(INT((AG$5-LOOKUP(AG$5,DATE(YEAR(AG$5)+{-1;0;1},1,3)-WEEKDAY(DATE(YEAR(AG$5)+{-1;0;1},1,3))+2))/7)+1,"00"),"")</f>
        <v/>
      </c>
      <c r="AH3" s="12" t="str">
        <f ca="1">IF(WEEKDAY(AH$5,T_SE)=4,"S"&amp;TEXT(INT((AH$5-LOOKUP(AH$5,DATE(YEAR(AH$5)+{-1;0;1},1,3)-WEEKDAY(DATE(YEAR(AH$5)+{-1;0;1},1,3))+2))/7)+1,"00"),"")</f>
        <v/>
      </c>
      <c r="AI3" s="12" t="str">
        <f ca="1">IF(WEEKDAY(AI$5,T_SE)=4,"S"&amp;TEXT(INT((AI$5-LOOKUP(AI$5,DATE(YEAR(AI$5)+{-1;0;1},1,3)-WEEKDAY(DATE(YEAR(AI$5)+{-1;0;1},1,3))+2))/7)+1,"00"),"")</f>
        <v/>
      </c>
      <c r="AJ3" s="12" t="str">
        <f ca="1">IF(WEEKDAY(AJ$5,T_SE)=4,"S"&amp;TEXT(INT((AJ$5-LOOKUP(AJ$5,DATE(YEAR(AJ$5)+{-1;0;1},1,3)-WEEKDAY(DATE(YEAR(AJ$5)+{-1;0;1},1,3))+2))/7)+1,"00"),"")</f>
        <v/>
      </c>
      <c r="AK3" s="12" t="str">
        <f ca="1">IF(WEEKDAY(AK$5,T_SE)=4,"S"&amp;TEXT(INT((AK$5-LOOKUP(AK$5,DATE(YEAR(AK$5)+{-1;0;1},1,3)-WEEKDAY(DATE(YEAR(AK$5)+{-1;0;1},1,3))+2))/7)+1,"00"),"")</f>
        <v/>
      </c>
      <c r="AL3" s="12" t="str">
        <f ca="1">IF(WEEKDAY(AL$5,T_SE)=4,"S"&amp;TEXT(INT((AL$5-LOOKUP(AL$5,DATE(YEAR(AL$5)+{-1;0;1},1,3)-WEEKDAY(DATE(YEAR(AL$5)+{-1;0;1},1,3))+2))/7)+1,"00"),"")</f>
        <v>S13</v>
      </c>
      <c r="AM3" s="12" t="str">
        <f ca="1">IF(WEEKDAY(AM$5,T_SE)=4,"S"&amp;TEXT(INT((AM$5-LOOKUP(AM$5,DATE(YEAR(AM$5)+{-1;0;1},1,3)-WEEKDAY(DATE(YEAR(AM$5)+{-1;0;1},1,3))+2))/7)+1,"00"),"")</f>
        <v/>
      </c>
      <c r="AN3" s="12" t="str">
        <f ca="1">IF(WEEKDAY(AN$5,T_SE)=4,"S"&amp;TEXT(INT((AN$5-LOOKUP(AN$5,DATE(YEAR(AN$5)+{-1;0;1},1,3)-WEEKDAY(DATE(YEAR(AN$5)+{-1;0;1},1,3))+2))/7)+1,"00"),"")</f>
        <v/>
      </c>
      <c r="AO3" s="12" t="str">
        <f ca="1">IF(WEEKDAY(AO$5,T_SE)=4,"S"&amp;TEXT(INT((AO$5-LOOKUP(AO$5,DATE(YEAR(AO$5)+{-1;0;1},1,3)-WEEKDAY(DATE(YEAR(AO$5)+{-1;0;1},1,3))+2))/7)+1,"00"),"")</f>
        <v/>
      </c>
      <c r="AP3" s="12" t="str">
        <f ca="1">IF(WEEKDAY(AP$5,T_SE)=4,"S"&amp;TEXT(INT((AP$5-LOOKUP(AP$5,DATE(YEAR(AP$5)+{-1;0;1},1,3)-WEEKDAY(DATE(YEAR(AP$5)+{-1;0;1},1,3))+2))/7)+1,"00"),"")</f>
        <v/>
      </c>
      <c r="AQ3" s="12" t="str">
        <f ca="1">IF(WEEKDAY(AQ$5,T_SE)=4,"S"&amp;TEXT(INT((AQ$5-LOOKUP(AQ$5,DATE(YEAR(AQ$5)+{-1;0;1},1,3)-WEEKDAY(DATE(YEAR(AQ$5)+{-1;0;1},1,3))+2))/7)+1,"00"),"")</f>
        <v/>
      </c>
      <c r="AR3" s="12" t="str">
        <f ca="1">IF(WEEKDAY(AR$5,T_SE)=4,"S"&amp;TEXT(INT((AR$5-LOOKUP(AR$5,DATE(YEAR(AR$5)+{-1;0;1},1,3)-WEEKDAY(DATE(YEAR(AR$5)+{-1;0;1},1,3))+2))/7)+1,"00"),"")</f>
        <v/>
      </c>
      <c r="AS3" s="12" t="str">
        <f ca="1">IF(WEEKDAY(AS$5,T_SE)=4,"S"&amp;TEXT(INT((AS$5-LOOKUP(AS$5,DATE(YEAR(AS$5)+{-1;0;1},1,3)-WEEKDAY(DATE(YEAR(AS$5)+{-1;0;1},1,3))+2))/7)+1,"00"),"")</f>
        <v>S14</v>
      </c>
      <c r="AT3" s="12" t="str">
        <f ca="1">IF(WEEKDAY(AT$5,T_SE)=4,"S"&amp;TEXT(INT((AT$5-LOOKUP(AT$5,DATE(YEAR(AT$5)+{-1;0;1},1,3)-WEEKDAY(DATE(YEAR(AT$5)+{-1;0;1},1,3))+2))/7)+1,"00"),"")</f>
        <v/>
      </c>
      <c r="AU3" s="12" t="str">
        <f ca="1">IF(WEEKDAY(AU$5,T_SE)=4,"S"&amp;TEXT(INT((AU$5-LOOKUP(AU$5,DATE(YEAR(AU$5)+{-1;0;1},1,3)-WEEKDAY(DATE(YEAR(AU$5)+{-1;0;1},1,3))+2))/7)+1,"00"),"")</f>
        <v/>
      </c>
      <c r="AV3" s="13" t="str">
        <f ca="1">IF(WEEKDAY(AV$5,T_SE)&lt;=4,"S"&amp;TEXT(INT((AV$5-LOOKUP(AV$5,DATE(YEAR(AV$5)+{-1;0;1},1,3)-WEEKDAY(DATE(YEAR(AV$5)+{-1;0;1},1,3))+2))/7)+1,"00"),"")</f>
        <v/>
      </c>
    </row>
    <row r="4" spans="2:49" x14ac:dyDescent="0.25">
      <c r="B4" s="81"/>
      <c r="C4" s="71"/>
      <c r="D4" s="71"/>
      <c r="E4" s="71"/>
      <c r="F4" s="71"/>
      <c r="G4" s="71"/>
      <c r="H4" s="71"/>
      <c r="I4" s="71"/>
      <c r="J4" s="71"/>
      <c r="K4" s="71"/>
      <c r="L4" s="25" t="str">
        <f ca="1">PROPER(TEXT(Date_Deb,"jjj"))</f>
        <v>Sam</v>
      </c>
      <c r="M4" s="14" t="str">
        <f ca="1">PROPER(TEXT(M5,"jjj"))</f>
        <v>Dim</v>
      </c>
      <c r="N4" s="14" t="str">
        <f t="shared" ref="N4:AV4" ca="1" si="1">PROPER(TEXT(N5,"jjj"))</f>
        <v>Lun</v>
      </c>
      <c r="O4" s="14" t="str">
        <f t="shared" ca="1" si="1"/>
        <v>Mar</v>
      </c>
      <c r="P4" s="14" t="str">
        <f t="shared" ca="1" si="1"/>
        <v>Mer</v>
      </c>
      <c r="Q4" s="14" t="str">
        <f t="shared" ca="1" si="1"/>
        <v>Jeu</v>
      </c>
      <c r="R4" s="14" t="str">
        <f t="shared" ca="1" si="1"/>
        <v>Ven</v>
      </c>
      <c r="S4" s="14" t="str">
        <f t="shared" ca="1" si="1"/>
        <v>Sam</v>
      </c>
      <c r="T4" s="14" t="str">
        <f t="shared" ca="1" si="1"/>
        <v>Dim</v>
      </c>
      <c r="U4" s="14" t="str">
        <f t="shared" ca="1" si="1"/>
        <v>Lun</v>
      </c>
      <c r="V4" s="14" t="str">
        <f t="shared" ca="1" si="1"/>
        <v>Mar</v>
      </c>
      <c r="W4" s="14" t="str">
        <f t="shared" ca="1" si="1"/>
        <v>Mer</v>
      </c>
      <c r="X4" s="14" t="str">
        <f t="shared" ca="1" si="1"/>
        <v>Jeu</v>
      </c>
      <c r="Y4" s="14" t="str">
        <f t="shared" ca="1" si="1"/>
        <v>Ven</v>
      </c>
      <c r="Z4" s="14" t="str">
        <f t="shared" ca="1" si="1"/>
        <v>Sam</v>
      </c>
      <c r="AA4" s="14" t="str">
        <f t="shared" ca="1" si="1"/>
        <v>Dim</v>
      </c>
      <c r="AB4" s="14" t="str">
        <f t="shared" ca="1" si="1"/>
        <v>Lun</v>
      </c>
      <c r="AC4" s="14" t="str">
        <f t="shared" ca="1" si="1"/>
        <v>Mar</v>
      </c>
      <c r="AD4" s="14" t="str">
        <f t="shared" ca="1" si="1"/>
        <v>Mer</v>
      </c>
      <c r="AE4" s="14" t="str">
        <f t="shared" ca="1" si="1"/>
        <v>Jeu</v>
      </c>
      <c r="AF4" s="14" t="str">
        <f t="shared" ca="1" si="1"/>
        <v>Ven</v>
      </c>
      <c r="AG4" s="14" t="str">
        <f t="shared" ca="1" si="1"/>
        <v>Sam</v>
      </c>
      <c r="AH4" s="14" t="str">
        <f t="shared" ca="1" si="1"/>
        <v>Dim</v>
      </c>
      <c r="AI4" s="14" t="str">
        <f t="shared" ca="1" si="1"/>
        <v>Lun</v>
      </c>
      <c r="AJ4" s="14" t="str">
        <f t="shared" ca="1" si="1"/>
        <v>Mar</v>
      </c>
      <c r="AK4" s="14" t="str">
        <f t="shared" ca="1" si="1"/>
        <v>Mer</v>
      </c>
      <c r="AL4" s="14" t="str">
        <f t="shared" ca="1" si="1"/>
        <v>Jeu</v>
      </c>
      <c r="AM4" s="14" t="str">
        <f t="shared" ca="1" si="1"/>
        <v>Ven</v>
      </c>
      <c r="AN4" s="14" t="str">
        <f t="shared" ca="1" si="1"/>
        <v>Sam</v>
      </c>
      <c r="AO4" s="14" t="str">
        <f t="shared" ca="1" si="1"/>
        <v>Dim</v>
      </c>
      <c r="AP4" s="14" t="str">
        <f t="shared" ca="1" si="1"/>
        <v>Lun</v>
      </c>
      <c r="AQ4" s="14" t="str">
        <f t="shared" ca="1" si="1"/>
        <v>Mar</v>
      </c>
      <c r="AR4" s="14" t="str">
        <f t="shared" ca="1" si="1"/>
        <v>Mer</v>
      </c>
      <c r="AS4" s="14" t="str">
        <f t="shared" ca="1" si="1"/>
        <v>Jeu</v>
      </c>
      <c r="AT4" s="14" t="str">
        <f t="shared" ca="1" si="1"/>
        <v>Ven</v>
      </c>
      <c r="AU4" s="14" t="str">
        <f t="shared" ca="1" si="1"/>
        <v>Sam</v>
      </c>
      <c r="AV4" s="14" t="str">
        <f t="shared" ca="1" si="1"/>
        <v>Dim</v>
      </c>
    </row>
    <row r="5" spans="2:49" x14ac:dyDescent="0.25">
      <c r="B5" s="82"/>
      <c r="C5" s="72"/>
      <c r="D5" s="72"/>
      <c r="E5" s="72"/>
      <c r="F5" s="72"/>
      <c r="G5" s="72"/>
      <c r="H5" s="72"/>
      <c r="I5" s="72"/>
      <c r="J5" s="72"/>
      <c r="K5" s="73"/>
      <c r="L5" s="26">
        <f ca="1">TODAY()-Archive+_DC+_SB</f>
        <v>43162</v>
      </c>
      <c r="M5" s="18">
        <f ca="1">Date_Deb+1</f>
        <v>43163</v>
      </c>
      <c r="N5" s="18">
        <f ca="1">M5+1</f>
        <v>43164</v>
      </c>
      <c r="O5" s="18">
        <f t="shared" ref="O5:AV5" ca="1" si="2">N5+1</f>
        <v>43165</v>
      </c>
      <c r="P5" s="18">
        <f t="shared" ca="1" si="2"/>
        <v>43166</v>
      </c>
      <c r="Q5" s="18">
        <f t="shared" ca="1" si="2"/>
        <v>43167</v>
      </c>
      <c r="R5" s="18">
        <f t="shared" ca="1" si="2"/>
        <v>43168</v>
      </c>
      <c r="S5" s="18">
        <f t="shared" ca="1" si="2"/>
        <v>43169</v>
      </c>
      <c r="T5" s="18">
        <f t="shared" ca="1" si="2"/>
        <v>43170</v>
      </c>
      <c r="U5" s="18">
        <f t="shared" ca="1" si="2"/>
        <v>43171</v>
      </c>
      <c r="V5" s="18">
        <f t="shared" ca="1" si="2"/>
        <v>43172</v>
      </c>
      <c r="W5" s="18">
        <f t="shared" ca="1" si="2"/>
        <v>43173</v>
      </c>
      <c r="X5" s="18">
        <f t="shared" ca="1" si="2"/>
        <v>43174</v>
      </c>
      <c r="Y5" s="18">
        <f t="shared" ca="1" si="2"/>
        <v>43175</v>
      </c>
      <c r="Z5" s="18">
        <f t="shared" ca="1" si="2"/>
        <v>43176</v>
      </c>
      <c r="AA5" s="18">
        <f t="shared" ca="1" si="2"/>
        <v>43177</v>
      </c>
      <c r="AB5" s="18">
        <f t="shared" ca="1" si="2"/>
        <v>43178</v>
      </c>
      <c r="AC5" s="18">
        <f t="shared" ca="1" si="2"/>
        <v>43179</v>
      </c>
      <c r="AD5" s="18">
        <f t="shared" ca="1" si="2"/>
        <v>43180</v>
      </c>
      <c r="AE5" s="18">
        <f t="shared" ca="1" si="2"/>
        <v>43181</v>
      </c>
      <c r="AF5" s="18">
        <f t="shared" ca="1" si="2"/>
        <v>43182</v>
      </c>
      <c r="AG5" s="18">
        <f t="shared" ca="1" si="2"/>
        <v>43183</v>
      </c>
      <c r="AH5" s="18">
        <f t="shared" ca="1" si="2"/>
        <v>43184</v>
      </c>
      <c r="AI5" s="18">
        <f t="shared" ca="1" si="2"/>
        <v>43185</v>
      </c>
      <c r="AJ5" s="18">
        <f t="shared" ca="1" si="2"/>
        <v>43186</v>
      </c>
      <c r="AK5" s="18">
        <f t="shared" ca="1" si="2"/>
        <v>43187</v>
      </c>
      <c r="AL5" s="18">
        <f t="shared" ca="1" si="2"/>
        <v>43188</v>
      </c>
      <c r="AM5" s="18">
        <f t="shared" ca="1" si="2"/>
        <v>43189</v>
      </c>
      <c r="AN5" s="18">
        <f t="shared" ca="1" si="2"/>
        <v>43190</v>
      </c>
      <c r="AO5" s="18">
        <f t="shared" ca="1" si="2"/>
        <v>43191</v>
      </c>
      <c r="AP5" s="18">
        <f t="shared" ca="1" si="2"/>
        <v>43192</v>
      </c>
      <c r="AQ5" s="18">
        <f t="shared" ca="1" si="2"/>
        <v>43193</v>
      </c>
      <c r="AR5" s="18">
        <f t="shared" ca="1" si="2"/>
        <v>43194</v>
      </c>
      <c r="AS5" s="18">
        <f t="shared" ca="1" si="2"/>
        <v>43195</v>
      </c>
      <c r="AT5" s="18">
        <f t="shared" ca="1" si="2"/>
        <v>43196</v>
      </c>
      <c r="AU5" s="18">
        <f t="shared" ca="1" si="2"/>
        <v>43197</v>
      </c>
      <c r="AV5" s="18">
        <f t="shared" ca="1" si="2"/>
        <v>43198</v>
      </c>
    </row>
    <row r="6" spans="2:49" ht="43.5" customHeight="1" x14ac:dyDescent="0.25">
      <c r="B6" s="67" t="s">
        <v>55</v>
      </c>
      <c r="C6" s="67" t="s">
        <v>62</v>
      </c>
      <c r="D6" s="67" t="s">
        <v>53</v>
      </c>
      <c r="E6" s="67" t="s">
        <v>63</v>
      </c>
      <c r="F6" s="68" t="s">
        <v>64</v>
      </c>
      <c r="G6" s="67" t="s">
        <v>49</v>
      </c>
      <c r="H6" s="67" t="s">
        <v>50</v>
      </c>
      <c r="I6" s="67" t="s">
        <v>54</v>
      </c>
      <c r="J6" s="69" t="s">
        <v>51</v>
      </c>
      <c r="K6" s="70" t="s">
        <v>87</v>
      </c>
      <c r="L6" s="84" t="s">
        <v>7</v>
      </c>
      <c r="M6" s="84" t="s">
        <v>8</v>
      </c>
      <c r="N6" s="84" t="s">
        <v>9</v>
      </c>
      <c r="O6" s="84" t="s">
        <v>10</v>
      </c>
      <c r="P6" s="84" t="s">
        <v>11</v>
      </c>
      <c r="Q6" s="84" t="s">
        <v>12</v>
      </c>
      <c r="R6" s="84" t="s">
        <v>13</v>
      </c>
      <c r="S6" s="84" t="s">
        <v>14</v>
      </c>
      <c r="T6" s="84" t="s">
        <v>15</v>
      </c>
      <c r="U6" s="84" t="s">
        <v>16</v>
      </c>
      <c r="V6" s="84" t="s">
        <v>17</v>
      </c>
      <c r="W6" s="84" t="s">
        <v>18</v>
      </c>
      <c r="X6" s="84" t="s">
        <v>19</v>
      </c>
      <c r="Y6" s="84" t="s">
        <v>20</v>
      </c>
      <c r="Z6" s="84" t="s">
        <v>21</v>
      </c>
      <c r="AA6" s="84" t="s">
        <v>22</v>
      </c>
      <c r="AB6" s="84" t="s">
        <v>23</v>
      </c>
      <c r="AC6" s="84" t="s">
        <v>24</v>
      </c>
      <c r="AD6" s="84" t="s">
        <v>25</v>
      </c>
      <c r="AE6" s="84" t="s">
        <v>26</v>
      </c>
      <c r="AF6" s="84" t="s">
        <v>27</v>
      </c>
      <c r="AG6" s="84" t="s">
        <v>28</v>
      </c>
      <c r="AH6" s="84" t="s">
        <v>29</v>
      </c>
      <c r="AI6" s="84" t="s">
        <v>30</v>
      </c>
      <c r="AJ6" s="84" t="s">
        <v>31</v>
      </c>
      <c r="AK6" s="84" t="s">
        <v>32</v>
      </c>
      <c r="AL6" s="84" t="s">
        <v>33</v>
      </c>
      <c r="AM6" s="84" t="s">
        <v>34</v>
      </c>
      <c r="AN6" s="84" t="s">
        <v>35</v>
      </c>
      <c r="AO6" s="84" t="s">
        <v>36</v>
      </c>
      <c r="AP6" s="84" t="s">
        <v>37</v>
      </c>
      <c r="AQ6" s="84" t="s">
        <v>38</v>
      </c>
      <c r="AR6" s="84" t="s">
        <v>39</v>
      </c>
      <c r="AS6" s="84" t="s">
        <v>40</v>
      </c>
      <c r="AT6" s="84" t="s">
        <v>41</v>
      </c>
      <c r="AU6" s="84" t="s">
        <v>42</v>
      </c>
      <c r="AV6" s="84" t="s">
        <v>43</v>
      </c>
      <c r="AW6" t="s">
        <v>44</v>
      </c>
    </row>
    <row r="7" spans="2:49" ht="30.75" customHeight="1" x14ac:dyDescent="0.25">
      <c r="B7" s="37" t="s">
        <v>61</v>
      </c>
      <c r="C7" s="37" t="s">
        <v>85</v>
      </c>
      <c r="D7" s="38" t="s">
        <v>65</v>
      </c>
      <c r="E7" s="38" t="s">
        <v>84</v>
      </c>
      <c r="F7" s="38" t="s">
        <v>89</v>
      </c>
      <c r="G7" s="39">
        <v>50</v>
      </c>
      <c r="H7" s="40">
        <v>43166</v>
      </c>
      <c r="I7" s="38" t="s">
        <v>69</v>
      </c>
      <c r="J7" s="41"/>
      <c r="K7" s="64" t="s">
        <v>138</v>
      </c>
      <c r="L7" s="83">
        <f ca="1">IF(Date_Deb&lt;Tab_Résa[[#This Row],[Date de début]]-5,"",IF(Tab_Résa[[#This Row],[Date de début]]+(VLOOKUP(Tab_Résa[[#This Row],[Période]],_P,2,0)*IF(OR(Tab_Résa[[#This Row],[Nb échéance]]=0,Tab_Résa[[#This Row],[Nb échéance]]=""),10000,Tab_Résa[[#This Row],[Nb échéance]]))&lt;Date_Deb,"",IFERROR(IF($L$5=$H7,IF(OR(L$5=Fériés,WEEKDAY(L$5,2)&gt;5),0,IF(Tab_Résa[[#This Row],[Débit Crédit]]="Débit",-$G7,$G7)),IF(AND(MOD(($L$5-$H7),VLOOKUP($I7,_P,2,0))=0,$I7&lt;&gt;""),IF(OR(L$5=Fériés,WEEKDAY(L$5,2)&gt;5),0,IF(Tab_Résa[[#This Row],[Débit Crédit]]="Débit",-$G7,$G7)),"")),"")))</f>
        <v>0</v>
      </c>
      <c r="M7" s="83">
        <f ca="1">IF(M$5&lt;Tab_Résa[[#This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échéance]]-1))&lt;M$5,"",IFERROR(IF(AND(OR(WEEKDAY(L$5,2)&gt;5,L$5=Fériés),L7&lt;&gt;""),
IF(OR(M$5=Fériés,WEEKDAY(M$5,2)&gt;5),0,IF(Tab_Résa[[#This Row],[Débit Crédit]]="Débit",-$G7,$G7)),IF(M$5=$H7,IF(OR(M$5=Fériés,WEEKDAY(M$5,2)&gt;5),0,IF(Tab_Résa[[#This Row],[Débit Crédit]]="Débit",-$G7,$G7)),IF(AND(MOD((M$5-$H7),VLOOKUP($I7,_P,2,0))=0,$I7&lt;&gt;""),
IF(OR(M$5=Fériés,WEEKDAY(M$5,2)&gt;5),0,IF(Tab_Résa[[#This Row],[Débit Crédit]]="Débit",-$G7,$G7)),""))),"")))</f>
        <v>0</v>
      </c>
      <c r="N7" s="83">
        <f ca="1">IF(N$5&lt;Tab_Résa[[#This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échéance]]-1))&lt;N$5,"",IFERROR(IF(AND(OR(WEEKDAY(M$5,2)&gt;5,M$5=Fériés),M7&lt;&gt;""),
IF(OR(N$5=Fériés,WEEKDAY(N$5,2)&gt;5),0,IF(Tab_Résa[[#This Row],[Débit Crédit]]="Débit",-$G7,$G7)),IF(N$5=$H7,IF(OR(N$5=Fériés,WEEKDAY(N$5,2)&gt;5),0,IF(Tab_Résa[[#This Row],[Débit Crédit]]="Débit",-$G7,$G7)),IF(AND(MOD((N$5-$H7),VLOOKUP($I7,_P,2,0))=0,$I7&lt;&gt;""),
IF(OR(N$5=Fériés,WEEKDAY(N$5,2)&gt;5),0,IF(Tab_Résa[[#This Row],[Débit Crédit]]="Débit",-$G7,$G7)),""))),"")))</f>
        <v>-50</v>
      </c>
      <c r="O7" s="83">
        <f ca="1">IF(O$5&lt;Tab_Résa[[#This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échéance]]-1))&lt;O$5,"",IFERROR(IF(AND(OR(WEEKDAY(N$5,2)&gt;5,N$5=Fériés),N7&lt;&gt;""),
IF(OR(O$5=Fériés,WEEKDAY(O$5,2)&gt;5),0,IF(Tab_Résa[[#This Row],[Débit Crédit]]="Débit",-$G7,$G7)),IF(O$5=$H7,IF(OR(O$5=Fériés,WEEKDAY(O$5,2)&gt;5),0,IF(Tab_Résa[[#This Row],[Débit Crédit]]="Débit",-$G7,$G7)),IF(AND(MOD((O$5-$H7),VLOOKUP($I7,_P,2,0))=0,$I7&lt;&gt;""),
IF(OR(O$5=Fériés,WEEKDAY(O$5,2)&gt;5),0,IF(Tab_Résa[[#This Row],[Débit Crédit]]="Débit",-$G7,$G7)),""))),"")))</f>
        <v>-50</v>
      </c>
      <c r="P7" s="83">
        <f ca="1">IF(P$5&lt;Tab_Résa[[#This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échéance]]-1))&lt;P$5,"",IFERROR(IF(AND(OR(WEEKDAY(O$5,2)&gt;5,O$5=Fériés),O7&lt;&gt;""),
IF(OR(P$5=Fériés,WEEKDAY(P$5,2)&gt;5),0,IF(Tab_Résa[[#This Row],[Débit Crédit]]="Débit",-$G7,$G7)),IF(P$5=$H7,IF(OR(P$5=Fériés,WEEKDAY(P$5,2)&gt;5),0,IF(Tab_Résa[[#This Row],[Débit Crédit]]="Débit",-$G7,$G7)),IF(AND(MOD((P$5-$H7),VLOOKUP($I7,_P,2,0))=0,$I7&lt;&gt;""),
IF(OR(P$5=Fériés,WEEKDAY(P$5,2)&gt;5),0,IF(Tab_Résa[[#This Row],[Débit Crédit]]="Débit",-$G7,$G7)),""))),"")))</f>
        <v>-50</v>
      </c>
      <c r="Q7" s="83">
        <f ca="1">IF(Q$5&lt;Tab_Résa[[#This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échéance]]-1))&lt;Q$5,"",IFERROR(IF(AND(OR(WEEKDAY(P$5,2)&gt;5,P$5=Fériés),P7&lt;&gt;""),
IF(OR(Q$5=Fériés,WEEKDAY(Q$5,2)&gt;5),0,IF(Tab_Résa[[#This Row],[Débit Crédit]]="Débit",-$G7,$G7)),IF(Q$5=$H7,IF(OR(Q$5=Fériés,WEEKDAY(Q$5,2)&gt;5),0,IF(Tab_Résa[[#This Row],[Débit Crédit]]="Débit",-$G7,$G7)),IF(AND(MOD((Q$5-$H7),VLOOKUP($I7,_P,2,0))=0,$I7&lt;&gt;""),
IF(OR(Q$5=Fériés,WEEKDAY(Q$5,2)&gt;5),0,IF(Tab_Résa[[#This Row],[Débit Crédit]]="Débit",-$G7,$G7)),""))),"")))</f>
        <v>-50</v>
      </c>
      <c r="R7" s="83">
        <f ca="1">IF(R$5&lt;Tab_Résa[[#This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échéance]]-1))&lt;R$5,"",IFERROR(IF(AND(OR(WEEKDAY(Q$5,2)&gt;5,Q$5=Fériés),Q7&lt;&gt;""),
IF(OR(R$5=Fériés,WEEKDAY(R$5,2)&gt;5),0,IF(Tab_Résa[[#This Row],[Débit Crédit]]="Débit",-$G7,$G7)),IF(R$5=$H7,IF(OR(R$5=Fériés,WEEKDAY(R$5,2)&gt;5),0,IF(Tab_Résa[[#This Row],[Débit Crédit]]="Débit",-$G7,$G7)),IF(AND(MOD((R$5-$H7),VLOOKUP($I7,_P,2,0))=0,$I7&lt;&gt;""),
IF(OR(R$5=Fériés,WEEKDAY(R$5,2)&gt;5),0,IF(Tab_Résa[[#This Row],[Débit Crédit]]="Débit",-$G7,$G7)),""))),"")))</f>
        <v>-50</v>
      </c>
      <c r="S7" s="83">
        <f ca="1">IF(S$5&lt;Tab_Résa[[#This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échéance]]-1))&lt;S$5,"",IFERROR(IF(AND(OR(WEEKDAY(R$5,2)&gt;5,R$5=Fériés),R7&lt;&gt;""),
IF(OR(S$5=Fériés,WEEKDAY(S$5,2)&gt;5),0,IF(Tab_Résa[[#This Row],[Débit Crédit]]="Débit",-$G7,$G7)),IF(S$5=$H7,IF(OR(S$5=Fériés,WEEKDAY(S$5,2)&gt;5),0,IF(Tab_Résa[[#This Row],[Débit Crédit]]="Débit",-$G7,$G7)),IF(AND(MOD((S$5-$H7),VLOOKUP($I7,_P,2,0))=0,$I7&lt;&gt;""),
IF(OR(S$5=Fériés,WEEKDAY(S$5,2)&gt;5),0,IF(Tab_Résa[[#This Row],[Débit Crédit]]="Débit",-$G7,$G7)),""))),"")))</f>
        <v>0</v>
      </c>
      <c r="T7" s="83">
        <f ca="1">IF(T$5&lt;Tab_Résa[[#This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échéance]]-1))&lt;T$5,"",IFERROR(IF(AND(OR(WEEKDAY(S$5,2)&gt;5,S$5=Fériés),S7&lt;&gt;""),
IF(OR(T$5=Fériés,WEEKDAY(T$5,2)&gt;5),0,IF(Tab_Résa[[#This Row],[Débit Crédit]]="Débit",-$G7,$G7)),IF(T$5=$H7,IF(OR(T$5=Fériés,WEEKDAY(T$5,2)&gt;5),0,IF(Tab_Résa[[#This Row],[Débit Crédit]]="Débit",-$G7,$G7)),IF(AND(MOD((T$5-$H7),VLOOKUP($I7,_P,2,0))=0,$I7&lt;&gt;""),
IF(OR(T$5=Fériés,WEEKDAY(T$5,2)&gt;5),0,IF(Tab_Résa[[#This Row],[Débit Crédit]]="Débit",-$G7,$G7)),""))),"")))</f>
        <v>0</v>
      </c>
      <c r="U7" s="83">
        <f ca="1">IF(U$5&lt;Tab_Résa[[#This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échéance]]-1))&lt;U$5,"",IFERROR(IF(AND(OR(WEEKDAY(T$5,2)&gt;5,T$5=Fériés),T7&lt;&gt;""),
IF(OR(U$5=Fériés,WEEKDAY(U$5,2)&gt;5),0,IF(Tab_Résa[[#This Row],[Débit Crédit]]="Débit",-$G7,$G7)),IF(U$5=$H7,IF(OR(U$5=Fériés,WEEKDAY(U$5,2)&gt;5),0,IF(Tab_Résa[[#This Row],[Débit Crédit]]="Débit",-$G7,$G7)),IF(AND(MOD((U$5-$H7),VLOOKUP($I7,_P,2,0))=0,$I7&lt;&gt;""),
IF(OR(U$5=Fériés,WEEKDAY(U$5,2)&gt;5),0,IF(Tab_Résa[[#This Row],[Débit Crédit]]="Débit",-$G7,$G7)),""))),"")))</f>
        <v>-50</v>
      </c>
      <c r="V7" s="83">
        <f ca="1">IF(V$5&lt;Tab_Résa[[#This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échéance]]-1))&lt;V$5,"",IFERROR(IF(AND(OR(WEEKDAY(U$5,2)&gt;5,U$5=Fériés),U7&lt;&gt;""),
IF(OR(V$5=Fériés,WEEKDAY(V$5,2)&gt;5),0,IF(Tab_Résa[[#This Row],[Débit Crédit]]="Débit",-$G7,$G7)),IF(V$5=$H7,IF(OR(V$5=Fériés,WEEKDAY(V$5,2)&gt;5),0,IF(Tab_Résa[[#This Row],[Débit Crédit]]="Débit",-$G7,$G7)),IF(AND(MOD((V$5-$H7),VLOOKUP($I7,_P,2,0))=0,$I7&lt;&gt;""),
IF(OR(V$5=Fériés,WEEKDAY(V$5,2)&gt;5),0,IF(Tab_Résa[[#This Row],[Débit Crédit]]="Débit",-$G7,$G7)),""))),"")))</f>
        <v>-50</v>
      </c>
      <c r="W7" s="83">
        <f ca="1">IF(W$5&lt;Tab_Résa[[#This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échéance]]-1))&lt;W$5,"",IFERROR(IF(AND(OR(WEEKDAY(V$5,2)&gt;5,V$5=Fériés),V7&lt;&gt;""),
IF(OR(W$5=Fériés,WEEKDAY(W$5,2)&gt;5),0,IF(Tab_Résa[[#This Row],[Débit Crédit]]="Débit",-$G7,$G7)),IF(W$5=$H7,IF(OR(W$5=Fériés,WEEKDAY(W$5,2)&gt;5),0,IF(Tab_Résa[[#This Row],[Débit Crédit]]="Débit",-$G7,$G7)),IF(AND(MOD((W$5-$H7),VLOOKUP($I7,_P,2,0))=0,$I7&lt;&gt;""),
IF(OR(W$5=Fériés,WEEKDAY(W$5,2)&gt;5),0,IF(Tab_Résa[[#This Row],[Débit Crédit]]="Débit",-$G7,$G7)),""))),"")))</f>
        <v>-50</v>
      </c>
      <c r="X7" s="83">
        <f ca="1">IF(X$5&lt;Tab_Résa[[#This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échéance]]-1))&lt;X$5,"",IFERROR(IF(AND(OR(WEEKDAY(W$5,2)&gt;5,W$5=Fériés),W7&lt;&gt;""),
IF(OR(X$5=Fériés,WEEKDAY(X$5,2)&gt;5),0,IF(Tab_Résa[[#This Row],[Débit Crédit]]="Débit",-$G7,$G7)),IF(X$5=$H7,IF(OR(X$5=Fériés,WEEKDAY(X$5,2)&gt;5),0,IF(Tab_Résa[[#This Row],[Débit Crédit]]="Débit",-$G7,$G7)),IF(AND(MOD((X$5-$H7),VLOOKUP($I7,_P,2,0))=0,$I7&lt;&gt;""),
IF(OR(X$5=Fériés,WEEKDAY(X$5,2)&gt;5),0,IF(Tab_Résa[[#This Row],[Débit Crédit]]="Débit",-$G7,$G7)),""))),"")))</f>
        <v>-50</v>
      </c>
      <c r="Y7" s="83">
        <f ca="1">IF(Y$5&lt;Tab_Résa[[#This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échéance]]-1))&lt;Y$5,"",IFERROR(IF(AND(OR(WEEKDAY(X$5,2)&gt;5,X$5=Fériés),X7&lt;&gt;""),
IF(OR(Y$5=Fériés,WEEKDAY(Y$5,2)&gt;5),0,IF(Tab_Résa[[#This Row],[Débit Crédit]]="Débit",-$G7,$G7)),IF(Y$5=$H7,IF(OR(Y$5=Fériés,WEEKDAY(Y$5,2)&gt;5),0,IF(Tab_Résa[[#This Row],[Débit Crédit]]="Débit",-$G7,$G7)),IF(AND(MOD((Y$5-$H7),VLOOKUP($I7,_P,2,0))=0,$I7&lt;&gt;""),
IF(OR(Y$5=Fériés,WEEKDAY(Y$5,2)&gt;5),0,IF(Tab_Résa[[#This Row],[Débit Crédit]]="Débit",-$G7,$G7)),""))),"")))</f>
        <v>-50</v>
      </c>
      <c r="Z7" s="83">
        <f ca="1">IF(Z$5&lt;Tab_Résa[[#This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échéance]]-1))&lt;Z$5,"",IFERROR(IF(AND(OR(WEEKDAY(Y$5,2)&gt;5,Y$5=Fériés),Y7&lt;&gt;""),
IF(OR(Z$5=Fériés,WEEKDAY(Z$5,2)&gt;5),0,IF(Tab_Résa[[#This Row],[Débit Crédit]]="Débit",-$G7,$G7)),IF(Z$5=$H7,IF(OR(Z$5=Fériés,WEEKDAY(Z$5,2)&gt;5),0,IF(Tab_Résa[[#This Row],[Débit Crédit]]="Débit",-$G7,$G7)),IF(AND(MOD((Z$5-$H7),VLOOKUP($I7,_P,2,0))=0,$I7&lt;&gt;""),
IF(OR(Z$5=Fériés,WEEKDAY(Z$5,2)&gt;5),0,IF(Tab_Résa[[#This Row],[Débit Crédit]]="Débit",-$G7,$G7)),""))),"")))</f>
        <v>0</v>
      </c>
      <c r="AA7" s="83">
        <f ca="1">IF(AA$5&lt;Tab_Résa[[#This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échéance]]-1))&lt;AA$5,"",IFERROR(IF(AND(OR(WEEKDAY(Z$5,2)&gt;5,Z$5=Fériés),Z7&lt;&gt;""),
IF(OR(AA$5=Fériés,WEEKDAY(AA$5,2)&gt;5),0,IF(Tab_Résa[[#This Row],[Débit Crédit]]="Débit",-$G7,$G7)),IF(AA$5=$H7,IF(OR(AA$5=Fériés,WEEKDAY(AA$5,2)&gt;5),0,IF(Tab_Résa[[#This Row],[Débit Crédit]]="Débit",-$G7,$G7)),IF(AND(MOD((AA$5-$H7),VLOOKUP($I7,_P,2,0))=0,$I7&lt;&gt;""),
IF(OR(AA$5=Fériés,WEEKDAY(AA$5,2)&gt;5),0,IF(Tab_Résa[[#This Row],[Débit Crédit]]="Débit",-$G7,$G7)),""))),"")))</f>
        <v>0</v>
      </c>
      <c r="AB7" s="83">
        <f ca="1">IF(AB$5&lt;Tab_Résa[[#This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échéance]]-1))&lt;AB$5,"",IFERROR(IF(AND(OR(WEEKDAY(AA$5,2)&gt;5,AA$5=Fériés),AA7&lt;&gt;""),
IF(OR(AB$5=Fériés,WEEKDAY(AB$5,2)&gt;5),0,IF(Tab_Résa[[#This Row],[Débit Crédit]]="Débit",-$G7,$G7)),IF(AB$5=$H7,IF(OR(AB$5=Fériés,WEEKDAY(AB$5,2)&gt;5),0,IF(Tab_Résa[[#This Row],[Débit Crédit]]="Débit",-$G7,$G7)),IF(AND(MOD((AB$5-$H7),VLOOKUP($I7,_P,2,0))=0,$I7&lt;&gt;""),
IF(OR(AB$5=Fériés,WEEKDAY(AB$5,2)&gt;5),0,IF(Tab_Résa[[#This Row],[Débit Crédit]]="Débit",-$G7,$G7)),""))),"")))</f>
        <v>-50</v>
      </c>
      <c r="AC7" s="83">
        <f ca="1">IF(AC$5&lt;Tab_Résa[[#This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échéance]]-1))&lt;AC$5,"",IFERROR(IF(AND(OR(WEEKDAY(AB$5,2)&gt;5,AB$5=Fériés),AB7&lt;&gt;""),
IF(OR(AC$5=Fériés,WEEKDAY(AC$5,2)&gt;5),0,IF(Tab_Résa[[#This Row],[Débit Crédit]]="Débit",-$G7,$G7)),IF(AC$5=$H7,IF(OR(AC$5=Fériés,WEEKDAY(AC$5,2)&gt;5),0,IF(Tab_Résa[[#This Row],[Débit Crédit]]="Débit",-$G7,$G7)),IF(AND(MOD((AC$5-$H7),VLOOKUP($I7,_P,2,0))=0,$I7&lt;&gt;""),
IF(OR(AC$5=Fériés,WEEKDAY(AC$5,2)&gt;5),0,IF(Tab_Résa[[#This Row],[Débit Crédit]]="Débit",-$G7,$G7)),""))),"")))</f>
        <v>-50</v>
      </c>
      <c r="AD7" s="83">
        <f ca="1">IF(AD$5&lt;Tab_Résa[[#This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échéance]]-1))&lt;AD$5,"",IFERROR(IF(AND(OR(WEEKDAY(AC$5,2)&gt;5,AC$5=Fériés),AC7&lt;&gt;""),
IF(OR(AD$5=Fériés,WEEKDAY(AD$5,2)&gt;5),0,IF(Tab_Résa[[#This Row],[Débit Crédit]]="Débit",-$G7,$G7)),IF(AD$5=$H7,IF(OR(AD$5=Fériés,WEEKDAY(AD$5,2)&gt;5),0,IF(Tab_Résa[[#This Row],[Débit Crédit]]="Débit",-$G7,$G7)),IF(AND(MOD((AD$5-$H7),VLOOKUP($I7,_P,2,0))=0,$I7&lt;&gt;""),
IF(OR(AD$5=Fériés,WEEKDAY(AD$5,2)&gt;5),0,IF(Tab_Résa[[#This Row],[Débit Crédit]]="Débit",-$G7,$G7)),""))),"")))</f>
        <v>-50</v>
      </c>
      <c r="AE7" s="83">
        <f ca="1">IF(AE$5&lt;Tab_Résa[[#This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échéance]]-1))&lt;AE$5,"",IFERROR(IF(AND(OR(WEEKDAY(AD$5,2)&gt;5,AD$5=Fériés),AD7&lt;&gt;""),
IF(OR(AE$5=Fériés,WEEKDAY(AE$5,2)&gt;5),0,IF(Tab_Résa[[#This Row],[Débit Crédit]]="Débit",-$G7,$G7)),IF(AE$5=$H7,IF(OR(AE$5=Fériés,WEEKDAY(AE$5,2)&gt;5),0,IF(Tab_Résa[[#This Row],[Débit Crédit]]="Débit",-$G7,$G7)),IF(AND(MOD((AE$5-$H7),VLOOKUP($I7,_P,2,0))=0,$I7&lt;&gt;""),
IF(OR(AE$5=Fériés,WEEKDAY(AE$5,2)&gt;5),0,IF(Tab_Résa[[#This Row],[Débit Crédit]]="Débit",-$G7,$G7)),""))),"")))</f>
        <v>-50</v>
      </c>
      <c r="AF7" s="83">
        <f ca="1">IF(AF$5&lt;Tab_Résa[[#This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échéance]]-1))&lt;AF$5,"",IFERROR(IF(AND(OR(WEEKDAY(AE$5,2)&gt;5,AE$5=Fériés),AE7&lt;&gt;""),
IF(OR(AF$5=Fériés,WEEKDAY(AF$5,2)&gt;5),0,IF(Tab_Résa[[#This Row],[Débit Crédit]]="Débit",-$G7,$G7)),IF(AF$5=$H7,IF(OR(AF$5=Fériés,WEEKDAY(AF$5,2)&gt;5),0,IF(Tab_Résa[[#This Row],[Débit Crédit]]="Débit",-$G7,$G7)),IF(AND(MOD((AF$5-$H7),VLOOKUP($I7,_P,2,0))=0,$I7&lt;&gt;""),
IF(OR(AF$5=Fériés,WEEKDAY(AF$5,2)&gt;5),0,IF(Tab_Résa[[#This Row],[Débit Crédit]]="Débit",-$G7,$G7)),""))),"")))</f>
        <v>-50</v>
      </c>
      <c r="AG7" s="83">
        <f ca="1">IF(AG$5&lt;Tab_Résa[[#This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échéance]]-1))&lt;AG$5,"",IFERROR(IF(AND(OR(WEEKDAY(AF$5,2)&gt;5,AF$5=Fériés),AF7&lt;&gt;""),
IF(OR(AG$5=Fériés,WEEKDAY(AG$5,2)&gt;5),0,IF(Tab_Résa[[#This Row],[Débit Crédit]]="Débit",-$G7,$G7)),IF(AG$5=$H7,IF(OR(AG$5=Fériés,WEEKDAY(AG$5,2)&gt;5),0,IF(Tab_Résa[[#This Row],[Débit Crédit]]="Débit",-$G7,$G7)),IF(AND(MOD((AG$5-$H7),VLOOKUP($I7,_P,2,0))=0,$I7&lt;&gt;""),
IF(OR(AG$5=Fériés,WEEKDAY(AG$5,2)&gt;5),0,IF(Tab_Résa[[#This Row],[Débit Crédit]]="Débit",-$G7,$G7)),""))),"")))</f>
        <v>0</v>
      </c>
      <c r="AH7" s="83">
        <f ca="1">IF(AH$5&lt;Tab_Résa[[#This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échéance]]-1))&lt;AH$5,"",IFERROR(IF(AND(OR(WEEKDAY(AG$5,2)&gt;5,AG$5=Fériés),AG7&lt;&gt;""),
IF(OR(AH$5=Fériés,WEEKDAY(AH$5,2)&gt;5),0,IF(Tab_Résa[[#This Row],[Débit Crédit]]="Débit",-$G7,$G7)),IF(AH$5=$H7,IF(OR(AH$5=Fériés,WEEKDAY(AH$5,2)&gt;5),0,IF(Tab_Résa[[#This Row],[Débit Crédit]]="Débit",-$G7,$G7)),IF(AND(MOD((AH$5-$H7),VLOOKUP($I7,_P,2,0))=0,$I7&lt;&gt;""),
IF(OR(AH$5=Fériés,WEEKDAY(AH$5,2)&gt;5),0,IF(Tab_Résa[[#This Row],[Débit Crédit]]="Débit",-$G7,$G7)),""))),"")))</f>
        <v>0</v>
      </c>
      <c r="AI7" s="83">
        <f ca="1">IF(AI$5&lt;Tab_Résa[[#This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échéance]]-1))&lt;AI$5,"",IFERROR(IF(AND(OR(WEEKDAY(AH$5,2)&gt;5,AH$5=Fériés),AH7&lt;&gt;""),
IF(OR(AI$5=Fériés,WEEKDAY(AI$5,2)&gt;5),0,IF(Tab_Résa[[#This Row],[Débit Crédit]]="Débit",-$G7,$G7)),IF(AI$5=$H7,IF(OR(AI$5=Fériés,WEEKDAY(AI$5,2)&gt;5),0,IF(Tab_Résa[[#This Row],[Débit Crédit]]="Débit",-$G7,$G7)),IF(AND(MOD((AI$5-$H7),VLOOKUP($I7,_P,2,0))=0,$I7&lt;&gt;""),
IF(OR(AI$5=Fériés,WEEKDAY(AI$5,2)&gt;5),0,IF(Tab_Résa[[#This Row],[Débit Crédit]]="Débit",-$G7,$G7)),""))),"")))</f>
        <v>-50</v>
      </c>
      <c r="AJ7" s="83">
        <f ca="1">IF(AJ$5&lt;Tab_Résa[[#This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échéance]]-1))&lt;AJ$5,"",IFERROR(IF(AND(OR(WEEKDAY(AI$5,2)&gt;5,AI$5=Fériés),AI7&lt;&gt;""),
IF(OR(AJ$5=Fériés,WEEKDAY(AJ$5,2)&gt;5),0,IF(Tab_Résa[[#This Row],[Débit Crédit]]="Débit",-$G7,$G7)),IF(AJ$5=$H7,IF(OR(AJ$5=Fériés,WEEKDAY(AJ$5,2)&gt;5),0,IF(Tab_Résa[[#This Row],[Débit Crédit]]="Débit",-$G7,$G7)),IF(AND(MOD((AJ$5-$H7),VLOOKUP($I7,_P,2,0))=0,$I7&lt;&gt;""),
IF(OR(AJ$5=Fériés,WEEKDAY(AJ$5,2)&gt;5),0,IF(Tab_Résa[[#This Row],[Débit Crédit]]="Débit",-$G7,$G7)),""))),"")))</f>
        <v>-50</v>
      </c>
      <c r="AK7" s="83">
        <f ca="1">IF(AK$5&lt;Tab_Résa[[#This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échéance]]-1))&lt;AK$5,"",IFERROR(IF(AND(OR(WEEKDAY(AJ$5,2)&gt;5,AJ$5=Fériés),AJ7&lt;&gt;""),
IF(OR(AK$5=Fériés,WEEKDAY(AK$5,2)&gt;5),0,IF(Tab_Résa[[#This Row],[Débit Crédit]]="Débit",-$G7,$G7)),IF(AK$5=$H7,IF(OR(AK$5=Fériés,WEEKDAY(AK$5,2)&gt;5),0,IF(Tab_Résa[[#This Row],[Débit Crédit]]="Débit",-$G7,$G7)),IF(AND(MOD((AK$5-$H7),VLOOKUP($I7,_P,2,0))=0,$I7&lt;&gt;""),
IF(OR(AK$5=Fériés,WEEKDAY(AK$5,2)&gt;5),0,IF(Tab_Résa[[#This Row],[Débit Crédit]]="Débit",-$G7,$G7)),""))),"")))</f>
        <v>-50</v>
      </c>
      <c r="AL7" s="83">
        <f ca="1">IF(AL$5&lt;Tab_Résa[[#This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échéance]]-1))&lt;AL$5,"",IFERROR(IF(AND(OR(WEEKDAY(AK$5,2)&gt;5,AK$5=Fériés),AK7&lt;&gt;""),
IF(OR(AL$5=Fériés,WEEKDAY(AL$5,2)&gt;5),0,IF(Tab_Résa[[#This Row],[Débit Crédit]]="Débit",-$G7,$G7)),IF(AL$5=$H7,IF(OR(AL$5=Fériés,WEEKDAY(AL$5,2)&gt;5),0,IF(Tab_Résa[[#This Row],[Débit Crédit]]="Débit",-$G7,$G7)),IF(AND(MOD((AL$5-$H7),VLOOKUP($I7,_P,2,0))=0,$I7&lt;&gt;""),
IF(OR(AL$5=Fériés,WEEKDAY(AL$5,2)&gt;5),0,IF(Tab_Résa[[#This Row],[Débit Crédit]]="Débit",-$G7,$G7)),""))),"")))</f>
        <v>-50</v>
      </c>
      <c r="AM7" s="83">
        <f ca="1">IF(AM$5&lt;Tab_Résa[[#This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échéance]]-1))&lt;AM$5,"",IFERROR(IF(AND(OR(WEEKDAY(AL$5,2)&gt;5,AL$5=Fériés),AL7&lt;&gt;""),
IF(OR(AM$5=Fériés,WEEKDAY(AM$5,2)&gt;5),0,IF(Tab_Résa[[#This Row],[Débit Crédit]]="Débit",-$G7,$G7)),IF(AM$5=$H7,IF(OR(AM$5=Fériés,WEEKDAY(AM$5,2)&gt;5),0,IF(Tab_Résa[[#This Row],[Débit Crédit]]="Débit",-$G7,$G7)),IF(AND(MOD((AM$5-$H7),VLOOKUP($I7,_P,2,0))=0,$I7&lt;&gt;""),
IF(OR(AM$5=Fériés,WEEKDAY(AM$5,2)&gt;5),0,IF(Tab_Résa[[#This Row],[Débit Crédit]]="Débit",-$G7,$G7)),""))),"")))</f>
        <v>-50</v>
      </c>
      <c r="AN7" s="83">
        <f ca="1">IF(AN$5&lt;Tab_Résa[[#This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échéance]]-1))&lt;AN$5,"",IFERROR(IF(AND(OR(WEEKDAY(AM$5,2)&gt;5,AM$5=Fériés),AM7&lt;&gt;""),
IF(OR(AN$5=Fériés,WEEKDAY(AN$5,2)&gt;5),0,IF(Tab_Résa[[#This Row],[Débit Crédit]]="Débit",-$G7,$G7)),IF(AN$5=$H7,IF(OR(AN$5=Fériés,WEEKDAY(AN$5,2)&gt;5),0,IF(Tab_Résa[[#This Row],[Débit Crédit]]="Débit",-$G7,$G7)),IF(AND(MOD((AN$5-$H7),VLOOKUP($I7,_P,2,0))=0,$I7&lt;&gt;""),
IF(OR(AN$5=Fériés,WEEKDAY(AN$5,2)&gt;5),0,IF(Tab_Résa[[#This Row],[Débit Crédit]]="Débit",-$G7,$G7)),""))),"")))</f>
        <v>0</v>
      </c>
      <c r="AO7" s="83">
        <f ca="1">IF(AO$5&lt;Tab_Résa[[#This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échéance]]-1))&lt;AO$5,"",IFERROR(IF(AND(OR(WEEKDAY(AN$5,2)&gt;5,AN$5=Fériés),AN7&lt;&gt;""),
IF(OR(AO$5=Fériés,WEEKDAY(AO$5,2)&gt;5),0,IF(Tab_Résa[[#This Row],[Débit Crédit]]="Débit",-$G7,$G7)),IF(AO$5=$H7,IF(OR(AO$5=Fériés,WEEKDAY(AO$5,2)&gt;5),0,IF(Tab_Résa[[#This Row],[Débit Crédit]]="Débit",-$G7,$G7)),IF(AND(MOD((AO$5-$H7),VLOOKUP($I7,_P,2,0))=0,$I7&lt;&gt;""),
IF(OR(AO$5=Fériés,WEEKDAY(AO$5,2)&gt;5),0,IF(Tab_Résa[[#This Row],[Débit Crédit]]="Débit",-$G7,$G7)),""))),"")))</f>
        <v>0</v>
      </c>
      <c r="AP7" s="83">
        <f ca="1">IF(AP$5&lt;Tab_Résa[[#This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échéance]]-1))&lt;AP$5,"",IFERROR(IF(AND(OR(WEEKDAY(AO$5,2)&gt;5,AO$5=Fériés),AO7&lt;&gt;""),
IF(OR(AP$5=Fériés,WEEKDAY(AP$5,2)&gt;5),0,IF(Tab_Résa[[#This Row],[Débit Crédit]]="Débit",-$G7,$G7)),IF(AP$5=$H7,IF(OR(AP$5=Fériés,WEEKDAY(AP$5,2)&gt;5),0,IF(Tab_Résa[[#This Row],[Débit Crédit]]="Débit",-$G7,$G7)),IF(AND(MOD((AP$5-$H7),VLOOKUP($I7,_P,2,0))=0,$I7&lt;&gt;""),
IF(OR(AP$5=Fériés,WEEKDAY(AP$5,2)&gt;5),0,IF(Tab_Résa[[#This Row],[Débit Crédit]]="Débit",-$G7,$G7)),""))),"")))</f>
        <v>-50</v>
      </c>
      <c r="AQ7" s="83">
        <f ca="1">IF(AQ$5&lt;Tab_Résa[[#This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échéance]]-1))&lt;AQ$5,"",IFERROR(IF(AND(OR(WEEKDAY(AP$5,2)&gt;5,AP$5=Fériés),AP7&lt;&gt;""),
IF(OR(AQ$5=Fériés,WEEKDAY(AQ$5,2)&gt;5),0,IF(Tab_Résa[[#This Row],[Débit Crédit]]="Débit",-$G7,$G7)),IF(AQ$5=$H7,IF(OR(AQ$5=Fériés,WEEKDAY(AQ$5,2)&gt;5),0,IF(Tab_Résa[[#This Row],[Débit Crédit]]="Débit",-$G7,$G7)),IF(AND(MOD((AQ$5-$H7),VLOOKUP($I7,_P,2,0))=0,$I7&lt;&gt;""),
IF(OR(AQ$5=Fériés,WEEKDAY(AQ$5,2)&gt;5),0,IF(Tab_Résa[[#This Row],[Débit Crédit]]="Débit",-$G7,$G7)),""))),"")))</f>
        <v>-50</v>
      </c>
      <c r="AR7" s="83">
        <f ca="1">IF(AR$5&lt;Tab_Résa[[#This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échéance]]-1))&lt;AR$5,"",IFERROR(IF(AND(OR(WEEKDAY(AQ$5,2)&gt;5,AQ$5=Fériés),AQ7&lt;&gt;""),
IF(OR(AR$5=Fériés,WEEKDAY(AR$5,2)&gt;5),0,IF(Tab_Résa[[#This Row],[Débit Crédit]]="Débit",-$G7,$G7)),IF(AR$5=$H7,IF(OR(AR$5=Fériés,WEEKDAY(AR$5,2)&gt;5),0,IF(Tab_Résa[[#This Row],[Débit Crédit]]="Débit",-$G7,$G7)),IF(AND(MOD((AR$5-$H7),VLOOKUP($I7,_P,2,0))=0,$I7&lt;&gt;""),
IF(OR(AR$5=Fériés,WEEKDAY(AR$5,2)&gt;5),0,IF(Tab_Résa[[#This Row],[Débit Crédit]]="Débit",-$G7,$G7)),""))),"")))</f>
        <v>-50</v>
      </c>
      <c r="AS7" s="83">
        <f ca="1">IF(AS$5&lt;Tab_Résa[[#This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échéance]]-1))&lt;AS$5,"",IFERROR(IF(AND(OR(WEEKDAY(AR$5,2)&gt;5,AR$5=Fériés),AR7&lt;&gt;""),
IF(OR(AS$5=Fériés,WEEKDAY(AS$5,2)&gt;5),0,IF(Tab_Résa[[#This Row],[Débit Crédit]]="Débit",-$G7,$G7)),IF(AS$5=$H7,IF(OR(AS$5=Fériés,WEEKDAY(AS$5,2)&gt;5),0,IF(Tab_Résa[[#This Row],[Débit Crédit]]="Débit",-$G7,$G7)),IF(AND(MOD((AS$5-$H7),VLOOKUP($I7,_P,2,0))=0,$I7&lt;&gt;""),
IF(OR(AS$5=Fériés,WEEKDAY(AS$5,2)&gt;5),0,IF(Tab_Résa[[#This Row],[Débit Crédit]]="Débit",-$G7,$G7)),""))),"")))</f>
        <v>-50</v>
      </c>
      <c r="AT7" s="83">
        <f ca="1">IF(AT$5&lt;Tab_Résa[[#This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échéance]]-1))&lt;AT$5,"",IFERROR(IF(AND(OR(WEEKDAY(AS$5,2)&gt;5,AS$5=Fériés),AS7&lt;&gt;""),
IF(OR(AT$5=Fériés,WEEKDAY(AT$5,2)&gt;5),0,IF(Tab_Résa[[#This Row],[Débit Crédit]]="Débit",-$G7,$G7)),IF(AT$5=$H7,IF(OR(AT$5=Fériés,WEEKDAY(AT$5,2)&gt;5),0,IF(Tab_Résa[[#This Row],[Débit Crédit]]="Débit",-$G7,$G7)),IF(AND(MOD((AT$5-$H7),VLOOKUP($I7,_P,2,0))=0,$I7&lt;&gt;""),
IF(OR(AT$5=Fériés,WEEKDAY(AT$5,2)&gt;5),0,IF(Tab_Résa[[#This Row],[Débit Crédit]]="Débit",-$G7,$G7)),""))),"")))</f>
        <v>-50</v>
      </c>
      <c r="AU7" s="83">
        <f t="array" aca="1" ref="AU7" ca="1">IF(AU$5&lt;Tab_Résa[[#This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échéance]]-1))&lt;AU$5,"",IFERROR(IF(AND(OR(WEEKDAY(AT$5,2)&gt;5,AT$5=Fériés),AT7&lt;&gt;""),
IF(OR(AU$5=Fériés,WEEKDAY(AU$5,2)&gt;5),0,$G7),IF(AU$5=$H7,IF(OR(AU$5=Fériés,WEEKDAY(AU$5,2)&gt;5),0,$G7),IF(AND(MOD((AU$5-$H7),VLOOKUP($I7,_P,2,0))=0,$I7&lt;&gt;""),
IF(OR(AU$5=Fériés,WEEKDAY(AU$5,2)&gt;5),0,$G7),""))),"")))</f>
        <v>0</v>
      </c>
      <c r="AV7" s="83">
        <f t="array" aca="1" ref="AV7" ca="1">IF(AV$5&lt;Tab_Résa[[#This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échéance]]-1))&lt;AV$5,"",IFERROR(IF(AND(OR(WEEKDAY(AU$5,2)&gt;5,AU$5=Fériés),AU7&lt;&gt;""),
IF(OR(AV$5=Fériés,WEEKDAY(AV$5,2)&gt;5),0,$G7),IF(AV$5=$H7,IF(OR(AV$5=Fériés,WEEKDAY(AV$5,2)&gt;5),0,$G7),IF(AND(MOD((AV$5-$H7),VLOOKUP($I7,_P,2,0))=0,$I7&lt;&gt;""),
IF(OR(AV$5=Fériés,WEEKDAY(AV$5,2)&gt;5),0,$G7),""))),"")))</f>
        <v>0</v>
      </c>
    </row>
    <row r="8" spans="2:49" ht="30" customHeight="1" x14ac:dyDescent="0.25">
      <c r="B8" s="44" t="s">
        <v>56</v>
      </c>
      <c r="C8" s="44" t="s">
        <v>85</v>
      </c>
      <c r="D8" s="45" t="s">
        <v>88</v>
      </c>
      <c r="E8" s="45" t="s">
        <v>92</v>
      </c>
      <c r="F8" s="45" t="s">
        <v>89</v>
      </c>
      <c r="G8" s="46">
        <v>100</v>
      </c>
      <c r="H8" s="48">
        <v>43163</v>
      </c>
      <c r="I8" s="45" t="s">
        <v>66</v>
      </c>
      <c r="J8" s="47">
        <v>3</v>
      </c>
      <c r="K8" s="64" t="s">
        <v>138</v>
      </c>
      <c r="L8" s="83" t="str">
        <f ca="1">IF(Date_Deb&lt;Tab_Résa[[#This Row],[Date de début]]-5,"",IF(Tab_Résa[[#This Row],[Date de début]]+(VLOOKUP(Tab_Résa[[#This Row],[Période]],_P,2,0)*IF(OR(Tab_Résa[[#This Row],[Nb échéance]]=0,Tab_Résa[[#This Row],[Nb échéance]]=""),10000,Tab_Résa[[#This Row],[Nb échéance]]))&lt;Date_Deb,"",IFERROR(IF($L$5=$H8,IF(OR(L$5=Fériés,WEEKDAY(L$5,2)&gt;5),0,IF(Tab_Résa[[#This Row],[Débit Crédit]]="Débit",-$G8,$G8)),IF(AND(MOD(($L$5-$H8),VLOOKUP($I8,_P,2,0))=0,$I8&lt;&gt;""),IF(OR(L$5=Fériés,WEEKDAY(L$5,2)&gt;5),0,IF(Tab_Résa[[#This Row],[Débit Crédit]]="Débit",-$G8,$G8)),"")),"")))</f>
        <v/>
      </c>
      <c r="M8" s="83">
        <f ca="1">IF(M$5&lt;Tab_Résa[[#This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échéance]]-1))&lt;M$5,"",IFERROR(IF(AND(OR(WEEKDAY(L$5,2)&gt;5,L$5=Fériés),L8&lt;&gt;""),
IF(OR(M$5=Fériés,WEEKDAY(M$5,2)&gt;5),0,IF(Tab_Résa[[#This Row],[Débit Crédit]]="Débit",-$G8,$G8)),IF(M$5=$H8,IF(OR(M$5=Fériés,WEEKDAY(M$5,2)&gt;5),0,IF(Tab_Résa[[#This Row],[Débit Crédit]]="Débit",-$G8,$G8)),IF(AND(MOD((M$5-$H8),VLOOKUP($I8,_P,2,0))=0,$I8&lt;&gt;""),
IF(OR(M$5=Fériés,WEEKDAY(M$5,2)&gt;5),0,IF(Tab_Résa[[#This Row],[Débit Crédit]]="Débit",-$G8,$G8)),""))),"")))</f>
        <v>0</v>
      </c>
      <c r="N8" s="83">
        <f ca="1">IF(N$5&lt;Tab_Résa[[#This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échéance]]-1))&lt;N$5,"",IFERROR(IF(AND(OR(WEEKDAY(M$5,2)&gt;5,M$5=Fériés),M8&lt;&gt;""),
IF(OR(N$5=Fériés,WEEKDAY(N$5,2)&gt;5),0,IF(Tab_Résa[[#This Row],[Débit Crédit]]="Débit",-$G8,$G8)),IF(N$5=$H8,IF(OR(N$5=Fériés,WEEKDAY(N$5,2)&gt;5),0,IF(Tab_Résa[[#This Row],[Débit Crédit]]="Débit",-$G8,$G8)),IF(AND(MOD((N$5-$H8),VLOOKUP($I8,_P,2,0))=0,$I8&lt;&gt;""),
IF(OR(N$5=Fériés,WEEKDAY(N$5,2)&gt;5),0,IF(Tab_Résa[[#This Row],[Débit Crédit]]="Débit",-$G8,$G8)),""))),"")))</f>
        <v>-100</v>
      </c>
      <c r="O8" s="83" t="str">
        <f ca="1">IF(O$5&lt;Tab_Résa[[#This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échéance]]-1))&lt;O$5,"",IFERROR(IF(AND(OR(WEEKDAY(N$5,2)&gt;5,N$5=Fériés),N8&lt;&gt;""),
IF(OR(O$5=Fériés,WEEKDAY(O$5,2)&gt;5),0,IF(Tab_Résa[[#This Row],[Débit Crédit]]="Débit",-$G8,$G8)),IF(O$5=$H8,IF(OR(O$5=Fériés,WEEKDAY(O$5,2)&gt;5),0,IF(Tab_Résa[[#This Row],[Débit Crédit]]="Débit",-$G8,$G8)),IF(AND(MOD((O$5-$H8),VLOOKUP($I8,_P,2,0))=0,$I8&lt;&gt;""),
IF(OR(O$5=Fériés,WEEKDAY(O$5,2)&gt;5),0,IF(Tab_Résa[[#This Row],[Débit Crédit]]="Débit",-$G8,$G8)),""))),"")))</f>
        <v/>
      </c>
      <c r="P8" s="83" t="str">
        <f ca="1">IF(P$5&lt;Tab_Résa[[#This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échéance]]-1))&lt;P$5,"",IFERROR(IF(AND(OR(WEEKDAY(O$5,2)&gt;5,O$5=Fériés),O8&lt;&gt;""),
IF(OR(P$5=Fériés,WEEKDAY(P$5,2)&gt;5),0,IF(Tab_Résa[[#This Row],[Débit Crédit]]="Débit",-$G8,$G8)),IF(P$5=$H8,IF(OR(P$5=Fériés,WEEKDAY(P$5,2)&gt;5),0,IF(Tab_Résa[[#This Row],[Débit Crédit]]="Débit",-$G8,$G8)),IF(AND(MOD((P$5-$H8),VLOOKUP($I8,_P,2,0))=0,$I8&lt;&gt;""),
IF(OR(P$5=Fériés,WEEKDAY(P$5,2)&gt;5),0,IF(Tab_Résa[[#This Row],[Débit Crédit]]="Débit",-$G8,$G8)),""))),"")))</f>
        <v/>
      </c>
      <c r="Q8" s="83" t="str">
        <f ca="1">IF(Q$5&lt;Tab_Résa[[#This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échéance]]-1))&lt;Q$5,"",IFERROR(IF(AND(OR(WEEKDAY(P$5,2)&gt;5,P$5=Fériés),P8&lt;&gt;""),
IF(OR(Q$5=Fériés,WEEKDAY(Q$5,2)&gt;5),0,IF(Tab_Résa[[#This Row],[Débit Crédit]]="Débit",-$G8,$G8)),IF(Q$5=$H8,IF(OR(Q$5=Fériés,WEEKDAY(Q$5,2)&gt;5),0,IF(Tab_Résa[[#This Row],[Débit Crédit]]="Débit",-$G8,$G8)),IF(AND(MOD((Q$5-$H8),VLOOKUP($I8,_P,2,0))=0,$I8&lt;&gt;""),
IF(OR(Q$5=Fériés,WEEKDAY(Q$5,2)&gt;5),0,IF(Tab_Résa[[#This Row],[Débit Crédit]]="Débit",-$G8,$G8)),""))),"")))</f>
        <v/>
      </c>
      <c r="R8" s="83" t="str">
        <f ca="1">IF(R$5&lt;Tab_Résa[[#This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échéance]]-1))&lt;R$5,"",IFERROR(IF(AND(OR(WEEKDAY(Q$5,2)&gt;5,Q$5=Fériés),Q8&lt;&gt;""),
IF(OR(R$5=Fériés,WEEKDAY(R$5,2)&gt;5),0,IF(Tab_Résa[[#This Row],[Débit Crédit]]="Débit",-$G8,$G8)),IF(R$5=$H8,IF(OR(R$5=Fériés,WEEKDAY(R$5,2)&gt;5),0,IF(Tab_Résa[[#This Row],[Débit Crédit]]="Débit",-$G8,$G8)),IF(AND(MOD((R$5-$H8),VLOOKUP($I8,_P,2,0))=0,$I8&lt;&gt;""),
IF(OR(R$5=Fériés,WEEKDAY(R$5,2)&gt;5),0,IF(Tab_Résa[[#This Row],[Débit Crédit]]="Débit",-$G8,$G8)),""))),"")))</f>
        <v/>
      </c>
      <c r="S8" s="83" t="str">
        <f ca="1">IF(S$5&lt;Tab_Résa[[#This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échéance]]-1))&lt;S$5,"",IFERROR(IF(AND(OR(WEEKDAY(R$5,2)&gt;5,R$5=Fériés),R8&lt;&gt;""),
IF(OR(S$5=Fériés,WEEKDAY(S$5,2)&gt;5),0,IF(Tab_Résa[[#This Row],[Débit Crédit]]="Débit",-$G8,$G8)),IF(S$5=$H8,IF(OR(S$5=Fériés,WEEKDAY(S$5,2)&gt;5),0,IF(Tab_Résa[[#This Row],[Débit Crédit]]="Débit",-$G8,$G8)),IF(AND(MOD((S$5-$H8),VLOOKUP($I8,_P,2,0))=0,$I8&lt;&gt;""),
IF(OR(S$5=Fériés,WEEKDAY(S$5,2)&gt;5),0,IF(Tab_Résa[[#This Row],[Débit Crédit]]="Débit",-$G8,$G8)),""))),"")))</f>
        <v/>
      </c>
      <c r="T8" s="83">
        <f ca="1">IF(T$5&lt;Tab_Résa[[#This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échéance]]-1))&lt;T$5,"",IFERROR(IF(AND(OR(WEEKDAY(S$5,2)&gt;5,S$5=Fériés),S8&lt;&gt;""),
IF(OR(T$5=Fériés,WEEKDAY(T$5,2)&gt;5),0,IF(Tab_Résa[[#This Row],[Débit Crédit]]="Débit",-$G8,$G8)),IF(T$5=$H8,IF(OR(T$5=Fériés,WEEKDAY(T$5,2)&gt;5),0,IF(Tab_Résa[[#This Row],[Débit Crédit]]="Débit",-$G8,$G8)),IF(AND(MOD((T$5-$H8),VLOOKUP($I8,_P,2,0))=0,$I8&lt;&gt;""),
IF(OR(T$5=Fériés,WEEKDAY(T$5,2)&gt;5),0,IF(Tab_Résa[[#This Row],[Débit Crédit]]="Débit",-$G8,$G8)),""))),"")))</f>
        <v>0</v>
      </c>
      <c r="U8" s="83">
        <f ca="1">IF(U$5&lt;Tab_Résa[[#This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échéance]]-1))&lt;U$5,"",IFERROR(IF(AND(OR(WEEKDAY(T$5,2)&gt;5,T$5=Fériés),T8&lt;&gt;""),
IF(OR(U$5=Fériés,WEEKDAY(U$5,2)&gt;5),0,IF(Tab_Résa[[#This Row],[Débit Crédit]]="Débit",-$G8,$G8)),IF(U$5=$H8,IF(OR(U$5=Fériés,WEEKDAY(U$5,2)&gt;5),0,IF(Tab_Résa[[#This Row],[Débit Crédit]]="Débit",-$G8,$G8)),IF(AND(MOD((U$5-$H8),VLOOKUP($I8,_P,2,0))=0,$I8&lt;&gt;""),
IF(OR(U$5=Fériés,WEEKDAY(U$5,2)&gt;5),0,IF(Tab_Résa[[#This Row],[Débit Crédit]]="Débit",-$G8,$G8)),""))),"")))</f>
        <v>-100</v>
      </c>
      <c r="V8" s="83" t="str">
        <f ca="1">IF(V$5&lt;Tab_Résa[[#This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échéance]]-1))&lt;V$5,"",IFERROR(IF(AND(OR(WEEKDAY(U$5,2)&gt;5,U$5=Fériés),U8&lt;&gt;""),
IF(OR(V$5=Fériés,WEEKDAY(V$5,2)&gt;5),0,IF(Tab_Résa[[#This Row],[Débit Crédit]]="Débit",-$G8,$G8)),IF(V$5=$H8,IF(OR(V$5=Fériés,WEEKDAY(V$5,2)&gt;5),0,IF(Tab_Résa[[#This Row],[Débit Crédit]]="Débit",-$G8,$G8)),IF(AND(MOD((V$5-$H8),VLOOKUP($I8,_P,2,0))=0,$I8&lt;&gt;""),
IF(OR(V$5=Fériés,WEEKDAY(V$5,2)&gt;5),0,IF(Tab_Résa[[#This Row],[Débit Crédit]]="Débit",-$G8,$G8)),""))),"")))</f>
        <v/>
      </c>
      <c r="W8" s="83" t="str">
        <f ca="1">IF(W$5&lt;Tab_Résa[[#This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échéance]]-1))&lt;W$5,"",IFERROR(IF(AND(OR(WEEKDAY(V$5,2)&gt;5,V$5=Fériés),V8&lt;&gt;""),
IF(OR(W$5=Fériés,WEEKDAY(W$5,2)&gt;5),0,IF(Tab_Résa[[#This Row],[Débit Crédit]]="Débit",-$G8,$G8)),IF(W$5=$H8,IF(OR(W$5=Fériés,WEEKDAY(W$5,2)&gt;5),0,IF(Tab_Résa[[#This Row],[Débit Crédit]]="Débit",-$G8,$G8)),IF(AND(MOD((W$5-$H8),VLOOKUP($I8,_P,2,0))=0,$I8&lt;&gt;""),
IF(OR(W$5=Fériés,WEEKDAY(W$5,2)&gt;5),0,IF(Tab_Résa[[#This Row],[Débit Crédit]]="Débit",-$G8,$G8)),""))),"")))</f>
        <v/>
      </c>
      <c r="X8" s="83" t="str">
        <f ca="1">IF(X$5&lt;Tab_Résa[[#This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échéance]]-1))&lt;X$5,"",IFERROR(IF(AND(OR(WEEKDAY(W$5,2)&gt;5,W$5=Fériés),W8&lt;&gt;""),
IF(OR(X$5=Fériés,WEEKDAY(X$5,2)&gt;5),0,IF(Tab_Résa[[#This Row],[Débit Crédit]]="Débit",-$G8,$G8)),IF(X$5=$H8,IF(OR(X$5=Fériés,WEEKDAY(X$5,2)&gt;5),0,IF(Tab_Résa[[#This Row],[Débit Crédit]]="Débit",-$G8,$G8)),IF(AND(MOD((X$5-$H8),VLOOKUP($I8,_P,2,0))=0,$I8&lt;&gt;""),
IF(OR(X$5=Fériés,WEEKDAY(X$5,2)&gt;5),0,IF(Tab_Résa[[#This Row],[Débit Crédit]]="Débit",-$G8,$G8)),""))),"")))</f>
        <v/>
      </c>
      <c r="Y8" s="83" t="str">
        <f ca="1">IF(Y$5&lt;Tab_Résa[[#This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échéance]]-1))&lt;Y$5,"",IFERROR(IF(AND(OR(WEEKDAY(X$5,2)&gt;5,X$5=Fériés),X8&lt;&gt;""),
IF(OR(Y$5=Fériés,WEEKDAY(Y$5,2)&gt;5),0,IF(Tab_Résa[[#This Row],[Débit Crédit]]="Débit",-$G8,$G8)),IF(Y$5=$H8,IF(OR(Y$5=Fériés,WEEKDAY(Y$5,2)&gt;5),0,IF(Tab_Résa[[#This Row],[Débit Crédit]]="Débit",-$G8,$G8)),IF(AND(MOD((Y$5-$H8),VLOOKUP($I8,_P,2,0))=0,$I8&lt;&gt;""),
IF(OR(Y$5=Fériés,WEEKDAY(Y$5,2)&gt;5),0,IF(Tab_Résa[[#This Row],[Débit Crédit]]="Débit",-$G8,$G8)),""))),"")))</f>
        <v/>
      </c>
      <c r="Z8" s="83" t="str">
        <f ca="1">IF(Z$5&lt;Tab_Résa[[#This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échéance]]-1))&lt;Z$5,"",IFERROR(IF(AND(OR(WEEKDAY(Y$5,2)&gt;5,Y$5=Fériés),Y8&lt;&gt;""),
IF(OR(Z$5=Fériés,WEEKDAY(Z$5,2)&gt;5),0,IF(Tab_Résa[[#This Row],[Débit Crédit]]="Débit",-$G8,$G8)),IF(Z$5=$H8,IF(OR(Z$5=Fériés,WEEKDAY(Z$5,2)&gt;5),0,IF(Tab_Résa[[#This Row],[Débit Crédit]]="Débit",-$G8,$G8)),IF(AND(MOD((Z$5-$H8),VLOOKUP($I8,_P,2,0))=0,$I8&lt;&gt;""),
IF(OR(Z$5=Fériés,WEEKDAY(Z$5,2)&gt;5),0,IF(Tab_Résa[[#This Row],[Débit Crédit]]="Débit",-$G8,$G8)),""))),"")))</f>
        <v/>
      </c>
      <c r="AA8" s="83">
        <f ca="1">IF(AA$5&lt;Tab_Résa[[#This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échéance]]-1))&lt;AA$5,"",IFERROR(IF(AND(OR(WEEKDAY(Z$5,2)&gt;5,Z$5=Fériés),Z8&lt;&gt;""),
IF(OR(AA$5=Fériés,WEEKDAY(AA$5,2)&gt;5),0,IF(Tab_Résa[[#This Row],[Débit Crédit]]="Débit",-$G8,$G8)),IF(AA$5=$H8,IF(OR(AA$5=Fériés,WEEKDAY(AA$5,2)&gt;5),0,IF(Tab_Résa[[#This Row],[Débit Crédit]]="Débit",-$G8,$G8)),IF(AND(MOD((AA$5-$H8),VLOOKUP($I8,_P,2,0))=0,$I8&lt;&gt;""),
IF(OR(AA$5=Fériés,WEEKDAY(AA$5,2)&gt;5),0,IF(Tab_Résa[[#This Row],[Débit Crédit]]="Débit",-$G8,$G8)),""))),"")))</f>
        <v>0</v>
      </c>
      <c r="AB8" s="83" t="str">
        <f ca="1">IF(AB$5&lt;Tab_Résa[[#This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échéance]]-1))&lt;AB$5,"",IFERROR(IF(AND(OR(WEEKDAY(AA$5,2)&gt;5,AA$5=Fériés),AA8&lt;&gt;""),
IF(OR(AB$5=Fériés,WEEKDAY(AB$5,2)&gt;5),0,IF(Tab_Résa[[#This Row],[Débit Crédit]]="Débit",-$G8,$G8)),IF(AB$5=$H8,IF(OR(AB$5=Fériés,WEEKDAY(AB$5,2)&gt;5),0,IF(Tab_Résa[[#This Row],[Débit Crédit]]="Débit",-$G8,$G8)),IF(AND(MOD((AB$5-$H8),VLOOKUP($I8,_P,2,0))=0,$I8&lt;&gt;""),
IF(OR(AB$5=Fériés,WEEKDAY(AB$5,2)&gt;5),0,IF(Tab_Résa[[#This Row],[Débit Crédit]]="Débit",-$G8,$G8)),""))),"")))</f>
        <v/>
      </c>
      <c r="AC8" s="83" t="str">
        <f ca="1">IF(AC$5&lt;Tab_Résa[[#This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échéance]]-1))&lt;AC$5,"",IFERROR(IF(AND(OR(WEEKDAY(AB$5,2)&gt;5,AB$5=Fériés),AB8&lt;&gt;""),
IF(OR(AC$5=Fériés,WEEKDAY(AC$5,2)&gt;5),0,IF(Tab_Résa[[#This Row],[Débit Crédit]]="Débit",-$G8,$G8)),IF(AC$5=$H8,IF(OR(AC$5=Fériés,WEEKDAY(AC$5,2)&gt;5),0,IF(Tab_Résa[[#This Row],[Débit Crédit]]="Débit",-$G8,$G8)),IF(AND(MOD((AC$5-$H8),VLOOKUP($I8,_P,2,0))=0,$I8&lt;&gt;""),
IF(OR(AC$5=Fériés,WEEKDAY(AC$5,2)&gt;5),0,IF(Tab_Résa[[#This Row],[Débit Crédit]]="Débit",-$G8,$G8)),""))),"")))</f>
        <v/>
      </c>
      <c r="AD8" s="83" t="str">
        <f ca="1">IF(AD$5&lt;Tab_Résa[[#This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échéance]]-1))&lt;AD$5,"",IFERROR(IF(AND(OR(WEEKDAY(AC$5,2)&gt;5,AC$5=Fériés),AC8&lt;&gt;""),
IF(OR(AD$5=Fériés,WEEKDAY(AD$5,2)&gt;5),0,IF(Tab_Résa[[#This Row],[Débit Crédit]]="Débit",-$G8,$G8)),IF(AD$5=$H8,IF(OR(AD$5=Fériés,WEEKDAY(AD$5,2)&gt;5),0,IF(Tab_Résa[[#This Row],[Débit Crédit]]="Débit",-$G8,$G8)),IF(AND(MOD((AD$5-$H8),VLOOKUP($I8,_P,2,0))=0,$I8&lt;&gt;""),
IF(OR(AD$5=Fériés,WEEKDAY(AD$5,2)&gt;5),0,IF(Tab_Résa[[#This Row],[Débit Crédit]]="Débit",-$G8,$G8)),""))),"")))</f>
        <v/>
      </c>
      <c r="AE8" s="83" t="str">
        <f ca="1">IF(AE$5&lt;Tab_Résa[[#This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échéance]]-1))&lt;AE$5,"",IFERROR(IF(AND(OR(WEEKDAY(AD$5,2)&gt;5,AD$5=Fériés),AD8&lt;&gt;""),
IF(OR(AE$5=Fériés,WEEKDAY(AE$5,2)&gt;5),0,IF(Tab_Résa[[#This Row],[Débit Crédit]]="Débit",-$G8,$G8)),IF(AE$5=$H8,IF(OR(AE$5=Fériés,WEEKDAY(AE$5,2)&gt;5),0,IF(Tab_Résa[[#This Row],[Débit Crédit]]="Débit",-$G8,$G8)),IF(AND(MOD((AE$5-$H8),VLOOKUP($I8,_P,2,0))=0,$I8&lt;&gt;""),
IF(OR(AE$5=Fériés,WEEKDAY(AE$5,2)&gt;5),0,IF(Tab_Résa[[#This Row],[Débit Crédit]]="Débit",-$G8,$G8)),""))),"")))</f>
        <v/>
      </c>
      <c r="AF8" s="83" t="str">
        <f ca="1">IF(AF$5&lt;Tab_Résa[[#This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échéance]]-1))&lt;AF$5,"",IFERROR(IF(AND(OR(WEEKDAY(AE$5,2)&gt;5,AE$5=Fériés),AE8&lt;&gt;""),
IF(OR(AF$5=Fériés,WEEKDAY(AF$5,2)&gt;5),0,IF(Tab_Résa[[#This Row],[Débit Crédit]]="Débit",-$G8,$G8)),IF(AF$5=$H8,IF(OR(AF$5=Fériés,WEEKDAY(AF$5,2)&gt;5),0,IF(Tab_Résa[[#This Row],[Débit Crédit]]="Débit",-$G8,$G8)),IF(AND(MOD((AF$5-$H8),VLOOKUP($I8,_P,2,0))=0,$I8&lt;&gt;""),
IF(OR(AF$5=Fériés,WEEKDAY(AF$5,2)&gt;5),0,IF(Tab_Résa[[#This Row],[Débit Crédit]]="Débit",-$G8,$G8)),""))),"")))</f>
        <v/>
      </c>
      <c r="AG8" s="83" t="str">
        <f ca="1">IF(AG$5&lt;Tab_Résa[[#This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échéance]]-1))&lt;AG$5,"",IFERROR(IF(AND(OR(WEEKDAY(AF$5,2)&gt;5,AF$5=Fériés),AF8&lt;&gt;""),
IF(OR(AG$5=Fériés,WEEKDAY(AG$5,2)&gt;5),0,IF(Tab_Résa[[#This Row],[Débit Crédit]]="Débit",-$G8,$G8)),IF(AG$5=$H8,IF(OR(AG$5=Fériés,WEEKDAY(AG$5,2)&gt;5),0,IF(Tab_Résa[[#This Row],[Débit Crédit]]="Débit",-$G8,$G8)),IF(AND(MOD((AG$5-$H8),VLOOKUP($I8,_P,2,0))=0,$I8&lt;&gt;""),
IF(OR(AG$5=Fériés,WEEKDAY(AG$5,2)&gt;5),0,IF(Tab_Résa[[#This Row],[Débit Crédit]]="Débit",-$G8,$G8)),""))),"")))</f>
        <v/>
      </c>
      <c r="AH8" s="83" t="str">
        <f ca="1">IF(AH$5&lt;Tab_Résa[[#This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échéance]]-1))&lt;AH$5,"",IFERROR(IF(AND(OR(WEEKDAY(AG$5,2)&gt;5,AG$5=Fériés),AG8&lt;&gt;""),
IF(OR(AH$5=Fériés,WEEKDAY(AH$5,2)&gt;5),0,IF(Tab_Résa[[#This Row],[Débit Crédit]]="Débit",-$G8,$G8)),IF(AH$5=$H8,IF(OR(AH$5=Fériés,WEEKDAY(AH$5,2)&gt;5),0,IF(Tab_Résa[[#This Row],[Débit Crédit]]="Débit",-$G8,$G8)),IF(AND(MOD((AH$5-$H8),VLOOKUP($I8,_P,2,0))=0,$I8&lt;&gt;""),
IF(OR(AH$5=Fériés,WEEKDAY(AH$5,2)&gt;5),0,IF(Tab_Résa[[#This Row],[Débit Crédit]]="Débit",-$G8,$G8)),""))),"")))</f>
        <v/>
      </c>
      <c r="AI8" s="83" t="str">
        <f ca="1">IF(AI$5&lt;Tab_Résa[[#This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échéance]]-1))&lt;AI$5,"",IFERROR(IF(AND(OR(WEEKDAY(AH$5,2)&gt;5,AH$5=Fériés),AH8&lt;&gt;""),
IF(OR(AI$5=Fériés,WEEKDAY(AI$5,2)&gt;5),0,IF(Tab_Résa[[#This Row],[Débit Crédit]]="Débit",-$G8,$G8)),IF(AI$5=$H8,IF(OR(AI$5=Fériés,WEEKDAY(AI$5,2)&gt;5),0,IF(Tab_Résa[[#This Row],[Débit Crédit]]="Débit",-$G8,$G8)),IF(AND(MOD((AI$5-$H8),VLOOKUP($I8,_P,2,0))=0,$I8&lt;&gt;""),
IF(OR(AI$5=Fériés,WEEKDAY(AI$5,2)&gt;5),0,IF(Tab_Résa[[#This Row],[Débit Crédit]]="Débit",-$G8,$G8)),""))),"")))</f>
        <v/>
      </c>
      <c r="AJ8" s="83" t="str">
        <f ca="1">IF(AJ$5&lt;Tab_Résa[[#This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échéance]]-1))&lt;AJ$5,"",IFERROR(IF(AND(OR(WEEKDAY(AI$5,2)&gt;5,AI$5=Fériés),AI8&lt;&gt;""),
IF(OR(AJ$5=Fériés,WEEKDAY(AJ$5,2)&gt;5),0,IF(Tab_Résa[[#This Row],[Débit Crédit]]="Débit",-$G8,$G8)),IF(AJ$5=$H8,IF(OR(AJ$5=Fériés,WEEKDAY(AJ$5,2)&gt;5),0,IF(Tab_Résa[[#This Row],[Débit Crédit]]="Débit",-$G8,$G8)),IF(AND(MOD((AJ$5-$H8),VLOOKUP($I8,_P,2,0))=0,$I8&lt;&gt;""),
IF(OR(AJ$5=Fériés,WEEKDAY(AJ$5,2)&gt;5),0,IF(Tab_Résa[[#This Row],[Débit Crédit]]="Débit",-$G8,$G8)),""))),"")))</f>
        <v/>
      </c>
      <c r="AK8" s="83" t="str">
        <f ca="1">IF(AK$5&lt;Tab_Résa[[#This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échéance]]-1))&lt;AK$5,"",IFERROR(IF(AND(OR(WEEKDAY(AJ$5,2)&gt;5,AJ$5=Fériés),AJ8&lt;&gt;""),
IF(OR(AK$5=Fériés,WEEKDAY(AK$5,2)&gt;5),0,IF(Tab_Résa[[#This Row],[Débit Crédit]]="Débit",-$G8,$G8)),IF(AK$5=$H8,IF(OR(AK$5=Fériés,WEEKDAY(AK$5,2)&gt;5),0,IF(Tab_Résa[[#This Row],[Débit Crédit]]="Débit",-$G8,$G8)),IF(AND(MOD((AK$5-$H8),VLOOKUP($I8,_P,2,0))=0,$I8&lt;&gt;""),
IF(OR(AK$5=Fériés,WEEKDAY(AK$5,2)&gt;5),0,IF(Tab_Résa[[#This Row],[Débit Crédit]]="Débit",-$G8,$G8)),""))),"")))</f>
        <v/>
      </c>
      <c r="AL8" s="83" t="str">
        <f ca="1">IF(AL$5&lt;Tab_Résa[[#This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échéance]]-1))&lt;AL$5,"",IFERROR(IF(AND(OR(WEEKDAY(AK$5,2)&gt;5,AK$5=Fériés),AK8&lt;&gt;""),
IF(OR(AL$5=Fériés,WEEKDAY(AL$5,2)&gt;5),0,IF(Tab_Résa[[#This Row],[Débit Crédit]]="Débit",-$G8,$G8)),IF(AL$5=$H8,IF(OR(AL$5=Fériés,WEEKDAY(AL$5,2)&gt;5),0,IF(Tab_Résa[[#This Row],[Débit Crédit]]="Débit",-$G8,$G8)),IF(AND(MOD((AL$5-$H8),VLOOKUP($I8,_P,2,0))=0,$I8&lt;&gt;""),
IF(OR(AL$5=Fériés,WEEKDAY(AL$5,2)&gt;5),0,IF(Tab_Résa[[#This Row],[Débit Crédit]]="Débit",-$G8,$G8)),""))),"")))</f>
        <v/>
      </c>
      <c r="AM8" s="83" t="str">
        <f ca="1">IF(AM$5&lt;Tab_Résa[[#This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échéance]]-1))&lt;AM$5,"",IFERROR(IF(AND(OR(WEEKDAY(AL$5,2)&gt;5,AL$5=Fériés),AL8&lt;&gt;""),
IF(OR(AM$5=Fériés,WEEKDAY(AM$5,2)&gt;5),0,IF(Tab_Résa[[#This Row],[Débit Crédit]]="Débit",-$G8,$G8)),IF(AM$5=$H8,IF(OR(AM$5=Fériés,WEEKDAY(AM$5,2)&gt;5),0,IF(Tab_Résa[[#This Row],[Débit Crédit]]="Débit",-$G8,$G8)),IF(AND(MOD((AM$5-$H8),VLOOKUP($I8,_P,2,0))=0,$I8&lt;&gt;""),
IF(OR(AM$5=Fériés,WEEKDAY(AM$5,2)&gt;5),0,IF(Tab_Résa[[#This Row],[Débit Crédit]]="Débit",-$G8,$G8)),""))),"")))</f>
        <v/>
      </c>
      <c r="AN8" s="83" t="str">
        <f ca="1">IF(AN$5&lt;Tab_Résa[[#This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échéance]]-1))&lt;AN$5,"",IFERROR(IF(AND(OR(WEEKDAY(AM$5,2)&gt;5,AM$5=Fériés),AM8&lt;&gt;""),
IF(OR(AN$5=Fériés,WEEKDAY(AN$5,2)&gt;5),0,IF(Tab_Résa[[#This Row],[Débit Crédit]]="Débit",-$G8,$G8)),IF(AN$5=$H8,IF(OR(AN$5=Fériés,WEEKDAY(AN$5,2)&gt;5),0,IF(Tab_Résa[[#This Row],[Débit Crédit]]="Débit",-$G8,$G8)),IF(AND(MOD((AN$5-$H8),VLOOKUP($I8,_P,2,0))=0,$I8&lt;&gt;""),
IF(OR(AN$5=Fériés,WEEKDAY(AN$5,2)&gt;5),0,IF(Tab_Résa[[#This Row],[Débit Crédit]]="Débit",-$G8,$G8)),""))),"")))</f>
        <v/>
      </c>
      <c r="AO8" s="83" t="str">
        <f ca="1">IF(AO$5&lt;Tab_Résa[[#This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échéance]]-1))&lt;AO$5,"",IFERROR(IF(AND(OR(WEEKDAY(AN$5,2)&gt;5,AN$5=Fériés),AN8&lt;&gt;""),
IF(OR(AO$5=Fériés,WEEKDAY(AO$5,2)&gt;5),0,IF(Tab_Résa[[#This Row],[Débit Crédit]]="Débit",-$G8,$G8)),IF(AO$5=$H8,IF(OR(AO$5=Fériés,WEEKDAY(AO$5,2)&gt;5),0,IF(Tab_Résa[[#This Row],[Débit Crédit]]="Débit",-$G8,$G8)),IF(AND(MOD((AO$5-$H8),VLOOKUP($I8,_P,2,0))=0,$I8&lt;&gt;""),
IF(OR(AO$5=Fériés,WEEKDAY(AO$5,2)&gt;5),0,IF(Tab_Résa[[#This Row],[Débit Crédit]]="Débit",-$G8,$G8)),""))),"")))</f>
        <v/>
      </c>
      <c r="AP8" s="83" t="str">
        <f ca="1">IF(AP$5&lt;Tab_Résa[[#This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échéance]]-1))&lt;AP$5,"",IFERROR(IF(AND(OR(WEEKDAY(AO$5,2)&gt;5,AO$5=Fériés),AO8&lt;&gt;""),
IF(OR(AP$5=Fériés,WEEKDAY(AP$5,2)&gt;5),0,IF(Tab_Résa[[#This Row],[Débit Crédit]]="Débit",-$G8,$G8)),IF(AP$5=$H8,IF(OR(AP$5=Fériés,WEEKDAY(AP$5,2)&gt;5),0,IF(Tab_Résa[[#This Row],[Débit Crédit]]="Débit",-$G8,$G8)),IF(AND(MOD((AP$5-$H8),VLOOKUP($I8,_P,2,0))=0,$I8&lt;&gt;""),
IF(OR(AP$5=Fériés,WEEKDAY(AP$5,2)&gt;5),0,IF(Tab_Résa[[#This Row],[Débit Crédit]]="Débit",-$G8,$G8)),""))),"")))</f>
        <v/>
      </c>
      <c r="AQ8" s="83" t="str">
        <f ca="1">IF(AQ$5&lt;Tab_Résa[[#This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échéance]]-1))&lt;AQ$5,"",IFERROR(IF(AND(OR(WEEKDAY(AP$5,2)&gt;5,AP$5=Fériés),AP8&lt;&gt;""),
IF(OR(AQ$5=Fériés,WEEKDAY(AQ$5,2)&gt;5),0,IF(Tab_Résa[[#This Row],[Débit Crédit]]="Débit",-$G8,$G8)),IF(AQ$5=$H8,IF(OR(AQ$5=Fériés,WEEKDAY(AQ$5,2)&gt;5),0,IF(Tab_Résa[[#This Row],[Débit Crédit]]="Débit",-$G8,$G8)),IF(AND(MOD((AQ$5-$H8),VLOOKUP($I8,_P,2,0))=0,$I8&lt;&gt;""),
IF(OR(AQ$5=Fériés,WEEKDAY(AQ$5,2)&gt;5),0,IF(Tab_Résa[[#This Row],[Débit Crédit]]="Débit",-$G8,$G8)),""))),"")))</f>
        <v/>
      </c>
      <c r="AR8" s="83" t="str">
        <f ca="1">IF(AR$5&lt;Tab_Résa[[#This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échéance]]-1))&lt;AR$5,"",IFERROR(IF(AND(OR(WEEKDAY(AQ$5,2)&gt;5,AQ$5=Fériés),AQ8&lt;&gt;""),
IF(OR(AR$5=Fériés,WEEKDAY(AR$5,2)&gt;5),0,IF(Tab_Résa[[#This Row],[Débit Crédit]]="Débit",-$G8,$G8)),IF(AR$5=$H8,IF(OR(AR$5=Fériés,WEEKDAY(AR$5,2)&gt;5),0,IF(Tab_Résa[[#This Row],[Débit Crédit]]="Débit",-$G8,$G8)),IF(AND(MOD((AR$5-$H8),VLOOKUP($I8,_P,2,0))=0,$I8&lt;&gt;""),
IF(OR(AR$5=Fériés,WEEKDAY(AR$5,2)&gt;5),0,IF(Tab_Résa[[#This Row],[Débit Crédit]]="Débit",-$G8,$G8)),""))),"")))</f>
        <v/>
      </c>
      <c r="AS8" s="83" t="str">
        <f ca="1">IF(AS$5&lt;Tab_Résa[[#This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échéance]]-1))&lt;AS$5,"",IFERROR(IF(AND(OR(WEEKDAY(AR$5,2)&gt;5,AR$5=Fériés),AR8&lt;&gt;""),
IF(OR(AS$5=Fériés,WEEKDAY(AS$5,2)&gt;5),0,IF(Tab_Résa[[#This Row],[Débit Crédit]]="Débit",-$G8,$G8)),IF(AS$5=$H8,IF(OR(AS$5=Fériés,WEEKDAY(AS$5,2)&gt;5),0,IF(Tab_Résa[[#This Row],[Débit Crédit]]="Débit",-$G8,$G8)),IF(AND(MOD((AS$5-$H8),VLOOKUP($I8,_P,2,0))=0,$I8&lt;&gt;""),
IF(OR(AS$5=Fériés,WEEKDAY(AS$5,2)&gt;5),0,IF(Tab_Résa[[#This Row],[Débit Crédit]]="Débit",-$G8,$G8)),""))),"")))</f>
        <v/>
      </c>
      <c r="AT8" s="83" t="str">
        <f ca="1">IF(AT$5&lt;Tab_Résa[[#This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échéance]]-1))&lt;AT$5,"",IFERROR(IF(AND(OR(WEEKDAY(AS$5,2)&gt;5,AS$5=Fériés),AS8&lt;&gt;""),
IF(OR(AT$5=Fériés,WEEKDAY(AT$5,2)&gt;5),0,IF(Tab_Résa[[#This Row],[Débit Crédit]]="Débit",-$G8,$G8)),IF(AT$5=$H8,IF(OR(AT$5=Fériés,WEEKDAY(AT$5,2)&gt;5),0,IF(Tab_Résa[[#This Row],[Débit Crédit]]="Débit",-$G8,$G8)),IF(AND(MOD((AT$5-$H8),VLOOKUP($I8,_P,2,0))=0,$I8&lt;&gt;""),
IF(OR(AT$5=Fériés,WEEKDAY(AT$5,2)&gt;5),0,IF(Tab_Résa[[#This Row],[Débit Crédit]]="Débit",-$G8,$G8)),""))),"")))</f>
        <v/>
      </c>
      <c r="AU8" s="83" t="str">
        <f t="array" aca="1" ref="AU8" ca="1">IF(AU$5&lt;Tab_Résa[[#This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échéance]]-1))&lt;AU$5,"",IFERROR(IF(AND(OR(WEEKDAY(AT$5,2)&gt;5,AT$5=Fériés),AT8&lt;&gt;""),
IF(OR(AU$5=Fériés,WEEKDAY(AU$5,2)&gt;5),0,$G8),IF(AU$5=$H8,IF(OR(AU$5=Fériés,WEEKDAY(AU$5,2)&gt;5),0,$G8),IF(AND(MOD((AU$5-$H8),VLOOKUP($I8,_P,2,0))=0,$I8&lt;&gt;""),
IF(OR(AU$5=Fériés,WEEKDAY(AU$5,2)&gt;5),0,$G8),""))),"")))</f>
        <v/>
      </c>
      <c r="AV8" s="83" t="str">
        <f t="array" aca="1" ref="AV8" ca="1">IF(AV$5&lt;Tab_Résa[[#This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échéance]]-1))&lt;AV$5,"",IFERROR(IF(AND(OR(WEEKDAY(AU$5,2)&gt;5,AU$5=Fériés),AU8&lt;&gt;""),
IF(OR(AV$5=Fériés,WEEKDAY(AV$5,2)&gt;5),0,$G8),IF(AV$5=$H8,IF(OR(AV$5=Fériés,WEEKDAY(AV$5,2)&gt;5),0,$G8),IF(AND(MOD((AV$5-$H8),VLOOKUP($I8,_P,2,0))=0,$I8&lt;&gt;""),
IF(OR(AV$5=Fériés,WEEKDAY(AV$5,2)&gt;5),0,$G8),""))),"")))</f>
        <v/>
      </c>
    </row>
    <row r="9" spans="2:49" ht="30" customHeight="1" x14ac:dyDescent="0.25">
      <c r="B9" s="44" t="s">
        <v>57</v>
      </c>
      <c r="C9" s="44" t="s">
        <v>91</v>
      </c>
      <c r="D9" s="45" t="s">
        <v>111</v>
      </c>
      <c r="E9" s="45" t="s">
        <v>85</v>
      </c>
      <c r="F9" s="45" t="s">
        <v>90</v>
      </c>
      <c r="G9" s="46">
        <v>500</v>
      </c>
      <c r="H9" s="48">
        <v>43165</v>
      </c>
      <c r="I9" s="45" t="s">
        <v>70</v>
      </c>
      <c r="J9" s="47"/>
      <c r="K9" s="65" t="s">
        <v>138</v>
      </c>
      <c r="L9" s="85" t="str">
        <f ca="1">IF(Date_Deb&lt;Tab_Résa[[#This Row],[Date de début]]-5,"",IF(Tab_Résa[[#This Row],[Date de début]]+(VLOOKUP(Tab_Résa[[#This Row],[Période]],_P,2,0)*IF(OR(Tab_Résa[[#This Row],[Nb échéance]]=0,Tab_Résa[[#This Row],[Nb échéance]]=""),10000,Tab_Résa[[#This Row],[Nb échéance]]))&lt;Date_Deb,"",IFERROR(IF($L$5=$H9,IF(OR(L$5=Fériés,WEEKDAY(L$5,2)&gt;5),0,IF(Tab_Résa[[#This Row],[Débit Crédit]]="Débit",-$G9,$G9)),IF(AND(MOD(($L$5-$H9),VLOOKUP($I9,_P,2,0))=0,$I9&lt;&gt;""),IF(OR(L$5=Fériés,WEEKDAY(L$5,2)&gt;5),0,IF(Tab_Résa[[#This Row],[Débit Crédit]]="Débit",-$G9,$G9)),"")),"")))</f>
        <v/>
      </c>
      <c r="M9" s="86" t="str">
        <f ca="1">IF(M$5&lt;Tab_Résa[[#This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échéance]]-1))&lt;M$5,"",IFERROR(IF(AND(OR(WEEKDAY(L$5,2)&gt;5,L$5=Fériés),L9&lt;&gt;""),
IF(OR(M$5=Fériés,WEEKDAY(M$5,2)&gt;5),0,IF(Tab_Résa[[#This Row],[Débit Crédit]]="Débit",-$G9,$G9)),IF(M$5=$H9,IF(OR(M$5=Fériés,WEEKDAY(M$5,2)&gt;5),0,IF(Tab_Résa[[#This Row],[Débit Crédit]]="Débit",-$G9,$G9)),IF(AND(MOD((M$5-$H9),VLOOKUP($I9,_P,2,0))=0,$I9&lt;&gt;""),
IF(OR(M$5=Fériés,WEEKDAY(M$5,2)&gt;5),0,IF(Tab_Résa[[#This Row],[Débit Crédit]]="Débit",-$G9,$G9)),""))),"")))</f>
        <v/>
      </c>
      <c r="N9" s="86" t="str">
        <f ca="1">IF(N$5&lt;Tab_Résa[[#This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échéance]]-1))&lt;N$5,"",IFERROR(IF(AND(OR(WEEKDAY(M$5,2)&gt;5,M$5=Fériés),M9&lt;&gt;""),
IF(OR(N$5=Fériés,WEEKDAY(N$5,2)&gt;5),0,IF(Tab_Résa[[#This Row],[Débit Crédit]]="Débit",-$G9,$G9)),IF(N$5=$H9,IF(OR(N$5=Fériés,WEEKDAY(N$5,2)&gt;5),0,IF(Tab_Résa[[#This Row],[Débit Crédit]]="Débit",-$G9,$G9)),IF(AND(MOD((N$5-$H9),VLOOKUP($I9,_P,2,0))=0,$I9&lt;&gt;""),
IF(OR(N$5=Fériés,WEEKDAY(N$5,2)&gt;5),0,IF(Tab_Résa[[#This Row],[Débit Crédit]]="Débit",-$G9,$G9)),""))),"")))</f>
        <v/>
      </c>
      <c r="O9" s="86">
        <f ca="1">IF(O$5&lt;Tab_Résa[[#This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échéance]]-1))&lt;O$5,"",IFERROR(IF(AND(OR(WEEKDAY(N$5,2)&gt;5,N$5=Fériés),N9&lt;&gt;""),
IF(OR(O$5=Fériés,WEEKDAY(O$5,2)&gt;5),0,IF(Tab_Résa[[#This Row],[Débit Crédit]]="Débit",-$G9,$G9)),IF(O$5=$H9,IF(OR(O$5=Fériés,WEEKDAY(O$5,2)&gt;5),0,IF(Tab_Résa[[#This Row],[Débit Crédit]]="Débit",-$G9,$G9)),IF(AND(MOD((O$5-$H9),VLOOKUP($I9,_P,2,0))=0,$I9&lt;&gt;""),
IF(OR(O$5=Fériés,WEEKDAY(O$5,2)&gt;5),0,IF(Tab_Résa[[#This Row],[Débit Crédit]]="Débit",-$G9,$G9)),""))),"")))</f>
        <v>500</v>
      </c>
      <c r="P9" s="86" t="str">
        <f ca="1">IF(P$5&lt;Tab_Résa[[#This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échéance]]-1))&lt;P$5,"",IFERROR(IF(AND(OR(WEEKDAY(O$5,2)&gt;5,O$5=Fériés),O9&lt;&gt;""),
IF(OR(P$5=Fériés,WEEKDAY(P$5,2)&gt;5),0,IF(Tab_Résa[[#This Row],[Débit Crédit]]="Débit",-$G9,$G9)),IF(P$5=$H9,IF(OR(P$5=Fériés,WEEKDAY(P$5,2)&gt;5),0,IF(Tab_Résa[[#This Row],[Débit Crédit]]="Débit",-$G9,$G9)),IF(AND(MOD((P$5-$H9),VLOOKUP($I9,_P,2,0))=0,$I9&lt;&gt;""),
IF(OR(P$5=Fériés,WEEKDAY(P$5,2)&gt;5),0,IF(Tab_Résa[[#This Row],[Débit Crédit]]="Débit",-$G9,$G9)),""))),"")))</f>
        <v/>
      </c>
      <c r="Q9" s="86" t="str">
        <f ca="1">IF(Q$5&lt;Tab_Résa[[#This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échéance]]-1))&lt;Q$5,"",IFERROR(IF(AND(OR(WEEKDAY(P$5,2)&gt;5,P$5=Fériés),P9&lt;&gt;""),
IF(OR(Q$5=Fériés,WEEKDAY(Q$5,2)&gt;5),0,IF(Tab_Résa[[#This Row],[Débit Crédit]]="Débit",-$G9,$G9)),IF(Q$5=$H9,IF(OR(Q$5=Fériés,WEEKDAY(Q$5,2)&gt;5),0,IF(Tab_Résa[[#This Row],[Débit Crédit]]="Débit",-$G9,$G9)),IF(AND(MOD((Q$5-$H9),VLOOKUP($I9,_P,2,0))=0,$I9&lt;&gt;""),
IF(OR(Q$5=Fériés,WEEKDAY(Q$5,2)&gt;5),0,IF(Tab_Résa[[#This Row],[Débit Crédit]]="Débit",-$G9,$G9)),""))),"")))</f>
        <v/>
      </c>
      <c r="R9" s="86" t="str">
        <f ca="1">IF(R$5&lt;Tab_Résa[[#This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échéance]]-1))&lt;R$5,"",IFERROR(IF(AND(OR(WEEKDAY(Q$5,2)&gt;5,Q$5=Fériés),Q9&lt;&gt;""),
IF(OR(R$5=Fériés,WEEKDAY(R$5,2)&gt;5),0,IF(Tab_Résa[[#This Row],[Débit Crédit]]="Débit",-$G9,$G9)),IF(R$5=$H9,IF(OR(R$5=Fériés,WEEKDAY(R$5,2)&gt;5),0,IF(Tab_Résa[[#This Row],[Débit Crédit]]="Débit",-$G9,$G9)),IF(AND(MOD((R$5-$H9),VLOOKUP($I9,_P,2,0))=0,$I9&lt;&gt;""),
IF(OR(R$5=Fériés,WEEKDAY(R$5,2)&gt;5),0,IF(Tab_Résa[[#This Row],[Débit Crédit]]="Débit",-$G9,$G9)),""))),"")))</f>
        <v/>
      </c>
      <c r="S9" s="86" t="str">
        <f ca="1">IF(S$5&lt;Tab_Résa[[#This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échéance]]-1))&lt;S$5,"",IFERROR(IF(AND(OR(WEEKDAY(R$5,2)&gt;5,R$5=Fériés),R9&lt;&gt;""),
IF(OR(S$5=Fériés,WEEKDAY(S$5,2)&gt;5),0,IF(Tab_Résa[[#This Row],[Débit Crédit]]="Débit",-$G9,$G9)),IF(S$5=$H9,IF(OR(S$5=Fériés,WEEKDAY(S$5,2)&gt;5),0,IF(Tab_Résa[[#This Row],[Débit Crédit]]="Débit",-$G9,$G9)),IF(AND(MOD((S$5-$H9),VLOOKUP($I9,_P,2,0))=0,$I9&lt;&gt;""),
IF(OR(S$5=Fériés,WEEKDAY(S$5,2)&gt;5),0,IF(Tab_Résa[[#This Row],[Débit Crédit]]="Débit",-$G9,$G9)),""))),"")))</f>
        <v/>
      </c>
      <c r="T9" s="86" t="str">
        <f ca="1">IF(T$5&lt;Tab_Résa[[#This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échéance]]-1))&lt;T$5,"",IFERROR(IF(AND(OR(WEEKDAY(S$5,2)&gt;5,S$5=Fériés),S9&lt;&gt;""),
IF(OR(T$5=Fériés,WEEKDAY(T$5,2)&gt;5),0,IF(Tab_Résa[[#This Row],[Débit Crédit]]="Débit",-$G9,$G9)),IF(T$5=$H9,IF(OR(T$5=Fériés,WEEKDAY(T$5,2)&gt;5),0,IF(Tab_Résa[[#This Row],[Débit Crédit]]="Débit",-$G9,$G9)),IF(AND(MOD((T$5-$H9),VLOOKUP($I9,_P,2,0))=0,$I9&lt;&gt;""),
IF(OR(T$5=Fériés,WEEKDAY(T$5,2)&gt;5),0,IF(Tab_Résa[[#This Row],[Débit Crédit]]="Débit",-$G9,$G9)),""))),"")))</f>
        <v/>
      </c>
      <c r="U9" s="86" t="str">
        <f ca="1">IF(U$5&lt;Tab_Résa[[#This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échéance]]-1))&lt;U$5,"",IFERROR(IF(AND(OR(WEEKDAY(T$5,2)&gt;5,T$5=Fériés),T9&lt;&gt;""),
IF(OR(U$5=Fériés,WEEKDAY(U$5,2)&gt;5),0,IF(Tab_Résa[[#This Row],[Débit Crédit]]="Débit",-$G9,$G9)),IF(U$5=$H9,IF(OR(U$5=Fériés,WEEKDAY(U$5,2)&gt;5),0,IF(Tab_Résa[[#This Row],[Débit Crédit]]="Débit",-$G9,$G9)),IF(AND(MOD((U$5-$H9),VLOOKUP($I9,_P,2,0))=0,$I9&lt;&gt;""),
IF(OR(U$5=Fériés,WEEKDAY(U$5,2)&gt;5),0,IF(Tab_Résa[[#This Row],[Débit Crédit]]="Débit",-$G9,$G9)),""))),"")))</f>
        <v/>
      </c>
      <c r="V9" s="86" t="str">
        <f ca="1">IF(V$5&lt;Tab_Résa[[#This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échéance]]-1))&lt;V$5,"",IFERROR(IF(AND(OR(WEEKDAY(U$5,2)&gt;5,U$5=Fériés),U9&lt;&gt;""),
IF(OR(V$5=Fériés,WEEKDAY(V$5,2)&gt;5),0,IF(Tab_Résa[[#This Row],[Débit Crédit]]="Débit",-$G9,$G9)),IF(V$5=$H9,IF(OR(V$5=Fériés,WEEKDAY(V$5,2)&gt;5),0,IF(Tab_Résa[[#This Row],[Débit Crédit]]="Débit",-$G9,$G9)),IF(AND(MOD((V$5-$H9),VLOOKUP($I9,_P,2,0))=0,$I9&lt;&gt;""),
IF(OR(V$5=Fériés,WEEKDAY(V$5,2)&gt;5),0,IF(Tab_Résa[[#This Row],[Débit Crédit]]="Débit",-$G9,$G9)),""))),"")))</f>
        <v/>
      </c>
      <c r="W9" s="86" t="str">
        <f ca="1">IF(W$5&lt;Tab_Résa[[#This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échéance]]-1))&lt;W$5,"",IFERROR(IF(AND(OR(WEEKDAY(V$5,2)&gt;5,V$5=Fériés),V9&lt;&gt;""),
IF(OR(W$5=Fériés,WEEKDAY(W$5,2)&gt;5),0,IF(Tab_Résa[[#This Row],[Débit Crédit]]="Débit",-$G9,$G9)),IF(W$5=$H9,IF(OR(W$5=Fériés,WEEKDAY(W$5,2)&gt;5),0,IF(Tab_Résa[[#This Row],[Débit Crédit]]="Débit",-$G9,$G9)),IF(AND(MOD((W$5-$H9),VLOOKUP($I9,_P,2,0))=0,$I9&lt;&gt;""),
IF(OR(W$5=Fériés,WEEKDAY(W$5,2)&gt;5),0,IF(Tab_Résa[[#This Row],[Débit Crédit]]="Débit",-$G9,$G9)),""))),"")))</f>
        <v/>
      </c>
      <c r="X9" s="86" t="str">
        <f ca="1">IF(X$5&lt;Tab_Résa[[#This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échéance]]-1))&lt;X$5,"",IFERROR(IF(AND(OR(WEEKDAY(W$5,2)&gt;5,W$5=Fériés),W9&lt;&gt;""),
IF(OR(X$5=Fériés,WEEKDAY(X$5,2)&gt;5),0,IF(Tab_Résa[[#This Row],[Débit Crédit]]="Débit",-$G9,$G9)),IF(X$5=$H9,IF(OR(X$5=Fériés,WEEKDAY(X$5,2)&gt;5),0,IF(Tab_Résa[[#This Row],[Débit Crédit]]="Débit",-$G9,$G9)),IF(AND(MOD((X$5-$H9),VLOOKUP($I9,_P,2,0))=0,$I9&lt;&gt;""),
IF(OR(X$5=Fériés,WEEKDAY(X$5,2)&gt;5),0,IF(Tab_Résa[[#This Row],[Débit Crédit]]="Débit",-$G9,$G9)),""))),"")))</f>
        <v/>
      </c>
      <c r="Y9" s="86" t="str">
        <f ca="1">IF(Y$5&lt;Tab_Résa[[#This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échéance]]-1))&lt;Y$5,"",IFERROR(IF(AND(OR(WEEKDAY(X$5,2)&gt;5,X$5=Fériés),X9&lt;&gt;""),
IF(OR(Y$5=Fériés,WEEKDAY(Y$5,2)&gt;5),0,IF(Tab_Résa[[#This Row],[Débit Crédit]]="Débit",-$G9,$G9)),IF(Y$5=$H9,IF(OR(Y$5=Fériés,WEEKDAY(Y$5,2)&gt;5),0,IF(Tab_Résa[[#This Row],[Débit Crédit]]="Débit",-$G9,$G9)),IF(AND(MOD((Y$5-$H9),VLOOKUP($I9,_P,2,0))=0,$I9&lt;&gt;""),
IF(OR(Y$5=Fériés,WEEKDAY(Y$5,2)&gt;5),0,IF(Tab_Résa[[#This Row],[Débit Crédit]]="Débit",-$G9,$G9)),""))),"")))</f>
        <v/>
      </c>
      <c r="Z9" s="86" t="str">
        <f ca="1">IF(Z$5&lt;Tab_Résa[[#This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échéance]]-1))&lt;Z$5,"",IFERROR(IF(AND(OR(WEEKDAY(Y$5,2)&gt;5,Y$5=Fériés),Y9&lt;&gt;""),
IF(OR(Z$5=Fériés,WEEKDAY(Z$5,2)&gt;5),0,IF(Tab_Résa[[#This Row],[Débit Crédit]]="Débit",-$G9,$G9)),IF(Z$5=$H9,IF(OR(Z$5=Fériés,WEEKDAY(Z$5,2)&gt;5),0,IF(Tab_Résa[[#This Row],[Débit Crédit]]="Débit",-$G9,$G9)),IF(AND(MOD((Z$5-$H9),VLOOKUP($I9,_P,2,0))=0,$I9&lt;&gt;""),
IF(OR(Z$5=Fériés,WEEKDAY(Z$5,2)&gt;5),0,IF(Tab_Résa[[#This Row],[Débit Crédit]]="Débit",-$G9,$G9)),""))),"")))</f>
        <v/>
      </c>
      <c r="AA9" s="86" t="str">
        <f ca="1">IF(AA$5&lt;Tab_Résa[[#This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échéance]]-1))&lt;AA$5,"",IFERROR(IF(AND(OR(WEEKDAY(Z$5,2)&gt;5,Z$5=Fériés),Z9&lt;&gt;""),
IF(OR(AA$5=Fériés,WEEKDAY(AA$5,2)&gt;5),0,IF(Tab_Résa[[#This Row],[Débit Crédit]]="Débit",-$G9,$G9)),IF(AA$5=$H9,IF(OR(AA$5=Fériés,WEEKDAY(AA$5,2)&gt;5),0,IF(Tab_Résa[[#This Row],[Débit Crédit]]="Débit",-$G9,$G9)),IF(AND(MOD((AA$5-$H9),VLOOKUP($I9,_P,2,0))=0,$I9&lt;&gt;""),
IF(OR(AA$5=Fériés,WEEKDAY(AA$5,2)&gt;5),0,IF(Tab_Résa[[#This Row],[Débit Crédit]]="Débit",-$G9,$G9)),""))),"")))</f>
        <v/>
      </c>
      <c r="AB9" s="86" t="str">
        <f ca="1">IF(AB$5&lt;Tab_Résa[[#This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échéance]]-1))&lt;AB$5,"",IFERROR(IF(AND(OR(WEEKDAY(AA$5,2)&gt;5,AA$5=Fériés),AA9&lt;&gt;""),
IF(OR(AB$5=Fériés,WEEKDAY(AB$5,2)&gt;5),0,IF(Tab_Résa[[#This Row],[Débit Crédit]]="Débit",-$G9,$G9)),IF(AB$5=$H9,IF(OR(AB$5=Fériés,WEEKDAY(AB$5,2)&gt;5),0,IF(Tab_Résa[[#This Row],[Débit Crédit]]="Débit",-$G9,$G9)),IF(AND(MOD((AB$5-$H9),VLOOKUP($I9,_P,2,0))=0,$I9&lt;&gt;""),
IF(OR(AB$5=Fériés,WEEKDAY(AB$5,2)&gt;5),0,IF(Tab_Résa[[#This Row],[Débit Crédit]]="Débit",-$G9,$G9)),""))),"")))</f>
        <v/>
      </c>
      <c r="AC9" s="86" t="str">
        <f ca="1">IF(AC$5&lt;Tab_Résa[[#This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échéance]]-1))&lt;AC$5,"",IFERROR(IF(AND(OR(WEEKDAY(AB$5,2)&gt;5,AB$5=Fériés),AB9&lt;&gt;""),
IF(OR(AC$5=Fériés,WEEKDAY(AC$5,2)&gt;5),0,IF(Tab_Résa[[#This Row],[Débit Crédit]]="Débit",-$G9,$G9)),IF(AC$5=$H9,IF(OR(AC$5=Fériés,WEEKDAY(AC$5,2)&gt;5),0,IF(Tab_Résa[[#This Row],[Débit Crédit]]="Débit",-$G9,$G9)),IF(AND(MOD((AC$5-$H9),VLOOKUP($I9,_P,2,0))=0,$I9&lt;&gt;""),
IF(OR(AC$5=Fériés,WEEKDAY(AC$5,2)&gt;5),0,IF(Tab_Résa[[#This Row],[Débit Crédit]]="Débit",-$G9,$G9)),""))),"")))</f>
        <v/>
      </c>
      <c r="AD9" s="86">
        <f ca="1">IF(AD$5&lt;Tab_Résa[[#This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échéance]]-1))&lt;AD$5,"",IFERROR(IF(AND(OR(WEEKDAY(AC$5,2)&gt;5,AC$5=Fériés),AC9&lt;&gt;""),
IF(OR(AD$5=Fériés,WEEKDAY(AD$5,2)&gt;5),0,IF(Tab_Résa[[#This Row],[Débit Crédit]]="Débit",-$G9,$G9)),IF(AD$5=$H9,IF(OR(AD$5=Fériés,WEEKDAY(AD$5,2)&gt;5),0,IF(Tab_Résa[[#This Row],[Débit Crédit]]="Débit",-$G9,$G9)),IF(AND(MOD((AD$5-$H9),VLOOKUP($I9,_P,2,0))=0,$I9&lt;&gt;""),
IF(OR(AD$5=Fériés,WEEKDAY(AD$5,2)&gt;5),0,IF(Tab_Résa[[#This Row],[Débit Crédit]]="Débit",-$G9,$G9)),""))),"")))</f>
        <v>500</v>
      </c>
      <c r="AE9" s="86" t="str">
        <f ca="1">IF(AE$5&lt;Tab_Résa[[#This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échéance]]-1))&lt;AE$5,"",IFERROR(IF(AND(OR(WEEKDAY(AD$5,2)&gt;5,AD$5=Fériés),AD9&lt;&gt;""),
IF(OR(AE$5=Fériés,WEEKDAY(AE$5,2)&gt;5),0,IF(Tab_Résa[[#This Row],[Débit Crédit]]="Débit",-$G9,$G9)),IF(AE$5=$H9,IF(OR(AE$5=Fériés,WEEKDAY(AE$5,2)&gt;5),0,IF(Tab_Résa[[#This Row],[Débit Crédit]]="Débit",-$G9,$G9)),IF(AND(MOD((AE$5-$H9),VLOOKUP($I9,_P,2,0))=0,$I9&lt;&gt;""),
IF(OR(AE$5=Fériés,WEEKDAY(AE$5,2)&gt;5),0,IF(Tab_Résa[[#This Row],[Débit Crédit]]="Débit",-$G9,$G9)),""))),"")))</f>
        <v/>
      </c>
      <c r="AF9" s="86" t="str">
        <f ca="1">IF(AF$5&lt;Tab_Résa[[#This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échéance]]-1))&lt;AF$5,"",IFERROR(IF(AND(OR(WEEKDAY(AE$5,2)&gt;5,AE$5=Fériés),AE9&lt;&gt;""),
IF(OR(AF$5=Fériés,WEEKDAY(AF$5,2)&gt;5),0,IF(Tab_Résa[[#This Row],[Débit Crédit]]="Débit",-$G9,$G9)),IF(AF$5=$H9,IF(OR(AF$5=Fériés,WEEKDAY(AF$5,2)&gt;5),0,IF(Tab_Résa[[#This Row],[Débit Crédit]]="Débit",-$G9,$G9)),IF(AND(MOD((AF$5-$H9),VLOOKUP($I9,_P,2,0))=0,$I9&lt;&gt;""),
IF(OR(AF$5=Fériés,WEEKDAY(AF$5,2)&gt;5),0,IF(Tab_Résa[[#This Row],[Débit Crédit]]="Débit",-$G9,$G9)),""))),"")))</f>
        <v/>
      </c>
      <c r="AG9" s="86" t="str">
        <f ca="1">IF(AG$5&lt;Tab_Résa[[#This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échéance]]-1))&lt;AG$5,"",IFERROR(IF(AND(OR(WEEKDAY(AF$5,2)&gt;5,AF$5=Fériés),AF9&lt;&gt;""),
IF(OR(AG$5=Fériés,WEEKDAY(AG$5,2)&gt;5),0,IF(Tab_Résa[[#This Row],[Débit Crédit]]="Débit",-$G9,$G9)),IF(AG$5=$H9,IF(OR(AG$5=Fériés,WEEKDAY(AG$5,2)&gt;5),0,IF(Tab_Résa[[#This Row],[Débit Crédit]]="Débit",-$G9,$G9)),IF(AND(MOD((AG$5-$H9),VLOOKUP($I9,_P,2,0))=0,$I9&lt;&gt;""),
IF(OR(AG$5=Fériés,WEEKDAY(AG$5,2)&gt;5),0,IF(Tab_Résa[[#This Row],[Débit Crédit]]="Débit",-$G9,$G9)),""))),"")))</f>
        <v/>
      </c>
      <c r="AH9" s="86" t="str">
        <f ca="1">IF(AH$5&lt;Tab_Résa[[#This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échéance]]-1))&lt;AH$5,"",IFERROR(IF(AND(OR(WEEKDAY(AG$5,2)&gt;5,AG$5=Fériés),AG9&lt;&gt;""),
IF(OR(AH$5=Fériés,WEEKDAY(AH$5,2)&gt;5),0,IF(Tab_Résa[[#This Row],[Débit Crédit]]="Débit",-$G9,$G9)),IF(AH$5=$H9,IF(OR(AH$5=Fériés,WEEKDAY(AH$5,2)&gt;5),0,IF(Tab_Résa[[#This Row],[Débit Crédit]]="Débit",-$G9,$G9)),IF(AND(MOD((AH$5-$H9),VLOOKUP($I9,_P,2,0))=0,$I9&lt;&gt;""),
IF(OR(AH$5=Fériés,WEEKDAY(AH$5,2)&gt;5),0,IF(Tab_Résa[[#This Row],[Débit Crédit]]="Débit",-$G9,$G9)),""))),"")))</f>
        <v/>
      </c>
      <c r="AI9" s="86" t="str">
        <f ca="1">IF(AI$5&lt;Tab_Résa[[#This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échéance]]-1))&lt;AI$5,"",IFERROR(IF(AND(OR(WEEKDAY(AH$5,2)&gt;5,AH$5=Fériés),AH9&lt;&gt;""),
IF(OR(AI$5=Fériés,WEEKDAY(AI$5,2)&gt;5),0,IF(Tab_Résa[[#This Row],[Débit Crédit]]="Débit",-$G9,$G9)),IF(AI$5=$H9,IF(OR(AI$5=Fériés,WEEKDAY(AI$5,2)&gt;5),0,IF(Tab_Résa[[#This Row],[Débit Crédit]]="Débit",-$G9,$G9)),IF(AND(MOD((AI$5-$H9),VLOOKUP($I9,_P,2,0))=0,$I9&lt;&gt;""),
IF(OR(AI$5=Fériés,WEEKDAY(AI$5,2)&gt;5),0,IF(Tab_Résa[[#This Row],[Débit Crédit]]="Débit",-$G9,$G9)),""))),"")))</f>
        <v/>
      </c>
      <c r="AJ9" s="86" t="str">
        <f ca="1">IF(AJ$5&lt;Tab_Résa[[#This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échéance]]-1))&lt;AJ$5,"",IFERROR(IF(AND(OR(WEEKDAY(AI$5,2)&gt;5,AI$5=Fériés),AI9&lt;&gt;""),
IF(OR(AJ$5=Fériés,WEEKDAY(AJ$5,2)&gt;5),0,IF(Tab_Résa[[#This Row],[Débit Crédit]]="Débit",-$G9,$G9)),IF(AJ$5=$H9,IF(OR(AJ$5=Fériés,WEEKDAY(AJ$5,2)&gt;5),0,IF(Tab_Résa[[#This Row],[Débit Crédit]]="Débit",-$G9,$G9)),IF(AND(MOD((AJ$5-$H9),VLOOKUP($I9,_P,2,0))=0,$I9&lt;&gt;""),
IF(OR(AJ$5=Fériés,WEEKDAY(AJ$5,2)&gt;5),0,IF(Tab_Résa[[#This Row],[Débit Crédit]]="Débit",-$G9,$G9)),""))),"")))</f>
        <v/>
      </c>
      <c r="AK9" s="86" t="str">
        <f ca="1">IF(AK$5&lt;Tab_Résa[[#This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échéance]]-1))&lt;AK$5,"",IFERROR(IF(AND(OR(WEEKDAY(AJ$5,2)&gt;5,AJ$5=Fériés),AJ9&lt;&gt;""),
IF(OR(AK$5=Fériés,WEEKDAY(AK$5,2)&gt;5),0,IF(Tab_Résa[[#This Row],[Débit Crédit]]="Débit",-$G9,$G9)),IF(AK$5=$H9,IF(OR(AK$5=Fériés,WEEKDAY(AK$5,2)&gt;5),0,IF(Tab_Résa[[#This Row],[Débit Crédit]]="Débit",-$G9,$G9)),IF(AND(MOD((AK$5-$H9),VLOOKUP($I9,_P,2,0))=0,$I9&lt;&gt;""),
IF(OR(AK$5=Fériés,WEEKDAY(AK$5,2)&gt;5),0,IF(Tab_Résa[[#This Row],[Débit Crédit]]="Débit",-$G9,$G9)),""))),"")))</f>
        <v/>
      </c>
      <c r="AL9" s="86" t="str">
        <f ca="1">IF(AL$5&lt;Tab_Résa[[#This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échéance]]-1))&lt;AL$5,"",IFERROR(IF(AND(OR(WEEKDAY(AK$5,2)&gt;5,AK$5=Fériés),AK9&lt;&gt;""),
IF(OR(AL$5=Fériés,WEEKDAY(AL$5,2)&gt;5),0,IF(Tab_Résa[[#This Row],[Débit Crédit]]="Débit",-$G9,$G9)),IF(AL$5=$H9,IF(OR(AL$5=Fériés,WEEKDAY(AL$5,2)&gt;5),0,IF(Tab_Résa[[#This Row],[Débit Crédit]]="Débit",-$G9,$G9)),IF(AND(MOD((AL$5-$H9),VLOOKUP($I9,_P,2,0))=0,$I9&lt;&gt;""),
IF(OR(AL$5=Fériés,WEEKDAY(AL$5,2)&gt;5),0,IF(Tab_Résa[[#This Row],[Débit Crédit]]="Débit",-$G9,$G9)),""))),"")))</f>
        <v/>
      </c>
      <c r="AM9" s="86" t="str">
        <f ca="1">IF(AM$5&lt;Tab_Résa[[#This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échéance]]-1))&lt;AM$5,"",IFERROR(IF(AND(OR(WEEKDAY(AL$5,2)&gt;5,AL$5=Fériés),AL9&lt;&gt;""),
IF(OR(AM$5=Fériés,WEEKDAY(AM$5,2)&gt;5),0,IF(Tab_Résa[[#This Row],[Débit Crédit]]="Débit",-$G9,$G9)),IF(AM$5=$H9,IF(OR(AM$5=Fériés,WEEKDAY(AM$5,2)&gt;5),0,IF(Tab_Résa[[#This Row],[Débit Crédit]]="Débit",-$G9,$G9)),IF(AND(MOD((AM$5-$H9),VLOOKUP($I9,_P,2,0))=0,$I9&lt;&gt;""),
IF(OR(AM$5=Fériés,WEEKDAY(AM$5,2)&gt;5),0,IF(Tab_Résa[[#This Row],[Débit Crédit]]="Débit",-$G9,$G9)),""))),"")))</f>
        <v/>
      </c>
      <c r="AN9" s="86" t="str">
        <f ca="1">IF(AN$5&lt;Tab_Résa[[#This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échéance]]-1))&lt;AN$5,"",IFERROR(IF(AND(OR(WEEKDAY(AM$5,2)&gt;5,AM$5=Fériés),AM9&lt;&gt;""),
IF(OR(AN$5=Fériés,WEEKDAY(AN$5,2)&gt;5),0,IF(Tab_Résa[[#This Row],[Débit Crédit]]="Débit",-$G9,$G9)),IF(AN$5=$H9,IF(OR(AN$5=Fériés,WEEKDAY(AN$5,2)&gt;5),0,IF(Tab_Résa[[#This Row],[Débit Crédit]]="Débit",-$G9,$G9)),IF(AND(MOD((AN$5-$H9),VLOOKUP($I9,_P,2,0))=0,$I9&lt;&gt;""),
IF(OR(AN$5=Fériés,WEEKDAY(AN$5,2)&gt;5),0,IF(Tab_Résa[[#This Row],[Débit Crédit]]="Débit",-$G9,$G9)),""))),"")))</f>
        <v/>
      </c>
      <c r="AO9" s="86" t="str">
        <f ca="1">IF(AO$5&lt;Tab_Résa[[#This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échéance]]-1))&lt;AO$5,"",IFERROR(IF(AND(OR(WEEKDAY(AN$5,2)&gt;5,AN$5=Fériés),AN9&lt;&gt;""),
IF(OR(AO$5=Fériés,WEEKDAY(AO$5,2)&gt;5),0,IF(Tab_Résa[[#This Row],[Débit Crédit]]="Débit",-$G9,$G9)),IF(AO$5=$H9,IF(OR(AO$5=Fériés,WEEKDAY(AO$5,2)&gt;5),0,IF(Tab_Résa[[#This Row],[Débit Crédit]]="Débit",-$G9,$G9)),IF(AND(MOD((AO$5-$H9),VLOOKUP($I9,_P,2,0))=0,$I9&lt;&gt;""),
IF(OR(AO$5=Fériés,WEEKDAY(AO$5,2)&gt;5),0,IF(Tab_Résa[[#This Row],[Débit Crédit]]="Débit",-$G9,$G9)),""))),"")))</f>
        <v/>
      </c>
      <c r="AP9" s="86" t="str">
        <f ca="1">IF(AP$5&lt;Tab_Résa[[#This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échéance]]-1))&lt;AP$5,"",IFERROR(IF(AND(OR(WEEKDAY(AO$5,2)&gt;5,AO$5=Fériés),AO9&lt;&gt;""),
IF(OR(AP$5=Fériés,WEEKDAY(AP$5,2)&gt;5),0,IF(Tab_Résa[[#This Row],[Débit Crédit]]="Débit",-$G9,$G9)),IF(AP$5=$H9,IF(OR(AP$5=Fériés,WEEKDAY(AP$5,2)&gt;5),0,IF(Tab_Résa[[#This Row],[Débit Crédit]]="Débit",-$G9,$G9)),IF(AND(MOD((AP$5-$H9),VLOOKUP($I9,_P,2,0))=0,$I9&lt;&gt;""),
IF(OR(AP$5=Fériés,WEEKDAY(AP$5,2)&gt;5),0,IF(Tab_Résa[[#This Row],[Débit Crédit]]="Débit",-$G9,$G9)),""))),"")))</f>
        <v/>
      </c>
      <c r="AQ9" s="86" t="str">
        <f ca="1">IF(AQ$5&lt;Tab_Résa[[#This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échéance]]-1))&lt;AQ$5,"",IFERROR(IF(AND(OR(WEEKDAY(AP$5,2)&gt;5,AP$5=Fériés),AP9&lt;&gt;""),
IF(OR(AQ$5=Fériés,WEEKDAY(AQ$5,2)&gt;5),0,IF(Tab_Résa[[#This Row],[Débit Crédit]]="Débit",-$G9,$G9)),IF(AQ$5=$H9,IF(OR(AQ$5=Fériés,WEEKDAY(AQ$5,2)&gt;5),0,IF(Tab_Résa[[#This Row],[Débit Crédit]]="Débit",-$G9,$G9)),IF(AND(MOD((AQ$5-$H9),VLOOKUP($I9,_P,2,0))=0,$I9&lt;&gt;""),
IF(OR(AQ$5=Fériés,WEEKDAY(AQ$5,2)&gt;5),0,IF(Tab_Résa[[#This Row],[Débit Crédit]]="Débit",-$G9,$G9)),""))),"")))</f>
        <v/>
      </c>
      <c r="AR9" s="86" t="str">
        <f ca="1">IF(AR$5&lt;Tab_Résa[[#This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échéance]]-1))&lt;AR$5,"",IFERROR(IF(AND(OR(WEEKDAY(AQ$5,2)&gt;5,AQ$5=Fériés),AQ9&lt;&gt;""),
IF(OR(AR$5=Fériés,WEEKDAY(AR$5,2)&gt;5),0,IF(Tab_Résa[[#This Row],[Débit Crédit]]="Débit",-$G9,$G9)),IF(AR$5=$H9,IF(OR(AR$5=Fériés,WEEKDAY(AR$5,2)&gt;5),0,IF(Tab_Résa[[#This Row],[Débit Crédit]]="Débit",-$G9,$G9)),IF(AND(MOD((AR$5-$H9),VLOOKUP($I9,_P,2,0))=0,$I9&lt;&gt;""),
IF(OR(AR$5=Fériés,WEEKDAY(AR$5,2)&gt;5),0,IF(Tab_Résa[[#This Row],[Débit Crédit]]="Débit",-$G9,$G9)),""))),"")))</f>
        <v/>
      </c>
      <c r="AS9" s="86">
        <f ca="1">IF(AS$5&lt;Tab_Résa[[#This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échéance]]-1))&lt;AS$5,"",IFERROR(IF(AND(OR(WEEKDAY(AR$5,2)&gt;5,AR$5=Fériés),AR9&lt;&gt;""),
IF(OR(AS$5=Fériés,WEEKDAY(AS$5,2)&gt;5),0,IF(Tab_Résa[[#This Row],[Débit Crédit]]="Débit",-$G9,$G9)),IF(AS$5=$H9,IF(OR(AS$5=Fériés,WEEKDAY(AS$5,2)&gt;5),0,IF(Tab_Résa[[#This Row],[Débit Crédit]]="Débit",-$G9,$G9)),IF(AND(MOD((AS$5-$H9),VLOOKUP($I9,_P,2,0))=0,$I9&lt;&gt;""),
IF(OR(AS$5=Fériés,WEEKDAY(AS$5,2)&gt;5),0,IF(Tab_Résa[[#This Row],[Débit Crédit]]="Débit",-$G9,$G9)),""))),"")))</f>
        <v>500</v>
      </c>
      <c r="AT9" s="86" t="str">
        <f ca="1">IF(AT$5&lt;Tab_Résa[[#This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échéance]]-1))&lt;AT$5,"",IFERROR(IF(AND(OR(WEEKDAY(AS$5,2)&gt;5,AS$5=Fériés),AS9&lt;&gt;""),
IF(OR(AT$5=Fériés,WEEKDAY(AT$5,2)&gt;5),0,IF(Tab_Résa[[#This Row],[Débit Crédit]]="Débit",-$G9,$G9)),IF(AT$5=$H9,IF(OR(AT$5=Fériés,WEEKDAY(AT$5,2)&gt;5),0,IF(Tab_Résa[[#This Row],[Débit Crédit]]="Débit",-$G9,$G9)),IF(AND(MOD((AT$5-$H9),VLOOKUP($I9,_P,2,0))=0,$I9&lt;&gt;""),
IF(OR(AT$5=Fériés,WEEKDAY(AT$5,2)&gt;5),0,IF(Tab_Résa[[#This Row],[Débit Crédit]]="Débit",-$G9,$G9)),""))),"")))</f>
        <v/>
      </c>
      <c r="AU9" s="86" t="str">
        <f t="array" aca="1" ref="AU9" ca="1">IF(AU$5&lt;Tab_Résa[[#This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échéance]]-1))&lt;AU$5,"",IFERROR(IF(AND(OR(WEEKDAY(AT$5,2)&gt;5,AT$5=Fériés),AT9&lt;&gt;""),
IF(OR(AU$5=Fériés,WEEKDAY(AU$5,2)&gt;5),0,$G9),IF(AU$5=$H9,IF(OR(AU$5=Fériés,WEEKDAY(AU$5,2)&gt;5),0,$G9),IF(AND(MOD((AU$5-$H9),VLOOKUP($I9,_P,2,0))=0,$I9&lt;&gt;""),
IF(OR(AU$5=Fériés,WEEKDAY(AU$5,2)&gt;5),0,$G9),""))),"")))</f>
        <v/>
      </c>
      <c r="AV9" s="87" t="str">
        <f t="array" aca="1" ref="AV9" ca="1">IF(AV$5&lt;Tab_Résa[[#This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échéance]]-1))&lt;AV$5,"",IFERROR(IF(AND(OR(WEEKDAY(AU$5,2)&gt;5,AU$5=Fériés),AU9&lt;&gt;""),
IF(OR(AV$5=Fériés,WEEKDAY(AV$5,2)&gt;5),0,$G9),IF(AV$5=$H9,IF(OR(AV$5=Fériés,WEEKDAY(AV$5,2)&gt;5),0,$G9),IF(AND(MOD((AV$5-$H9),VLOOKUP($I9,_P,2,0))=0,$I9&lt;&gt;""),
IF(OR(AV$5=Fériés,WEEKDAY(AV$5,2)&gt;5),0,$G9),""))),"")))</f>
        <v/>
      </c>
    </row>
    <row r="10" spans="2:49" ht="30" customHeight="1" x14ac:dyDescent="0.25">
      <c r="B10" s="44" t="s">
        <v>61</v>
      </c>
      <c r="C10" s="44" t="s">
        <v>85</v>
      </c>
      <c r="D10" s="45" t="s">
        <v>82</v>
      </c>
      <c r="E10" s="45" t="s">
        <v>86</v>
      </c>
      <c r="F10" s="45" t="s">
        <v>89</v>
      </c>
      <c r="G10" s="46">
        <v>100</v>
      </c>
      <c r="H10" s="48">
        <v>43169</v>
      </c>
      <c r="I10" s="45" t="s">
        <v>66</v>
      </c>
      <c r="J10" s="47">
        <v>2</v>
      </c>
      <c r="K10" s="65" t="s">
        <v>138</v>
      </c>
      <c r="L10" s="85" t="str">
        <f ca="1">IF(Date_Deb&lt;Tab_Résa[[#This Row],[Date de début]]-5,"",IF(Tab_Résa[[#This Row],[Date de début]]+(VLOOKUP(Tab_Résa[[#This Row],[Période]],_P,2,0)*IF(OR(Tab_Résa[[#This Row],[Nb échéance]]=0,Tab_Résa[[#This Row],[Nb échéance]]=""),10000,Tab_Résa[[#This Row],[Nb échéance]]))&lt;Date_Deb,"",IFERROR(IF($L$5=$H10,IF(OR(L$5=Fériés,WEEKDAY(L$5,2)&gt;5),0,IF(Tab_Résa[[#This Row],[Débit Crédit]]="Débit",-$G10,$G10)),IF(AND(MOD(($L$5-$H10),VLOOKUP($I10,_P,2,0))=0,$I10&lt;&gt;""),IF(OR(L$5=Fériés,WEEKDAY(L$5,2)&gt;5),0,IF(Tab_Résa[[#This Row],[Débit Crédit]]="Débit",-$G10,$G10)),"")),"")))</f>
        <v/>
      </c>
      <c r="M10" s="86" t="str">
        <f ca="1">IF(M$5&lt;Tab_Résa[[#This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échéance]]-1))&lt;M$5,"",IFERROR(IF(AND(OR(WEEKDAY(L$5,2)&gt;5,L$5=Fériés),L10&lt;&gt;""),
IF(OR(M$5=Fériés,WEEKDAY(M$5,2)&gt;5),0,IF(Tab_Résa[[#This Row],[Débit Crédit]]="Débit",-$G10,$G10)),IF(M$5=$H10,IF(OR(M$5=Fériés,WEEKDAY(M$5,2)&gt;5),0,IF(Tab_Résa[[#This Row],[Débit Crédit]]="Débit",-$G10,$G10)),IF(AND(MOD((M$5-$H10),VLOOKUP($I10,_P,2,0))=0,$I10&lt;&gt;""),
IF(OR(M$5=Fériés,WEEKDAY(M$5,2)&gt;5),0,IF(Tab_Résa[[#This Row],[Débit Crédit]]="Débit",-$G10,$G10)),""))),"")))</f>
        <v/>
      </c>
      <c r="N10" s="86" t="str">
        <f ca="1">IF(N$5&lt;Tab_Résa[[#This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échéance]]-1))&lt;N$5,"",IFERROR(IF(AND(OR(WEEKDAY(M$5,2)&gt;5,M$5=Fériés),M10&lt;&gt;""),
IF(OR(N$5=Fériés,WEEKDAY(N$5,2)&gt;5),0,IF(Tab_Résa[[#This Row],[Débit Crédit]]="Débit",-$G10,$G10)),IF(N$5=$H10,IF(OR(N$5=Fériés,WEEKDAY(N$5,2)&gt;5),0,IF(Tab_Résa[[#This Row],[Débit Crédit]]="Débit",-$G10,$G10)),IF(AND(MOD((N$5-$H10),VLOOKUP($I10,_P,2,0))=0,$I10&lt;&gt;""),
IF(OR(N$5=Fériés,WEEKDAY(N$5,2)&gt;5),0,IF(Tab_Résa[[#This Row],[Débit Crédit]]="Débit",-$G10,$G10)),""))),"")))</f>
        <v/>
      </c>
      <c r="O10" s="86" t="str">
        <f ca="1">IF(O$5&lt;Tab_Résa[[#This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échéance]]-1))&lt;O$5,"",IFERROR(IF(AND(OR(WEEKDAY(N$5,2)&gt;5,N$5=Fériés),N10&lt;&gt;""),
IF(OR(O$5=Fériés,WEEKDAY(O$5,2)&gt;5),0,IF(Tab_Résa[[#This Row],[Débit Crédit]]="Débit",-$G10,$G10)),IF(O$5=$H10,IF(OR(O$5=Fériés,WEEKDAY(O$5,2)&gt;5),0,IF(Tab_Résa[[#This Row],[Débit Crédit]]="Débit",-$G10,$G10)),IF(AND(MOD((O$5-$H10),VLOOKUP($I10,_P,2,0))=0,$I10&lt;&gt;""),
IF(OR(O$5=Fériés,WEEKDAY(O$5,2)&gt;5),0,IF(Tab_Résa[[#This Row],[Débit Crédit]]="Débit",-$G10,$G10)),""))),"")))</f>
        <v/>
      </c>
      <c r="P10" s="86" t="str">
        <f ca="1">IF(P$5&lt;Tab_Résa[[#This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échéance]]-1))&lt;P$5,"",IFERROR(IF(AND(OR(WEEKDAY(O$5,2)&gt;5,O$5=Fériés),O10&lt;&gt;""),
IF(OR(P$5=Fériés,WEEKDAY(P$5,2)&gt;5),0,IF(Tab_Résa[[#This Row],[Débit Crédit]]="Débit",-$G10,$G10)),IF(P$5=$H10,IF(OR(P$5=Fériés,WEEKDAY(P$5,2)&gt;5),0,IF(Tab_Résa[[#This Row],[Débit Crédit]]="Débit",-$G10,$G10)),IF(AND(MOD((P$5-$H10),VLOOKUP($I10,_P,2,0))=0,$I10&lt;&gt;""),
IF(OR(P$5=Fériés,WEEKDAY(P$5,2)&gt;5),0,IF(Tab_Résa[[#This Row],[Débit Crédit]]="Débit",-$G10,$G10)),""))),"")))</f>
        <v/>
      </c>
      <c r="Q10" s="86" t="str">
        <f ca="1">IF(Q$5&lt;Tab_Résa[[#This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échéance]]-1))&lt;Q$5,"",IFERROR(IF(AND(OR(WEEKDAY(P$5,2)&gt;5,P$5=Fériés),P10&lt;&gt;""),
IF(OR(Q$5=Fériés,WEEKDAY(Q$5,2)&gt;5),0,IF(Tab_Résa[[#This Row],[Débit Crédit]]="Débit",-$G10,$G10)),IF(Q$5=$H10,IF(OR(Q$5=Fériés,WEEKDAY(Q$5,2)&gt;5),0,IF(Tab_Résa[[#This Row],[Débit Crédit]]="Débit",-$G10,$G10)),IF(AND(MOD((Q$5-$H10),VLOOKUP($I10,_P,2,0))=0,$I10&lt;&gt;""),
IF(OR(Q$5=Fériés,WEEKDAY(Q$5,2)&gt;5),0,IF(Tab_Résa[[#This Row],[Débit Crédit]]="Débit",-$G10,$G10)),""))),"")))</f>
        <v/>
      </c>
      <c r="R10" s="86" t="str">
        <f ca="1">IF(R$5&lt;Tab_Résa[[#This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échéance]]-1))&lt;R$5,"",IFERROR(IF(AND(OR(WEEKDAY(Q$5,2)&gt;5,Q$5=Fériés),Q10&lt;&gt;""),
IF(OR(R$5=Fériés,WEEKDAY(R$5,2)&gt;5),0,IF(Tab_Résa[[#This Row],[Débit Crédit]]="Débit",-$G10,$G10)),IF(R$5=$H10,IF(OR(R$5=Fériés,WEEKDAY(R$5,2)&gt;5),0,IF(Tab_Résa[[#This Row],[Débit Crédit]]="Débit",-$G10,$G10)),IF(AND(MOD((R$5-$H10),VLOOKUP($I10,_P,2,0))=0,$I10&lt;&gt;""),
IF(OR(R$5=Fériés,WEEKDAY(R$5,2)&gt;5),0,IF(Tab_Résa[[#This Row],[Débit Crédit]]="Débit",-$G10,$G10)),""))),"")))</f>
        <v/>
      </c>
      <c r="S10" s="86">
        <f ca="1">IF(S$5&lt;Tab_Résa[[#This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échéance]]-1))&lt;S$5,"",IFERROR(IF(AND(OR(WEEKDAY(R$5,2)&gt;5,R$5=Fériés),R10&lt;&gt;""),
IF(OR(S$5=Fériés,WEEKDAY(S$5,2)&gt;5),0,IF(Tab_Résa[[#This Row],[Débit Crédit]]="Débit",-$G10,$G10)),IF(S$5=$H10,IF(OR(S$5=Fériés,WEEKDAY(S$5,2)&gt;5),0,IF(Tab_Résa[[#This Row],[Débit Crédit]]="Débit",-$G10,$G10)),IF(AND(MOD((S$5-$H10),VLOOKUP($I10,_P,2,0))=0,$I10&lt;&gt;""),
IF(OR(S$5=Fériés,WEEKDAY(S$5,2)&gt;5),0,IF(Tab_Résa[[#This Row],[Débit Crédit]]="Débit",-$G10,$G10)),""))),"")))</f>
        <v>0</v>
      </c>
      <c r="T10" s="86">
        <f ca="1">IF(T$5&lt;Tab_Résa[[#This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échéance]]-1))&lt;T$5,"",IFERROR(IF(AND(OR(WEEKDAY(S$5,2)&gt;5,S$5=Fériés),S10&lt;&gt;""),
IF(OR(T$5=Fériés,WEEKDAY(T$5,2)&gt;5),0,IF(Tab_Résa[[#This Row],[Débit Crédit]]="Débit",-$G10,$G10)),IF(T$5=$H10,IF(OR(T$5=Fériés,WEEKDAY(T$5,2)&gt;5),0,IF(Tab_Résa[[#This Row],[Débit Crédit]]="Débit",-$G10,$G10)),IF(AND(MOD((T$5-$H10),VLOOKUP($I10,_P,2,0))=0,$I10&lt;&gt;""),
IF(OR(T$5=Fériés,WEEKDAY(T$5,2)&gt;5),0,IF(Tab_Résa[[#This Row],[Débit Crédit]]="Débit",-$G10,$G10)),""))),"")))</f>
        <v>0</v>
      </c>
      <c r="U10" s="86">
        <f ca="1">IF(U$5&lt;Tab_Résa[[#This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échéance]]-1))&lt;U$5,"",IFERROR(IF(AND(OR(WEEKDAY(T$5,2)&gt;5,T$5=Fériés),T10&lt;&gt;""),
IF(OR(U$5=Fériés,WEEKDAY(U$5,2)&gt;5),0,IF(Tab_Résa[[#This Row],[Débit Crédit]]="Débit",-$G10,$G10)),IF(U$5=$H10,IF(OR(U$5=Fériés,WEEKDAY(U$5,2)&gt;5),0,IF(Tab_Résa[[#This Row],[Débit Crédit]]="Débit",-$G10,$G10)),IF(AND(MOD((U$5-$H10),VLOOKUP($I10,_P,2,0))=0,$I10&lt;&gt;""),
IF(OR(U$5=Fériés,WEEKDAY(U$5,2)&gt;5),0,IF(Tab_Résa[[#This Row],[Débit Crédit]]="Débit",-$G10,$G10)),""))),"")))</f>
        <v>-100</v>
      </c>
      <c r="V10" s="86" t="str">
        <f ca="1">IF(V$5&lt;Tab_Résa[[#This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échéance]]-1))&lt;V$5,"",IFERROR(IF(AND(OR(WEEKDAY(U$5,2)&gt;5,U$5=Fériés),U10&lt;&gt;""),
IF(OR(V$5=Fériés,WEEKDAY(V$5,2)&gt;5),0,IF(Tab_Résa[[#This Row],[Débit Crédit]]="Débit",-$G10,$G10)),IF(V$5=$H10,IF(OR(V$5=Fériés,WEEKDAY(V$5,2)&gt;5),0,IF(Tab_Résa[[#This Row],[Débit Crédit]]="Débit",-$G10,$G10)),IF(AND(MOD((V$5-$H10),VLOOKUP($I10,_P,2,0))=0,$I10&lt;&gt;""),
IF(OR(V$5=Fériés,WEEKDAY(V$5,2)&gt;5),0,IF(Tab_Résa[[#This Row],[Débit Crédit]]="Débit",-$G10,$G10)),""))),"")))</f>
        <v/>
      </c>
      <c r="W10" s="86" t="str">
        <f ca="1">IF(W$5&lt;Tab_Résa[[#This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échéance]]-1))&lt;W$5,"",IFERROR(IF(AND(OR(WEEKDAY(V$5,2)&gt;5,V$5=Fériés),V10&lt;&gt;""),
IF(OR(W$5=Fériés,WEEKDAY(W$5,2)&gt;5),0,IF(Tab_Résa[[#This Row],[Débit Crédit]]="Débit",-$G10,$G10)),IF(W$5=$H10,IF(OR(W$5=Fériés,WEEKDAY(W$5,2)&gt;5),0,IF(Tab_Résa[[#This Row],[Débit Crédit]]="Débit",-$G10,$G10)),IF(AND(MOD((W$5-$H10),VLOOKUP($I10,_P,2,0))=0,$I10&lt;&gt;""),
IF(OR(W$5=Fériés,WEEKDAY(W$5,2)&gt;5),0,IF(Tab_Résa[[#This Row],[Débit Crédit]]="Débit",-$G10,$G10)),""))),"")))</f>
        <v/>
      </c>
      <c r="X10" s="86" t="str">
        <f ca="1">IF(X$5&lt;Tab_Résa[[#This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échéance]]-1))&lt;X$5,"",IFERROR(IF(AND(OR(WEEKDAY(W$5,2)&gt;5,W$5=Fériés),W10&lt;&gt;""),
IF(OR(X$5=Fériés,WEEKDAY(X$5,2)&gt;5),0,IF(Tab_Résa[[#This Row],[Débit Crédit]]="Débit",-$G10,$G10)),IF(X$5=$H10,IF(OR(X$5=Fériés,WEEKDAY(X$5,2)&gt;5),0,IF(Tab_Résa[[#This Row],[Débit Crédit]]="Débit",-$G10,$G10)),IF(AND(MOD((X$5-$H10),VLOOKUP($I10,_P,2,0))=0,$I10&lt;&gt;""),
IF(OR(X$5=Fériés,WEEKDAY(X$5,2)&gt;5),0,IF(Tab_Résa[[#This Row],[Débit Crédit]]="Débit",-$G10,$G10)),""))),"")))</f>
        <v/>
      </c>
      <c r="Y10" s="86" t="str">
        <f ca="1">IF(Y$5&lt;Tab_Résa[[#This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échéance]]-1))&lt;Y$5,"",IFERROR(IF(AND(OR(WEEKDAY(X$5,2)&gt;5,X$5=Fériés),X10&lt;&gt;""),
IF(OR(Y$5=Fériés,WEEKDAY(Y$5,2)&gt;5),0,IF(Tab_Résa[[#This Row],[Débit Crédit]]="Débit",-$G10,$G10)),IF(Y$5=$H10,IF(OR(Y$5=Fériés,WEEKDAY(Y$5,2)&gt;5),0,IF(Tab_Résa[[#This Row],[Débit Crédit]]="Débit",-$G10,$G10)),IF(AND(MOD((Y$5-$H10),VLOOKUP($I10,_P,2,0))=0,$I10&lt;&gt;""),
IF(OR(Y$5=Fériés,WEEKDAY(Y$5,2)&gt;5),0,IF(Tab_Résa[[#This Row],[Débit Crédit]]="Débit",-$G10,$G10)),""))),"")))</f>
        <v/>
      </c>
      <c r="Z10" s="86">
        <f ca="1">IF(Z$5&lt;Tab_Résa[[#This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échéance]]-1))&lt;Z$5,"",IFERROR(IF(AND(OR(WEEKDAY(Y$5,2)&gt;5,Y$5=Fériés),Y10&lt;&gt;""),
IF(OR(Z$5=Fériés,WEEKDAY(Z$5,2)&gt;5),0,IF(Tab_Résa[[#This Row],[Débit Crédit]]="Débit",-$G10,$G10)),IF(Z$5=$H10,IF(OR(Z$5=Fériés,WEEKDAY(Z$5,2)&gt;5),0,IF(Tab_Résa[[#This Row],[Débit Crédit]]="Débit",-$G10,$G10)),IF(AND(MOD((Z$5-$H10),VLOOKUP($I10,_P,2,0))=0,$I10&lt;&gt;""),
IF(OR(Z$5=Fériés,WEEKDAY(Z$5,2)&gt;5),0,IF(Tab_Résa[[#This Row],[Débit Crédit]]="Débit",-$G10,$G10)),""))),"")))</f>
        <v>0</v>
      </c>
      <c r="AA10" s="86" t="str">
        <f ca="1">IF(AA$5&lt;Tab_Résa[[#This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échéance]]-1))&lt;AA$5,"",IFERROR(IF(AND(OR(WEEKDAY(Z$5,2)&gt;5,Z$5=Fériés),Z10&lt;&gt;""),
IF(OR(AA$5=Fériés,WEEKDAY(AA$5,2)&gt;5),0,IF(Tab_Résa[[#This Row],[Débit Crédit]]="Débit",-$G10,$G10)),IF(AA$5=$H10,IF(OR(AA$5=Fériés,WEEKDAY(AA$5,2)&gt;5),0,IF(Tab_Résa[[#This Row],[Débit Crédit]]="Débit",-$G10,$G10)),IF(AND(MOD((AA$5-$H10),VLOOKUP($I10,_P,2,0))=0,$I10&lt;&gt;""),
IF(OR(AA$5=Fériés,WEEKDAY(AA$5,2)&gt;5),0,IF(Tab_Résa[[#This Row],[Débit Crédit]]="Débit",-$G10,$G10)),""))),"")))</f>
        <v/>
      </c>
      <c r="AB10" s="86" t="str">
        <f ca="1">IF(AB$5&lt;Tab_Résa[[#This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échéance]]-1))&lt;AB$5,"",IFERROR(IF(AND(OR(WEEKDAY(AA$5,2)&gt;5,AA$5=Fériés),AA10&lt;&gt;""),
IF(OR(AB$5=Fériés,WEEKDAY(AB$5,2)&gt;5),0,IF(Tab_Résa[[#This Row],[Débit Crédit]]="Débit",-$G10,$G10)),IF(AB$5=$H10,IF(OR(AB$5=Fériés,WEEKDAY(AB$5,2)&gt;5),0,IF(Tab_Résa[[#This Row],[Débit Crédit]]="Débit",-$G10,$G10)),IF(AND(MOD((AB$5-$H10),VLOOKUP($I10,_P,2,0))=0,$I10&lt;&gt;""),
IF(OR(AB$5=Fériés,WEEKDAY(AB$5,2)&gt;5),0,IF(Tab_Résa[[#This Row],[Débit Crédit]]="Débit",-$G10,$G10)),""))),"")))</f>
        <v/>
      </c>
      <c r="AC10" s="86" t="str">
        <f ca="1">IF(AC$5&lt;Tab_Résa[[#This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échéance]]-1))&lt;AC$5,"",IFERROR(IF(AND(OR(WEEKDAY(AB$5,2)&gt;5,AB$5=Fériés),AB10&lt;&gt;""),
IF(OR(AC$5=Fériés,WEEKDAY(AC$5,2)&gt;5),0,IF(Tab_Résa[[#This Row],[Débit Crédit]]="Débit",-$G10,$G10)),IF(AC$5=$H10,IF(OR(AC$5=Fériés,WEEKDAY(AC$5,2)&gt;5),0,IF(Tab_Résa[[#This Row],[Débit Crédit]]="Débit",-$G10,$G10)),IF(AND(MOD((AC$5-$H10),VLOOKUP($I10,_P,2,0))=0,$I10&lt;&gt;""),
IF(OR(AC$5=Fériés,WEEKDAY(AC$5,2)&gt;5),0,IF(Tab_Résa[[#This Row],[Débit Crédit]]="Débit",-$G10,$G10)),""))),"")))</f>
        <v/>
      </c>
      <c r="AD10" s="86" t="str">
        <f ca="1">IF(AD$5&lt;Tab_Résa[[#This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échéance]]-1))&lt;AD$5,"",IFERROR(IF(AND(OR(WEEKDAY(AC$5,2)&gt;5,AC$5=Fériés),AC10&lt;&gt;""),
IF(OR(AD$5=Fériés,WEEKDAY(AD$5,2)&gt;5),0,IF(Tab_Résa[[#This Row],[Débit Crédit]]="Débit",-$G10,$G10)),IF(AD$5=$H10,IF(OR(AD$5=Fériés,WEEKDAY(AD$5,2)&gt;5),0,IF(Tab_Résa[[#This Row],[Débit Crédit]]="Débit",-$G10,$G10)),IF(AND(MOD((AD$5-$H10),VLOOKUP($I10,_P,2,0))=0,$I10&lt;&gt;""),
IF(OR(AD$5=Fériés,WEEKDAY(AD$5,2)&gt;5),0,IF(Tab_Résa[[#This Row],[Débit Crédit]]="Débit",-$G10,$G10)),""))),"")))</f>
        <v/>
      </c>
      <c r="AE10" s="86" t="str">
        <f ca="1">IF(AE$5&lt;Tab_Résa[[#This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échéance]]-1))&lt;AE$5,"",IFERROR(IF(AND(OR(WEEKDAY(AD$5,2)&gt;5,AD$5=Fériés),AD10&lt;&gt;""),
IF(OR(AE$5=Fériés,WEEKDAY(AE$5,2)&gt;5),0,IF(Tab_Résa[[#This Row],[Débit Crédit]]="Débit",-$G10,$G10)),IF(AE$5=$H10,IF(OR(AE$5=Fériés,WEEKDAY(AE$5,2)&gt;5),0,IF(Tab_Résa[[#This Row],[Débit Crédit]]="Débit",-$G10,$G10)),IF(AND(MOD((AE$5-$H10),VLOOKUP($I10,_P,2,0))=0,$I10&lt;&gt;""),
IF(OR(AE$5=Fériés,WEEKDAY(AE$5,2)&gt;5),0,IF(Tab_Résa[[#This Row],[Débit Crédit]]="Débit",-$G10,$G10)),""))),"")))</f>
        <v/>
      </c>
      <c r="AF10" s="86" t="str">
        <f ca="1">IF(AF$5&lt;Tab_Résa[[#This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échéance]]-1))&lt;AF$5,"",IFERROR(IF(AND(OR(WEEKDAY(AE$5,2)&gt;5,AE$5=Fériés),AE10&lt;&gt;""),
IF(OR(AF$5=Fériés,WEEKDAY(AF$5,2)&gt;5),0,IF(Tab_Résa[[#This Row],[Débit Crédit]]="Débit",-$G10,$G10)),IF(AF$5=$H10,IF(OR(AF$5=Fériés,WEEKDAY(AF$5,2)&gt;5),0,IF(Tab_Résa[[#This Row],[Débit Crédit]]="Débit",-$G10,$G10)),IF(AND(MOD((AF$5-$H10),VLOOKUP($I10,_P,2,0))=0,$I10&lt;&gt;""),
IF(OR(AF$5=Fériés,WEEKDAY(AF$5,2)&gt;5),0,IF(Tab_Résa[[#This Row],[Débit Crédit]]="Débit",-$G10,$G10)),""))),"")))</f>
        <v/>
      </c>
      <c r="AG10" s="86" t="str">
        <f ca="1">IF(AG$5&lt;Tab_Résa[[#This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échéance]]-1))&lt;AG$5,"",IFERROR(IF(AND(OR(WEEKDAY(AF$5,2)&gt;5,AF$5=Fériés),AF10&lt;&gt;""),
IF(OR(AG$5=Fériés,WEEKDAY(AG$5,2)&gt;5),0,IF(Tab_Résa[[#This Row],[Débit Crédit]]="Débit",-$G10,$G10)),IF(AG$5=$H10,IF(OR(AG$5=Fériés,WEEKDAY(AG$5,2)&gt;5),0,IF(Tab_Résa[[#This Row],[Débit Crédit]]="Débit",-$G10,$G10)),IF(AND(MOD((AG$5-$H10),VLOOKUP($I10,_P,2,0))=0,$I10&lt;&gt;""),
IF(OR(AG$5=Fériés,WEEKDAY(AG$5,2)&gt;5),0,IF(Tab_Résa[[#This Row],[Débit Crédit]]="Débit",-$G10,$G10)),""))),"")))</f>
        <v/>
      </c>
      <c r="AH10" s="86" t="str">
        <f ca="1">IF(AH$5&lt;Tab_Résa[[#This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échéance]]-1))&lt;AH$5,"",IFERROR(IF(AND(OR(WEEKDAY(AG$5,2)&gt;5,AG$5=Fériés),AG10&lt;&gt;""),
IF(OR(AH$5=Fériés,WEEKDAY(AH$5,2)&gt;5),0,IF(Tab_Résa[[#This Row],[Débit Crédit]]="Débit",-$G10,$G10)),IF(AH$5=$H10,IF(OR(AH$5=Fériés,WEEKDAY(AH$5,2)&gt;5),0,IF(Tab_Résa[[#This Row],[Débit Crédit]]="Débit",-$G10,$G10)),IF(AND(MOD((AH$5-$H10),VLOOKUP($I10,_P,2,0))=0,$I10&lt;&gt;""),
IF(OR(AH$5=Fériés,WEEKDAY(AH$5,2)&gt;5),0,IF(Tab_Résa[[#This Row],[Débit Crédit]]="Débit",-$G10,$G10)),""))),"")))</f>
        <v/>
      </c>
      <c r="AI10" s="86" t="str">
        <f ca="1">IF(AI$5&lt;Tab_Résa[[#This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échéance]]-1))&lt;AI$5,"",IFERROR(IF(AND(OR(WEEKDAY(AH$5,2)&gt;5,AH$5=Fériés),AH10&lt;&gt;""),
IF(OR(AI$5=Fériés,WEEKDAY(AI$5,2)&gt;5),0,IF(Tab_Résa[[#This Row],[Débit Crédit]]="Débit",-$G10,$G10)),IF(AI$5=$H10,IF(OR(AI$5=Fériés,WEEKDAY(AI$5,2)&gt;5),0,IF(Tab_Résa[[#This Row],[Débit Crédit]]="Débit",-$G10,$G10)),IF(AND(MOD((AI$5-$H10),VLOOKUP($I10,_P,2,0))=0,$I10&lt;&gt;""),
IF(OR(AI$5=Fériés,WEEKDAY(AI$5,2)&gt;5),0,IF(Tab_Résa[[#This Row],[Débit Crédit]]="Débit",-$G10,$G10)),""))),"")))</f>
        <v/>
      </c>
      <c r="AJ10" s="86" t="str">
        <f ca="1">IF(AJ$5&lt;Tab_Résa[[#This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échéance]]-1))&lt;AJ$5,"",IFERROR(IF(AND(OR(WEEKDAY(AI$5,2)&gt;5,AI$5=Fériés),AI10&lt;&gt;""),
IF(OR(AJ$5=Fériés,WEEKDAY(AJ$5,2)&gt;5),0,IF(Tab_Résa[[#This Row],[Débit Crédit]]="Débit",-$G10,$G10)),IF(AJ$5=$H10,IF(OR(AJ$5=Fériés,WEEKDAY(AJ$5,2)&gt;5),0,IF(Tab_Résa[[#This Row],[Débit Crédit]]="Débit",-$G10,$G10)),IF(AND(MOD((AJ$5-$H10),VLOOKUP($I10,_P,2,0))=0,$I10&lt;&gt;""),
IF(OR(AJ$5=Fériés,WEEKDAY(AJ$5,2)&gt;5),0,IF(Tab_Résa[[#This Row],[Débit Crédit]]="Débit",-$G10,$G10)),""))),"")))</f>
        <v/>
      </c>
      <c r="AK10" s="86" t="str">
        <f ca="1">IF(AK$5&lt;Tab_Résa[[#This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échéance]]-1))&lt;AK$5,"",IFERROR(IF(AND(OR(WEEKDAY(AJ$5,2)&gt;5,AJ$5=Fériés),AJ10&lt;&gt;""),
IF(OR(AK$5=Fériés,WEEKDAY(AK$5,2)&gt;5),0,IF(Tab_Résa[[#This Row],[Débit Crédit]]="Débit",-$G10,$G10)),IF(AK$5=$H10,IF(OR(AK$5=Fériés,WEEKDAY(AK$5,2)&gt;5),0,IF(Tab_Résa[[#This Row],[Débit Crédit]]="Débit",-$G10,$G10)),IF(AND(MOD((AK$5-$H10),VLOOKUP($I10,_P,2,0))=0,$I10&lt;&gt;""),
IF(OR(AK$5=Fériés,WEEKDAY(AK$5,2)&gt;5),0,IF(Tab_Résa[[#This Row],[Débit Crédit]]="Débit",-$G10,$G10)),""))),"")))</f>
        <v/>
      </c>
      <c r="AL10" s="86" t="str">
        <f ca="1">IF(AL$5&lt;Tab_Résa[[#This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échéance]]-1))&lt;AL$5,"",IFERROR(IF(AND(OR(WEEKDAY(AK$5,2)&gt;5,AK$5=Fériés),AK10&lt;&gt;""),
IF(OR(AL$5=Fériés,WEEKDAY(AL$5,2)&gt;5),0,IF(Tab_Résa[[#This Row],[Débit Crédit]]="Débit",-$G10,$G10)),IF(AL$5=$H10,IF(OR(AL$5=Fériés,WEEKDAY(AL$5,2)&gt;5),0,IF(Tab_Résa[[#This Row],[Débit Crédit]]="Débit",-$G10,$G10)),IF(AND(MOD((AL$5-$H10),VLOOKUP($I10,_P,2,0))=0,$I10&lt;&gt;""),
IF(OR(AL$5=Fériés,WEEKDAY(AL$5,2)&gt;5),0,IF(Tab_Résa[[#This Row],[Débit Crédit]]="Débit",-$G10,$G10)),""))),"")))</f>
        <v/>
      </c>
      <c r="AM10" s="86" t="str">
        <f ca="1">IF(AM$5&lt;Tab_Résa[[#This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échéance]]-1))&lt;AM$5,"",IFERROR(IF(AND(OR(WEEKDAY(AL$5,2)&gt;5,AL$5=Fériés),AL10&lt;&gt;""),
IF(OR(AM$5=Fériés,WEEKDAY(AM$5,2)&gt;5),0,IF(Tab_Résa[[#This Row],[Débit Crédit]]="Débit",-$G10,$G10)),IF(AM$5=$H10,IF(OR(AM$5=Fériés,WEEKDAY(AM$5,2)&gt;5),0,IF(Tab_Résa[[#This Row],[Débit Crédit]]="Débit",-$G10,$G10)),IF(AND(MOD((AM$5-$H10),VLOOKUP($I10,_P,2,0))=0,$I10&lt;&gt;""),
IF(OR(AM$5=Fériés,WEEKDAY(AM$5,2)&gt;5),0,IF(Tab_Résa[[#This Row],[Débit Crédit]]="Débit",-$G10,$G10)),""))),"")))</f>
        <v/>
      </c>
      <c r="AN10" s="86" t="str">
        <f ca="1">IF(AN$5&lt;Tab_Résa[[#This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échéance]]-1))&lt;AN$5,"",IFERROR(IF(AND(OR(WEEKDAY(AM$5,2)&gt;5,AM$5=Fériés),AM10&lt;&gt;""),
IF(OR(AN$5=Fériés,WEEKDAY(AN$5,2)&gt;5),0,IF(Tab_Résa[[#This Row],[Débit Crédit]]="Débit",-$G10,$G10)),IF(AN$5=$H10,IF(OR(AN$5=Fériés,WEEKDAY(AN$5,2)&gt;5),0,IF(Tab_Résa[[#This Row],[Débit Crédit]]="Débit",-$G10,$G10)),IF(AND(MOD((AN$5-$H10),VLOOKUP($I10,_P,2,0))=0,$I10&lt;&gt;""),
IF(OR(AN$5=Fériés,WEEKDAY(AN$5,2)&gt;5),0,IF(Tab_Résa[[#This Row],[Débit Crédit]]="Débit",-$G10,$G10)),""))),"")))</f>
        <v/>
      </c>
      <c r="AO10" s="86" t="str">
        <f ca="1">IF(AO$5&lt;Tab_Résa[[#This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échéance]]-1))&lt;AO$5,"",IFERROR(IF(AND(OR(WEEKDAY(AN$5,2)&gt;5,AN$5=Fériés),AN10&lt;&gt;""),
IF(OR(AO$5=Fériés,WEEKDAY(AO$5,2)&gt;5),0,IF(Tab_Résa[[#This Row],[Débit Crédit]]="Débit",-$G10,$G10)),IF(AO$5=$H10,IF(OR(AO$5=Fériés,WEEKDAY(AO$5,2)&gt;5),0,IF(Tab_Résa[[#This Row],[Débit Crédit]]="Débit",-$G10,$G10)),IF(AND(MOD((AO$5-$H10),VLOOKUP($I10,_P,2,0))=0,$I10&lt;&gt;""),
IF(OR(AO$5=Fériés,WEEKDAY(AO$5,2)&gt;5),0,IF(Tab_Résa[[#This Row],[Débit Crédit]]="Débit",-$G10,$G10)),""))),"")))</f>
        <v/>
      </c>
      <c r="AP10" s="86" t="str">
        <f ca="1">IF(AP$5&lt;Tab_Résa[[#This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échéance]]-1))&lt;AP$5,"",IFERROR(IF(AND(OR(WEEKDAY(AO$5,2)&gt;5,AO$5=Fériés),AO10&lt;&gt;""),
IF(OR(AP$5=Fériés,WEEKDAY(AP$5,2)&gt;5),0,IF(Tab_Résa[[#This Row],[Débit Crédit]]="Débit",-$G10,$G10)),IF(AP$5=$H10,IF(OR(AP$5=Fériés,WEEKDAY(AP$5,2)&gt;5),0,IF(Tab_Résa[[#This Row],[Débit Crédit]]="Débit",-$G10,$G10)),IF(AND(MOD((AP$5-$H10),VLOOKUP($I10,_P,2,0))=0,$I10&lt;&gt;""),
IF(OR(AP$5=Fériés,WEEKDAY(AP$5,2)&gt;5),0,IF(Tab_Résa[[#This Row],[Débit Crédit]]="Débit",-$G10,$G10)),""))),"")))</f>
        <v/>
      </c>
      <c r="AQ10" s="86" t="str">
        <f ca="1">IF(AQ$5&lt;Tab_Résa[[#This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échéance]]-1))&lt;AQ$5,"",IFERROR(IF(AND(OR(WEEKDAY(AP$5,2)&gt;5,AP$5=Fériés),AP10&lt;&gt;""),
IF(OR(AQ$5=Fériés,WEEKDAY(AQ$5,2)&gt;5),0,IF(Tab_Résa[[#This Row],[Débit Crédit]]="Débit",-$G10,$G10)),IF(AQ$5=$H10,IF(OR(AQ$5=Fériés,WEEKDAY(AQ$5,2)&gt;5),0,IF(Tab_Résa[[#This Row],[Débit Crédit]]="Débit",-$G10,$G10)),IF(AND(MOD((AQ$5-$H10),VLOOKUP($I10,_P,2,0))=0,$I10&lt;&gt;""),
IF(OR(AQ$5=Fériés,WEEKDAY(AQ$5,2)&gt;5),0,IF(Tab_Résa[[#This Row],[Débit Crédit]]="Débit",-$G10,$G10)),""))),"")))</f>
        <v/>
      </c>
      <c r="AR10" s="86" t="str">
        <f ca="1">IF(AR$5&lt;Tab_Résa[[#This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échéance]]-1))&lt;AR$5,"",IFERROR(IF(AND(OR(WEEKDAY(AQ$5,2)&gt;5,AQ$5=Fériés),AQ10&lt;&gt;""),
IF(OR(AR$5=Fériés,WEEKDAY(AR$5,2)&gt;5),0,IF(Tab_Résa[[#This Row],[Débit Crédit]]="Débit",-$G10,$G10)),IF(AR$5=$H10,IF(OR(AR$5=Fériés,WEEKDAY(AR$5,2)&gt;5),0,IF(Tab_Résa[[#This Row],[Débit Crédit]]="Débit",-$G10,$G10)),IF(AND(MOD((AR$5-$H10),VLOOKUP($I10,_P,2,0))=0,$I10&lt;&gt;""),
IF(OR(AR$5=Fériés,WEEKDAY(AR$5,2)&gt;5),0,IF(Tab_Résa[[#This Row],[Débit Crédit]]="Débit",-$G10,$G10)),""))),"")))</f>
        <v/>
      </c>
      <c r="AS10" s="86" t="str">
        <f ca="1">IF(AS$5&lt;Tab_Résa[[#This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échéance]]-1))&lt;AS$5,"",IFERROR(IF(AND(OR(WEEKDAY(AR$5,2)&gt;5,AR$5=Fériés),AR10&lt;&gt;""),
IF(OR(AS$5=Fériés,WEEKDAY(AS$5,2)&gt;5),0,IF(Tab_Résa[[#This Row],[Débit Crédit]]="Débit",-$G10,$G10)),IF(AS$5=$H10,IF(OR(AS$5=Fériés,WEEKDAY(AS$5,2)&gt;5),0,IF(Tab_Résa[[#This Row],[Débit Crédit]]="Débit",-$G10,$G10)),IF(AND(MOD((AS$5-$H10),VLOOKUP($I10,_P,2,0))=0,$I10&lt;&gt;""),
IF(OR(AS$5=Fériés,WEEKDAY(AS$5,2)&gt;5),0,IF(Tab_Résa[[#This Row],[Débit Crédit]]="Débit",-$G10,$G10)),""))),"")))</f>
        <v/>
      </c>
      <c r="AT10" s="86" t="str">
        <f ca="1">IF(AT$5&lt;Tab_Résa[[#This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échéance]]-1))&lt;AT$5,"",IFERROR(IF(AND(OR(WEEKDAY(AS$5,2)&gt;5,AS$5=Fériés),AS10&lt;&gt;""),
IF(OR(AT$5=Fériés,WEEKDAY(AT$5,2)&gt;5),0,IF(Tab_Résa[[#This Row],[Débit Crédit]]="Débit",-$G10,$G10)),IF(AT$5=$H10,IF(OR(AT$5=Fériés,WEEKDAY(AT$5,2)&gt;5),0,IF(Tab_Résa[[#This Row],[Débit Crédit]]="Débit",-$G10,$G10)),IF(AND(MOD((AT$5-$H10),VLOOKUP($I10,_P,2,0))=0,$I10&lt;&gt;""),
IF(OR(AT$5=Fériés,WEEKDAY(AT$5,2)&gt;5),0,IF(Tab_Résa[[#This Row],[Débit Crédit]]="Débit",-$G10,$G10)),""))),"")))</f>
        <v/>
      </c>
      <c r="AU10" s="86" t="str">
        <f t="array" aca="1" ref="AU10" ca="1">IF(AU$5&lt;Tab_Résa[[#This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échéance]]-1))&lt;AU$5,"",IFERROR(IF(AND(OR(WEEKDAY(AT$5,2)&gt;5,AT$5=Fériés),AT10&lt;&gt;""),
IF(OR(AU$5=Fériés,WEEKDAY(AU$5,2)&gt;5),0,$G10),IF(AU$5=$H10,IF(OR(AU$5=Fériés,WEEKDAY(AU$5,2)&gt;5),0,$G10),IF(AND(MOD((AU$5-$H10),VLOOKUP($I10,_P,2,0))=0,$I10&lt;&gt;""),
IF(OR(AU$5=Fériés,WEEKDAY(AU$5,2)&gt;5),0,$G10),""))),"")))</f>
        <v/>
      </c>
      <c r="AV10" s="87" t="str">
        <f t="array" aca="1" ref="AV10" ca="1">IF(AV$5&lt;Tab_Résa[[#This Row],[Date de début]]-5,"",IF(Tab_Résa[[#This Row],[Date de début]]+(VLOOKUP(Tab_Résa[[#This Row],[Période]],_P,2,0)*IF(OR(Tab_Résa[[#This Row],[Nb échéance]]=0,Tab_Résa[[#This Row],[Nb échéance]]=""),10000,Tab_Résa[[#This Row],[Nb échéance]]-1))&lt;AV$5,"",IFERROR(IF(AND(OR(WEEKDAY(AU$5,2)&gt;5,AU$5=Fériés),AU10&lt;&gt;""),
IF(OR(AV$5=Fériés,WEEKDAY(AV$5,2)&gt;5),0,$G10),IF(AV$5=$H10,IF(OR(AV$5=Fériés,WEEKDAY(AV$5,2)&gt;5),0,$G10),IF(AND(MOD((AV$5-$H10),VLOOKUP($I10,_P,2,0))=0,$I10&lt;&gt;""),
IF(OR(AV$5=Fériés,WEEKDAY(AV$5,2)&gt;5),0,$G10),""))),"")))</f>
        <v/>
      </c>
    </row>
    <row r="11" spans="2:49" ht="30" customHeight="1" x14ac:dyDescent="0.25">
      <c r="F11" s="59" t="s">
        <v>139</v>
      </c>
      <c r="K11" s="59" t="s">
        <v>144</v>
      </c>
    </row>
    <row r="12" spans="2:49" ht="30" customHeight="1" x14ac:dyDescent="0.25">
      <c r="L12" s="59" t="s">
        <v>140</v>
      </c>
    </row>
    <row r="13" spans="2:49" ht="30" customHeight="1" x14ac:dyDescent="0.25">
      <c r="J13" s="50" t="s">
        <v>137</v>
      </c>
      <c r="K13" s="51">
        <f>'Relevé bancaire'!H24</f>
        <v>-100</v>
      </c>
      <c r="L13" s="49"/>
      <c r="M13" s="49"/>
      <c r="N13" s="49"/>
      <c r="O13" s="49"/>
      <c r="P13" s="49"/>
      <c r="Q13" s="49"/>
      <c r="R13" s="49"/>
      <c r="S13" s="49"/>
      <c r="T13" s="49"/>
    </row>
    <row r="14" spans="2:49" ht="30" customHeight="1" x14ac:dyDescent="0.25">
      <c r="J14" s="50" t="s">
        <v>93</v>
      </c>
      <c r="L14" s="88">
        <f ca="1">K13+SUM(Tab_Résa[Colonne1])</f>
        <v>-100</v>
      </c>
      <c r="M14" s="88">
        <f ca="1">L14+SUM(Tab_Résa[Colonne2])</f>
        <v>-100</v>
      </c>
      <c r="N14" s="88">
        <f ca="1">M14+SUM(Tab_Résa[Colonne3])</f>
        <v>-250</v>
      </c>
      <c r="O14" s="88">
        <f ca="1">N14+SUM(Tab_Résa[Colonne4])</f>
        <v>200</v>
      </c>
      <c r="P14" s="88">
        <f ca="1">O14+SUM(Tab_Résa[Colonne5])</f>
        <v>150</v>
      </c>
      <c r="Q14" s="88">
        <f ca="1">P14+SUM(Tab_Résa[Colonne6])</f>
        <v>100</v>
      </c>
      <c r="R14" s="88">
        <f ca="1">Q14+SUM(Tab_Résa[Colonne7])</f>
        <v>50</v>
      </c>
      <c r="S14" s="88">
        <f ca="1">R14+SUM(Tab_Résa[Colonne8])</f>
        <v>50</v>
      </c>
      <c r="T14" s="88">
        <f ca="1">S14+SUM(Tab_Résa[Colonne9])</f>
        <v>50</v>
      </c>
      <c r="U14" s="88">
        <f ca="1">T14+SUM(Tab_Résa[Colonne10])</f>
        <v>-200</v>
      </c>
      <c r="V14" s="88">
        <f ca="1">U14+SUM(Tab_Résa[Colonne11])</f>
        <v>-250</v>
      </c>
      <c r="W14" s="88">
        <f ca="1">V14+SUM(Tab_Résa[Colonne12])</f>
        <v>-300</v>
      </c>
      <c r="X14" s="88">
        <f ca="1">W14+SUM(Tab_Résa[Colonne13])</f>
        <v>-350</v>
      </c>
      <c r="Y14" s="88">
        <f ca="1">X14+SUM(Tab_Résa[Colonne14])</f>
        <v>-400</v>
      </c>
      <c r="Z14" s="88">
        <f ca="1">Y14+SUM(Tab_Résa[Colonne15])</f>
        <v>-400</v>
      </c>
      <c r="AA14" s="88">
        <f ca="1">Z14+SUM(Tab_Résa[Colonne16])</f>
        <v>-400</v>
      </c>
      <c r="AB14" s="88">
        <f ca="1">AA14+SUM(Tab_Résa[Colonne17])</f>
        <v>-450</v>
      </c>
      <c r="AC14" s="88">
        <f ca="1">AB14+SUM(Tab_Résa[Colonne18])</f>
        <v>-500</v>
      </c>
      <c r="AD14" s="88">
        <f ca="1">AC14+SUM(Tab_Résa[Colonne19])</f>
        <v>-50</v>
      </c>
      <c r="AE14" s="88">
        <f ca="1">AD14+SUM(Tab_Résa[Colonne20])</f>
        <v>-100</v>
      </c>
      <c r="AF14" s="88">
        <f ca="1">AE14+SUM(Tab_Résa[Colonne21])</f>
        <v>-150</v>
      </c>
      <c r="AG14" s="88">
        <f ca="1">AF14+SUM(Tab_Résa[Colonne22])</f>
        <v>-150</v>
      </c>
      <c r="AH14" s="88">
        <f ca="1">AG14+SUM(Tab_Résa[Colonne23])</f>
        <v>-150</v>
      </c>
      <c r="AI14" s="88">
        <f ca="1">AH14+SUM(Tab_Résa[Colonne24])</f>
        <v>-200</v>
      </c>
      <c r="AJ14" s="88">
        <f ca="1">AI14+SUM(Tab_Résa[Colonne25])</f>
        <v>-250</v>
      </c>
      <c r="AK14" s="88">
        <f ca="1">AJ14+SUM(Tab_Résa[Colonne26])</f>
        <v>-300</v>
      </c>
      <c r="AL14" s="88">
        <f ca="1">AK14+SUM(Tab_Résa[Colonne27])</f>
        <v>-350</v>
      </c>
      <c r="AM14" s="88">
        <f ca="1">AL14+SUM(Tab_Résa[Colonne28])</f>
        <v>-400</v>
      </c>
      <c r="AN14" s="88">
        <f ca="1">AM14+SUM(Tab_Résa[Colonne29])</f>
        <v>-400</v>
      </c>
      <c r="AO14" s="88">
        <f ca="1">AN14+SUM(Tab_Résa[Colonne30])</f>
        <v>-400</v>
      </c>
      <c r="AP14" s="88">
        <f ca="1">AO14+SUM(Tab_Résa[Colonne31])</f>
        <v>-450</v>
      </c>
      <c r="AQ14" s="88">
        <f ca="1">AP14+SUM(Tab_Résa[Colonne32])</f>
        <v>-500</v>
      </c>
      <c r="AR14" s="88">
        <f ca="1">AQ14+SUM(Tab_Résa[Colonne33])</f>
        <v>-550</v>
      </c>
      <c r="AS14" s="88">
        <f ca="1">AR14+SUM(Tab_Résa[Colonne34])</f>
        <v>-100</v>
      </c>
      <c r="AT14" s="88">
        <f ca="1">AS14+SUM(Tab_Résa[Colonne35])</f>
        <v>-150</v>
      </c>
      <c r="AU14" s="88">
        <f ca="1">AT14+SUM(Tab_Résa[Colonne36])</f>
        <v>-150</v>
      </c>
      <c r="AV14" s="88">
        <f ca="1">AU14+SUM(Tab_Résa[Colonne37])</f>
        <v>-150</v>
      </c>
    </row>
    <row r="15" spans="2:49" x14ac:dyDescent="0.25">
      <c r="L15" t="s">
        <v>141</v>
      </c>
    </row>
  </sheetData>
  <mergeCells count="1">
    <mergeCell ref="B2:K2"/>
  </mergeCells>
  <conditionalFormatting sqref="L3:AV3">
    <cfRule type="expression" dxfId="14" priority="18">
      <formula>AND(ISEVEN(WEEKNUM(L5,T_SE)))</formula>
    </cfRule>
  </conditionalFormatting>
  <conditionalFormatting sqref="L2:AV2">
    <cfRule type="expression" dxfId="13" priority="17">
      <formula>AND(ISEVEN(MONTH(L5)))</formula>
    </cfRule>
  </conditionalFormatting>
  <conditionalFormatting sqref="M2:AV2">
    <cfRule type="expression" dxfId="12" priority="16">
      <formula>AND(MONTH(M5)&lt;&gt;MONTH(L5))</formula>
    </cfRule>
  </conditionalFormatting>
  <conditionalFormatting sqref="M3:AV3">
    <cfRule type="expression" dxfId="11" priority="15">
      <formula>AND(WEEKNUM(M5,T_SE)&lt;&gt;WEEKNUM(L5,T_SE))</formula>
    </cfRule>
  </conditionalFormatting>
  <conditionalFormatting sqref="L7:AV8">
    <cfRule type="expression" dxfId="10" priority="20">
      <formula>OR(L$4=Ponts)</formula>
    </cfRule>
    <cfRule type="expression" dxfId="9" priority="21">
      <formula>OR(L$4=Fériés)</formula>
    </cfRule>
    <cfRule type="expression" dxfId="8" priority="22">
      <formula>NOT(NETWORKDAYS.INTL(L$4,L$4,Chômés))</formula>
    </cfRule>
  </conditionalFormatting>
  <conditionalFormatting sqref="L7:AV8">
    <cfRule type="expression" dxfId="7" priority="14">
      <formula>AND(L7=1)</formula>
    </cfRule>
  </conditionalFormatting>
  <conditionalFormatting sqref="L4:AV5">
    <cfRule type="expression" dxfId="6" priority="3">
      <formula>OR(ROW($L4)=4,ROW($L4)=3)</formula>
    </cfRule>
  </conditionalFormatting>
  <conditionalFormatting sqref="L4:AV5 L7:AV10">
    <cfRule type="expression" dxfId="5" priority="4">
      <formula>AND(L$5=TODAY())</formula>
    </cfRule>
    <cfRule type="expression" dxfId="4" priority="5">
      <formula>OR(L$5=Ponts)</formula>
    </cfRule>
    <cfRule type="expression" dxfId="3" priority="6">
      <formula>OR(L$5=Fériés)</formula>
    </cfRule>
    <cfRule type="expression" dxfId="2" priority="7">
      <formula>NOT(NETWORKDAYS.INTL(L$5,L$5,Chômés))</formula>
    </cfRule>
  </conditionalFormatting>
  <conditionalFormatting sqref="L7:AV10">
    <cfRule type="cellIs" dxfId="1" priority="1" operator="lessThan">
      <formula>0</formula>
    </cfRule>
    <cfRule type="cellIs" dxfId="0" priority="2" operator="greaterThan">
      <formula>0</formula>
    </cfRule>
  </conditionalFormatting>
  <dataValidations count="3">
    <dataValidation type="list" allowBlank="1" showInputMessage="1" showErrorMessage="1" sqref="B7:B10">
      <formula1>Paiement</formula1>
    </dataValidation>
    <dataValidation type="list" allowBlank="1" showInputMessage="1" showErrorMessage="1" sqref="I7:I10">
      <formula1>Période</formula1>
    </dataValidation>
    <dataValidation type="list" allowBlank="1" showInputMessage="1" showErrorMessage="1" sqref="F7:F10">
      <formula1>Opérations</formula1>
    </dataValidation>
  </dataValidations>
  <printOptions horizontalCentered="1"/>
  <pageMargins left="0" right="0" top="0" bottom="0" header="0" footer="0"/>
  <pageSetup paperSize="9" scale="56" orientation="landscape" r:id="rId1"/>
  <drawing r:id="rId2"/>
  <legacyDrawing r:id="rId3"/>
  <controls>
    <mc:AlternateContent xmlns:mc="http://schemas.openxmlformats.org/markup-compatibility/2006">
      <mc:Choice Requires="x14">
        <control shapeId="1028" r:id="rId4" name="ScrollBar1">
          <controlPr defaultSize="0" autoLine="0" r:id="rId5">
            <anchor moveWithCells="1">
              <from>
                <xdr:col>8</xdr:col>
                <xdr:colOff>533400</xdr:colOff>
                <xdr:row>1</xdr:row>
                <xdr:rowOff>1171575</xdr:rowOff>
              </from>
              <to>
                <xdr:col>11</xdr:col>
                <xdr:colOff>19050</xdr:colOff>
                <xdr:row>2</xdr:row>
                <xdr:rowOff>0</xdr:rowOff>
              </to>
            </anchor>
          </controlPr>
        </control>
      </mc:Choice>
      <mc:Fallback>
        <control shapeId="1028" r:id="rId4" name="ScrollBar1"/>
      </mc:Fallback>
    </mc:AlternateContent>
    <mc:AlternateContent xmlns:mc="http://schemas.openxmlformats.org/markup-compatibility/2006">
      <mc:Choice Requires="x14">
        <control shapeId="1029" r:id="rId6" name="SpinButton1">
          <controlPr defaultSize="0" autoLine="0" r:id="rId7">
            <anchor moveWithCells="1">
              <from>
                <xdr:col>8</xdr:col>
                <xdr:colOff>228600</xdr:colOff>
                <xdr:row>1</xdr:row>
                <xdr:rowOff>1171575</xdr:rowOff>
              </from>
              <to>
                <xdr:col>8</xdr:col>
                <xdr:colOff>552450</xdr:colOff>
                <xdr:row>2</xdr:row>
                <xdr:rowOff>0</xdr:rowOff>
              </to>
            </anchor>
          </controlPr>
        </control>
      </mc:Choice>
      <mc:Fallback>
        <control shapeId="1029" r:id="rId6" name="SpinButton1"/>
      </mc:Fallback>
    </mc:AlternateContent>
  </controls>
  <tableParts count="1">
    <tablePart r:id="rId8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13</vt:i4>
      </vt:variant>
    </vt:vector>
  </HeadingPairs>
  <TitlesOfParts>
    <vt:vector size="16" baseType="lpstr">
      <vt:lpstr>Paramètres_Application</vt:lpstr>
      <vt:lpstr>Relevé bancaire</vt:lpstr>
      <vt:lpstr>Planning Perpétuel</vt:lpstr>
      <vt:lpstr>_DC</vt:lpstr>
      <vt:lpstr>_P</vt:lpstr>
      <vt:lpstr>_SB</vt:lpstr>
      <vt:lpstr>Archive</vt:lpstr>
      <vt:lpstr>Balance</vt:lpstr>
      <vt:lpstr>Chômés</vt:lpstr>
      <vt:lpstr>Date_Deb</vt:lpstr>
      <vt:lpstr>Opérations</vt:lpstr>
      <vt:lpstr>Paiement</vt:lpstr>
      <vt:lpstr>Période</vt:lpstr>
      <vt:lpstr>T_SE</vt:lpstr>
      <vt:lpstr>Tab_Période</vt:lpstr>
      <vt:lpstr>TVA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PIPER = Planning Perpétuel</dc:title>
  <dc:subject>Planning Perpétuel</dc:subject>
  <dc:creator>LouReeD</dc:creator>
  <cp:keywords>Planning; Calendrier</cp:keywords>
  <cp:lastModifiedBy>Rundle Fayce to Fayce</cp:lastModifiedBy>
  <cp:lastPrinted>2018-02-23T13:46:25Z</cp:lastPrinted>
  <dcterms:created xsi:type="dcterms:W3CDTF">2018-01-29T20:37:37Z</dcterms:created>
  <dcterms:modified xsi:type="dcterms:W3CDTF">2018-03-07T20:39:28Z</dcterms:modified>
  <cp:category>Calendrier;Planning</cp:category>
</cp:coreProperties>
</file>