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827" codeName="{37B6ACAC-4A07-160E-37E0-EFA003358AD4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Thibault Martin\Downloads\"/>
    </mc:Choice>
  </mc:AlternateContent>
  <bookViews>
    <workbookView xWindow="0" yWindow="0" windowWidth="19200" windowHeight="6950" firstSheet="3" activeTab="6" xr2:uid="{00000000-000D-0000-FFFF-FFFF00000000}"/>
  </bookViews>
  <sheets>
    <sheet name="Mois de gestion" sheetId="7" state="hidden" r:id="rId1"/>
    <sheet name="Récaptitulatif Loyer Paris" sheetId="6" r:id="rId2"/>
    <sheet name="Récaptitulatif Resa PARIS 2018" sheetId="8" r:id="rId3"/>
    <sheet name="Comptabilité PARIS 2018" sheetId="10" r:id="rId4"/>
    <sheet name="Analyse Global PARIS " sheetId="11" r:id="rId5"/>
    <sheet name="Analyse par appartement" sheetId="12" r:id="rId6"/>
    <sheet name="Appartements" sheetId="13" r:id="rId7"/>
  </sheets>
  <definedNames>
    <definedName name="_xlnm._FilterDatabase" localSheetId="1" hidden="1">'Récaptitulatif Loyer Paris'!$A$1:$Y$7</definedName>
    <definedName name="_xlnm._FilterDatabase" localSheetId="2" hidden="1">'Récaptitulatif Resa PARIS 2018'!$A$1:$I$61</definedName>
    <definedName name="Appartements">OFFSET(Appartements!$A$2,0,0,COUNTA(Appartements!$A:$A)-1,1)</definedName>
    <definedName name="Mois">'Analyse Global PARIS '!$B$1:$M$1</definedName>
  </definedNames>
  <calcPr calcId="171027" concurrentCalc="0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9" i="8" l="1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X3" i="6"/>
  <c r="V3" i="6"/>
  <c r="T3" i="6"/>
  <c r="R3" i="6"/>
  <c r="P3" i="6"/>
  <c r="D3" i="6"/>
  <c r="B3" i="6"/>
  <c r="L3" i="6"/>
  <c r="N3" i="6"/>
  <c r="J3" i="6"/>
  <c r="H3" i="6"/>
  <c r="F3" i="6"/>
  <c r="K13" i="12"/>
  <c r="J13" i="12"/>
  <c r="K12" i="12"/>
  <c r="J12" i="12"/>
  <c r="K11" i="12"/>
  <c r="J11" i="12"/>
  <c r="K10" i="12"/>
  <c r="J10" i="12"/>
  <c r="K9" i="12"/>
  <c r="J9" i="12"/>
  <c r="K8" i="12"/>
  <c r="J8" i="12"/>
  <c r="K7" i="12"/>
  <c r="J7" i="12"/>
  <c r="H2" i="8"/>
  <c r="H3" i="8"/>
  <c r="H4" i="8"/>
  <c r="H5" i="8"/>
  <c r="E2" i="8"/>
  <c r="E3" i="8"/>
  <c r="E4" i="8"/>
  <c r="E5" i="8"/>
  <c r="D6" i="12"/>
  <c r="C5" i="12"/>
  <c r="E3" i="12"/>
  <c r="B5" i="12"/>
  <c r="E5" i="12"/>
  <c r="C3" i="12"/>
  <c r="D5" i="12"/>
  <c r="C4" i="12"/>
  <c r="F5" i="12"/>
  <c r="C6" i="12"/>
  <c r="E4" i="12"/>
  <c r="D3" i="12"/>
  <c r="B4" i="12"/>
  <c r="F3" i="12"/>
  <c r="D4" i="12"/>
  <c r="B3" i="12"/>
  <c r="E6" i="12"/>
  <c r="B6" i="12"/>
  <c r="F4" i="12"/>
  <c r="F6" i="12"/>
  <c r="C7" i="11"/>
  <c r="F7" i="11"/>
  <c r="G7" i="11"/>
  <c r="J7" i="11"/>
  <c r="D7" i="11"/>
  <c r="E7" i="11"/>
  <c r="H7" i="11"/>
  <c r="I7" i="11"/>
  <c r="K7" i="11"/>
  <c r="L7" i="11"/>
  <c r="M7" i="11"/>
  <c r="G3" i="12"/>
  <c r="G4" i="12"/>
  <c r="H4" i="12"/>
  <c r="H6" i="12"/>
  <c r="H5" i="12"/>
  <c r="H3" i="12"/>
  <c r="G5" i="12"/>
  <c r="G6" i="12"/>
  <c r="D2" i="12"/>
  <c r="C2" i="12"/>
  <c r="H2" i="12"/>
  <c r="G2" i="12"/>
  <c r="I5" i="12"/>
  <c r="J5" i="12"/>
  <c r="K4" i="12"/>
  <c r="E2" i="12"/>
  <c r="K3" i="12"/>
  <c r="F2" i="12"/>
  <c r="B2" i="12"/>
  <c r="I3" i="12"/>
  <c r="J3" i="12"/>
  <c r="K6" i="12"/>
  <c r="I6" i="12"/>
  <c r="J6" i="12"/>
  <c r="I4" i="12"/>
  <c r="J4" i="12"/>
  <c r="K5" i="12"/>
  <c r="C2" i="11"/>
  <c r="G2" i="11"/>
  <c r="K2" i="11"/>
  <c r="D3" i="11"/>
  <c r="H3" i="11"/>
  <c r="L3" i="11"/>
  <c r="E4" i="11"/>
  <c r="I4" i="11"/>
  <c r="M4" i="11"/>
  <c r="F5" i="11"/>
  <c r="J5" i="11"/>
  <c r="B3" i="11"/>
  <c r="D2" i="11"/>
  <c r="H2" i="11"/>
  <c r="L2" i="11"/>
  <c r="E3" i="11"/>
  <c r="I3" i="11"/>
  <c r="M3" i="11"/>
  <c r="F4" i="11"/>
  <c r="J4" i="11"/>
  <c r="C5" i="11"/>
  <c r="G5" i="11"/>
  <c r="K5" i="11"/>
  <c r="B4" i="11"/>
  <c r="E2" i="11"/>
  <c r="I2" i="11"/>
  <c r="M2" i="11"/>
  <c r="F3" i="11"/>
  <c r="J3" i="11"/>
  <c r="C4" i="11"/>
  <c r="G4" i="11"/>
  <c r="K4" i="11"/>
  <c r="D5" i="11"/>
  <c r="H5" i="11"/>
  <c r="L5" i="11"/>
  <c r="B5" i="11"/>
  <c r="F2" i="11"/>
  <c r="F6" i="11"/>
  <c r="F8" i="11"/>
  <c r="F9" i="11"/>
  <c r="J2" i="11"/>
  <c r="C3" i="11"/>
  <c r="G3" i="11"/>
  <c r="K3" i="11"/>
  <c r="D4" i="11"/>
  <c r="H4" i="11"/>
  <c r="L4" i="11"/>
  <c r="L6" i="11"/>
  <c r="L8" i="11"/>
  <c r="L9" i="11"/>
  <c r="E5" i="11"/>
  <c r="E6" i="11"/>
  <c r="E8" i="11"/>
  <c r="E9" i="11"/>
  <c r="I5" i="11"/>
  <c r="M5" i="11"/>
  <c r="B2" i="11"/>
  <c r="B6" i="11"/>
  <c r="J6" i="11"/>
  <c r="J8" i="11"/>
  <c r="J9" i="11"/>
  <c r="H6" i="11"/>
  <c r="H8" i="11"/>
  <c r="H9" i="11"/>
  <c r="K2" i="12"/>
  <c r="I2" i="12"/>
  <c r="J2" i="12"/>
  <c r="C6" i="11"/>
  <c r="C8" i="11"/>
  <c r="C9" i="11"/>
  <c r="D6" i="11"/>
  <c r="D8" i="11"/>
  <c r="D9" i="11"/>
  <c r="M6" i="11"/>
  <c r="M8" i="11"/>
  <c r="M9" i="11"/>
  <c r="I6" i="11"/>
  <c r="I8" i="11"/>
  <c r="I9" i="11"/>
  <c r="N5" i="11"/>
  <c r="N3" i="11"/>
  <c r="K6" i="11"/>
  <c r="K8" i="11"/>
  <c r="K9" i="11"/>
  <c r="N4" i="11"/>
  <c r="N2" i="11"/>
  <c r="G6" i="11"/>
  <c r="G8" i="11"/>
  <c r="G9" i="11"/>
  <c r="N6" i="11"/>
  <c r="B7" i="11"/>
  <c r="L28" i="7"/>
  <c r="L26" i="7"/>
  <c r="I22" i="7"/>
  <c r="I20" i="7"/>
  <c r="I19" i="7"/>
  <c r="G18" i="7"/>
  <c r="I16" i="7"/>
  <c r="I15" i="7"/>
  <c r="K12" i="7"/>
  <c r="K3" i="7"/>
  <c r="G12" i="7"/>
  <c r="G3" i="7"/>
  <c r="E10" i="7"/>
  <c r="E4" i="7"/>
  <c r="F8" i="7"/>
  <c r="M3" i="7"/>
  <c r="J3" i="7"/>
  <c r="H3" i="7"/>
  <c r="F3" i="7"/>
  <c r="D3" i="7"/>
  <c r="C3" i="7"/>
  <c r="B3" i="7"/>
  <c r="L3" i="7"/>
  <c r="E3" i="7"/>
  <c r="I3" i="7"/>
  <c r="B8" i="11"/>
  <c r="B9" i="11"/>
  <c r="N7" i="11"/>
  <c r="N8" i="11"/>
  <c r="N9" i="11"/>
</calcChain>
</file>

<file path=xl/sharedStrings.xml><?xml version="1.0" encoding="utf-8"?>
<sst xmlns="http://schemas.openxmlformats.org/spreadsheetml/2006/main" count="441" uniqueCount="170">
  <si>
    <t>CONSTANCE</t>
  </si>
  <si>
    <t>ALESIA</t>
  </si>
  <si>
    <t>TEMPLE</t>
  </si>
  <si>
    <t>POISSONNIERE</t>
  </si>
  <si>
    <t>NERVIL</t>
  </si>
  <si>
    <t>CHAMP DE MARS</t>
  </si>
  <si>
    <t>CANAL ST MARTIN</t>
  </si>
  <si>
    <t>RICHARD LENOIR</t>
  </si>
  <si>
    <t>ARSENAL GUY</t>
  </si>
  <si>
    <t>NICOLE</t>
  </si>
  <si>
    <t>TOUR EIFFEL</t>
  </si>
  <si>
    <t>ROOFTOP</t>
  </si>
  <si>
    <t>SAINT LOUIS</t>
  </si>
  <si>
    <t>BEAUMARCHAIS</t>
  </si>
  <si>
    <t>BATIGNOLLES</t>
  </si>
  <si>
    <t>MONTMARTRE</t>
  </si>
  <si>
    <t>ECOLES</t>
  </si>
  <si>
    <t>ORSAY</t>
  </si>
  <si>
    <t>PYRAMIDE 2</t>
  </si>
  <si>
    <t>PYRAMIDE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</si>
  <si>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</si>
  <si>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</si>
  <si>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</si>
  <si>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</si>
  <si>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</si>
  <si>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</si>
  <si>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</si>
  <si>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</si>
  <si>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</si>
  <si>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</si>
  <si>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</si>
  <si>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</si>
  <si>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</si>
  <si>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MONTMARTRE 2</t>
  </si>
  <si>
    <t>MARIQUE</t>
  </si>
  <si>
    <t>ODEON</t>
  </si>
  <si>
    <t>BRUNEL</t>
  </si>
  <si>
    <t>COLISEE</t>
  </si>
  <si>
    <t>LABORDE</t>
  </si>
  <si>
    <t>EVA</t>
  </si>
  <si>
    <t>VOLTAIRE</t>
  </si>
  <si>
    <t>THURIES</t>
  </si>
  <si>
    <t>Total par mois</t>
  </si>
  <si>
    <t>VAUGIRARD</t>
  </si>
  <si>
    <t>Code appartement</t>
  </si>
  <si>
    <t>TOTAL</t>
  </si>
  <si>
    <t>PORTE D'ORLEANS</t>
  </si>
  <si>
    <t>Loyer</t>
  </si>
  <si>
    <t>LAFAYETTE</t>
  </si>
  <si>
    <t>ORFILA</t>
  </si>
  <si>
    <t>CONVENTION</t>
  </si>
  <si>
    <t>D'ORSEL</t>
  </si>
  <si>
    <t>FELICITE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</si>
  <si>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</si>
  <si>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</si>
  <si>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</si>
  <si>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</si>
  <si>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</si>
  <si>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</si>
  <si>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</si>
  <si>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</si>
  <si>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</si>
  <si>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</si>
  <si>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</si>
  <si>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</si>
  <si>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</si>
  <si>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</si>
  <si>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</si>
  <si>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Montant de la réservation net</t>
  </si>
  <si>
    <t>CA TOTAL</t>
  </si>
  <si>
    <t>MARGE OPERATIONNELLE</t>
  </si>
  <si>
    <t>Taux de marge</t>
  </si>
  <si>
    <t>Nuit</t>
  </si>
  <si>
    <t>LETALLE</t>
  </si>
  <si>
    <t>BROCHANT</t>
  </si>
  <si>
    <t>LEVIS</t>
  </si>
  <si>
    <t>A</t>
  </si>
  <si>
    <t>Loyer reversé</t>
  </si>
  <si>
    <t>Nombre de nuits possibles</t>
  </si>
  <si>
    <t>Résultat brut 
(CA - Loyers)</t>
  </si>
  <si>
    <t>Taux de remplissage</t>
  </si>
  <si>
    <t>Total</t>
  </si>
  <si>
    <t>APPARTEMENTS</t>
  </si>
  <si>
    <t>REAUMUR</t>
  </si>
  <si>
    <t>JUGE</t>
  </si>
  <si>
    <t>MOUFFETARD</t>
  </si>
  <si>
    <t>ASILE</t>
  </si>
  <si>
    <t>CHRISTIANI</t>
  </si>
  <si>
    <t>LEPIC</t>
  </si>
  <si>
    <t>SAINT SAUVEUR</t>
  </si>
  <si>
    <t>D'ORSEL 2</t>
  </si>
  <si>
    <t>BERNARDINS</t>
  </si>
  <si>
    <t>PETITS CARREAUX</t>
  </si>
  <si>
    <t>LOBLIGEOIS</t>
  </si>
  <si>
    <t>INVALIDES</t>
  </si>
  <si>
    <t>SULTAN</t>
  </si>
  <si>
    <t>NAVARIN</t>
  </si>
  <si>
    <t>CHARENTON</t>
  </si>
  <si>
    <t>NAZARETH</t>
  </si>
  <si>
    <t>FRIEDLAND</t>
  </si>
  <si>
    <t>GRAVILLIERS</t>
  </si>
  <si>
    <t>ASSAS</t>
  </si>
  <si>
    <t>POINCARE</t>
  </si>
  <si>
    <t>MALESHERBES</t>
  </si>
  <si>
    <t>LORD BYRON</t>
  </si>
  <si>
    <t>QUENU</t>
  </si>
  <si>
    <t xml:space="preserve">Luxembourg </t>
  </si>
  <si>
    <t>COURRIER</t>
  </si>
  <si>
    <t>AMSTERDAM</t>
  </si>
  <si>
    <t>LERICHE</t>
  </si>
  <si>
    <t>SUFFREN</t>
  </si>
  <si>
    <t>MONCEAU</t>
  </si>
  <si>
    <t>CROIX ROUSSE</t>
  </si>
  <si>
    <t>Emma Chollet</t>
  </si>
  <si>
    <t>Julien Mentfakh</t>
  </si>
  <si>
    <t>Caroline Gillier</t>
  </si>
  <si>
    <t>Tom Cunningham</t>
  </si>
  <si>
    <t>Celia Cuéllar Romero</t>
  </si>
  <si>
    <t>Mengdi Wu</t>
  </si>
  <si>
    <t>Sandrine Albu</t>
  </si>
  <si>
    <t>FRANKLIN</t>
  </si>
  <si>
    <t>BONNET</t>
  </si>
  <si>
    <t>Ambre Blanchin</t>
  </si>
  <si>
    <t>Pierrick Bertin</t>
  </si>
  <si>
    <t>Claude Girard</t>
  </si>
  <si>
    <t>Pascale Braghieri</t>
  </si>
  <si>
    <t>Patrick Roussel</t>
  </si>
  <si>
    <t>Philippe Dagomer</t>
  </si>
  <si>
    <t>Kai Otani</t>
  </si>
  <si>
    <t>Jill Boyd</t>
  </si>
  <si>
    <t>Quentin R-F</t>
  </si>
  <si>
    <t>Bonbon Bon</t>
  </si>
  <si>
    <t>LAURENCIN</t>
  </si>
  <si>
    <t>CONFORT</t>
  </si>
  <si>
    <t>LORETTE</t>
  </si>
  <si>
    <t>DESIREE</t>
  </si>
  <si>
    <t>Sarah Collinge</t>
  </si>
  <si>
    <t>Laetitia Cambon</t>
  </si>
  <si>
    <t>Julie Perez</t>
  </si>
  <si>
    <t>Darius Samah</t>
  </si>
  <si>
    <t>Giacomo Benedetto</t>
  </si>
  <si>
    <t>Pragalathan Sothirajah</t>
  </si>
  <si>
    <t>Arnaud Kieffer</t>
  </si>
  <si>
    <t>Leila Couradin</t>
  </si>
  <si>
    <t>Kozue Hashigaya</t>
  </si>
  <si>
    <t>Maxime Hommé</t>
  </si>
  <si>
    <t>Nomad Planet</t>
  </si>
  <si>
    <t>Christian Colombin</t>
  </si>
  <si>
    <t>Cristi Tarta</t>
  </si>
  <si>
    <t>Anthony Dicanot</t>
  </si>
  <si>
    <t>Angeline Rousseau</t>
  </si>
  <si>
    <t>Juliana Semaille</t>
  </si>
  <si>
    <t>Nicolas Julien</t>
  </si>
  <si>
    <t>Ines Jesiek</t>
  </si>
  <si>
    <t>Julien Fumat</t>
  </si>
  <si>
    <t>Sinan Hamamsarilar</t>
  </si>
  <si>
    <t>Hani Shamaoun</t>
  </si>
  <si>
    <t>Jo &amp; Arno Ferec</t>
  </si>
  <si>
    <t>Saskia Fikentscher</t>
  </si>
  <si>
    <t>Ghislain Viguier</t>
  </si>
  <si>
    <t>Michela Guglieri</t>
  </si>
  <si>
    <t>Leila Somai</t>
  </si>
  <si>
    <t xml:space="preserve">Adam k </t>
  </si>
  <si>
    <t>Anne-Sophie Gautier</t>
  </si>
  <si>
    <t>Vince C.</t>
  </si>
  <si>
    <t>Sawyer Thomson</t>
  </si>
  <si>
    <t>Fabien Caplan</t>
  </si>
  <si>
    <t>Patrick Brun</t>
  </si>
  <si>
    <t>Zoltán Bognár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</si>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</sst>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  <numFmt numFmtId="166" formatCode="#,##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Verdana"/>
      <family val="2"/>
    </font>
    <font>
      <sz val="9"/>
      <color theme="0"/>
      <name val="Verdana"/>
      <family val="2"/>
    </font>
    <font>
      <b/>
      <sz val="9"/>
      <color rgb="FFFFFF00"/>
      <name val="Verdana"/>
      <family val="2"/>
    </font>
    <font>
      <sz val="9"/>
      <color theme="1"/>
      <name val="Verdana"/>
      <family val="2"/>
    </font>
    <font>
      <b/>
      <sz val="10"/>
      <color theme="1"/>
      <name val="Verdana"/>
      <family val="2"/>
    </font>
    <font>
      <sz val="12"/>
      <color theme="0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</fonts>
  <fills count="9">
    <fill>
      <patternFill patternType="none"/>
    </fill>
    <fill>
      <patternFill patternType="gray125"/>
    </fill>
    <fill>
      <patternFill patternType="darkUp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22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103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0" fillId="2" borderId="0" xfId="0" applyFont="1" applyFill="1"/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/>
    <xf numFmtId="0" fontId="0" fillId="0" borderId="0" xfId="0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0" xfId="0" applyFont="1" applyFill="1"/>
    <xf numFmtId="0" fontId="3" fillId="0" borderId="0" xfId="0" applyFont="1" applyFill="1"/>
    <xf numFmtId="0" fontId="2" fillId="3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4" fontId="1" fillId="3" borderId="0" xfId="1" applyNumberFormat="1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Fill="1" applyAlignment="1">
      <alignment horizontal="center" vertical="center" wrapText="1"/>
    </xf>
    <xf numFmtId="0" fontId="5" fillId="0" borderId="8" xfId="0" applyFont="1" applyBorder="1"/>
    <xf numFmtId="0" fontId="5" fillId="0" borderId="0" xfId="0" applyFont="1" applyBorder="1"/>
    <xf numFmtId="0" fontId="7" fillId="6" borderId="9" xfId="0" applyFont="1" applyFill="1" applyBorder="1" applyAlignment="1">
      <alignment horizontal="center" vertical="center"/>
    </xf>
    <xf numFmtId="0" fontId="5" fillId="0" borderId="13" xfId="0" applyFont="1" applyFill="1" applyBorder="1"/>
    <xf numFmtId="165" fontId="5" fillId="0" borderId="13" xfId="2" applyNumberFormat="1" applyFont="1" applyFill="1" applyBorder="1"/>
    <xf numFmtId="0" fontId="5" fillId="0" borderId="14" xfId="0" applyFont="1" applyFill="1" applyBorder="1"/>
    <xf numFmtId="165" fontId="5" fillId="0" borderId="14" xfId="2" applyNumberFormat="1" applyFont="1" applyFill="1" applyBorder="1"/>
    <xf numFmtId="0" fontId="6" fillId="0" borderId="0" xfId="0" applyFont="1" applyFill="1" applyBorder="1" applyAlignment="1">
      <alignment horizontal="center" vertical="center" wrapText="1"/>
    </xf>
    <xf numFmtId="0" fontId="7" fillId="7" borderId="10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vertical="center"/>
    </xf>
    <xf numFmtId="0" fontId="8" fillId="6" borderId="9" xfId="0" applyFont="1" applyFill="1" applyBorder="1" applyAlignment="1">
      <alignment horizontal="center" vertical="center" wrapText="1"/>
    </xf>
    <xf numFmtId="0" fontId="8" fillId="6" borderId="9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 wrapText="1"/>
    </xf>
    <xf numFmtId="0" fontId="10" fillId="6" borderId="9" xfId="0" applyFont="1" applyFill="1" applyBorder="1" applyAlignment="1">
      <alignment horizontal="center" vertical="center" wrapText="1"/>
    </xf>
    <xf numFmtId="0" fontId="10" fillId="7" borderId="9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 wrapText="1"/>
    </xf>
    <xf numFmtId="14" fontId="10" fillId="7" borderId="9" xfId="0" applyNumberFormat="1" applyFont="1" applyFill="1" applyBorder="1" applyAlignment="1">
      <alignment horizontal="center" vertical="center" wrapText="1"/>
    </xf>
    <xf numFmtId="0" fontId="11" fillId="6" borderId="9" xfId="0" applyFont="1" applyFill="1" applyBorder="1" applyAlignment="1">
      <alignment horizontal="center" vertical="center"/>
    </xf>
    <xf numFmtId="44" fontId="10" fillId="6" borderId="9" xfId="2" applyFont="1" applyFill="1" applyBorder="1" applyAlignment="1">
      <alignment horizontal="center" vertical="center"/>
    </xf>
    <xf numFmtId="44" fontId="10" fillId="6" borderId="9" xfId="2" applyFont="1" applyFill="1" applyBorder="1" applyAlignment="1">
      <alignment horizontal="center" vertical="center" wrapText="1"/>
    </xf>
    <xf numFmtId="44" fontId="10" fillId="7" borderId="9" xfId="2" applyFont="1" applyFill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/>
    </xf>
    <xf numFmtId="0" fontId="12" fillId="0" borderId="0" xfId="0" applyFont="1"/>
    <xf numFmtId="14" fontId="10" fillId="7" borderId="9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3" fillId="0" borderId="0" xfId="0" applyFont="1"/>
    <xf numFmtId="0" fontId="9" fillId="0" borderId="0" xfId="0" applyFont="1"/>
    <xf numFmtId="165" fontId="9" fillId="0" borderId="10" xfId="0" applyNumberFormat="1" applyFont="1" applyBorder="1" applyAlignment="1">
      <alignment vertical="center"/>
    </xf>
    <xf numFmtId="165" fontId="8" fillId="7" borderId="9" xfId="0" applyNumberFormat="1" applyFont="1" applyFill="1" applyBorder="1" applyAlignment="1">
      <alignment horizontal="left" vertical="center" wrapText="1"/>
    </xf>
    <xf numFmtId="165" fontId="8" fillId="6" borderId="9" xfId="0" applyNumberFormat="1" applyFont="1" applyFill="1" applyBorder="1" applyAlignment="1">
      <alignment horizontal="center" vertical="center" wrapText="1"/>
    </xf>
    <xf numFmtId="165" fontId="9" fillId="0" borderId="11" xfId="0" applyNumberFormat="1" applyFont="1" applyBorder="1" applyAlignment="1">
      <alignment vertical="center"/>
    </xf>
    <xf numFmtId="9" fontId="9" fillId="0" borderId="9" xfId="3" applyFont="1" applyBorder="1" applyAlignment="1">
      <alignment horizontal="center" vertical="center"/>
    </xf>
    <xf numFmtId="9" fontId="9" fillId="0" borderId="12" xfId="3" applyFont="1" applyBorder="1" applyAlignment="1">
      <alignment horizontal="center" vertical="center"/>
    </xf>
    <xf numFmtId="9" fontId="8" fillId="7" borderId="9" xfId="3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8" fillId="7" borderId="12" xfId="0" applyFont="1" applyFill="1" applyBorder="1" applyAlignment="1">
      <alignment horizontal="center" vertical="center" wrapText="1"/>
    </xf>
    <xf numFmtId="165" fontId="9" fillId="8" borderId="21" xfId="2" applyNumberFormat="1" applyFont="1" applyFill="1" applyBorder="1" applyAlignment="1">
      <alignment horizontal="center" vertical="center" wrapText="1"/>
    </xf>
    <xf numFmtId="0" fontId="9" fillId="8" borderId="21" xfId="0" applyFont="1" applyFill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/>
    </xf>
    <xf numFmtId="165" fontId="13" fillId="0" borderId="19" xfId="2" applyNumberFormat="1" applyFont="1" applyBorder="1" applyAlignment="1">
      <alignment horizontal="center" vertical="center"/>
    </xf>
    <xf numFmtId="44" fontId="13" fillId="0" borderId="19" xfId="2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9" fontId="9" fillId="0" borderId="19" xfId="3" applyFont="1" applyBorder="1" applyAlignment="1">
      <alignment horizontal="center" vertical="center"/>
    </xf>
    <xf numFmtId="9" fontId="13" fillId="0" borderId="19" xfId="3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65" fontId="9" fillId="0" borderId="20" xfId="2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9" fontId="9" fillId="0" borderId="20" xfId="3" applyFont="1" applyBorder="1" applyAlignment="1">
      <alignment horizontal="center" vertical="center"/>
    </xf>
    <xf numFmtId="9" fontId="13" fillId="0" borderId="20" xfId="3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65" fontId="9" fillId="0" borderId="0" xfId="2" applyNumberFormat="1" applyFont="1" applyAlignment="1">
      <alignment horizontal="center" vertical="center"/>
    </xf>
    <xf numFmtId="44" fontId="9" fillId="0" borderId="0" xfId="2" applyFont="1" applyAlignment="1">
      <alignment horizontal="center" vertical="center"/>
    </xf>
    <xf numFmtId="165" fontId="9" fillId="0" borderId="0" xfId="2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4" fillId="6" borderId="9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7" fillId="7" borderId="12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166" fontId="7" fillId="6" borderId="17" xfId="0" applyNumberFormat="1" applyFont="1" applyFill="1" applyBorder="1" applyAlignment="1">
      <alignment horizontal="center" vertical="center"/>
    </xf>
    <xf numFmtId="166" fontId="7" fillId="6" borderId="18" xfId="0" applyNumberFormat="1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15" fillId="0" borderId="9" xfId="0" applyFont="1" applyBorder="1" applyAlignment="1">
      <alignment horizontal="center"/>
    </xf>
    <xf numFmtId="0" fontId="16" fillId="0" borderId="9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14" fontId="15" fillId="0" borderId="9" xfId="0" applyNumberFormat="1" applyFont="1" applyBorder="1" applyAlignment="1">
      <alignment horizontal="center" vertical="center"/>
    </xf>
    <xf numFmtId="44" fontId="15" fillId="0" borderId="9" xfId="2" applyFont="1" applyBorder="1" applyAlignment="1">
      <alignment horizontal="right" vertical="center"/>
    </xf>
    <xf numFmtId="44" fontId="15" fillId="0" borderId="9" xfId="2" applyFont="1" applyBorder="1" applyAlignment="1">
      <alignment horizontal="center" vertical="center"/>
    </xf>
    <xf numFmtId="44" fontId="15" fillId="0" borderId="9" xfId="4" applyFont="1" applyBorder="1" applyAlignment="1">
      <alignment horizontal="center" vertical="center"/>
    </xf>
    <xf numFmtId="0" fontId="15" fillId="0" borderId="9" xfId="0" applyFont="1" applyFill="1" applyBorder="1" applyAlignment="1">
      <alignment horizontal="center" vertical="center"/>
    </xf>
    <xf numFmtId="14" fontId="15" fillId="0" borderId="9" xfId="0" applyNumberFormat="1" applyFont="1" applyFill="1" applyBorder="1" applyAlignment="1">
      <alignment horizontal="center" vertical="center"/>
    </xf>
    <xf numFmtId="14" fontId="16" fillId="0" borderId="9" xfId="0" applyNumberFormat="1" applyFont="1" applyBorder="1" applyAlignment="1">
      <alignment horizontal="center" vertical="center"/>
    </xf>
    <xf numFmtId="44" fontId="15" fillId="0" borderId="9" xfId="2" applyFont="1" applyFill="1" applyBorder="1" applyAlignment="1">
      <alignment horizontal="center" vertical="center"/>
    </xf>
    <xf numFmtId="44" fontId="16" fillId="0" borderId="9" xfId="2" applyFont="1" applyBorder="1" applyAlignment="1">
      <alignment horizontal="center" vertical="center"/>
    </xf>
  </cellXfs>
  <cellStyles count="5">
    <cellStyle name="Milliers" xfId="1" builtinId="3"/>
    <cellStyle name="Monétaire" xfId="2" builtinId="4"/>
    <cellStyle name="Monétaire 2" xfId="4" xr:uid="{E51E41C4-A8E6-411A-B2C5-4859C8C3843B}"/>
    <cellStyle name="Normal" xfId="0" builtinId="0"/>
    <cellStyle name="Pourcentage" xfId="3" builtinId="5"/>
  </cellStyles>
  <dxfs count="7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6350</xdr:colOff>
          <xdr:row>0</xdr:row>
          <xdr:rowOff>82550</xdr:rowOff>
        </xdr:from>
        <xdr:to>
          <xdr:col>11</xdr:col>
          <xdr:colOff>222250</xdr:colOff>
          <xdr:row>1</xdr:row>
          <xdr:rowOff>12700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Y34"/>
  <sheetViews>
    <sheetView workbookViewId="0">
      <pane xSplit="1" ySplit="2" topLeftCell="B3" activePane="bottomRight" state="frozen"/>
      <selection pane="topRight" activeCell="C1" sqref="C1"/>
      <selection pane="bottomLeft" activeCell="A2" sqref="A2"/>
      <selection pane="bottomRight" sqref="A1:A2"/>
    </sheetView>
  </sheetViews>
  <sheetFormatPr baseColWidth="10" defaultColWidth="11.453125" defaultRowHeight="14.5" x14ac:dyDescent="0.35"/>
  <cols>
    <col min="1" max="1" width="22.1796875" customWidth="1"/>
    <col min="2" max="6" width="13.453125" customWidth="1"/>
    <col min="7" max="7" width="11.453125" style="4"/>
    <col min="8" max="9" width="11.453125" style="3"/>
    <col min="10" max="10" width="14.453125" style="3" customWidth="1"/>
    <col min="11" max="12" width="11.453125" style="3"/>
    <col min="13" max="13" width="11.453125" style="2"/>
    <col min="14" max="25" width="11.453125" style="1"/>
  </cols>
  <sheetData>
    <row r="1" spans="1:25" ht="19" thickBot="1" x14ac:dyDescent="0.4">
      <c r="A1" s="79" t="s">
        <v>32</v>
      </c>
      <c r="B1" s="16"/>
      <c r="C1" s="16"/>
      <c r="D1" s="16"/>
      <c r="E1" s="16"/>
      <c r="F1" s="16"/>
      <c r="G1" s="81">
        <v>2016</v>
      </c>
      <c r="H1" s="82"/>
      <c r="I1" s="82"/>
      <c r="J1" s="82"/>
      <c r="K1" s="82"/>
      <c r="L1" s="82"/>
      <c r="M1" s="83"/>
      <c r="N1" s="84">
        <v>2017</v>
      </c>
      <c r="O1" s="84"/>
      <c r="P1" s="84"/>
      <c r="Q1" s="84"/>
      <c r="R1" s="84"/>
      <c r="S1" s="84"/>
      <c r="T1" s="84"/>
      <c r="U1" s="84"/>
      <c r="V1" s="84"/>
      <c r="W1" s="84"/>
      <c r="X1" s="84"/>
      <c r="Y1" s="84"/>
    </row>
    <row r="2" spans="1:25" s="9" customFormat="1" ht="50.25" customHeight="1" thickBot="1" x14ac:dyDescent="0.4">
      <c r="A2" s="80"/>
      <c r="B2" s="11" t="s">
        <v>31</v>
      </c>
      <c r="C2" s="11" t="s">
        <v>30</v>
      </c>
      <c r="D2" s="11" t="s">
        <v>29</v>
      </c>
      <c r="E2" s="11" t="s">
        <v>28</v>
      </c>
      <c r="F2" s="11" t="s">
        <v>27</v>
      </c>
      <c r="G2" s="11" t="s">
        <v>26</v>
      </c>
      <c r="H2" s="17" t="s">
        <v>25</v>
      </c>
      <c r="I2" s="17" t="s">
        <v>24</v>
      </c>
      <c r="J2" s="17" t="s">
        <v>23</v>
      </c>
      <c r="K2" s="17" t="s">
        <v>22</v>
      </c>
      <c r="L2" s="17" t="s">
        <v>21</v>
      </c>
      <c r="M2" s="10" t="s">
        <v>20</v>
      </c>
      <c r="N2" s="15" t="s">
        <v>31</v>
      </c>
      <c r="O2" s="15" t="s">
        <v>30</v>
      </c>
      <c r="P2" s="15" t="s">
        <v>29</v>
      </c>
      <c r="Q2" s="15" t="s">
        <v>28</v>
      </c>
      <c r="R2" s="15" t="s">
        <v>27</v>
      </c>
      <c r="S2" s="15" t="s">
        <v>26</v>
      </c>
      <c r="T2" s="15" t="s">
        <v>25</v>
      </c>
      <c r="U2" s="15" t="s">
        <v>24</v>
      </c>
      <c r="V2" s="15" t="s">
        <v>23</v>
      </c>
      <c r="W2" s="15" t="s">
        <v>22</v>
      </c>
      <c r="X2" s="15" t="s">
        <v>21</v>
      </c>
      <c r="Y2" s="15" t="s">
        <v>20</v>
      </c>
    </row>
    <row r="3" spans="1:25" s="14" customFormat="1" ht="50.25" customHeight="1" x14ac:dyDescent="0.35">
      <c r="A3" s="14" t="s">
        <v>42</v>
      </c>
      <c r="B3" s="19">
        <f>SUM(B4:B68)</f>
        <v>1350</v>
      </c>
      <c r="C3" s="19">
        <f t="shared" ref="C3:M3" si="0">SUM(C4:C68)</f>
        <v>0</v>
      </c>
      <c r="D3" s="19">
        <f t="shared" si="0"/>
        <v>1283</v>
      </c>
      <c r="E3" s="19">
        <f t="shared" si="0"/>
        <v>3845</v>
      </c>
      <c r="F3" s="19">
        <f t="shared" si="0"/>
        <v>10196</v>
      </c>
      <c r="G3" s="19">
        <f t="shared" si="0"/>
        <v>14064.4</v>
      </c>
      <c r="H3" s="19">
        <f t="shared" si="0"/>
        <v>13842</v>
      </c>
      <c r="I3" s="19">
        <f t="shared" si="0"/>
        <v>18596.09</v>
      </c>
      <c r="J3" s="19">
        <f t="shared" si="0"/>
        <v>17344</v>
      </c>
      <c r="K3" s="19">
        <f t="shared" si="0"/>
        <v>18527</v>
      </c>
      <c r="L3" s="19">
        <f t="shared" si="0"/>
        <v>19211</v>
      </c>
      <c r="M3" s="19">
        <f t="shared" si="0"/>
        <v>25515</v>
      </c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</row>
    <row r="4" spans="1:25" x14ac:dyDescent="0.35">
      <c r="A4" s="8" t="s">
        <v>19</v>
      </c>
      <c r="B4" s="5"/>
      <c r="C4" s="5"/>
      <c r="D4" s="5"/>
      <c r="E4">
        <f>0.63*900</f>
        <v>567</v>
      </c>
      <c r="F4">
        <v>900</v>
      </c>
      <c r="G4" s="4">
        <v>900</v>
      </c>
      <c r="H4" s="3">
        <v>900</v>
      </c>
      <c r="I4" s="7">
        <v>900</v>
      </c>
      <c r="J4" s="7">
        <v>900</v>
      </c>
      <c r="K4" s="7">
        <v>900</v>
      </c>
      <c r="L4" s="7">
        <v>900</v>
      </c>
      <c r="M4" s="2">
        <v>900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35">
      <c r="A5" s="8" t="s">
        <v>18</v>
      </c>
      <c r="B5" s="5"/>
      <c r="C5" s="5"/>
      <c r="D5" s="5"/>
      <c r="E5" s="5"/>
      <c r="F5" s="5"/>
      <c r="G5" s="5"/>
      <c r="H5" s="5"/>
      <c r="I5" s="3">
        <v>900</v>
      </c>
      <c r="J5" s="7">
        <v>850</v>
      </c>
      <c r="K5" s="7">
        <v>1100</v>
      </c>
      <c r="L5" s="7">
        <v>850</v>
      </c>
      <c r="M5" s="7">
        <v>800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35">
      <c r="A6" s="8" t="s">
        <v>17</v>
      </c>
      <c r="B6" s="5"/>
      <c r="C6" s="5"/>
      <c r="D6" s="5"/>
      <c r="E6" s="5"/>
      <c r="F6">
        <v>407</v>
      </c>
      <c r="G6" s="4">
        <v>407</v>
      </c>
      <c r="H6" s="3">
        <v>407</v>
      </c>
      <c r="I6" s="7">
        <v>407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35">
      <c r="A7" s="8" t="s">
        <v>16</v>
      </c>
      <c r="B7" s="5"/>
      <c r="C7" s="5"/>
      <c r="D7" s="5"/>
      <c r="E7">
        <v>1500</v>
      </c>
      <c r="F7">
        <v>1500</v>
      </c>
      <c r="G7" s="4">
        <v>1500</v>
      </c>
      <c r="H7" s="3">
        <v>1500</v>
      </c>
      <c r="I7" s="7">
        <v>1500</v>
      </c>
      <c r="J7" s="7">
        <v>1800</v>
      </c>
      <c r="K7" s="7">
        <v>900</v>
      </c>
      <c r="L7" s="5"/>
      <c r="M7" s="2">
        <v>1800</v>
      </c>
      <c r="Y7" s="5"/>
    </row>
    <row r="8" spans="1:25" x14ac:dyDescent="0.35">
      <c r="A8" s="8" t="s">
        <v>15</v>
      </c>
      <c r="B8" s="5"/>
      <c r="C8" s="5"/>
      <c r="D8" s="5"/>
      <c r="E8" s="5"/>
      <c r="F8">
        <f>0.67*1800</f>
        <v>1206</v>
      </c>
      <c r="G8" s="4">
        <v>1800</v>
      </c>
      <c r="H8" s="3">
        <v>1800</v>
      </c>
      <c r="I8" s="7">
        <v>1800</v>
      </c>
      <c r="J8" s="7">
        <v>1800</v>
      </c>
      <c r="K8" s="7">
        <v>1800</v>
      </c>
      <c r="L8" s="7">
        <v>1800</v>
      </c>
      <c r="M8" s="7">
        <v>1800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35">
      <c r="A9" s="8" t="s">
        <v>14</v>
      </c>
      <c r="B9" s="5"/>
      <c r="C9" s="5"/>
      <c r="D9" s="5"/>
      <c r="E9" s="5"/>
      <c r="F9" s="5"/>
      <c r="G9" s="4">
        <v>950</v>
      </c>
      <c r="H9" s="3">
        <v>950</v>
      </c>
      <c r="I9" s="7">
        <v>950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35">
      <c r="A10" s="8" t="s">
        <v>13</v>
      </c>
      <c r="B10" s="5"/>
      <c r="C10" s="5"/>
      <c r="D10" s="5"/>
      <c r="E10">
        <f>0.33*1500</f>
        <v>495</v>
      </c>
      <c r="F10">
        <v>1500</v>
      </c>
      <c r="G10" s="4">
        <v>1500</v>
      </c>
      <c r="H10" s="7">
        <v>1500</v>
      </c>
      <c r="I10" s="7">
        <v>1500</v>
      </c>
      <c r="J10" s="7">
        <v>1500</v>
      </c>
      <c r="K10" s="3">
        <v>1500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35">
      <c r="A11" s="8" t="s">
        <v>12</v>
      </c>
      <c r="B11" s="5"/>
      <c r="C11" s="5"/>
      <c r="D11" s="5"/>
      <c r="E11" s="5"/>
      <c r="F11">
        <v>1400</v>
      </c>
      <c r="G11" s="4">
        <v>1400</v>
      </c>
      <c r="H11" s="3">
        <v>1400</v>
      </c>
      <c r="I11" s="7">
        <v>1400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35">
      <c r="A12" s="8" t="s">
        <v>11</v>
      </c>
      <c r="B12" s="5"/>
      <c r="C12" s="5"/>
      <c r="D12" s="5"/>
      <c r="G12" s="4">
        <f>0.8*800</f>
        <v>640</v>
      </c>
      <c r="H12" s="7">
        <v>800</v>
      </c>
      <c r="I12" s="7">
        <v>800</v>
      </c>
      <c r="J12" s="7">
        <v>800</v>
      </c>
      <c r="K12" s="7">
        <f>0.2*800</f>
        <v>160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35">
      <c r="A13" s="8" t="s">
        <v>10</v>
      </c>
      <c r="B13" s="5"/>
      <c r="C13" s="5"/>
      <c r="D13" s="5"/>
      <c r="E13" s="5"/>
      <c r="F13" s="5"/>
      <c r="G13" s="4">
        <v>900</v>
      </c>
      <c r="H13" s="3">
        <v>900</v>
      </c>
      <c r="I13" s="7">
        <v>900</v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35">
      <c r="A14" s="8" t="s">
        <v>9</v>
      </c>
      <c r="B14" s="5"/>
      <c r="C14" s="5"/>
      <c r="D14" s="5"/>
      <c r="E14" s="5"/>
      <c r="F14">
        <v>2000</v>
      </c>
      <c r="G14" s="4">
        <v>2000</v>
      </c>
      <c r="H14" s="7">
        <v>2000</v>
      </c>
      <c r="I14" s="7">
        <v>2000</v>
      </c>
      <c r="J14" s="7">
        <v>1800</v>
      </c>
      <c r="K14" s="12">
        <v>1800</v>
      </c>
      <c r="L14" s="13">
        <v>1800</v>
      </c>
      <c r="M14" s="12">
        <v>1800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35">
      <c r="A15" s="8" t="s">
        <v>8</v>
      </c>
      <c r="B15" s="5"/>
      <c r="C15" s="5"/>
      <c r="D15" s="5"/>
      <c r="E15" s="5"/>
      <c r="F15" s="5"/>
      <c r="G15" s="5"/>
      <c r="H15" s="5"/>
      <c r="I15" s="7">
        <f>0.67*960</f>
        <v>643.20000000000005</v>
      </c>
      <c r="J15" s="3">
        <v>960</v>
      </c>
      <c r="K15" s="3">
        <v>960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35">
      <c r="A16" s="8" t="s">
        <v>7</v>
      </c>
      <c r="B16" s="5"/>
      <c r="C16" s="5"/>
      <c r="D16" s="5"/>
      <c r="E16" s="5"/>
      <c r="F16" s="5"/>
      <c r="G16" s="5"/>
      <c r="H16" s="5"/>
      <c r="I16" s="7">
        <f>0.67*987</f>
        <v>661.29000000000008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35">
      <c r="A17" s="8" t="s">
        <v>6</v>
      </c>
      <c r="B17" s="5"/>
      <c r="C17" s="5"/>
      <c r="D17" s="5"/>
      <c r="E17" s="5"/>
      <c r="F17" s="5"/>
      <c r="G17" s="5"/>
      <c r="H17" s="7">
        <v>625</v>
      </c>
      <c r="I17" s="3">
        <v>625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35">
      <c r="A18" s="8" t="s">
        <v>5</v>
      </c>
      <c r="B18" s="5"/>
      <c r="C18" s="5"/>
      <c r="D18" s="5"/>
      <c r="E18" s="5"/>
      <c r="F18" s="5"/>
      <c r="G18" s="4">
        <f>0.74*1060</f>
        <v>784.4</v>
      </c>
      <c r="H18" s="3">
        <v>1060</v>
      </c>
      <c r="I18" s="7">
        <v>1060</v>
      </c>
      <c r="J18" s="7">
        <v>1060</v>
      </c>
      <c r="K18" s="3">
        <v>1060</v>
      </c>
      <c r="L18" s="7">
        <v>1060</v>
      </c>
      <c r="M18" s="2">
        <v>1060</v>
      </c>
      <c r="T18" s="5"/>
      <c r="U18" s="5"/>
      <c r="V18" s="5"/>
      <c r="W18" s="5"/>
      <c r="X18" s="5"/>
      <c r="Y18" s="5"/>
    </row>
    <row r="19" spans="1:25" x14ac:dyDescent="0.35">
      <c r="A19" s="6" t="s">
        <v>4</v>
      </c>
      <c r="B19" s="5"/>
      <c r="C19" s="5"/>
      <c r="D19" s="5"/>
      <c r="E19" s="5"/>
      <c r="F19" s="5"/>
      <c r="G19" s="5"/>
      <c r="H19" s="5"/>
      <c r="I19" s="7">
        <f>0.3*1500</f>
        <v>450</v>
      </c>
      <c r="J19" s="7">
        <v>1500</v>
      </c>
      <c r="K19" s="7">
        <v>1500</v>
      </c>
      <c r="L19" s="7">
        <v>1500</v>
      </c>
      <c r="M19" s="2">
        <v>1500</v>
      </c>
    </row>
    <row r="20" spans="1:25" x14ac:dyDescent="0.35">
      <c r="A20" s="6" t="s">
        <v>3</v>
      </c>
      <c r="B20" s="5"/>
      <c r="C20" s="5"/>
      <c r="D20" s="5"/>
      <c r="E20" s="5"/>
      <c r="F20" s="5"/>
      <c r="G20" s="5"/>
      <c r="H20" s="5"/>
      <c r="I20" s="3">
        <f>0.67*1380</f>
        <v>924.6</v>
      </c>
      <c r="J20" s="7">
        <v>1380</v>
      </c>
      <c r="K20" s="3">
        <v>1380</v>
      </c>
      <c r="L20" s="7">
        <v>1380</v>
      </c>
      <c r="M20" s="2">
        <v>1380</v>
      </c>
    </row>
    <row r="21" spans="1:25" x14ac:dyDescent="0.35">
      <c r="A21" s="6" t="s">
        <v>2</v>
      </c>
      <c r="B21" s="5"/>
      <c r="C21" s="5"/>
      <c r="D21" s="5"/>
      <c r="E21" s="5"/>
      <c r="F21" s="5"/>
      <c r="G21" s="5"/>
      <c r="H21" s="5"/>
      <c r="I21" s="7">
        <v>967</v>
      </c>
      <c r="J21" s="7">
        <v>967</v>
      </c>
      <c r="K21" s="7">
        <v>967</v>
      </c>
      <c r="L21" s="7">
        <v>967</v>
      </c>
      <c r="M21" s="2">
        <v>967</v>
      </c>
    </row>
    <row r="22" spans="1:25" x14ac:dyDescent="0.35">
      <c r="A22" s="6" t="s">
        <v>1</v>
      </c>
      <c r="B22" s="5"/>
      <c r="C22" s="5"/>
      <c r="D22" s="5"/>
      <c r="E22" s="5"/>
      <c r="F22" s="5"/>
      <c r="G22" s="5"/>
      <c r="H22" s="5"/>
      <c r="I22" s="7">
        <f>0.26*800</f>
        <v>208</v>
      </c>
      <c r="J22" s="7">
        <v>800</v>
      </c>
      <c r="K22" s="7">
        <v>800</v>
      </c>
      <c r="L22" s="7">
        <v>800</v>
      </c>
      <c r="M22" s="2">
        <v>800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35">
      <c r="A23" s="6" t="s">
        <v>0</v>
      </c>
      <c r="B23" s="5"/>
      <c r="C23" s="5"/>
      <c r="D23" s="5"/>
      <c r="E23" s="5"/>
      <c r="F23" s="5"/>
      <c r="G23" s="5"/>
      <c r="H23" s="5"/>
      <c r="I23" s="5"/>
      <c r="J23" s="7">
        <v>627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5" x14ac:dyDescent="0.35">
      <c r="A24" s="6" t="s">
        <v>33</v>
      </c>
      <c r="B24" s="5"/>
      <c r="C24" s="5"/>
      <c r="D24" s="5"/>
      <c r="E24" s="5"/>
      <c r="F24" s="5"/>
      <c r="G24" s="5"/>
      <c r="H24" s="5"/>
      <c r="I24" s="5"/>
      <c r="J24" s="7">
        <v>600</v>
      </c>
      <c r="K24" s="7">
        <v>1200</v>
      </c>
      <c r="L24" s="7">
        <v>1200</v>
      </c>
      <c r="M24" s="2">
        <v>1200</v>
      </c>
    </row>
    <row r="25" spans="1:25" x14ac:dyDescent="0.35">
      <c r="A25" s="6" t="s">
        <v>34</v>
      </c>
      <c r="B25" s="5"/>
      <c r="C25" s="5"/>
      <c r="D25" s="5"/>
      <c r="E25" s="5"/>
      <c r="F25" s="5"/>
      <c r="G25" s="5"/>
      <c r="H25" s="5"/>
      <c r="I25" s="5"/>
      <c r="J25" s="5"/>
      <c r="K25" s="7">
        <v>900</v>
      </c>
      <c r="L25" s="7">
        <v>900</v>
      </c>
      <c r="M25" s="2">
        <v>900</v>
      </c>
      <c r="O25" s="5"/>
      <c r="P25" s="5"/>
      <c r="Q25" s="5"/>
    </row>
    <row r="26" spans="1:25" x14ac:dyDescent="0.35">
      <c r="A26" s="6" t="s">
        <v>35</v>
      </c>
      <c r="B26" s="5"/>
      <c r="C26" s="5"/>
      <c r="D26" s="5"/>
      <c r="E26" s="5"/>
      <c r="F26" s="5"/>
      <c r="G26" s="5"/>
      <c r="H26" s="5"/>
      <c r="I26" s="5"/>
      <c r="J26" s="5"/>
      <c r="K26" s="7">
        <v>1600</v>
      </c>
      <c r="L26" s="7">
        <f>0.67*1400</f>
        <v>938</v>
      </c>
      <c r="M26" s="2">
        <v>613</v>
      </c>
      <c r="O26" s="5"/>
      <c r="P26" s="5"/>
      <c r="Q26" s="5"/>
    </row>
    <row r="27" spans="1:25" x14ac:dyDescent="0.35">
      <c r="A27" s="6" t="s">
        <v>36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25" x14ac:dyDescent="0.35">
      <c r="A28" s="6" t="s">
        <v>37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3">
        <f>0.67*4800</f>
        <v>3216</v>
      </c>
      <c r="M28" s="2">
        <v>4800</v>
      </c>
    </row>
    <row r="29" spans="1:25" x14ac:dyDescent="0.35">
      <c r="A29" s="6" t="s">
        <v>38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7">
        <v>1900</v>
      </c>
      <c r="M29" s="2">
        <v>3800</v>
      </c>
      <c r="N29" s="5"/>
    </row>
    <row r="30" spans="1:25" x14ac:dyDescent="0.35">
      <c r="A30" s="6" t="s">
        <v>39</v>
      </c>
      <c r="B30">
        <v>1350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25" x14ac:dyDescent="0.35">
      <c r="A31" s="6" t="s">
        <v>40</v>
      </c>
      <c r="B31" s="5"/>
      <c r="C31" s="5"/>
      <c r="D31">
        <v>765</v>
      </c>
      <c r="E31">
        <v>765</v>
      </c>
      <c r="F31">
        <v>765</v>
      </c>
      <c r="G31" s="4">
        <v>765</v>
      </c>
      <c r="H31" s="5"/>
      <c r="I31" s="5"/>
      <c r="J31" s="5"/>
      <c r="K31" s="5"/>
      <c r="L31" s="5"/>
      <c r="M31" s="5"/>
      <c r="N31" s="5"/>
    </row>
    <row r="32" spans="1:25" x14ac:dyDescent="0.35">
      <c r="A32" s="6" t="s">
        <v>41</v>
      </c>
      <c r="B32" s="5"/>
      <c r="C32" s="5"/>
      <c r="D32">
        <v>518</v>
      </c>
      <c r="E32">
        <v>518</v>
      </c>
      <c r="F32">
        <v>518</v>
      </c>
      <c r="G32" s="4">
        <v>518</v>
      </c>
      <c r="H32" s="5"/>
      <c r="I32" s="5"/>
      <c r="J32" s="5"/>
      <c r="K32" s="5"/>
      <c r="L32" s="5"/>
      <c r="M32" s="5"/>
      <c r="N32" s="5"/>
    </row>
    <row r="33" spans="1:19" x14ac:dyDescent="0.35">
      <c r="A33" s="6" t="s">
        <v>43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2">
        <v>1195</v>
      </c>
      <c r="N33" s="1">
        <v>956</v>
      </c>
    </row>
    <row r="34" spans="1:19" x14ac:dyDescent="0.35">
      <c r="A34" s="6" t="s">
        <v>46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2">
        <v>200</v>
      </c>
      <c r="O34" s="5"/>
      <c r="P34" s="5"/>
      <c r="Q34" s="5"/>
      <c r="R34" s="5"/>
      <c r="S34" s="5"/>
    </row>
  </sheetData>
  <mergeCells count="3">
    <mergeCell ref="A1:A2"/>
    <mergeCell ref="G1:M1"/>
    <mergeCell ref="N1:Y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AL8"/>
  <sheetViews>
    <sheetView showGridLines="0" zoomScaleNormal="100" zoomScalePageLayoutView="80" workbookViewId="0">
      <pane xSplit="1" ySplit="2" topLeftCell="F3" activePane="bottomRight" state="frozen"/>
      <selection pane="topRight" activeCell="D1" sqref="D1"/>
      <selection pane="bottomLeft" activeCell="A4" sqref="A4"/>
      <selection pane="bottomRight" activeCell="Q8" sqref="Q8"/>
    </sheetView>
  </sheetViews>
  <sheetFormatPr baseColWidth="10" defaultColWidth="11.453125" defaultRowHeight="14.5" x14ac:dyDescent="0.35"/>
  <cols>
    <col min="1" max="1" width="20.26953125" style="20" customWidth="1"/>
    <col min="2" max="25" width="11.453125" style="20"/>
    <col min="26" max="38" width="11.453125" style="23"/>
    <col min="39" max="16384" width="11.453125" style="20"/>
  </cols>
  <sheetData>
    <row r="1" spans="1:38" ht="18.75" customHeight="1" x14ac:dyDescent="0.35">
      <c r="A1" s="89" t="s">
        <v>44</v>
      </c>
      <c r="B1" s="85" t="s">
        <v>31</v>
      </c>
      <c r="C1" s="86"/>
      <c r="D1" s="85" t="s">
        <v>30</v>
      </c>
      <c r="E1" s="86"/>
      <c r="F1" s="85" t="s">
        <v>29</v>
      </c>
      <c r="G1" s="86"/>
      <c r="H1" s="85" t="s">
        <v>28</v>
      </c>
      <c r="I1" s="86"/>
      <c r="J1" s="85" t="s">
        <v>27</v>
      </c>
      <c r="K1" s="86"/>
      <c r="L1" s="85" t="s">
        <v>26</v>
      </c>
      <c r="M1" s="86"/>
      <c r="N1" s="85" t="s">
        <v>25</v>
      </c>
      <c r="O1" s="86"/>
      <c r="P1" s="85" t="s">
        <v>24</v>
      </c>
      <c r="Q1" s="86"/>
      <c r="R1" s="85" t="s">
        <v>23</v>
      </c>
      <c r="S1" s="86"/>
      <c r="T1" s="85" t="s">
        <v>22</v>
      </c>
      <c r="U1" s="86"/>
      <c r="V1" s="85" t="s">
        <v>21</v>
      </c>
      <c r="W1" s="86"/>
      <c r="X1" s="85" t="s">
        <v>20</v>
      </c>
      <c r="Y1" s="86"/>
    </row>
    <row r="2" spans="1:38" s="21" customFormat="1" ht="14.5" customHeight="1" x14ac:dyDescent="0.35">
      <c r="A2" s="90"/>
      <c r="B2" s="30" t="s">
        <v>72</v>
      </c>
      <c r="C2" s="30" t="s">
        <v>47</v>
      </c>
      <c r="D2" s="30" t="s">
        <v>72</v>
      </c>
      <c r="E2" s="30" t="s">
        <v>47</v>
      </c>
      <c r="F2" s="30" t="s">
        <v>72</v>
      </c>
      <c r="G2" s="30" t="s">
        <v>47</v>
      </c>
      <c r="H2" s="30" t="s">
        <v>72</v>
      </c>
      <c r="I2" s="30" t="s">
        <v>47</v>
      </c>
      <c r="J2" s="30" t="s">
        <v>72</v>
      </c>
      <c r="K2" s="30" t="s">
        <v>47</v>
      </c>
      <c r="L2" s="30" t="s">
        <v>72</v>
      </c>
      <c r="M2" s="30" t="s">
        <v>47</v>
      </c>
      <c r="N2" s="30" t="s">
        <v>72</v>
      </c>
      <c r="O2" s="30" t="s">
        <v>47</v>
      </c>
      <c r="P2" s="30" t="s">
        <v>72</v>
      </c>
      <c r="Q2" s="30" t="s">
        <v>47</v>
      </c>
      <c r="R2" s="30" t="s">
        <v>72</v>
      </c>
      <c r="S2" s="30" t="s">
        <v>47</v>
      </c>
      <c r="T2" s="30" t="s">
        <v>72</v>
      </c>
      <c r="U2" s="30" t="s">
        <v>47</v>
      </c>
      <c r="V2" s="30" t="s">
        <v>72</v>
      </c>
      <c r="W2" s="30" t="s">
        <v>47</v>
      </c>
      <c r="X2" s="30" t="s">
        <v>72</v>
      </c>
      <c r="Y2" s="30" t="s">
        <v>47</v>
      </c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</row>
    <row r="3" spans="1:38" s="21" customFormat="1" ht="26.15" customHeight="1" thickBot="1" x14ac:dyDescent="0.4">
      <c r="A3" s="24" t="s">
        <v>45</v>
      </c>
      <c r="B3" s="87">
        <f>SUM(C4:C7)</f>
        <v>0</v>
      </c>
      <c r="C3" s="88"/>
      <c r="D3" s="87">
        <f>SUM(E4:E7)</f>
        <v>0</v>
      </c>
      <c r="E3" s="88"/>
      <c r="F3" s="87">
        <f>SUM(G4:G7)</f>
        <v>0</v>
      </c>
      <c r="G3" s="88"/>
      <c r="H3" s="87">
        <f>SUM(I4:I7)</f>
        <v>750</v>
      </c>
      <c r="I3" s="88"/>
      <c r="J3" s="87">
        <f>SUM(K4:K7)</f>
        <v>988</v>
      </c>
      <c r="K3" s="88"/>
      <c r="L3" s="87">
        <f>SUM(M4:M7)</f>
        <v>2703</v>
      </c>
      <c r="M3" s="88"/>
      <c r="N3" s="87">
        <f>SUM(O4:O7)</f>
        <v>2408</v>
      </c>
      <c r="O3" s="88"/>
      <c r="P3" s="87">
        <f>SUM(Q4:Q7)</f>
        <v>1903</v>
      </c>
      <c r="Q3" s="88"/>
      <c r="R3" s="87">
        <f>SUM(S4:S7)</f>
        <v>1630</v>
      </c>
      <c r="S3" s="88"/>
      <c r="T3" s="87">
        <f>SUM(U4:U7)</f>
        <v>1630</v>
      </c>
      <c r="U3" s="88"/>
      <c r="V3" s="87">
        <f>SUM(W4:W7)</f>
        <v>1630</v>
      </c>
      <c r="W3" s="88"/>
      <c r="X3" s="87">
        <f>SUM(Y4:Y7)</f>
        <v>1381</v>
      </c>
      <c r="Y3" s="88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</row>
    <row r="4" spans="1:38" s="22" customFormat="1" ht="17.25" customHeight="1" x14ac:dyDescent="0.35">
      <c r="A4" s="31" t="s">
        <v>112</v>
      </c>
      <c r="B4" s="25">
        <v>0</v>
      </c>
      <c r="C4" s="26">
        <v>0</v>
      </c>
      <c r="D4" s="25">
        <v>0</v>
      </c>
      <c r="E4" s="26">
        <v>0</v>
      </c>
      <c r="F4" s="25">
        <v>0</v>
      </c>
      <c r="G4" s="26">
        <v>0</v>
      </c>
      <c r="H4" s="25">
        <v>30</v>
      </c>
      <c r="I4" s="26">
        <v>750</v>
      </c>
      <c r="J4" s="25">
        <v>31</v>
      </c>
      <c r="K4" s="26">
        <v>750</v>
      </c>
      <c r="L4" s="25">
        <v>30</v>
      </c>
      <c r="M4" s="26">
        <v>750</v>
      </c>
      <c r="N4" s="25">
        <v>15</v>
      </c>
      <c r="O4" s="26">
        <v>375</v>
      </c>
      <c r="P4" s="25">
        <v>0</v>
      </c>
      <c r="Q4" s="26">
        <v>0</v>
      </c>
      <c r="R4" s="25">
        <v>0</v>
      </c>
      <c r="S4" s="26">
        <v>0</v>
      </c>
      <c r="T4" s="25">
        <v>0</v>
      </c>
      <c r="U4" s="26">
        <v>0</v>
      </c>
      <c r="V4" s="25">
        <v>0</v>
      </c>
      <c r="W4" s="26">
        <v>0</v>
      </c>
      <c r="X4" s="25">
        <v>0</v>
      </c>
      <c r="Y4" s="26">
        <v>0</v>
      </c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</row>
    <row r="5" spans="1:38" s="22" customFormat="1" ht="17.25" customHeight="1" x14ac:dyDescent="0.35">
      <c r="A5" s="31" t="s">
        <v>121</v>
      </c>
      <c r="B5" s="27">
        <v>0</v>
      </c>
      <c r="C5" s="28">
        <v>0</v>
      </c>
      <c r="D5" s="27">
        <v>0</v>
      </c>
      <c r="E5" s="28">
        <v>0</v>
      </c>
      <c r="F5" s="27">
        <v>0</v>
      </c>
      <c r="G5" s="28">
        <v>0</v>
      </c>
      <c r="H5" s="27">
        <v>0</v>
      </c>
      <c r="I5" s="28">
        <v>0</v>
      </c>
      <c r="J5" s="27">
        <v>7</v>
      </c>
      <c r="K5" s="28">
        <v>94</v>
      </c>
      <c r="L5" s="27">
        <v>30</v>
      </c>
      <c r="M5" s="28">
        <v>403</v>
      </c>
      <c r="N5" s="27">
        <v>31</v>
      </c>
      <c r="O5" s="28">
        <v>403</v>
      </c>
      <c r="P5" s="27">
        <v>21</v>
      </c>
      <c r="Q5" s="28">
        <v>273</v>
      </c>
      <c r="R5" s="27">
        <v>0</v>
      </c>
      <c r="S5" s="28">
        <v>0</v>
      </c>
      <c r="T5" s="27">
        <v>0</v>
      </c>
      <c r="U5" s="28">
        <v>0</v>
      </c>
      <c r="V5" s="27">
        <v>0</v>
      </c>
      <c r="W5" s="28">
        <v>0</v>
      </c>
      <c r="X5" s="27">
        <v>0</v>
      </c>
      <c r="Y5" s="28">
        <v>0</v>
      </c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</row>
    <row r="6" spans="1:38" s="22" customFormat="1" ht="17.25" customHeight="1" x14ac:dyDescent="0.35">
      <c r="A6" s="31" t="s">
        <v>120</v>
      </c>
      <c r="B6" s="27">
        <v>0</v>
      </c>
      <c r="C6" s="28">
        <v>0</v>
      </c>
      <c r="D6" s="27">
        <v>0</v>
      </c>
      <c r="E6" s="28">
        <v>0</v>
      </c>
      <c r="F6" s="27">
        <v>0</v>
      </c>
      <c r="G6" s="28">
        <v>0</v>
      </c>
      <c r="H6" s="27">
        <v>0</v>
      </c>
      <c r="I6" s="28">
        <v>0</v>
      </c>
      <c r="J6" s="27">
        <v>22</v>
      </c>
      <c r="K6" s="28">
        <v>144</v>
      </c>
      <c r="L6" s="27">
        <v>30</v>
      </c>
      <c r="M6" s="28">
        <v>720</v>
      </c>
      <c r="N6" s="27">
        <v>31</v>
      </c>
      <c r="O6" s="28">
        <v>800</v>
      </c>
      <c r="P6" s="27">
        <v>31</v>
      </c>
      <c r="Q6" s="28">
        <v>800</v>
      </c>
      <c r="R6" s="27">
        <v>30</v>
      </c>
      <c r="S6" s="28">
        <v>800</v>
      </c>
      <c r="T6" s="27">
        <v>31</v>
      </c>
      <c r="U6" s="28">
        <v>800</v>
      </c>
      <c r="V6" s="27">
        <v>30</v>
      </c>
      <c r="W6" s="28">
        <v>800</v>
      </c>
      <c r="X6" s="27">
        <v>31</v>
      </c>
      <c r="Y6" s="28">
        <v>800</v>
      </c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</row>
    <row r="7" spans="1:38" s="22" customFormat="1" ht="17.25" customHeight="1" x14ac:dyDescent="0.35">
      <c r="A7" s="31" t="s">
        <v>133</v>
      </c>
      <c r="B7" s="27">
        <v>0</v>
      </c>
      <c r="C7" s="28">
        <v>0</v>
      </c>
      <c r="D7" s="27">
        <v>0</v>
      </c>
      <c r="E7" s="28">
        <v>0</v>
      </c>
      <c r="F7" s="27">
        <v>0</v>
      </c>
      <c r="G7" s="28">
        <v>0</v>
      </c>
      <c r="H7" s="27">
        <v>0</v>
      </c>
      <c r="I7" s="28">
        <v>0</v>
      </c>
      <c r="J7" s="27">
        <v>0</v>
      </c>
      <c r="K7" s="28">
        <v>0</v>
      </c>
      <c r="L7" s="27">
        <v>30</v>
      </c>
      <c r="M7" s="28">
        <v>830</v>
      </c>
      <c r="N7" s="27">
        <v>31</v>
      </c>
      <c r="O7" s="28">
        <v>830</v>
      </c>
      <c r="P7" s="27">
        <v>31</v>
      </c>
      <c r="Q7" s="28">
        <v>830</v>
      </c>
      <c r="R7" s="27">
        <v>30</v>
      </c>
      <c r="S7" s="28">
        <v>830</v>
      </c>
      <c r="T7" s="27">
        <v>31</v>
      </c>
      <c r="U7" s="28">
        <v>830</v>
      </c>
      <c r="V7" s="27">
        <v>30</v>
      </c>
      <c r="W7" s="28">
        <v>830</v>
      </c>
      <c r="X7" s="27">
        <v>21</v>
      </c>
      <c r="Y7" s="28">
        <v>581</v>
      </c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</row>
    <row r="8" spans="1:38" x14ac:dyDescent="0.35">
      <c r="A8" s="31" t="s">
        <v>134</v>
      </c>
      <c r="B8" s="27">
        <v>0</v>
      </c>
      <c r="C8" s="28">
        <v>0</v>
      </c>
      <c r="D8" s="27">
        <v>0</v>
      </c>
      <c r="E8" s="28">
        <v>0</v>
      </c>
      <c r="F8" s="27">
        <v>0</v>
      </c>
      <c r="G8" s="28">
        <v>0</v>
      </c>
      <c r="H8" s="27">
        <v>0</v>
      </c>
      <c r="I8" s="28">
        <v>0</v>
      </c>
      <c r="J8" s="27">
        <v>0</v>
      </c>
      <c r="K8" s="28">
        <v>0</v>
      </c>
      <c r="L8" s="27">
        <v>30</v>
      </c>
      <c r="M8" s="28">
        <v>528</v>
      </c>
      <c r="N8" s="27">
        <v>31</v>
      </c>
      <c r="O8" s="28">
        <v>625</v>
      </c>
      <c r="P8" s="27">
        <v>31</v>
      </c>
      <c r="Q8" s="28">
        <v>625</v>
      </c>
      <c r="R8" s="27">
        <v>28</v>
      </c>
      <c r="S8" s="28">
        <v>583</v>
      </c>
      <c r="T8" s="27">
        <v>17</v>
      </c>
      <c r="U8" s="28">
        <v>354</v>
      </c>
      <c r="V8" s="27">
        <v>0</v>
      </c>
      <c r="W8" s="28">
        <v>0</v>
      </c>
      <c r="X8" s="27">
        <v>0</v>
      </c>
      <c r="Y8" s="28">
        <v>0</v>
      </c>
    </row>
  </sheetData>
  <autoFilter ref="A1:Y7" xr:uid="{00000000-0009-0000-0000-000001000000}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25">
    <mergeCell ref="T3:U3"/>
    <mergeCell ref="V3:W3"/>
    <mergeCell ref="X3:Y3"/>
    <mergeCell ref="J3:K3"/>
    <mergeCell ref="L3:M3"/>
    <mergeCell ref="N3:O3"/>
    <mergeCell ref="P3:Q3"/>
    <mergeCell ref="R3:S3"/>
    <mergeCell ref="B3:C3"/>
    <mergeCell ref="D3:E3"/>
    <mergeCell ref="F3:G3"/>
    <mergeCell ref="H3:I3"/>
    <mergeCell ref="A1:A2"/>
    <mergeCell ref="X1:Y1"/>
    <mergeCell ref="V1:W1"/>
    <mergeCell ref="B1:C1"/>
    <mergeCell ref="T1:U1"/>
    <mergeCell ref="R1:S1"/>
    <mergeCell ref="P1:Q1"/>
    <mergeCell ref="N1:O1"/>
    <mergeCell ref="L1:M1"/>
    <mergeCell ref="J1:K1"/>
    <mergeCell ref="H1:I1"/>
    <mergeCell ref="F1:G1"/>
    <mergeCell ref="D1:E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J61"/>
  <sheetViews>
    <sheetView showGridLines="0" zoomScale="70" zoomScaleNormal="70" workbookViewId="0">
      <selection activeCell="B64" sqref="B64"/>
    </sheetView>
  </sheetViews>
  <sheetFormatPr baseColWidth="10" defaultColWidth="12.26953125" defaultRowHeight="11.5" x14ac:dyDescent="0.25"/>
  <cols>
    <col min="1" max="1" width="17.453125" style="45" customWidth="1"/>
    <col min="2" max="2" width="17.54296875" style="45" bestFit="1" customWidth="1"/>
    <col min="3" max="3" width="11" style="45" customWidth="1"/>
    <col min="4" max="4" width="29" style="45" customWidth="1"/>
    <col min="5" max="5" width="10.7265625" style="45" bestFit="1" customWidth="1"/>
    <col min="6" max="6" width="14.26953125" style="45" customWidth="1"/>
    <col min="7" max="7" width="19.453125" style="45" bestFit="1" customWidth="1"/>
    <col min="8" max="8" width="17.1796875" style="45" customWidth="1"/>
    <col min="9" max="9" width="18" style="45" customWidth="1"/>
    <col min="10" max="10" width="7.7265625" style="47" customWidth="1"/>
    <col min="11" max="16384" width="12.26953125" style="45"/>
  </cols>
  <sheetData>
    <row r="1" spans="1:9" ht="42" customHeight="1" x14ac:dyDescent="0.25">
      <c r="A1" s="36" t="s">
        <v>44</v>
      </c>
      <c r="B1" s="36" t="s">
        <v>61</v>
      </c>
      <c r="C1" s="36" t="s">
        <v>57</v>
      </c>
      <c r="D1" s="36" t="s">
        <v>62</v>
      </c>
      <c r="E1" s="37" t="s">
        <v>67</v>
      </c>
      <c r="F1" s="36" t="s">
        <v>53</v>
      </c>
      <c r="G1" s="46" t="s">
        <v>54</v>
      </c>
      <c r="H1" s="37" t="s">
        <v>55</v>
      </c>
      <c r="I1" s="43" t="s">
        <v>68</v>
      </c>
    </row>
    <row r="2" spans="1:9" x14ac:dyDescent="0.25">
      <c r="A2" s="91" t="s">
        <v>112</v>
      </c>
      <c r="B2" s="44" t="s">
        <v>58</v>
      </c>
      <c r="C2" s="92" t="s">
        <v>169</v>
      </c>
      <c r="D2" s="91" t="s">
        <v>113</v>
      </c>
      <c r="E2" s="44" t="str">
        <f t="shared" ref="E2:E54" si="0">CHOOSE(MONTH(G2),"JANVIER","FEVRIER","MARS","AVRIL","MAI","JUIN","JUILLET","AOUT","SEPTEMBRE","OCTOBRE","NOVEMBRE","DECEMBRE")</f>
        <v>AVRIL</v>
      </c>
      <c r="F2" s="94">
        <v>42839</v>
      </c>
      <c r="G2" s="94">
        <v>42842</v>
      </c>
      <c r="H2" s="44">
        <f t="shared" ref="H2:H54" si="1">G2-F2</f>
        <v>3</v>
      </c>
      <c r="I2" s="95">
        <v>246.55</v>
      </c>
    </row>
    <row r="3" spans="1:9" x14ac:dyDescent="0.25">
      <c r="A3" s="91" t="s">
        <v>112</v>
      </c>
      <c r="B3" s="44" t="s">
        <v>58</v>
      </c>
      <c r="C3" s="92" t="s">
        <v>76</v>
      </c>
      <c r="D3" s="93" t="s">
        <v>114</v>
      </c>
      <c r="E3" s="44" t="str">
        <f t="shared" si="0"/>
        <v>AVRIL</v>
      </c>
      <c r="F3" s="94">
        <v>42853</v>
      </c>
      <c r="G3" s="94">
        <v>42855</v>
      </c>
      <c r="H3" s="44">
        <f t="shared" si="1"/>
        <v>2</v>
      </c>
      <c r="I3" s="96">
        <v>182</v>
      </c>
    </row>
    <row r="4" spans="1:9" x14ac:dyDescent="0.25">
      <c r="A4" s="91" t="s">
        <v>112</v>
      </c>
      <c r="B4" s="44" t="s">
        <v>58</v>
      </c>
      <c r="C4" s="92" t="s">
        <v>76</v>
      </c>
      <c r="D4" s="93" t="s">
        <v>115</v>
      </c>
      <c r="E4" s="44" t="str">
        <f t="shared" si="0"/>
        <v>AVRIL</v>
      </c>
      <c r="F4" s="94">
        <v>42850</v>
      </c>
      <c r="G4" s="94">
        <v>42852</v>
      </c>
      <c r="H4" s="44">
        <f t="shared" si="1"/>
        <v>2</v>
      </c>
      <c r="I4" s="96">
        <v>97</v>
      </c>
    </row>
    <row r="5" spans="1:9" x14ac:dyDescent="0.25">
      <c r="A5" s="91" t="s">
        <v>112</v>
      </c>
      <c r="B5" s="44" t="s">
        <v>58</v>
      </c>
      <c r="C5" s="92" t="s">
        <v>76</v>
      </c>
      <c r="D5" s="93" t="s">
        <v>116</v>
      </c>
      <c r="E5" s="44" t="str">
        <f t="shared" si="0"/>
        <v>AVRIL</v>
      </c>
      <c r="F5" s="94">
        <v>42847</v>
      </c>
      <c r="G5" s="94">
        <v>42850</v>
      </c>
      <c r="H5" s="44">
        <f t="shared" si="1"/>
        <v>3</v>
      </c>
      <c r="I5" s="96">
        <v>222</v>
      </c>
    </row>
    <row r="6" spans="1:9" x14ac:dyDescent="0.25">
      <c r="A6" s="91" t="s">
        <v>112</v>
      </c>
      <c r="B6" s="44" t="s">
        <v>58</v>
      </c>
      <c r="C6" s="92" t="s">
        <v>76</v>
      </c>
      <c r="D6" s="93" t="s">
        <v>117</v>
      </c>
      <c r="E6" s="44" t="str">
        <f t="shared" si="0"/>
        <v>AVRIL</v>
      </c>
      <c r="F6" s="94">
        <v>42843</v>
      </c>
      <c r="G6" s="94">
        <v>42846</v>
      </c>
      <c r="H6" s="44">
        <f t="shared" si="1"/>
        <v>3</v>
      </c>
      <c r="I6" s="96">
        <v>252</v>
      </c>
    </row>
    <row r="7" spans="1:9" x14ac:dyDescent="0.25">
      <c r="A7" s="91" t="s">
        <v>112</v>
      </c>
      <c r="B7" s="44" t="s">
        <v>58</v>
      </c>
      <c r="C7" s="92" t="s">
        <v>76</v>
      </c>
      <c r="D7" s="93" t="s">
        <v>118</v>
      </c>
      <c r="E7" s="44" t="str">
        <f t="shared" si="0"/>
        <v>AVRIL</v>
      </c>
      <c r="F7" s="94">
        <v>42835</v>
      </c>
      <c r="G7" s="94">
        <v>42838</v>
      </c>
      <c r="H7" s="44">
        <f t="shared" si="1"/>
        <v>3</v>
      </c>
      <c r="I7" s="96">
        <v>164</v>
      </c>
    </row>
    <row r="8" spans="1:9" x14ac:dyDescent="0.25">
      <c r="A8" s="91" t="s">
        <v>112</v>
      </c>
      <c r="B8" s="44" t="s">
        <v>58</v>
      </c>
      <c r="C8" s="92" t="s">
        <v>76</v>
      </c>
      <c r="D8" s="93" t="s">
        <v>119</v>
      </c>
      <c r="E8" s="44" t="str">
        <f t="shared" si="0"/>
        <v>AVRIL</v>
      </c>
      <c r="F8" s="94">
        <v>42830</v>
      </c>
      <c r="G8" s="94">
        <v>42835</v>
      </c>
      <c r="H8" s="44">
        <f t="shared" si="1"/>
        <v>5</v>
      </c>
      <c r="I8" s="96">
        <v>299</v>
      </c>
    </row>
    <row r="9" spans="1:9" x14ac:dyDescent="0.25">
      <c r="A9" s="93" t="s">
        <v>112</v>
      </c>
      <c r="B9" s="44" t="s">
        <v>58</v>
      </c>
      <c r="C9" s="92" t="s">
        <v>76</v>
      </c>
      <c r="D9" s="93" t="s">
        <v>122</v>
      </c>
      <c r="E9" s="44" t="str">
        <f t="shared" si="0"/>
        <v>MAI</v>
      </c>
      <c r="F9" s="94">
        <v>42879</v>
      </c>
      <c r="G9" s="94">
        <v>42883</v>
      </c>
      <c r="H9" s="44">
        <f t="shared" si="1"/>
        <v>4</v>
      </c>
      <c r="I9" s="96">
        <v>386</v>
      </c>
    </row>
    <row r="10" spans="1:9" x14ac:dyDescent="0.25">
      <c r="A10" s="93" t="s">
        <v>112</v>
      </c>
      <c r="B10" s="44" t="s">
        <v>58</v>
      </c>
      <c r="C10" s="92" t="s">
        <v>76</v>
      </c>
      <c r="D10" s="93" t="s">
        <v>123</v>
      </c>
      <c r="E10" s="44" t="str">
        <f t="shared" si="0"/>
        <v>MAI</v>
      </c>
      <c r="F10" s="94">
        <v>42860</v>
      </c>
      <c r="G10" s="94">
        <v>42863</v>
      </c>
      <c r="H10" s="44">
        <f t="shared" si="1"/>
        <v>3</v>
      </c>
      <c r="I10" s="96">
        <v>294</v>
      </c>
    </row>
    <row r="11" spans="1:9" x14ac:dyDescent="0.25">
      <c r="A11" s="93" t="s">
        <v>112</v>
      </c>
      <c r="B11" s="44" t="s">
        <v>58</v>
      </c>
      <c r="C11" s="92" t="s">
        <v>76</v>
      </c>
      <c r="D11" s="93" t="s">
        <v>124</v>
      </c>
      <c r="E11" s="44" t="str">
        <f t="shared" si="0"/>
        <v>MAI</v>
      </c>
      <c r="F11" s="94">
        <v>42867</v>
      </c>
      <c r="G11" s="94">
        <v>42870</v>
      </c>
      <c r="H11" s="44">
        <f t="shared" si="1"/>
        <v>3</v>
      </c>
      <c r="I11" s="96">
        <v>280</v>
      </c>
    </row>
    <row r="12" spans="1:9" x14ac:dyDescent="0.25">
      <c r="A12" s="93" t="s">
        <v>112</v>
      </c>
      <c r="B12" s="44" t="s">
        <v>58</v>
      </c>
      <c r="C12" s="92" t="s">
        <v>76</v>
      </c>
      <c r="D12" s="93" t="s">
        <v>125</v>
      </c>
      <c r="E12" s="44" t="str">
        <f t="shared" si="0"/>
        <v>MAI</v>
      </c>
      <c r="F12" s="94">
        <v>42871</v>
      </c>
      <c r="G12" s="94">
        <v>42876</v>
      </c>
      <c r="H12" s="44">
        <f t="shared" si="1"/>
        <v>5</v>
      </c>
      <c r="I12" s="96">
        <v>256</v>
      </c>
    </row>
    <row r="13" spans="1:9" x14ac:dyDescent="0.25">
      <c r="A13" s="93" t="s">
        <v>120</v>
      </c>
      <c r="B13" s="44" t="s">
        <v>58</v>
      </c>
      <c r="C13" s="92" t="s">
        <v>76</v>
      </c>
      <c r="D13" s="93" t="s">
        <v>126</v>
      </c>
      <c r="E13" s="44" t="str">
        <f t="shared" si="0"/>
        <v>MAI</v>
      </c>
      <c r="F13" s="94">
        <v>42875</v>
      </c>
      <c r="G13" s="94">
        <v>42880</v>
      </c>
      <c r="H13" s="44">
        <f t="shared" si="1"/>
        <v>5</v>
      </c>
      <c r="I13" s="96">
        <v>242</v>
      </c>
    </row>
    <row r="14" spans="1:9" x14ac:dyDescent="0.25">
      <c r="A14" s="93" t="s">
        <v>120</v>
      </c>
      <c r="B14" s="44" t="s">
        <v>58</v>
      </c>
      <c r="C14" s="92" t="s">
        <v>76</v>
      </c>
      <c r="D14" s="93" t="s">
        <v>127</v>
      </c>
      <c r="E14" s="44" t="str">
        <f t="shared" si="0"/>
        <v>MAI</v>
      </c>
      <c r="F14" s="94">
        <v>42870</v>
      </c>
      <c r="G14" s="94">
        <v>42874</v>
      </c>
      <c r="H14" s="44">
        <f t="shared" si="1"/>
        <v>4</v>
      </c>
      <c r="I14" s="96">
        <v>174</v>
      </c>
    </row>
    <row r="15" spans="1:9" x14ac:dyDescent="0.25">
      <c r="A15" s="93" t="s">
        <v>112</v>
      </c>
      <c r="B15" s="44" t="s">
        <v>58</v>
      </c>
      <c r="C15" s="92" t="s">
        <v>76</v>
      </c>
      <c r="D15" s="93" t="s">
        <v>128</v>
      </c>
      <c r="E15" s="44" t="str">
        <f t="shared" si="0"/>
        <v>MAI</v>
      </c>
      <c r="F15" s="94">
        <v>42855</v>
      </c>
      <c r="G15" s="94">
        <v>42858</v>
      </c>
      <c r="H15" s="44">
        <f t="shared" si="1"/>
        <v>3</v>
      </c>
      <c r="I15" s="96">
        <v>154</v>
      </c>
    </row>
    <row r="16" spans="1:9" x14ac:dyDescent="0.25">
      <c r="A16" s="93" t="s">
        <v>112</v>
      </c>
      <c r="B16" s="44" t="s">
        <v>58</v>
      </c>
      <c r="C16" s="92" t="s">
        <v>76</v>
      </c>
      <c r="D16" s="93" t="s">
        <v>129</v>
      </c>
      <c r="E16" s="44" t="str">
        <f t="shared" si="0"/>
        <v>MAI</v>
      </c>
      <c r="F16" s="94">
        <v>42876</v>
      </c>
      <c r="G16" s="94">
        <v>42878</v>
      </c>
      <c r="H16" s="44">
        <f t="shared" si="1"/>
        <v>2</v>
      </c>
      <c r="I16" s="96">
        <v>136</v>
      </c>
    </row>
    <row r="17" spans="1:9" x14ac:dyDescent="0.25">
      <c r="A17" s="93" t="s">
        <v>121</v>
      </c>
      <c r="B17" s="44" t="s">
        <v>58</v>
      </c>
      <c r="C17" s="92" t="s">
        <v>76</v>
      </c>
      <c r="D17" s="93" t="s">
        <v>130</v>
      </c>
      <c r="E17" s="44" t="str">
        <f t="shared" si="0"/>
        <v>MAI</v>
      </c>
      <c r="F17" s="94">
        <v>42880</v>
      </c>
      <c r="G17" s="94">
        <v>42883</v>
      </c>
      <c r="H17" s="44">
        <f t="shared" si="1"/>
        <v>3</v>
      </c>
      <c r="I17" s="96">
        <v>135</v>
      </c>
    </row>
    <row r="18" spans="1:9" x14ac:dyDescent="0.25">
      <c r="A18" s="93" t="s">
        <v>112</v>
      </c>
      <c r="B18" s="44" t="s">
        <v>58</v>
      </c>
      <c r="C18" s="92" t="s">
        <v>76</v>
      </c>
      <c r="D18" s="93" t="s">
        <v>131</v>
      </c>
      <c r="E18" s="44" t="str">
        <f t="shared" si="0"/>
        <v>MAI</v>
      </c>
      <c r="F18" s="94">
        <v>42863</v>
      </c>
      <c r="G18" s="94">
        <v>42865</v>
      </c>
      <c r="H18" s="44">
        <f t="shared" si="1"/>
        <v>2</v>
      </c>
      <c r="I18" s="96">
        <v>116</v>
      </c>
    </row>
    <row r="19" spans="1:9" x14ac:dyDescent="0.25">
      <c r="A19" s="93" t="s">
        <v>112</v>
      </c>
      <c r="B19" s="44" t="s">
        <v>58</v>
      </c>
      <c r="C19" s="92" t="s">
        <v>76</v>
      </c>
      <c r="D19" s="93" t="s">
        <v>128</v>
      </c>
      <c r="E19" s="44" t="str">
        <f t="shared" si="0"/>
        <v>MAI</v>
      </c>
      <c r="F19" s="94">
        <v>42855</v>
      </c>
      <c r="G19" s="94">
        <v>42858</v>
      </c>
      <c r="H19" s="44">
        <f t="shared" si="1"/>
        <v>3</v>
      </c>
      <c r="I19" s="97">
        <v>154</v>
      </c>
    </row>
    <row r="20" spans="1:9" x14ac:dyDescent="0.25">
      <c r="A20" s="93" t="s">
        <v>112</v>
      </c>
      <c r="B20" s="44" t="s">
        <v>58</v>
      </c>
      <c r="C20" s="92" t="s">
        <v>76</v>
      </c>
      <c r="D20" s="93" t="s">
        <v>123</v>
      </c>
      <c r="E20" s="44" t="str">
        <f t="shared" si="0"/>
        <v>MAI</v>
      </c>
      <c r="F20" s="94">
        <v>42860</v>
      </c>
      <c r="G20" s="94">
        <v>42863</v>
      </c>
      <c r="H20" s="44">
        <f t="shared" si="1"/>
        <v>3</v>
      </c>
      <c r="I20" s="97">
        <v>294</v>
      </c>
    </row>
    <row r="21" spans="1:9" x14ac:dyDescent="0.25">
      <c r="A21" s="93" t="s">
        <v>112</v>
      </c>
      <c r="B21" s="44" t="s">
        <v>58</v>
      </c>
      <c r="C21" s="92" t="s">
        <v>76</v>
      </c>
      <c r="D21" s="93" t="s">
        <v>131</v>
      </c>
      <c r="E21" s="44" t="str">
        <f t="shared" si="0"/>
        <v>MAI</v>
      </c>
      <c r="F21" s="94">
        <v>42863</v>
      </c>
      <c r="G21" s="94">
        <v>42865</v>
      </c>
      <c r="H21" s="44">
        <f t="shared" si="1"/>
        <v>2</v>
      </c>
      <c r="I21" s="97">
        <v>116</v>
      </c>
    </row>
    <row r="22" spans="1:9" x14ac:dyDescent="0.25">
      <c r="A22" s="93" t="s">
        <v>112</v>
      </c>
      <c r="B22" s="44" t="s">
        <v>58</v>
      </c>
      <c r="C22" s="92" t="s">
        <v>76</v>
      </c>
      <c r="D22" s="93" t="s">
        <v>124</v>
      </c>
      <c r="E22" s="44" t="str">
        <f t="shared" si="0"/>
        <v>MAI</v>
      </c>
      <c r="F22" s="94">
        <v>42867</v>
      </c>
      <c r="G22" s="94">
        <v>42870</v>
      </c>
      <c r="H22" s="44">
        <f t="shared" si="1"/>
        <v>3</v>
      </c>
      <c r="I22" s="97">
        <v>280</v>
      </c>
    </row>
    <row r="23" spans="1:9" x14ac:dyDescent="0.25">
      <c r="A23" s="93" t="s">
        <v>120</v>
      </c>
      <c r="B23" s="44" t="s">
        <v>58</v>
      </c>
      <c r="C23" s="92" t="s">
        <v>76</v>
      </c>
      <c r="D23" s="93" t="s">
        <v>127</v>
      </c>
      <c r="E23" s="44" t="str">
        <f t="shared" si="0"/>
        <v>MAI</v>
      </c>
      <c r="F23" s="94">
        <v>42870</v>
      </c>
      <c r="G23" s="94">
        <v>42874</v>
      </c>
      <c r="H23" s="44">
        <f t="shared" si="1"/>
        <v>4</v>
      </c>
      <c r="I23" s="97">
        <v>174</v>
      </c>
    </row>
    <row r="24" spans="1:9" x14ac:dyDescent="0.25">
      <c r="A24" s="93" t="s">
        <v>112</v>
      </c>
      <c r="B24" s="44" t="s">
        <v>58</v>
      </c>
      <c r="C24" s="92" t="s">
        <v>76</v>
      </c>
      <c r="D24" s="93" t="s">
        <v>125</v>
      </c>
      <c r="E24" s="44" t="str">
        <f t="shared" si="0"/>
        <v>MAI</v>
      </c>
      <c r="F24" s="94">
        <v>42871</v>
      </c>
      <c r="G24" s="94">
        <v>42876</v>
      </c>
      <c r="H24" s="44">
        <f t="shared" si="1"/>
        <v>5</v>
      </c>
      <c r="I24" s="97">
        <v>256</v>
      </c>
    </row>
    <row r="25" spans="1:9" x14ac:dyDescent="0.25">
      <c r="A25" s="93" t="s">
        <v>120</v>
      </c>
      <c r="B25" s="44" t="s">
        <v>58</v>
      </c>
      <c r="C25" s="92" t="s">
        <v>76</v>
      </c>
      <c r="D25" s="93" t="s">
        <v>126</v>
      </c>
      <c r="E25" s="44" t="str">
        <f t="shared" si="0"/>
        <v>MAI</v>
      </c>
      <c r="F25" s="94">
        <v>42875</v>
      </c>
      <c r="G25" s="94">
        <v>42880</v>
      </c>
      <c r="H25" s="44">
        <f t="shared" si="1"/>
        <v>5</v>
      </c>
      <c r="I25" s="97">
        <v>242</v>
      </c>
    </row>
    <row r="26" spans="1:9" x14ac:dyDescent="0.25">
      <c r="A26" s="93" t="s">
        <v>112</v>
      </c>
      <c r="B26" s="44" t="s">
        <v>58</v>
      </c>
      <c r="C26" s="92" t="s">
        <v>76</v>
      </c>
      <c r="D26" s="93" t="s">
        <v>129</v>
      </c>
      <c r="E26" s="44" t="str">
        <f t="shared" si="0"/>
        <v>MAI</v>
      </c>
      <c r="F26" s="94">
        <v>42876</v>
      </c>
      <c r="G26" s="94">
        <v>42878</v>
      </c>
      <c r="H26" s="44">
        <f t="shared" si="1"/>
        <v>2</v>
      </c>
      <c r="I26" s="97">
        <v>136</v>
      </c>
    </row>
    <row r="27" spans="1:9" x14ac:dyDescent="0.25">
      <c r="A27" s="93" t="s">
        <v>112</v>
      </c>
      <c r="B27" s="44" t="s">
        <v>58</v>
      </c>
      <c r="C27" s="92" t="s">
        <v>76</v>
      </c>
      <c r="D27" s="93" t="s">
        <v>122</v>
      </c>
      <c r="E27" s="44" t="str">
        <f t="shared" si="0"/>
        <v>MAI</v>
      </c>
      <c r="F27" s="94">
        <v>42879</v>
      </c>
      <c r="G27" s="94">
        <v>42883</v>
      </c>
      <c r="H27" s="44">
        <f t="shared" si="1"/>
        <v>4</v>
      </c>
      <c r="I27" s="97">
        <v>386</v>
      </c>
    </row>
    <row r="28" spans="1:9" x14ac:dyDescent="0.25">
      <c r="A28" s="93" t="s">
        <v>121</v>
      </c>
      <c r="B28" s="44" t="s">
        <v>58</v>
      </c>
      <c r="C28" s="92" t="s">
        <v>76</v>
      </c>
      <c r="D28" s="93" t="s">
        <v>130</v>
      </c>
      <c r="E28" s="44" t="str">
        <f t="shared" si="0"/>
        <v>MAI</v>
      </c>
      <c r="F28" s="94">
        <v>42880</v>
      </c>
      <c r="G28" s="94">
        <v>42883</v>
      </c>
      <c r="H28" s="44">
        <f t="shared" si="1"/>
        <v>3</v>
      </c>
      <c r="I28" s="97">
        <v>135</v>
      </c>
    </row>
    <row r="29" spans="1:9" x14ac:dyDescent="0.25">
      <c r="A29" s="93" t="s">
        <v>132</v>
      </c>
      <c r="B29" s="44" t="s">
        <v>58</v>
      </c>
      <c r="C29" s="92" t="s">
        <v>76</v>
      </c>
      <c r="D29" s="98" t="s">
        <v>136</v>
      </c>
      <c r="E29" s="44" t="str">
        <f t="shared" si="0"/>
        <v>JUIN</v>
      </c>
      <c r="F29" s="99">
        <v>42909</v>
      </c>
      <c r="G29" s="94">
        <v>42912</v>
      </c>
      <c r="H29" s="44">
        <f t="shared" si="1"/>
        <v>3</v>
      </c>
      <c r="I29" s="101">
        <v>106</v>
      </c>
    </row>
    <row r="30" spans="1:9" x14ac:dyDescent="0.25">
      <c r="A30" s="93" t="s">
        <v>120</v>
      </c>
      <c r="B30" s="44" t="s">
        <v>58</v>
      </c>
      <c r="C30" s="92" t="s">
        <v>76</v>
      </c>
      <c r="D30" s="98" t="s">
        <v>137</v>
      </c>
      <c r="E30" s="44" t="str">
        <f t="shared" si="0"/>
        <v>JUIN</v>
      </c>
      <c r="F30" s="99">
        <v>42889</v>
      </c>
      <c r="G30" s="94">
        <v>42891</v>
      </c>
      <c r="H30" s="44">
        <f t="shared" si="1"/>
        <v>2</v>
      </c>
      <c r="I30" s="101">
        <v>106</v>
      </c>
    </row>
    <row r="31" spans="1:9" x14ac:dyDescent="0.25">
      <c r="A31" s="93" t="s">
        <v>133</v>
      </c>
      <c r="B31" s="44" t="s">
        <v>58</v>
      </c>
      <c r="C31" s="92" t="s">
        <v>169</v>
      </c>
      <c r="D31" s="93" t="s">
        <v>138</v>
      </c>
      <c r="E31" s="44" t="str">
        <f t="shared" si="0"/>
        <v>JUIN</v>
      </c>
      <c r="F31" s="94">
        <v>42894</v>
      </c>
      <c r="G31" s="94">
        <v>42896</v>
      </c>
      <c r="H31" s="44">
        <f t="shared" si="1"/>
        <v>2</v>
      </c>
      <c r="I31" s="96">
        <v>121.3</v>
      </c>
    </row>
    <row r="32" spans="1:9" x14ac:dyDescent="0.25">
      <c r="A32" s="93" t="s">
        <v>112</v>
      </c>
      <c r="B32" s="44" t="s">
        <v>58</v>
      </c>
      <c r="C32" s="92" t="s">
        <v>76</v>
      </c>
      <c r="D32" s="92" t="s">
        <v>139</v>
      </c>
      <c r="E32" s="44" t="str">
        <f t="shared" si="0"/>
        <v>JUIN</v>
      </c>
      <c r="F32" s="100">
        <v>42902</v>
      </c>
      <c r="G32" s="94">
        <v>42904</v>
      </c>
      <c r="H32" s="44">
        <f t="shared" si="1"/>
        <v>2</v>
      </c>
      <c r="I32" s="102">
        <v>136</v>
      </c>
    </row>
    <row r="33" spans="1:9" x14ac:dyDescent="0.25">
      <c r="A33" s="93" t="s">
        <v>134</v>
      </c>
      <c r="B33" s="44" t="s">
        <v>58</v>
      </c>
      <c r="C33" s="92" t="s">
        <v>76</v>
      </c>
      <c r="D33" s="98" t="s">
        <v>140</v>
      </c>
      <c r="E33" s="44" t="str">
        <f t="shared" si="0"/>
        <v>JUIN</v>
      </c>
      <c r="F33" s="99">
        <v>42886</v>
      </c>
      <c r="G33" s="94">
        <v>42889</v>
      </c>
      <c r="H33" s="44">
        <f t="shared" si="1"/>
        <v>3</v>
      </c>
      <c r="I33" s="101">
        <v>136</v>
      </c>
    </row>
    <row r="34" spans="1:9" x14ac:dyDescent="0.25">
      <c r="A34" s="93" t="s">
        <v>112</v>
      </c>
      <c r="B34" s="44" t="s">
        <v>58</v>
      </c>
      <c r="C34" s="92" t="s">
        <v>76</v>
      </c>
      <c r="D34" s="92" t="s">
        <v>141</v>
      </c>
      <c r="E34" s="44" t="str">
        <f t="shared" si="0"/>
        <v>JUIN</v>
      </c>
      <c r="F34" s="100">
        <v>42904</v>
      </c>
      <c r="G34" s="94">
        <v>42906</v>
      </c>
      <c r="H34" s="44">
        <f t="shared" si="1"/>
        <v>2</v>
      </c>
      <c r="I34" s="102">
        <v>137</v>
      </c>
    </row>
    <row r="35" spans="1:9" x14ac:dyDescent="0.25">
      <c r="A35" s="93" t="s">
        <v>134</v>
      </c>
      <c r="B35" s="44" t="s">
        <v>58</v>
      </c>
      <c r="C35" s="92" t="s">
        <v>76</v>
      </c>
      <c r="D35" s="98" t="s">
        <v>142</v>
      </c>
      <c r="E35" s="44" t="str">
        <f t="shared" si="0"/>
        <v>JUIN</v>
      </c>
      <c r="F35" s="99">
        <v>42898</v>
      </c>
      <c r="G35" s="94">
        <v>42901</v>
      </c>
      <c r="H35" s="44">
        <f t="shared" si="1"/>
        <v>3</v>
      </c>
      <c r="I35" s="101">
        <v>150</v>
      </c>
    </row>
    <row r="36" spans="1:9" x14ac:dyDescent="0.25">
      <c r="A36" s="93" t="s">
        <v>134</v>
      </c>
      <c r="B36" s="44" t="s">
        <v>58</v>
      </c>
      <c r="C36" s="92" t="s">
        <v>76</v>
      </c>
      <c r="D36" s="98" t="s">
        <v>143</v>
      </c>
      <c r="E36" s="44" t="str">
        <f t="shared" si="0"/>
        <v>JUIN</v>
      </c>
      <c r="F36" s="99">
        <v>42895</v>
      </c>
      <c r="G36" s="94">
        <v>42898</v>
      </c>
      <c r="H36" s="44">
        <f t="shared" si="1"/>
        <v>3</v>
      </c>
      <c r="I36" s="101">
        <v>150</v>
      </c>
    </row>
    <row r="37" spans="1:9" x14ac:dyDescent="0.25">
      <c r="A37" s="93" t="s">
        <v>133</v>
      </c>
      <c r="B37" s="44" t="s">
        <v>58</v>
      </c>
      <c r="C37" s="92" t="s">
        <v>76</v>
      </c>
      <c r="D37" s="98" t="s">
        <v>144</v>
      </c>
      <c r="E37" s="44" t="str">
        <f t="shared" si="0"/>
        <v>JUIN</v>
      </c>
      <c r="F37" s="99">
        <v>42891</v>
      </c>
      <c r="G37" s="94">
        <v>42894</v>
      </c>
      <c r="H37" s="44">
        <f t="shared" si="1"/>
        <v>3</v>
      </c>
      <c r="I37" s="101">
        <v>151</v>
      </c>
    </row>
    <row r="38" spans="1:9" x14ac:dyDescent="0.25">
      <c r="A38" s="93" t="s">
        <v>134</v>
      </c>
      <c r="B38" s="44" t="s">
        <v>58</v>
      </c>
      <c r="C38" s="92" t="s">
        <v>76</v>
      </c>
      <c r="D38" s="98" t="s">
        <v>145</v>
      </c>
      <c r="E38" s="44" t="str">
        <f t="shared" si="0"/>
        <v>JUIN</v>
      </c>
      <c r="F38" s="99">
        <v>42901</v>
      </c>
      <c r="G38" s="94">
        <v>42904</v>
      </c>
      <c r="H38" s="44">
        <f t="shared" si="1"/>
        <v>3</v>
      </c>
      <c r="I38" s="101">
        <v>166</v>
      </c>
    </row>
    <row r="39" spans="1:9" x14ac:dyDescent="0.25">
      <c r="A39" s="92" t="s">
        <v>121</v>
      </c>
      <c r="B39" s="44" t="s">
        <v>58</v>
      </c>
      <c r="C39" s="92" t="s">
        <v>76</v>
      </c>
      <c r="D39" s="92" t="s">
        <v>146</v>
      </c>
      <c r="E39" s="44" t="str">
        <f t="shared" si="0"/>
        <v>JUIN</v>
      </c>
      <c r="F39" s="100">
        <v>42885</v>
      </c>
      <c r="G39" s="100">
        <v>42890</v>
      </c>
      <c r="H39" s="44">
        <f t="shared" si="1"/>
        <v>5</v>
      </c>
      <c r="I39" s="102">
        <v>169</v>
      </c>
    </row>
    <row r="40" spans="1:9" x14ac:dyDescent="0.25">
      <c r="A40" s="93" t="s">
        <v>121</v>
      </c>
      <c r="B40" s="44" t="s">
        <v>58</v>
      </c>
      <c r="C40" s="92" t="s">
        <v>169</v>
      </c>
      <c r="D40" s="93" t="s">
        <v>147</v>
      </c>
      <c r="E40" s="44" t="str">
        <f t="shared" si="0"/>
        <v>JUIN</v>
      </c>
      <c r="F40" s="94">
        <v>42898</v>
      </c>
      <c r="G40" s="94">
        <v>42900</v>
      </c>
      <c r="H40" s="44">
        <f t="shared" si="1"/>
        <v>2</v>
      </c>
      <c r="I40" s="96">
        <v>169.4</v>
      </c>
    </row>
    <row r="41" spans="1:9" x14ac:dyDescent="0.25">
      <c r="A41" s="93" t="s">
        <v>133</v>
      </c>
      <c r="B41" s="44" t="s">
        <v>58</v>
      </c>
      <c r="C41" s="92" t="s">
        <v>76</v>
      </c>
      <c r="D41" s="98" t="s">
        <v>148</v>
      </c>
      <c r="E41" s="44" t="str">
        <f t="shared" si="0"/>
        <v>JUIN</v>
      </c>
      <c r="F41" s="99">
        <v>42886</v>
      </c>
      <c r="G41" s="94">
        <v>42890</v>
      </c>
      <c r="H41" s="44">
        <f t="shared" si="1"/>
        <v>4</v>
      </c>
      <c r="I41" s="101">
        <v>174</v>
      </c>
    </row>
    <row r="42" spans="1:9" x14ac:dyDescent="0.25">
      <c r="A42" s="93" t="s">
        <v>132</v>
      </c>
      <c r="B42" s="44" t="s">
        <v>58</v>
      </c>
      <c r="C42" s="92" t="s">
        <v>76</v>
      </c>
      <c r="D42" s="98" t="s">
        <v>149</v>
      </c>
      <c r="E42" s="44" t="str">
        <f t="shared" si="0"/>
        <v>JUIN</v>
      </c>
      <c r="F42" s="99">
        <v>42912</v>
      </c>
      <c r="G42" s="94">
        <v>42916</v>
      </c>
      <c r="H42" s="44">
        <f t="shared" si="1"/>
        <v>4</v>
      </c>
      <c r="I42" s="101">
        <v>175</v>
      </c>
    </row>
    <row r="43" spans="1:9" x14ac:dyDescent="0.25">
      <c r="A43" s="93" t="s">
        <v>120</v>
      </c>
      <c r="B43" s="44" t="s">
        <v>58</v>
      </c>
      <c r="C43" s="92" t="s">
        <v>76</v>
      </c>
      <c r="D43" s="98" t="s">
        <v>150</v>
      </c>
      <c r="E43" s="44" t="str">
        <f t="shared" si="0"/>
        <v>JUIN</v>
      </c>
      <c r="F43" s="99">
        <v>42906</v>
      </c>
      <c r="G43" s="94">
        <v>42909</v>
      </c>
      <c r="H43" s="44">
        <f t="shared" si="1"/>
        <v>3</v>
      </c>
      <c r="I43" s="101">
        <v>179</v>
      </c>
    </row>
    <row r="44" spans="1:9" x14ac:dyDescent="0.25">
      <c r="A44" s="92" t="s">
        <v>112</v>
      </c>
      <c r="B44" s="44" t="s">
        <v>58</v>
      </c>
      <c r="C44" s="92" t="s">
        <v>76</v>
      </c>
      <c r="D44" s="92" t="s">
        <v>151</v>
      </c>
      <c r="E44" s="44" t="str">
        <f t="shared" si="0"/>
        <v>JUIN</v>
      </c>
      <c r="F44" s="100">
        <v>42884</v>
      </c>
      <c r="G44" s="100">
        <v>42887</v>
      </c>
      <c r="H44" s="44">
        <f t="shared" si="1"/>
        <v>3</v>
      </c>
      <c r="I44" s="102">
        <v>194</v>
      </c>
    </row>
    <row r="45" spans="1:9" x14ac:dyDescent="0.25">
      <c r="A45" s="93" t="s">
        <v>120</v>
      </c>
      <c r="B45" s="44" t="s">
        <v>58</v>
      </c>
      <c r="C45" s="92" t="s">
        <v>169</v>
      </c>
      <c r="D45" s="93" t="s">
        <v>152</v>
      </c>
      <c r="E45" s="44" t="str">
        <f t="shared" si="0"/>
        <v>JUIN</v>
      </c>
      <c r="F45" s="94">
        <v>42884</v>
      </c>
      <c r="G45" s="94">
        <v>42887</v>
      </c>
      <c r="H45" s="44">
        <f t="shared" si="1"/>
        <v>3</v>
      </c>
      <c r="I45" s="96">
        <v>199.2</v>
      </c>
    </row>
    <row r="46" spans="1:9" x14ac:dyDescent="0.25">
      <c r="A46" s="93" t="s">
        <v>121</v>
      </c>
      <c r="B46" s="44" t="s">
        <v>58</v>
      </c>
      <c r="C46" s="92" t="s">
        <v>76</v>
      </c>
      <c r="D46" s="98" t="s">
        <v>153</v>
      </c>
      <c r="E46" s="44" t="str">
        <f t="shared" si="0"/>
        <v>JUIN</v>
      </c>
      <c r="F46" s="99">
        <v>42912</v>
      </c>
      <c r="G46" s="94">
        <v>42916</v>
      </c>
      <c r="H46" s="44">
        <f t="shared" si="1"/>
        <v>4</v>
      </c>
      <c r="I46" s="101">
        <v>213</v>
      </c>
    </row>
    <row r="47" spans="1:9" x14ac:dyDescent="0.25">
      <c r="A47" s="93" t="s">
        <v>121</v>
      </c>
      <c r="B47" s="44" t="s">
        <v>58</v>
      </c>
      <c r="C47" s="92" t="s">
        <v>169</v>
      </c>
      <c r="D47" s="93" t="s">
        <v>154</v>
      </c>
      <c r="E47" s="44" t="str">
        <f t="shared" si="0"/>
        <v>JUIN</v>
      </c>
      <c r="F47" s="94">
        <v>42905</v>
      </c>
      <c r="G47" s="94">
        <v>42908</v>
      </c>
      <c r="H47" s="44">
        <f t="shared" si="1"/>
        <v>3</v>
      </c>
      <c r="I47" s="96">
        <v>216.71</v>
      </c>
    </row>
    <row r="48" spans="1:9" x14ac:dyDescent="0.25">
      <c r="A48" s="93" t="s">
        <v>135</v>
      </c>
      <c r="B48" s="44" t="s">
        <v>58</v>
      </c>
      <c r="C48" s="92" t="s">
        <v>76</v>
      </c>
      <c r="D48" s="98" t="s">
        <v>155</v>
      </c>
      <c r="E48" s="44" t="str">
        <f t="shared" si="0"/>
        <v>JUIN</v>
      </c>
      <c r="F48" s="99">
        <v>42910</v>
      </c>
      <c r="G48" s="94">
        <v>42913</v>
      </c>
      <c r="H48" s="44">
        <f t="shared" si="1"/>
        <v>3</v>
      </c>
      <c r="I48" s="101">
        <v>222</v>
      </c>
    </row>
    <row r="49" spans="1:9" x14ac:dyDescent="0.25">
      <c r="A49" s="93" t="s">
        <v>134</v>
      </c>
      <c r="B49" s="44" t="s">
        <v>58</v>
      </c>
      <c r="C49" s="92" t="s">
        <v>76</v>
      </c>
      <c r="D49" s="98" t="s">
        <v>156</v>
      </c>
      <c r="E49" s="44" t="str">
        <f t="shared" si="0"/>
        <v>JUIN</v>
      </c>
      <c r="F49" s="99">
        <v>42905</v>
      </c>
      <c r="G49" s="94">
        <v>42909</v>
      </c>
      <c r="H49" s="44">
        <f t="shared" si="1"/>
        <v>4</v>
      </c>
      <c r="I49" s="101">
        <v>222</v>
      </c>
    </row>
    <row r="50" spans="1:9" x14ac:dyDescent="0.25">
      <c r="A50" s="93" t="s">
        <v>121</v>
      </c>
      <c r="B50" s="44" t="s">
        <v>58</v>
      </c>
      <c r="C50" s="92" t="s">
        <v>76</v>
      </c>
      <c r="D50" s="98" t="s">
        <v>157</v>
      </c>
      <c r="E50" s="44" t="str">
        <f t="shared" si="0"/>
        <v>JUIN</v>
      </c>
      <c r="F50" s="99">
        <v>42908</v>
      </c>
      <c r="G50" s="94">
        <v>42912</v>
      </c>
      <c r="H50" s="44">
        <f t="shared" si="1"/>
        <v>4</v>
      </c>
      <c r="I50" s="101">
        <v>232</v>
      </c>
    </row>
    <row r="51" spans="1:9" x14ac:dyDescent="0.25">
      <c r="A51" s="93" t="s">
        <v>134</v>
      </c>
      <c r="B51" s="44" t="s">
        <v>58</v>
      </c>
      <c r="C51" s="92" t="s">
        <v>76</v>
      </c>
      <c r="D51" s="98" t="s">
        <v>158</v>
      </c>
      <c r="E51" s="44" t="str">
        <f t="shared" si="0"/>
        <v>JUIN</v>
      </c>
      <c r="F51" s="99">
        <v>42890</v>
      </c>
      <c r="G51" s="94">
        <v>42895</v>
      </c>
      <c r="H51" s="44">
        <f t="shared" si="1"/>
        <v>5</v>
      </c>
      <c r="I51" s="101">
        <v>232</v>
      </c>
    </row>
    <row r="52" spans="1:9" x14ac:dyDescent="0.25">
      <c r="A52" s="93" t="s">
        <v>112</v>
      </c>
      <c r="B52" s="44" t="s">
        <v>58</v>
      </c>
      <c r="C52" s="92" t="s">
        <v>76</v>
      </c>
      <c r="D52" s="92" t="s">
        <v>159</v>
      </c>
      <c r="E52" s="44" t="str">
        <f t="shared" si="0"/>
        <v>JUIN</v>
      </c>
      <c r="F52" s="100">
        <v>42898</v>
      </c>
      <c r="G52" s="94">
        <v>42902</v>
      </c>
      <c r="H52" s="44">
        <f t="shared" si="1"/>
        <v>4</v>
      </c>
      <c r="I52" s="102">
        <v>246</v>
      </c>
    </row>
    <row r="53" spans="1:9" x14ac:dyDescent="0.25">
      <c r="A53" s="93" t="s">
        <v>112</v>
      </c>
      <c r="B53" s="44" t="s">
        <v>58</v>
      </c>
      <c r="C53" s="92" t="s">
        <v>76</v>
      </c>
      <c r="D53" s="92" t="s">
        <v>160</v>
      </c>
      <c r="E53" s="44" t="str">
        <f t="shared" si="0"/>
        <v>JUIN</v>
      </c>
      <c r="F53" s="100">
        <v>42906</v>
      </c>
      <c r="G53" s="94">
        <v>42909</v>
      </c>
      <c r="H53" s="44">
        <f t="shared" si="1"/>
        <v>3</v>
      </c>
      <c r="I53" s="102">
        <v>251</v>
      </c>
    </row>
    <row r="54" spans="1:9" x14ac:dyDescent="0.25">
      <c r="A54" s="93" t="s">
        <v>121</v>
      </c>
      <c r="B54" s="44" t="s">
        <v>58</v>
      </c>
      <c r="C54" s="92" t="s">
        <v>169</v>
      </c>
      <c r="D54" s="93" t="s">
        <v>161</v>
      </c>
      <c r="E54" s="44" t="str">
        <f t="shared" si="0"/>
        <v>JUIN</v>
      </c>
      <c r="F54" s="94">
        <v>42900</v>
      </c>
      <c r="G54" s="94">
        <v>42904</v>
      </c>
      <c r="H54" s="44">
        <f t="shared" si="1"/>
        <v>4</v>
      </c>
      <c r="I54" s="96">
        <v>259.04000000000002</v>
      </c>
    </row>
    <row r="55" spans="1:9" x14ac:dyDescent="0.25">
      <c r="A55" s="93" t="s">
        <v>112</v>
      </c>
      <c r="B55" s="44" t="s">
        <v>58</v>
      </c>
      <c r="C55" s="92" t="s">
        <v>169</v>
      </c>
      <c r="D55" s="93" t="s">
        <v>162</v>
      </c>
      <c r="E55" s="44" t="str">
        <f t="shared" ref="E55:E61" si="2">CHOOSE(MONTH(G55),"JANVIER","FEVRIER","MARS","AVRIL","MAI","JUIN","JUILLET","AOUT","SEPTEMBRE","OCTOBRE","NOVEMBRE","DECEMBRE")</f>
        <v>JUIN</v>
      </c>
      <c r="F55" s="94">
        <v>42913</v>
      </c>
      <c r="G55" s="94">
        <v>42916</v>
      </c>
      <c r="H55" s="44">
        <f t="shared" ref="H55:H61" si="3">G55-F55</f>
        <v>3</v>
      </c>
      <c r="I55" s="96">
        <v>269</v>
      </c>
    </row>
    <row r="56" spans="1:9" x14ac:dyDescent="0.25">
      <c r="A56" s="93" t="s">
        <v>133</v>
      </c>
      <c r="B56" s="44" t="s">
        <v>58</v>
      </c>
      <c r="C56" s="92" t="s">
        <v>169</v>
      </c>
      <c r="D56" s="93" t="s">
        <v>163</v>
      </c>
      <c r="E56" s="44" t="str">
        <f t="shared" si="2"/>
        <v>JUIN</v>
      </c>
      <c r="F56" s="94">
        <v>42897</v>
      </c>
      <c r="G56" s="94">
        <v>42902</v>
      </c>
      <c r="H56" s="44">
        <f t="shared" si="3"/>
        <v>5</v>
      </c>
      <c r="I56" s="96">
        <v>279</v>
      </c>
    </row>
    <row r="57" spans="1:9" x14ac:dyDescent="0.25">
      <c r="A57" s="93" t="s">
        <v>121</v>
      </c>
      <c r="B57" s="44" t="s">
        <v>58</v>
      </c>
      <c r="C57" s="92" t="s">
        <v>76</v>
      </c>
      <c r="D57" s="98" t="s">
        <v>164</v>
      </c>
      <c r="E57" s="44" t="str">
        <f t="shared" si="2"/>
        <v>JUIN</v>
      </c>
      <c r="F57" s="99">
        <v>42891</v>
      </c>
      <c r="G57" s="94">
        <v>42897</v>
      </c>
      <c r="H57" s="44">
        <f t="shared" si="3"/>
        <v>6</v>
      </c>
      <c r="I57" s="101">
        <v>280</v>
      </c>
    </row>
    <row r="58" spans="1:9" x14ac:dyDescent="0.25">
      <c r="A58" s="93" t="s">
        <v>120</v>
      </c>
      <c r="B58" s="44" t="s">
        <v>58</v>
      </c>
      <c r="C58" s="92" t="s">
        <v>76</v>
      </c>
      <c r="D58" s="98" t="s">
        <v>165</v>
      </c>
      <c r="E58" s="44" t="str">
        <f t="shared" si="2"/>
        <v>JUIN</v>
      </c>
      <c r="F58" s="99">
        <v>42895</v>
      </c>
      <c r="G58" s="94">
        <v>42900</v>
      </c>
      <c r="H58" s="44">
        <f t="shared" si="3"/>
        <v>5</v>
      </c>
      <c r="I58" s="101">
        <v>289</v>
      </c>
    </row>
    <row r="59" spans="1:9" x14ac:dyDescent="0.25">
      <c r="A59" s="93" t="s">
        <v>112</v>
      </c>
      <c r="B59" s="44" t="s">
        <v>58</v>
      </c>
      <c r="C59" s="92" t="s">
        <v>76</v>
      </c>
      <c r="D59" s="92" t="s">
        <v>166</v>
      </c>
      <c r="E59" s="44" t="str">
        <f t="shared" si="2"/>
        <v>JUIN</v>
      </c>
      <c r="F59" s="100">
        <v>42888</v>
      </c>
      <c r="G59" s="94">
        <v>42891</v>
      </c>
      <c r="H59" s="44">
        <f t="shared" si="3"/>
        <v>3</v>
      </c>
      <c r="I59" s="102">
        <v>367</v>
      </c>
    </row>
    <row r="60" spans="1:9" x14ac:dyDescent="0.25">
      <c r="A60" s="93" t="s">
        <v>133</v>
      </c>
      <c r="B60" s="44" t="s">
        <v>58</v>
      </c>
      <c r="C60" s="92" t="s">
        <v>169</v>
      </c>
      <c r="D60" s="93" t="s">
        <v>167</v>
      </c>
      <c r="E60" s="44" t="str">
        <f t="shared" si="2"/>
        <v>JUIN</v>
      </c>
      <c r="F60" s="94">
        <v>42905</v>
      </c>
      <c r="G60" s="94">
        <v>42911</v>
      </c>
      <c r="H60" s="44">
        <f t="shared" si="3"/>
        <v>6</v>
      </c>
      <c r="I60" s="96">
        <v>447.49</v>
      </c>
    </row>
    <row r="61" spans="1:9" x14ac:dyDescent="0.25">
      <c r="A61" s="93" t="s">
        <v>112</v>
      </c>
      <c r="B61" s="44" t="s">
        <v>58</v>
      </c>
      <c r="C61" s="92" t="s">
        <v>76</v>
      </c>
      <c r="D61" s="92" t="s">
        <v>168</v>
      </c>
      <c r="E61" s="44" t="str">
        <f t="shared" si="2"/>
        <v>JUIN</v>
      </c>
      <c r="F61" s="100">
        <v>42891</v>
      </c>
      <c r="G61" s="94">
        <v>42896</v>
      </c>
      <c r="H61" s="44">
        <f t="shared" si="3"/>
        <v>5</v>
      </c>
      <c r="I61" s="102">
        <v>525</v>
      </c>
    </row>
  </sheetData>
  <autoFilter ref="A1:I61" xr:uid="{00000000-0009-0000-0000-000002000000}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autoPict="0" r:id="rId4">
            <anchor moveWithCells="1">
              <from>
                <xdr:col>10</xdr:col>
                <xdr:colOff>6350</xdr:colOff>
                <xdr:row>0</xdr:row>
                <xdr:rowOff>82550</xdr:rowOff>
              </from>
              <to>
                <xdr:col>11</xdr:col>
                <xdr:colOff>228600</xdr:colOff>
                <xdr:row>1</xdr:row>
                <xdr:rowOff>6350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M1"/>
  <sheetViews>
    <sheetView showGridLines="0" zoomScale="80" zoomScaleNormal="80" workbookViewId="0">
      <selection activeCell="A2" sqref="A2:XFD6"/>
    </sheetView>
  </sheetViews>
  <sheetFormatPr baseColWidth="10" defaultColWidth="11.453125" defaultRowHeight="11.5" x14ac:dyDescent="0.25"/>
  <cols>
    <col min="1" max="1" width="16.7265625" style="45" bestFit="1" customWidth="1"/>
    <col min="2" max="2" width="17.54296875" style="45" customWidth="1"/>
    <col min="3" max="3" width="13.453125" style="45" customWidth="1"/>
    <col min="4" max="4" width="34.54296875" style="45" bestFit="1" customWidth="1"/>
    <col min="5" max="8" width="11.453125" style="45"/>
    <col min="9" max="9" width="12.54296875" style="45" bestFit="1" customWidth="1"/>
    <col min="10" max="11" width="11.453125" style="45"/>
    <col min="12" max="12" width="12.453125" style="45" customWidth="1"/>
    <col min="13" max="13" width="12" style="45" customWidth="1"/>
    <col min="14" max="14" width="11.453125" style="45"/>
    <col min="15" max="17" width="3" style="45" bestFit="1" customWidth="1"/>
    <col min="18" max="16384" width="11.453125" style="45"/>
  </cols>
  <sheetData>
    <row r="1" spans="1:13" ht="46" x14ac:dyDescent="0.25">
      <c r="A1" s="35" t="s">
        <v>44</v>
      </c>
      <c r="B1" s="36" t="s">
        <v>61</v>
      </c>
      <c r="C1" s="36" t="s">
        <v>57</v>
      </c>
      <c r="D1" s="36" t="s">
        <v>62</v>
      </c>
      <c r="E1" s="37" t="s">
        <v>67</v>
      </c>
      <c r="F1" s="38" t="s">
        <v>53</v>
      </c>
      <c r="G1" s="39" t="s">
        <v>54</v>
      </c>
      <c r="H1" s="35" t="s">
        <v>55</v>
      </c>
      <c r="I1" s="40" t="s">
        <v>65</v>
      </c>
      <c r="J1" s="41" t="s">
        <v>64</v>
      </c>
      <c r="K1" s="41" t="s">
        <v>63</v>
      </c>
      <c r="L1" s="42" t="s">
        <v>56</v>
      </c>
      <c r="M1" s="43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N9"/>
  <sheetViews>
    <sheetView showGridLines="0" zoomScale="80" zoomScaleNormal="80" workbookViewId="0">
      <selection activeCell="E15" sqref="E15"/>
    </sheetView>
  </sheetViews>
  <sheetFormatPr baseColWidth="10" defaultColWidth="11.453125" defaultRowHeight="13.5" x14ac:dyDescent="0.3"/>
  <cols>
    <col min="1" max="1" width="23.453125" style="49" customWidth="1"/>
    <col min="2" max="13" width="12.54296875" style="49" customWidth="1"/>
    <col min="14" max="14" width="13.7265625" style="49" customWidth="1"/>
    <col min="15" max="16384" width="11.453125" style="49"/>
  </cols>
  <sheetData>
    <row r="1" spans="1:14" x14ac:dyDescent="0.3">
      <c r="A1" s="48"/>
      <c r="B1" s="33" t="s">
        <v>31</v>
      </c>
      <c r="C1" s="33" t="s">
        <v>30</v>
      </c>
      <c r="D1" s="33" t="s">
        <v>29</v>
      </c>
      <c r="E1" s="33" t="s">
        <v>28</v>
      </c>
      <c r="F1" s="33" t="s">
        <v>27</v>
      </c>
      <c r="G1" s="33" t="s">
        <v>26</v>
      </c>
      <c r="H1" s="33" t="s">
        <v>25</v>
      </c>
      <c r="I1" s="33" t="s">
        <v>24</v>
      </c>
      <c r="J1" s="33" t="s">
        <v>23</v>
      </c>
      <c r="K1" s="33" t="s">
        <v>22</v>
      </c>
      <c r="L1" s="33" t="s">
        <v>21</v>
      </c>
      <c r="M1" s="33" t="s">
        <v>20</v>
      </c>
      <c r="N1" s="32" t="s">
        <v>45</v>
      </c>
    </row>
    <row r="2" spans="1:14" ht="29.15" customHeight="1" x14ac:dyDescent="0.3">
      <c r="A2" s="34" t="s">
        <v>58</v>
      </c>
      <c r="B2" s="50">
        <f>SUMPRODUCT(('Récaptitulatif Resa PARIS 2018'!$E$2:$E$371=B$1)*('Récaptitulatif Resa PARIS 2018'!$B$2:$B$371='Analyse Global PARIS '!$A2)*('Récaptitulatif Resa PARIS 2018'!$I$2:$I$371))</f>
        <v>0</v>
      </c>
      <c r="C2" s="50">
        <f>SUMPRODUCT(('Récaptitulatif Resa PARIS 2018'!$E$2:$E$371=C$1)*('Récaptitulatif Resa PARIS 2018'!$B$2:$B$371='Analyse Global PARIS '!$A2)*('Récaptitulatif Resa PARIS 2018'!$I$2:$I$371))</f>
        <v>0</v>
      </c>
      <c r="D2" s="50">
        <f>SUMPRODUCT(('Récaptitulatif Resa PARIS 2018'!$E$2:$E$371=D$1)*('Récaptitulatif Resa PARIS 2018'!$B$2:$B$371='Analyse Global PARIS '!$A2)*('Récaptitulatif Resa PARIS 2018'!$I$2:$I$371))</f>
        <v>0</v>
      </c>
      <c r="E2" s="50">
        <f>SUMPRODUCT(('Récaptitulatif Resa PARIS 2018'!$E$2:$E$371=E$1)*('Récaptitulatif Resa PARIS 2018'!$B$2:$B$371='Analyse Global PARIS '!$A2)*('Récaptitulatif Resa PARIS 2018'!$I$2:$I$371))</f>
        <v>1462.55</v>
      </c>
      <c r="F2" s="50">
        <f>SUMPRODUCT(('Récaptitulatif Resa PARIS 2018'!$E$2:$E$371=F$1)*('Récaptitulatif Resa PARIS 2018'!$B$2:$B$371='Analyse Global PARIS '!$A2)*('Récaptitulatif Resa PARIS 2018'!$I$2:$I$371))</f>
        <v>4346</v>
      </c>
      <c r="G2" s="50">
        <f>SUMPRODUCT(('Récaptitulatif Resa PARIS 2018'!$E$2:$E$371=G$1)*('Récaptitulatif Resa PARIS 2018'!$B$2:$B$371='Analyse Global PARIS '!$A2)*('Récaptitulatif Resa PARIS 2018'!$I$2:$I$371))</f>
        <v>7169.1399999999994</v>
      </c>
      <c r="H2" s="50">
        <f>SUMPRODUCT(('Récaptitulatif Resa PARIS 2018'!$E$2:$E$371=H$1)*('Récaptitulatif Resa PARIS 2018'!$B$2:$B$371='Analyse Global PARIS '!$A2)*('Récaptitulatif Resa PARIS 2018'!$I$2:$I$371))</f>
        <v>0</v>
      </c>
      <c r="I2" s="50">
        <f>SUMPRODUCT(('Récaptitulatif Resa PARIS 2018'!$E$2:$E$371=I$1)*('Récaptitulatif Resa PARIS 2018'!$B$2:$B$371='Analyse Global PARIS '!$A2)*('Récaptitulatif Resa PARIS 2018'!$I$2:$I$371))</f>
        <v>0</v>
      </c>
      <c r="J2" s="50">
        <f>SUMPRODUCT(('Récaptitulatif Resa PARIS 2018'!$E$2:$E$371=J$1)*('Récaptitulatif Resa PARIS 2018'!$B$2:$B$371='Analyse Global PARIS '!$A2)*('Récaptitulatif Resa PARIS 2018'!$I$2:$I$371))</f>
        <v>0</v>
      </c>
      <c r="K2" s="50">
        <f>SUMPRODUCT(('Récaptitulatif Resa PARIS 2018'!$E$2:$E$371=K$1)*('Récaptitulatif Resa PARIS 2018'!$B$2:$B$371='Analyse Global PARIS '!$A2)*('Récaptitulatif Resa PARIS 2018'!$I$2:$I$371))</f>
        <v>0</v>
      </c>
      <c r="L2" s="50">
        <f>SUMPRODUCT(('Récaptitulatif Resa PARIS 2018'!$E$2:$E$371=L$1)*('Récaptitulatif Resa PARIS 2018'!$B$2:$B$371='Analyse Global PARIS '!$A2)*('Récaptitulatif Resa PARIS 2018'!$I$2:$I$371))</f>
        <v>0</v>
      </c>
      <c r="M2" s="50">
        <f>SUMPRODUCT(('Récaptitulatif Resa PARIS 2018'!$E$2:$E$371=M$1)*('Récaptitulatif Resa PARIS 2018'!$B$2:$B$371='Analyse Global PARIS '!$A2)*('Récaptitulatif Resa PARIS 2018'!$I$2:$I$371))</f>
        <v>0</v>
      </c>
      <c r="N2" s="51">
        <f>SUM(B2:M2)</f>
        <v>12977.689999999999</v>
      </c>
    </row>
    <row r="3" spans="1:14" ht="29.15" customHeight="1" x14ac:dyDescent="0.3">
      <c r="A3" s="34" t="s">
        <v>60</v>
      </c>
      <c r="B3" s="50">
        <f>SUMPRODUCT(('Récaptitulatif Resa PARIS 2018'!$E$2:$E$371=B$1)*('Récaptitulatif Resa PARIS 2018'!$B$2:$B$371='Analyse Global PARIS '!$A3)*('Récaptitulatif Resa PARIS 2018'!$I$2:$I$371))</f>
        <v>0</v>
      </c>
      <c r="C3" s="50">
        <f>SUMPRODUCT(('Récaptitulatif Resa PARIS 2018'!$E$2:$E$371=C$1)*('Récaptitulatif Resa PARIS 2018'!$B$2:$B$371='Analyse Global PARIS '!$A3)*('Récaptitulatif Resa PARIS 2018'!$I$2:$I$371))</f>
        <v>0</v>
      </c>
      <c r="D3" s="50">
        <f>SUMPRODUCT(('Récaptitulatif Resa PARIS 2018'!$E$2:$E$371=D$1)*('Récaptitulatif Resa PARIS 2018'!$B$2:$B$371='Analyse Global PARIS '!$A3)*('Récaptitulatif Resa PARIS 2018'!$I$2:$I$371))</f>
        <v>0</v>
      </c>
      <c r="E3" s="50">
        <f>SUMPRODUCT(('Récaptitulatif Resa PARIS 2018'!$E$2:$E$371=E$1)*('Récaptitulatif Resa PARIS 2018'!$B$2:$B$371='Analyse Global PARIS '!$A3)*('Récaptitulatif Resa PARIS 2018'!$I$2:$I$371))</f>
        <v>0</v>
      </c>
      <c r="F3" s="50">
        <f>SUMPRODUCT(('Récaptitulatif Resa PARIS 2018'!$E$2:$E$371=F$1)*('Récaptitulatif Resa PARIS 2018'!$B$2:$B$371='Analyse Global PARIS '!$A3)*('Récaptitulatif Resa PARIS 2018'!$I$2:$I$371))</f>
        <v>0</v>
      </c>
      <c r="G3" s="50">
        <f>SUMPRODUCT(('Récaptitulatif Resa PARIS 2018'!$E$2:$E$371=G$1)*('Récaptitulatif Resa PARIS 2018'!$B$2:$B$371='Analyse Global PARIS '!$A3)*('Récaptitulatif Resa PARIS 2018'!$I$2:$I$371))</f>
        <v>0</v>
      </c>
      <c r="H3" s="50">
        <f>SUMPRODUCT(('Récaptitulatif Resa PARIS 2018'!$E$2:$E$371=H$1)*('Récaptitulatif Resa PARIS 2018'!$B$2:$B$371='Analyse Global PARIS '!$A3)*('Récaptitulatif Resa PARIS 2018'!$I$2:$I$371))</f>
        <v>0</v>
      </c>
      <c r="I3" s="50">
        <f>SUMPRODUCT(('Récaptitulatif Resa PARIS 2018'!$E$2:$E$371=I$1)*('Récaptitulatif Resa PARIS 2018'!$B$2:$B$371='Analyse Global PARIS '!$A3)*('Récaptitulatif Resa PARIS 2018'!$I$2:$I$371))</f>
        <v>0</v>
      </c>
      <c r="J3" s="50">
        <f>SUMPRODUCT(('Récaptitulatif Resa PARIS 2018'!$E$2:$E$371=J$1)*('Récaptitulatif Resa PARIS 2018'!$B$2:$B$371='Analyse Global PARIS '!$A3)*('Récaptitulatif Resa PARIS 2018'!$I$2:$I$371))</f>
        <v>0</v>
      </c>
      <c r="K3" s="50">
        <f>SUMPRODUCT(('Récaptitulatif Resa PARIS 2018'!$E$2:$E$371=K$1)*('Récaptitulatif Resa PARIS 2018'!$B$2:$B$371='Analyse Global PARIS '!$A3)*('Récaptitulatif Resa PARIS 2018'!$I$2:$I$371))</f>
        <v>0</v>
      </c>
      <c r="L3" s="50">
        <f>SUMPRODUCT(('Récaptitulatif Resa PARIS 2018'!$E$2:$E$371=L$1)*('Récaptitulatif Resa PARIS 2018'!$B$2:$B$371='Analyse Global PARIS '!$A3)*('Récaptitulatif Resa PARIS 2018'!$I$2:$I$371))</f>
        <v>0</v>
      </c>
      <c r="M3" s="50">
        <f>SUMPRODUCT(('Récaptitulatif Resa PARIS 2018'!$E$2:$E$371=M$1)*('Récaptitulatif Resa PARIS 2018'!$B$2:$B$371='Analyse Global PARIS '!$A3)*('Récaptitulatif Resa PARIS 2018'!$I$2:$I$371))</f>
        <v>0</v>
      </c>
      <c r="N3" s="51">
        <f t="shared" ref="N3:N5" si="0">SUM(B3:M3)</f>
        <v>0</v>
      </c>
    </row>
    <row r="4" spans="1:14" ht="29.15" customHeight="1" x14ac:dyDescent="0.3">
      <c r="A4" s="34" t="s">
        <v>59</v>
      </c>
      <c r="B4" s="50">
        <f>SUMPRODUCT(('Récaptitulatif Resa PARIS 2018'!$E$2:$E$371=B$1)*('Récaptitulatif Resa PARIS 2018'!$B$2:$B$371='Analyse Global PARIS '!$A4)*('Récaptitulatif Resa PARIS 2018'!$I$2:$I$371))</f>
        <v>0</v>
      </c>
      <c r="C4" s="50">
        <f>SUMPRODUCT(('Récaptitulatif Resa PARIS 2018'!$E$2:$E$371=C$1)*('Récaptitulatif Resa PARIS 2018'!$B$2:$B$371='Analyse Global PARIS '!$A4)*('Récaptitulatif Resa PARIS 2018'!$I$2:$I$371))</f>
        <v>0</v>
      </c>
      <c r="D4" s="50">
        <f>SUMPRODUCT(('Récaptitulatif Resa PARIS 2018'!$E$2:$E$371=D$1)*('Récaptitulatif Resa PARIS 2018'!$B$2:$B$371='Analyse Global PARIS '!$A4)*('Récaptitulatif Resa PARIS 2018'!$I$2:$I$371))</f>
        <v>0</v>
      </c>
      <c r="E4" s="50">
        <f>SUMPRODUCT(('Récaptitulatif Resa PARIS 2018'!$E$2:$E$371=E$1)*('Récaptitulatif Resa PARIS 2018'!$B$2:$B$371='Analyse Global PARIS '!$A4)*('Récaptitulatif Resa PARIS 2018'!$I$2:$I$371))</f>
        <v>0</v>
      </c>
      <c r="F4" s="50">
        <f>SUMPRODUCT(('Récaptitulatif Resa PARIS 2018'!$E$2:$E$371=F$1)*('Récaptitulatif Resa PARIS 2018'!$B$2:$B$371='Analyse Global PARIS '!$A4)*('Récaptitulatif Resa PARIS 2018'!$I$2:$I$371))</f>
        <v>0</v>
      </c>
      <c r="G4" s="50">
        <f>SUMPRODUCT(('Récaptitulatif Resa PARIS 2018'!$E$2:$E$371=G$1)*('Récaptitulatif Resa PARIS 2018'!$B$2:$B$371='Analyse Global PARIS '!$A4)*('Récaptitulatif Resa PARIS 2018'!$I$2:$I$371))</f>
        <v>0</v>
      </c>
      <c r="H4" s="50">
        <f>SUMPRODUCT(('Récaptitulatif Resa PARIS 2018'!$E$2:$E$371=H$1)*('Récaptitulatif Resa PARIS 2018'!$B$2:$B$371='Analyse Global PARIS '!$A4)*('Récaptitulatif Resa PARIS 2018'!$I$2:$I$371))</f>
        <v>0</v>
      </c>
      <c r="I4" s="50">
        <f>SUMPRODUCT(('Récaptitulatif Resa PARIS 2018'!$E$2:$E$371=I$1)*('Récaptitulatif Resa PARIS 2018'!$B$2:$B$371='Analyse Global PARIS '!$A4)*('Récaptitulatif Resa PARIS 2018'!$I$2:$I$371))</f>
        <v>0</v>
      </c>
      <c r="J4" s="50">
        <f>SUMPRODUCT(('Récaptitulatif Resa PARIS 2018'!$E$2:$E$371=J$1)*('Récaptitulatif Resa PARIS 2018'!$B$2:$B$371='Analyse Global PARIS '!$A4)*('Récaptitulatif Resa PARIS 2018'!$I$2:$I$371))</f>
        <v>0</v>
      </c>
      <c r="K4" s="50">
        <f>SUMPRODUCT(('Récaptitulatif Resa PARIS 2018'!$E$2:$E$371=K$1)*('Récaptitulatif Resa PARIS 2018'!$B$2:$B$371='Analyse Global PARIS '!$A4)*('Récaptitulatif Resa PARIS 2018'!$I$2:$I$371))</f>
        <v>0</v>
      </c>
      <c r="L4" s="50">
        <f>SUMPRODUCT(('Récaptitulatif Resa PARIS 2018'!$E$2:$E$371=L$1)*('Récaptitulatif Resa PARIS 2018'!$B$2:$B$371='Analyse Global PARIS '!$A4)*('Récaptitulatif Resa PARIS 2018'!$I$2:$I$371))</f>
        <v>0</v>
      </c>
      <c r="M4" s="50">
        <f>SUMPRODUCT(('Récaptitulatif Resa PARIS 2018'!$E$2:$E$371=M$1)*('Récaptitulatif Resa PARIS 2018'!$B$2:$B$371='Analyse Global PARIS '!$A4)*('Récaptitulatif Resa PARIS 2018'!$I$2:$I$371))</f>
        <v>0</v>
      </c>
      <c r="N4" s="51">
        <f t="shared" si="0"/>
        <v>0</v>
      </c>
    </row>
    <row r="5" spans="1:14" ht="29.15" customHeight="1" x14ac:dyDescent="0.3">
      <c r="A5" s="34" t="s">
        <v>66</v>
      </c>
      <c r="B5" s="50">
        <f>SUMPRODUCT(('Récaptitulatif Resa PARIS 2018'!$E$2:$E$371=B$1)*('Récaptitulatif Resa PARIS 2018'!$B$2:$B$371='Analyse Global PARIS '!$A5)*('Récaptitulatif Resa PARIS 2018'!$I$2:$I$371))</f>
        <v>0</v>
      </c>
      <c r="C5" s="50">
        <f>SUMPRODUCT(('Récaptitulatif Resa PARIS 2018'!$E$2:$E$371=C$1)*('Récaptitulatif Resa PARIS 2018'!$B$2:$B$371='Analyse Global PARIS '!$A5)*('Récaptitulatif Resa PARIS 2018'!$I$2:$I$371))</f>
        <v>0</v>
      </c>
      <c r="D5" s="50">
        <f>SUMPRODUCT(('Récaptitulatif Resa PARIS 2018'!$E$2:$E$371=D$1)*('Récaptitulatif Resa PARIS 2018'!$B$2:$B$371='Analyse Global PARIS '!$A5)*('Récaptitulatif Resa PARIS 2018'!$I$2:$I$371))</f>
        <v>0</v>
      </c>
      <c r="E5" s="50">
        <f>SUMPRODUCT(('Récaptitulatif Resa PARIS 2018'!$E$2:$E$371=E$1)*('Récaptitulatif Resa PARIS 2018'!$B$2:$B$371='Analyse Global PARIS '!$A5)*('Récaptitulatif Resa PARIS 2018'!$I$2:$I$371))</f>
        <v>0</v>
      </c>
      <c r="F5" s="50">
        <f>SUMPRODUCT(('Récaptitulatif Resa PARIS 2018'!$E$2:$E$371=F$1)*('Récaptitulatif Resa PARIS 2018'!$B$2:$B$371='Analyse Global PARIS '!$A5)*('Récaptitulatif Resa PARIS 2018'!$I$2:$I$371))</f>
        <v>0</v>
      </c>
      <c r="G5" s="50">
        <f>SUMPRODUCT(('Récaptitulatif Resa PARIS 2018'!$E$2:$E$371=G$1)*('Récaptitulatif Resa PARIS 2018'!$B$2:$B$371='Analyse Global PARIS '!$A5)*('Récaptitulatif Resa PARIS 2018'!$I$2:$I$371))</f>
        <v>0</v>
      </c>
      <c r="H5" s="50">
        <f>SUMPRODUCT(('Récaptitulatif Resa PARIS 2018'!$E$2:$E$371=H$1)*('Récaptitulatif Resa PARIS 2018'!$B$2:$B$371='Analyse Global PARIS '!$A5)*('Récaptitulatif Resa PARIS 2018'!$I$2:$I$371))</f>
        <v>0</v>
      </c>
      <c r="I5" s="50">
        <f>SUMPRODUCT(('Récaptitulatif Resa PARIS 2018'!$E$2:$E$371=I$1)*('Récaptitulatif Resa PARIS 2018'!$B$2:$B$371='Analyse Global PARIS '!$A5)*('Récaptitulatif Resa PARIS 2018'!$I$2:$I$371))</f>
        <v>0</v>
      </c>
      <c r="J5" s="50">
        <f>SUMPRODUCT(('Récaptitulatif Resa PARIS 2018'!$E$2:$E$371=J$1)*('Récaptitulatif Resa PARIS 2018'!$B$2:$B$371='Analyse Global PARIS '!$A5)*('Récaptitulatif Resa PARIS 2018'!$I$2:$I$371))</f>
        <v>0</v>
      </c>
      <c r="K5" s="50">
        <f>SUMPRODUCT(('Récaptitulatif Resa PARIS 2018'!$E$2:$E$371=K$1)*('Récaptitulatif Resa PARIS 2018'!$B$2:$B$371='Analyse Global PARIS '!$A5)*('Récaptitulatif Resa PARIS 2018'!$I$2:$I$371))</f>
        <v>0</v>
      </c>
      <c r="L5" s="50">
        <f>SUMPRODUCT(('Récaptitulatif Resa PARIS 2018'!$E$2:$E$371=L$1)*('Récaptitulatif Resa PARIS 2018'!$B$2:$B$371='Analyse Global PARIS '!$A5)*('Récaptitulatif Resa PARIS 2018'!$I$2:$I$371))</f>
        <v>0</v>
      </c>
      <c r="M5" s="50">
        <f>SUMPRODUCT(('Récaptitulatif Resa PARIS 2018'!$E$2:$E$371=M$1)*('Récaptitulatif Resa PARIS 2018'!$B$2:$B$371='Analyse Global PARIS '!$A5)*('Récaptitulatif Resa PARIS 2018'!$I$2:$I$371))</f>
        <v>0</v>
      </c>
      <c r="N5" s="51">
        <f t="shared" si="0"/>
        <v>0</v>
      </c>
    </row>
    <row r="6" spans="1:14" ht="29.15" customHeight="1" x14ac:dyDescent="0.3">
      <c r="A6" s="32" t="s">
        <v>69</v>
      </c>
      <c r="B6" s="52">
        <f>SUM(B2:B5)</f>
        <v>0</v>
      </c>
      <c r="C6" s="52">
        <f t="shared" ref="C6:M6" si="1">SUM(C2:C5)</f>
        <v>0</v>
      </c>
      <c r="D6" s="52">
        <f t="shared" si="1"/>
        <v>0</v>
      </c>
      <c r="E6" s="52">
        <f t="shared" si="1"/>
        <v>1462.55</v>
      </c>
      <c r="F6" s="52">
        <f t="shared" si="1"/>
        <v>4346</v>
      </c>
      <c r="G6" s="52">
        <f t="shared" si="1"/>
        <v>7169.1399999999994</v>
      </c>
      <c r="H6" s="52">
        <f t="shared" si="1"/>
        <v>0</v>
      </c>
      <c r="I6" s="52">
        <f t="shared" si="1"/>
        <v>0</v>
      </c>
      <c r="J6" s="52">
        <f t="shared" si="1"/>
        <v>0</v>
      </c>
      <c r="K6" s="52">
        <f t="shared" si="1"/>
        <v>0</v>
      </c>
      <c r="L6" s="52">
        <f t="shared" si="1"/>
        <v>0</v>
      </c>
      <c r="M6" s="52">
        <f t="shared" si="1"/>
        <v>0</v>
      </c>
      <c r="N6" s="52">
        <f>SUM(B6:M6)</f>
        <v>12977.689999999999</v>
      </c>
    </row>
    <row r="7" spans="1:14" ht="29.15" customHeight="1" x14ac:dyDescent="0.3">
      <c r="A7" s="34" t="s">
        <v>47</v>
      </c>
      <c r="B7" s="53">
        <f>HLOOKUP(B1,'Récaptitulatif Loyer Paris'!$B$1:$Y$43,3,FALSE)</f>
        <v>0</v>
      </c>
      <c r="C7" s="53">
        <f>HLOOKUP(C1,'Récaptitulatif Loyer Paris'!$B$1:$Y$43,3,FALSE)</f>
        <v>0</v>
      </c>
      <c r="D7" s="53">
        <f>HLOOKUP(D1,'Récaptitulatif Loyer Paris'!$B$1:$Y$43,3,FALSE)</f>
        <v>0</v>
      </c>
      <c r="E7" s="53">
        <f>HLOOKUP(E1,'Récaptitulatif Loyer Paris'!$B$1:$Y$43,3,FALSE)</f>
        <v>750</v>
      </c>
      <c r="F7" s="53">
        <f>HLOOKUP(F1,'Récaptitulatif Loyer Paris'!$B$1:$Y$43,3,FALSE)</f>
        <v>988</v>
      </c>
      <c r="G7" s="53">
        <f>HLOOKUP(G1,'Récaptitulatif Loyer Paris'!$B$1:$Y$43,3,FALSE)</f>
        <v>2703</v>
      </c>
      <c r="H7" s="53">
        <f>HLOOKUP(H1,'Récaptitulatif Loyer Paris'!$B$1:$Y$43,3,FALSE)</f>
        <v>2408</v>
      </c>
      <c r="I7" s="53">
        <f>HLOOKUP(I1,'Récaptitulatif Loyer Paris'!$B$1:$Y$43,3,FALSE)</f>
        <v>1903</v>
      </c>
      <c r="J7" s="53">
        <f>HLOOKUP(J1,'Récaptitulatif Loyer Paris'!$B$1:$Y$43,3,FALSE)</f>
        <v>1630</v>
      </c>
      <c r="K7" s="53">
        <f>HLOOKUP(K1,'Récaptitulatif Loyer Paris'!$B$1:$Y$43,3,FALSE)</f>
        <v>1630</v>
      </c>
      <c r="L7" s="53">
        <f>HLOOKUP(L1,'Récaptitulatif Loyer Paris'!$B$1:$Y$43,3,FALSE)</f>
        <v>1630</v>
      </c>
      <c r="M7" s="53">
        <f>HLOOKUP(M1,'Récaptitulatif Loyer Paris'!$B$1:$Y$43,3,FALSE)</f>
        <v>1381</v>
      </c>
      <c r="N7" s="51">
        <f t="shared" ref="N7" si="2">SUM(B7:M7)</f>
        <v>15023</v>
      </c>
    </row>
    <row r="8" spans="1:14" ht="29.15" customHeight="1" x14ac:dyDescent="0.3">
      <c r="A8" s="32" t="s">
        <v>70</v>
      </c>
      <c r="B8" s="52">
        <f>B6-B7</f>
        <v>0</v>
      </c>
      <c r="C8" s="52">
        <f t="shared" ref="C8:N8" si="3">C6-C7</f>
        <v>0</v>
      </c>
      <c r="D8" s="52">
        <f t="shared" si="3"/>
        <v>0</v>
      </c>
      <c r="E8" s="52">
        <f t="shared" si="3"/>
        <v>712.55</v>
      </c>
      <c r="F8" s="52">
        <f t="shared" si="3"/>
        <v>3358</v>
      </c>
      <c r="G8" s="52">
        <f t="shared" si="3"/>
        <v>4466.1399999999994</v>
      </c>
      <c r="H8" s="52">
        <f t="shared" si="3"/>
        <v>-2408</v>
      </c>
      <c r="I8" s="52">
        <f t="shared" si="3"/>
        <v>-1903</v>
      </c>
      <c r="J8" s="52">
        <f t="shared" si="3"/>
        <v>-1630</v>
      </c>
      <c r="K8" s="52">
        <f t="shared" si="3"/>
        <v>-1630</v>
      </c>
      <c r="L8" s="52">
        <f t="shared" si="3"/>
        <v>-1630</v>
      </c>
      <c r="M8" s="52">
        <f t="shared" si="3"/>
        <v>-1381</v>
      </c>
      <c r="N8" s="52">
        <f t="shared" si="3"/>
        <v>-2045.3100000000013</v>
      </c>
    </row>
    <row r="9" spans="1:14" ht="29.15" customHeight="1" x14ac:dyDescent="0.3">
      <c r="A9" s="34" t="s">
        <v>71</v>
      </c>
      <c r="B9" s="54">
        <f>IFERROR(B8/B6,0)</f>
        <v>0</v>
      </c>
      <c r="C9" s="54">
        <f t="shared" ref="C9:N9" si="4">IFERROR(C8/C6,0)</f>
        <v>0</v>
      </c>
      <c r="D9" s="54">
        <f t="shared" si="4"/>
        <v>0</v>
      </c>
      <c r="E9" s="54">
        <f t="shared" si="4"/>
        <v>0.48719701890533657</v>
      </c>
      <c r="F9" s="54">
        <f t="shared" si="4"/>
        <v>0.77266451909802114</v>
      </c>
      <c r="G9" s="54">
        <f t="shared" si="4"/>
        <v>0.62296732941468569</v>
      </c>
      <c r="H9" s="54">
        <f t="shared" si="4"/>
        <v>0</v>
      </c>
      <c r="I9" s="54">
        <f t="shared" si="4"/>
        <v>0</v>
      </c>
      <c r="J9" s="54">
        <f t="shared" si="4"/>
        <v>0</v>
      </c>
      <c r="K9" s="54">
        <f t="shared" si="4"/>
        <v>0</v>
      </c>
      <c r="L9" s="54">
        <f t="shared" si="4"/>
        <v>0</v>
      </c>
      <c r="M9" s="55">
        <f t="shared" si="4"/>
        <v>0</v>
      </c>
      <c r="N9" s="56">
        <f t="shared" si="4"/>
        <v>-0.15760200775330599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K30"/>
  <sheetViews>
    <sheetView showGridLines="0" zoomScaleNormal="100" workbookViewId="0"/>
  </sheetViews>
  <sheetFormatPr baseColWidth="10" defaultColWidth="9" defaultRowHeight="13.5" x14ac:dyDescent="0.35"/>
  <cols>
    <col min="1" max="1" width="20.453125" style="72" customWidth="1"/>
    <col min="2" max="2" width="11.54296875" style="73" bestFit="1" customWidth="1"/>
    <col min="3" max="3" width="12.90625" style="74" customWidth="1"/>
    <col min="4" max="4" width="12.26953125" style="74" customWidth="1"/>
    <col min="5" max="5" width="20.26953125" style="74" bestFit="1" customWidth="1"/>
    <col min="6" max="6" width="17.453125" style="72" customWidth="1"/>
    <col min="7" max="7" width="13.1796875" style="73" bestFit="1" customWidth="1"/>
    <col min="8" max="8" width="19" style="72" customWidth="1"/>
    <col min="9" max="9" width="12.81640625" style="75" bestFit="1" customWidth="1"/>
    <col min="10" max="10" width="14" style="76" bestFit="1" customWidth="1"/>
    <col min="11" max="11" width="11.7265625" style="76" bestFit="1" customWidth="1"/>
    <col min="12" max="16384" width="9" style="72"/>
  </cols>
  <sheetData>
    <row r="1" spans="1:11" s="57" customFormat="1" ht="56.25" customHeight="1" thickBot="1" x14ac:dyDescent="0.4">
      <c r="A1" s="77" t="s">
        <v>26</v>
      </c>
      <c r="B1" s="33" t="s">
        <v>58</v>
      </c>
      <c r="C1" s="33" t="s">
        <v>60</v>
      </c>
      <c r="D1" s="33" t="s">
        <v>59</v>
      </c>
      <c r="E1" s="33" t="s">
        <v>66</v>
      </c>
      <c r="F1" s="33" t="s">
        <v>55</v>
      </c>
      <c r="G1" s="34" t="s">
        <v>77</v>
      </c>
      <c r="H1" s="58" t="s">
        <v>78</v>
      </c>
      <c r="I1" s="59" t="s">
        <v>79</v>
      </c>
      <c r="J1" s="60" t="s">
        <v>71</v>
      </c>
      <c r="K1" s="60" t="s">
        <v>80</v>
      </c>
    </row>
    <row r="2" spans="1:11" s="67" customFormat="1" ht="28.15" customHeight="1" thickBot="1" x14ac:dyDescent="0.4">
      <c r="A2" s="61" t="s">
        <v>81</v>
      </c>
      <c r="B2" s="62">
        <f t="shared" ref="B2:H2" si="0">SUM(B3:B26)</f>
        <v>0</v>
      </c>
      <c r="C2" s="63">
        <f t="shared" si="0"/>
        <v>0</v>
      </c>
      <c r="D2" s="63">
        <f t="shared" si="0"/>
        <v>0</v>
      </c>
      <c r="E2" s="63">
        <f t="shared" si="0"/>
        <v>0</v>
      </c>
      <c r="F2" s="64">
        <f t="shared" si="0"/>
        <v>0</v>
      </c>
      <c r="G2" s="62" t="e">
        <f t="shared" ca="1" si="0"/>
        <v>#N/A</v>
      </c>
      <c r="H2" s="61" t="e">
        <f t="shared" ca="1" si="0"/>
        <v>#N/A</v>
      </c>
      <c r="I2" s="62" t="e">
        <f t="shared" ref="I2:I3" ca="1" si="1">B2-G2</f>
        <v>#N/A</v>
      </c>
      <c r="J2" s="65" t="str">
        <f t="shared" ref="J2:J3" ca="1" si="2">IFERROR(I2/B2,"")</f>
        <v/>
      </c>
      <c r="K2" s="66" t="str">
        <f ca="1">IFERROR(F2/H2,"")</f>
        <v/>
      </c>
    </row>
    <row r="3" spans="1:11" ht="20.149999999999999" customHeight="1" x14ac:dyDescent="0.35">
      <c r="A3" s="78" t="s">
        <v>49</v>
      </c>
      <c r="B3" s="68">
        <f>SUMPRODUCT(('Récaptitulatif Resa PARIS 2018'!$A$2:$A$38='Analyse par appartement'!$A3)*('Récaptitulatif Resa PARIS 2018'!$E$2:$E$38='Analyse par appartement'!$A$1)*('Récaptitulatif Resa PARIS 2018'!$B$2:$B$38='Analyse par appartement'!B$1)*('Récaptitulatif Resa PARIS 2018'!$I$2:$I$38))</f>
        <v>0</v>
      </c>
      <c r="C3" s="68">
        <f>SUMPRODUCT(('Récaptitulatif Resa PARIS 2018'!$A$2:$A$38='Analyse par appartement'!$A3)*('Récaptitulatif Resa PARIS 2018'!$E$2:$E$38='Analyse par appartement'!$A$1)*('Récaptitulatif Resa PARIS 2018'!$B$2:$B$38='Analyse par appartement'!C$1)*('Récaptitulatif Resa PARIS 2018'!$I$2:$I$38))</f>
        <v>0</v>
      </c>
      <c r="D3" s="68">
        <f>SUMPRODUCT(('Récaptitulatif Resa PARIS 2018'!$A$2:$A$38='Analyse par appartement'!$A3)*('Récaptitulatif Resa PARIS 2018'!$E$2:$E$38='Analyse par appartement'!$A$1)*('Récaptitulatif Resa PARIS 2018'!$B$2:$B$38='Analyse par appartement'!D$1)*('Récaptitulatif Resa PARIS 2018'!$I$2:$I$38))</f>
        <v>0</v>
      </c>
      <c r="E3" s="68">
        <f>SUMPRODUCT(('Récaptitulatif Resa PARIS 2018'!$A$2:$A$38='Analyse par appartement'!$A3)*('Récaptitulatif Resa PARIS 2018'!$E$2:$E$38='Analyse par appartement'!$A$1)*('Récaptitulatif Resa PARIS 2018'!$B$2:$B$38='Analyse par appartement'!E$1)*('Récaptitulatif Resa PARIS 2018'!$I$2:$I$38))</f>
        <v>0</v>
      </c>
      <c r="F3" s="69">
        <f>SUMPRODUCT(('Récaptitulatif Resa PARIS 2018'!$A$2:$A$38='Analyse par appartement'!$A3)*('Récaptitulatif Resa PARIS 2018'!$E$2:$E$38='Analyse par appartement'!$A$1)*('Récaptitulatif Resa PARIS 2018'!$H$2:$H$38))</f>
        <v>0</v>
      </c>
      <c r="G3" s="68" t="e">
        <f ca="1">INDIRECT("'Récaptitulatif Loyer Paris'!"&amp;ADDRESS(MATCH(A3,'Récaptitulatif Loyer Paris'!$A:$A,0),MATCH($A$1,'Récaptitulatif Loyer Paris'!$1:$1,0)+1,4))</f>
        <v>#N/A</v>
      </c>
      <c r="H3" s="69" t="e">
        <f ca="1">INDIRECT("'Récaptitulatif Loyer Paris'!"&amp;ADDRESS(MATCH(A3,'Récaptitulatif Loyer Paris'!$A:$A,0),MATCH($A$1,'Récaptitulatif Loyer Paris'!$1:$1,0),4))</f>
        <v>#N/A</v>
      </c>
      <c r="I3" s="68" t="e">
        <f t="shared" ca="1" si="1"/>
        <v>#N/A</v>
      </c>
      <c r="J3" s="70" t="str">
        <f t="shared" ca="1" si="2"/>
        <v/>
      </c>
      <c r="K3" s="71" t="str">
        <f t="shared" ref="K3" ca="1" si="3">IFERROR(F3/H3,"")</f>
        <v/>
      </c>
    </row>
    <row r="4" spans="1:11" ht="20.149999999999999" customHeight="1" x14ac:dyDescent="0.35">
      <c r="A4" s="78" t="s">
        <v>50</v>
      </c>
      <c r="B4" s="68">
        <f>SUMPRODUCT(('Récaptitulatif Resa PARIS 2018'!$A$2:$A$38='Analyse par appartement'!$A4)*('Récaptitulatif Resa PARIS 2018'!$E$2:$E$38='Analyse par appartement'!$A$1)*('Récaptitulatif Resa PARIS 2018'!$B$2:$B$38='Analyse par appartement'!B$1)*('Récaptitulatif Resa PARIS 2018'!$I$2:$I$38))</f>
        <v>0</v>
      </c>
      <c r="C4" s="68">
        <f>SUMPRODUCT(('Récaptitulatif Resa PARIS 2018'!$A$2:$A$38='Analyse par appartement'!$A4)*('Récaptitulatif Resa PARIS 2018'!$E$2:$E$38='Analyse par appartement'!$A$1)*('Récaptitulatif Resa PARIS 2018'!$B$2:$B$38='Analyse par appartement'!C$1)*('Récaptitulatif Resa PARIS 2018'!$I$2:$I$38))</f>
        <v>0</v>
      </c>
      <c r="D4" s="68">
        <f>SUMPRODUCT(('Récaptitulatif Resa PARIS 2018'!$A$2:$A$38='Analyse par appartement'!$A4)*('Récaptitulatif Resa PARIS 2018'!$E$2:$E$38='Analyse par appartement'!$A$1)*('Récaptitulatif Resa PARIS 2018'!$B$2:$B$38='Analyse par appartement'!D$1)*('Récaptitulatif Resa PARIS 2018'!$I$2:$I$38))</f>
        <v>0</v>
      </c>
      <c r="E4" s="68">
        <f>SUMPRODUCT(('Récaptitulatif Resa PARIS 2018'!$A$2:$A$38='Analyse par appartement'!$A4)*('Récaptitulatif Resa PARIS 2018'!$E$2:$E$38='Analyse par appartement'!$A$1)*('Récaptitulatif Resa PARIS 2018'!$B$2:$B$38='Analyse par appartement'!E$1)*('Récaptitulatif Resa PARIS 2018'!$I$2:$I$38))</f>
        <v>0</v>
      </c>
      <c r="F4" s="69">
        <f>SUMPRODUCT(('Récaptitulatif Resa PARIS 2018'!$A$2:$A$38='Analyse par appartement'!$A4)*('Récaptitulatif Resa PARIS 2018'!$E$2:$E$38='Analyse par appartement'!$A$1)*('Récaptitulatif Resa PARIS 2018'!$H$2:$H$38))</f>
        <v>0</v>
      </c>
      <c r="G4" s="68" t="e">
        <f ca="1">INDIRECT("'Récaptitulatif Loyer Paris'!"&amp;ADDRESS(MATCH(A4,'Récaptitulatif Loyer Paris'!$A:$A,0),MATCH($A$1,'Récaptitulatif Loyer Paris'!$1:$1,0)+1,4))</f>
        <v>#N/A</v>
      </c>
      <c r="H4" s="69" t="e">
        <f ca="1">INDIRECT("'Récaptitulatif Loyer Paris'!"&amp;ADDRESS(MATCH(A4,'Récaptitulatif Loyer Paris'!$A:$A,0),MATCH($A$1,'Récaptitulatif Loyer Paris'!$1:$1,0),4))</f>
        <v>#N/A</v>
      </c>
      <c r="I4" s="68" t="e">
        <f t="shared" ref="I4:I6" ca="1" si="4">B4-G4</f>
        <v>#N/A</v>
      </c>
      <c r="J4" s="70" t="str">
        <f t="shared" ref="J4:J6" ca="1" si="5">IFERROR(I4/B4,"")</f>
        <v/>
      </c>
      <c r="K4" s="71" t="str">
        <f t="shared" ref="K4:K6" ca="1" si="6">IFERROR(F4/H4,"")</f>
        <v/>
      </c>
    </row>
    <row r="5" spans="1:11" ht="20.149999999999999" customHeight="1" x14ac:dyDescent="0.35">
      <c r="A5" s="78" t="s">
        <v>51</v>
      </c>
      <c r="B5" s="68">
        <f>SUMPRODUCT(('Récaptitulatif Resa PARIS 2018'!$A$2:$A$38='Analyse par appartement'!$A5)*('Récaptitulatif Resa PARIS 2018'!$E$2:$E$38='Analyse par appartement'!$A$1)*('Récaptitulatif Resa PARIS 2018'!$B$2:$B$38='Analyse par appartement'!B$1)*('Récaptitulatif Resa PARIS 2018'!$I$2:$I$38))</f>
        <v>0</v>
      </c>
      <c r="C5" s="68">
        <f>SUMPRODUCT(('Récaptitulatif Resa PARIS 2018'!$A$2:$A$38='Analyse par appartement'!$A5)*('Récaptitulatif Resa PARIS 2018'!$E$2:$E$38='Analyse par appartement'!$A$1)*('Récaptitulatif Resa PARIS 2018'!$B$2:$B$38='Analyse par appartement'!C$1)*('Récaptitulatif Resa PARIS 2018'!$I$2:$I$38))</f>
        <v>0</v>
      </c>
      <c r="D5" s="68">
        <f>SUMPRODUCT(('Récaptitulatif Resa PARIS 2018'!$A$2:$A$38='Analyse par appartement'!$A5)*('Récaptitulatif Resa PARIS 2018'!$E$2:$E$38='Analyse par appartement'!$A$1)*('Récaptitulatif Resa PARIS 2018'!$B$2:$B$38='Analyse par appartement'!D$1)*('Récaptitulatif Resa PARIS 2018'!$I$2:$I$38))</f>
        <v>0</v>
      </c>
      <c r="E5" s="68">
        <f>SUMPRODUCT(('Récaptitulatif Resa PARIS 2018'!$A$2:$A$38='Analyse par appartement'!$A5)*('Récaptitulatif Resa PARIS 2018'!$E$2:$E$38='Analyse par appartement'!$A$1)*('Récaptitulatif Resa PARIS 2018'!$B$2:$B$38='Analyse par appartement'!E$1)*('Récaptitulatif Resa PARIS 2018'!$I$2:$I$38))</f>
        <v>0</v>
      </c>
      <c r="F5" s="69">
        <f>SUMPRODUCT(('Récaptitulatif Resa PARIS 2018'!$A$2:$A$38='Analyse par appartement'!$A5)*('Récaptitulatif Resa PARIS 2018'!$E$2:$E$38='Analyse par appartement'!$A$1)*('Récaptitulatif Resa PARIS 2018'!$H$2:$H$38))</f>
        <v>0</v>
      </c>
      <c r="G5" s="68" t="e">
        <f ca="1">INDIRECT("'Récaptitulatif Loyer Paris'!"&amp;ADDRESS(MATCH(A5,'Récaptitulatif Loyer Paris'!$A:$A,0),MATCH($A$1,'Récaptitulatif Loyer Paris'!$1:$1,0)+1,4))</f>
        <v>#N/A</v>
      </c>
      <c r="H5" s="69" t="e">
        <f ca="1">INDIRECT("'Récaptitulatif Loyer Paris'!"&amp;ADDRESS(MATCH(A5,'Récaptitulatif Loyer Paris'!$A:$A,0),MATCH($A$1,'Récaptitulatif Loyer Paris'!$1:$1,0),4))</f>
        <v>#N/A</v>
      </c>
      <c r="I5" s="68" t="e">
        <f t="shared" ca="1" si="4"/>
        <v>#N/A</v>
      </c>
      <c r="J5" s="70" t="str">
        <f t="shared" ca="1" si="5"/>
        <v/>
      </c>
      <c r="K5" s="71" t="str">
        <f t="shared" ca="1" si="6"/>
        <v/>
      </c>
    </row>
    <row r="6" spans="1:11" ht="20.149999999999999" customHeight="1" x14ac:dyDescent="0.35">
      <c r="A6" s="78" t="s">
        <v>52</v>
      </c>
      <c r="B6" s="68">
        <f>SUMPRODUCT(('Récaptitulatif Resa PARIS 2018'!$A$2:$A$38='Analyse par appartement'!$A6)*('Récaptitulatif Resa PARIS 2018'!$E$2:$E$38='Analyse par appartement'!$A$1)*('Récaptitulatif Resa PARIS 2018'!$B$2:$B$38='Analyse par appartement'!B$1)*('Récaptitulatif Resa PARIS 2018'!$I$2:$I$38))</f>
        <v>0</v>
      </c>
      <c r="C6" s="68">
        <f>SUMPRODUCT(('Récaptitulatif Resa PARIS 2018'!$A$2:$A$38='Analyse par appartement'!$A6)*('Récaptitulatif Resa PARIS 2018'!$E$2:$E$38='Analyse par appartement'!$A$1)*('Récaptitulatif Resa PARIS 2018'!$B$2:$B$38='Analyse par appartement'!C$1)*('Récaptitulatif Resa PARIS 2018'!$I$2:$I$38))</f>
        <v>0</v>
      </c>
      <c r="D6" s="68">
        <f>SUMPRODUCT(('Récaptitulatif Resa PARIS 2018'!$A$2:$A$38='Analyse par appartement'!$A6)*('Récaptitulatif Resa PARIS 2018'!$E$2:$E$38='Analyse par appartement'!$A$1)*('Récaptitulatif Resa PARIS 2018'!$B$2:$B$38='Analyse par appartement'!D$1)*('Récaptitulatif Resa PARIS 2018'!$I$2:$I$38))</f>
        <v>0</v>
      </c>
      <c r="E6" s="68">
        <f>SUMPRODUCT(('Récaptitulatif Resa PARIS 2018'!$A$2:$A$38='Analyse par appartement'!$A6)*('Récaptitulatif Resa PARIS 2018'!$E$2:$E$38='Analyse par appartement'!$A$1)*('Récaptitulatif Resa PARIS 2018'!$B$2:$B$38='Analyse par appartement'!E$1)*('Récaptitulatif Resa PARIS 2018'!$I$2:$I$38))</f>
        <v>0</v>
      </c>
      <c r="F6" s="69">
        <f>SUMPRODUCT(('Récaptitulatif Resa PARIS 2018'!$A$2:$A$38='Analyse par appartement'!$A6)*('Récaptitulatif Resa PARIS 2018'!$E$2:$E$38='Analyse par appartement'!$A$1)*('Récaptitulatif Resa PARIS 2018'!$H$2:$H$38))</f>
        <v>0</v>
      </c>
      <c r="G6" s="68" t="e">
        <f ca="1">INDIRECT("'Récaptitulatif Loyer Paris'!"&amp;ADDRESS(MATCH(A6,'Récaptitulatif Loyer Paris'!$A:$A,0),MATCH($A$1,'Récaptitulatif Loyer Paris'!$1:$1,0)+1,4))</f>
        <v>#N/A</v>
      </c>
      <c r="H6" s="69" t="e">
        <f ca="1">INDIRECT("'Récaptitulatif Loyer Paris'!"&amp;ADDRESS(MATCH(A6,'Récaptitulatif Loyer Paris'!$A:$A,0),MATCH($A$1,'Récaptitulatif Loyer Paris'!$1:$1,0),4))</f>
        <v>#N/A</v>
      </c>
      <c r="I6" s="68" t="e">
        <f t="shared" ca="1" si="4"/>
        <v>#N/A</v>
      </c>
      <c r="J6" s="70" t="str">
        <f t="shared" ca="1" si="5"/>
        <v/>
      </c>
      <c r="K6" s="71" t="str">
        <f t="shared" ca="1" si="6"/>
        <v/>
      </c>
    </row>
    <row r="7" spans="1:11" ht="20.149999999999999" customHeight="1" x14ac:dyDescent="0.35">
      <c r="J7" s="76" t="str">
        <f>IFERROR(#REF!/G7,"")</f>
        <v/>
      </c>
      <c r="K7" s="76" t="str">
        <f>IFERROR(F7/#REF!,"")</f>
        <v/>
      </c>
    </row>
    <row r="8" spans="1:11" ht="20.149999999999999" customHeight="1" x14ac:dyDescent="0.35">
      <c r="J8" s="76" t="str">
        <f>IFERROR(#REF!/G8,"")</f>
        <v/>
      </c>
      <c r="K8" s="76" t="str">
        <f>IFERROR(F8/#REF!,"")</f>
        <v/>
      </c>
    </row>
    <row r="9" spans="1:11" ht="20.149999999999999" customHeight="1" x14ac:dyDescent="0.35">
      <c r="J9" s="76" t="str">
        <f>IFERROR(#REF!/G9,"")</f>
        <v/>
      </c>
      <c r="K9" s="76" t="str">
        <f>IFERROR(F9/#REF!,"")</f>
        <v/>
      </c>
    </row>
    <row r="10" spans="1:11" ht="20.149999999999999" customHeight="1" x14ac:dyDescent="0.35">
      <c r="J10" s="67" t="str">
        <f>IFERROR(#REF!/G10,"")</f>
        <v/>
      </c>
      <c r="K10" s="67" t="str">
        <f>IFERROR(F10/#REF!,"")</f>
        <v/>
      </c>
    </row>
    <row r="11" spans="1:11" ht="20.149999999999999" customHeight="1" x14ac:dyDescent="0.35">
      <c r="J11" s="67" t="str">
        <f>IFERROR(#REF!/G11,"")</f>
        <v/>
      </c>
      <c r="K11" s="67" t="str">
        <f>IFERROR(F11/#REF!,"")</f>
        <v/>
      </c>
    </row>
    <row r="12" spans="1:11" ht="20.149999999999999" customHeight="1" x14ac:dyDescent="0.35">
      <c r="J12" s="67" t="str">
        <f>IFERROR(#REF!/G12,"")</f>
        <v/>
      </c>
      <c r="K12" s="67" t="str">
        <f>IFERROR(F12/#REF!,"")</f>
        <v/>
      </c>
    </row>
    <row r="13" spans="1:11" ht="20.149999999999999" customHeight="1" x14ac:dyDescent="0.35">
      <c r="J13" s="67" t="str">
        <f>IFERROR(#REF!/G13,"")</f>
        <v/>
      </c>
      <c r="K13" s="67" t="str">
        <f>IFERROR(F13/#REF!,"")</f>
        <v/>
      </c>
    </row>
    <row r="14" spans="1:11" ht="20.149999999999999" customHeight="1" x14ac:dyDescent="0.35"/>
    <row r="15" spans="1:11" ht="20.149999999999999" customHeight="1" x14ac:dyDescent="0.35"/>
    <row r="16" spans="1:11" ht="20.149999999999999" customHeight="1" x14ac:dyDescent="0.35"/>
    <row r="17" ht="20.149999999999999" customHeight="1" x14ac:dyDescent="0.35"/>
    <row r="18" ht="20.149999999999999" customHeight="1" x14ac:dyDescent="0.35"/>
    <row r="19" ht="20.149999999999999" customHeight="1" x14ac:dyDescent="0.35"/>
    <row r="20" ht="20.149999999999999" customHeight="1" x14ac:dyDescent="0.35"/>
    <row r="21" ht="20.149999999999999" customHeight="1" x14ac:dyDescent="0.35"/>
    <row r="22" ht="20.149999999999999" customHeight="1" x14ac:dyDescent="0.35"/>
    <row r="23" ht="20.149999999999999" customHeight="1" x14ac:dyDescent="0.35"/>
    <row r="24" ht="20.149999999999999" customHeight="1" x14ac:dyDescent="0.35"/>
    <row r="25" ht="20.149999999999999" customHeight="1" x14ac:dyDescent="0.35"/>
    <row r="26" ht="20.149999999999999" customHeight="1" x14ac:dyDescent="0.35"/>
    <row r="27" ht="20.149999999999999" customHeight="1" x14ac:dyDescent="0.35"/>
    <row r="28" ht="20.149999999999999" customHeight="1" x14ac:dyDescent="0.35"/>
    <row r="29" ht="20.149999999999999" customHeight="1" x14ac:dyDescent="0.35"/>
    <row r="30" ht="20.149999999999999" customHeight="1" x14ac:dyDescent="0.35"/>
  </sheetData>
  <conditionalFormatting sqref="I1:I1048576">
    <cfRule type="cellIs" dxfId="6" priority="6" operator="between">
      <formula>200</formula>
      <formula>0</formula>
    </cfRule>
    <cfRule type="cellIs" dxfId="5" priority="7" operator="lessThan">
      <formula>0</formula>
    </cfRule>
  </conditionalFormatting>
  <conditionalFormatting sqref="I2:I14">
    <cfRule type="cellIs" dxfId="4" priority="5" operator="greaterThan">
      <formula>1000</formula>
    </cfRule>
  </conditionalFormatting>
  <conditionalFormatting sqref="I2:I29">
    <cfRule type="cellIs" dxfId="3" priority="4" operator="between">
      <formula>201</formula>
      <formula>1000</formula>
    </cfRule>
  </conditionalFormatting>
  <conditionalFormatting sqref="K1:K1048576">
    <cfRule type="cellIs" dxfId="2" priority="2" operator="between">
      <formula>0.51</formula>
      <formula>0.8</formula>
    </cfRule>
    <cfRule type="cellIs" dxfId="1" priority="3" operator="lessThan">
      <formula>50.01%</formula>
    </cfRule>
  </conditionalFormatting>
  <conditionalFormatting sqref="K2:K16">
    <cfRule type="cellIs" dxfId="0" priority="1" operator="greaterThan">
      <formula>0.805</formula>
    </cfRule>
  </conditionalFormatting>
  <dataValidations count="2">
    <dataValidation type="list" allowBlank="1" showInputMessage="1" showErrorMessage="1" sqref="A1" xr:uid="{00000000-0002-0000-0500-000000000000}">
      <formula1>Mois</formula1>
    </dataValidation>
    <dataValidation type="list" allowBlank="1" showInputMessage="1" showErrorMessage="1" sqref="A3:A6" xr:uid="{00000000-0002-0000-0500-000001000000}">
      <formula1>Appartements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2"/>
  <sheetViews>
    <sheetView tabSelected="1" workbookViewId="0">
      <selection activeCell="J41" sqref="J41"/>
    </sheetView>
  </sheetViews>
  <sheetFormatPr baseColWidth="10" defaultColWidth="8.7265625" defaultRowHeight="14.5" x14ac:dyDescent="0.35"/>
  <cols>
    <col min="1" max="2" width="16.7265625" bestFit="1" customWidth="1"/>
  </cols>
  <sheetData>
    <row r="1" spans="1:1" x14ac:dyDescent="0.35">
      <c r="A1" s="24" t="s">
        <v>82</v>
      </c>
    </row>
    <row r="2" spans="1:1" x14ac:dyDescent="0.35">
      <c r="A2" s="31" t="s">
        <v>108</v>
      </c>
    </row>
    <row r="3" spans="1:1" x14ac:dyDescent="0.35">
      <c r="A3" s="31" t="s">
        <v>86</v>
      </c>
    </row>
    <row r="4" spans="1:1" x14ac:dyDescent="0.35">
      <c r="A4" s="31" t="s">
        <v>101</v>
      </c>
    </row>
    <row r="5" spans="1:1" x14ac:dyDescent="0.35">
      <c r="A5" s="31" t="s">
        <v>14</v>
      </c>
    </row>
    <row r="6" spans="1:1" x14ac:dyDescent="0.35">
      <c r="A6" s="31" t="s">
        <v>91</v>
      </c>
    </row>
    <row r="7" spans="1:1" x14ac:dyDescent="0.35">
      <c r="A7" s="31" t="s">
        <v>74</v>
      </c>
    </row>
    <row r="8" spans="1:1" x14ac:dyDescent="0.35">
      <c r="A8" s="31" t="s">
        <v>97</v>
      </c>
    </row>
    <row r="9" spans="1:1" x14ac:dyDescent="0.35">
      <c r="A9" s="31" t="s">
        <v>87</v>
      </c>
    </row>
    <row r="10" spans="1:1" x14ac:dyDescent="0.35">
      <c r="A10" s="31" t="s">
        <v>37</v>
      </c>
    </row>
    <row r="11" spans="1:1" x14ac:dyDescent="0.35">
      <c r="A11" s="31" t="s">
        <v>50</v>
      </c>
    </row>
    <row r="12" spans="1:1" x14ac:dyDescent="0.35">
      <c r="A12" s="31" t="s">
        <v>107</v>
      </c>
    </row>
    <row r="13" spans="1:1" x14ac:dyDescent="0.35">
      <c r="A13" s="31" t="s">
        <v>90</v>
      </c>
    </row>
    <row r="14" spans="1:1" x14ac:dyDescent="0.35">
      <c r="A14" s="31" t="s">
        <v>16</v>
      </c>
    </row>
    <row r="15" spans="1:1" x14ac:dyDescent="0.35">
      <c r="A15" s="31" t="s">
        <v>99</v>
      </c>
    </row>
    <row r="16" spans="1:1" x14ac:dyDescent="0.35">
      <c r="A16" s="31" t="s">
        <v>100</v>
      </c>
    </row>
    <row r="17" spans="1:1" x14ac:dyDescent="0.35">
      <c r="A17" s="31" t="s">
        <v>94</v>
      </c>
    </row>
    <row r="18" spans="1:1" x14ac:dyDescent="0.35">
      <c r="A18" s="31" t="s">
        <v>84</v>
      </c>
    </row>
    <row r="19" spans="1:1" x14ac:dyDescent="0.35">
      <c r="A19" s="31" t="s">
        <v>48</v>
      </c>
    </row>
    <row r="20" spans="1:1" x14ac:dyDescent="0.35">
      <c r="A20" s="31" t="s">
        <v>88</v>
      </c>
    </row>
    <row r="21" spans="1:1" x14ac:dyDescent="0.35">
      <c r="A21" s="31" t="s">
        <v>109</v>
      </c>
    </row>
    <row r="22" spans="1:1" x14ac:dyDescent="0.35">
      <c r="A22" s="31" t="s">
        <v>73</v>
      </c>
    </row>
    <row r="23" spans="1:1" x14ac:dyDescent="0.35">
      <c r="A23" s="31" t="s">
        <v>75</v>
      </c>
    </row>
    <row r="24" spans="1:1" x14ac:dyDescent="0.35">
      <c r="A24" s="31" t="s">
        <v>93</v>
      </c>
    </row>
    <row r="25" spans="1:1" x14ac:dyDescent="0.35">
      <c r="A25" s="31" t="s">
        <v>104</v>
      </c>
    </row>
    <row r="26" spans="1:1" x14ac:dyDescent="0.35">
      <c r="A26" s="31" t="s">
        <v>106</v>
      </c>
    </row>
    <row r="27" spans="1:1" x14ac:dyDescent="0.35">
      <c r="A27" s="31" t="s">
        <v>103</v>
      </c>
    </row>
    <row r="28" spans="1:1" x14ac:dyDescent="0.35">
      <c r="A28" s="31" t="s">
        <v>111</v>
      </c>
    </row>
    <row r="29" spans="1:1" x14ac:dyDescent="0.35">
      <c r="A29" s="31" t="s">
        <v>33</v>
      </c>
    </row>
    <row r="30" spans="1:1" x14ac:dyDescent="0.35">
      <c r="A30" s="31" t="s">
        <v>85</v>
      </c>
    </row>
    <row r="31" spans="1:1" x14ac:dyDescent="0.35">
      <c r="A31" s="31" t="s">
        <v>96</v>
      </c>
    </row>
    <row r="32" spans="1:1" x14ac:dyDescent="0.35">
      <c r="A32" s="31" t="s">
        <v>98</v>
      </c>
    </row>
    <row r="33" spans="1:1" x14ac:dyDescent="0.35">
      <c r="A33" s="31" t="s">
        <v>49</v>
      </c>
    </row>
    <row r="34" spans="1:1" x14ac:dyDescent="0.35">
      <c r="A34" s="31" t="s">
        <v>92</v>
      </c>
    </row>
    <row r="35" spans="1:1" x14ac:dyDescent="0.35">
      <c r="A35" s="31" t="s">
        <v>102</v>
      </c>
    </row>
    <row r="36" spans="1:1" x14ac:dyDescent="0.35">
      <c r="A36" s="31" t="s">
        <v>105</v>
      </c>
    </row>
    <row r="37" spans="1:1" x14ac:dyDescent="0.35">
      <c r="A37" s="31" t="s">
        <v>83</v>
      </c>
    </row>
    <row r="38" spans="1:1" x14ac:dyDescent="0.35">
      <c r="A38" s="31" t="s">
        <v>7</v>
      </c>
    </row>
    <row r="39" spans="1:1" x14ac:dyDescent="0.35">
      <c r="A39" s="31" t="s">
        <v>89</v>
      </c>
    </row>
    <row r="40" spans="1:1" x14ac:dyDescent="0.35">
      <c r="A40" s="31" t="s">
        <v>110</v>
      </c>
    </row>
    <row r="41" spans="1:1" x14ac:dyDescent="0.35">
      <c r="A41" s="31" t="s">
        <v>95</v>
      </c>
    </row>
    <row r="42" spans="1:1" x14ac:dyDescent="0.35">
      <c r="A42" s="31" t="s">
        <v>43</v>
      </c>
    </row>
  </sheetData>
  <sortState ref="B2:B103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Mois de gestion</vt:lpstr>
      <vt:lpstr>Récaptitulatif Loyer Paris</vt:lpstr>
      <vt:lpstr>Récaptitulatif Resa PARIS 2018</vt:lpstr>
      <vt:lpstr>Comptabilité PARIS 2018</vt:lpstr>
      <vt:lpstr>Analyse Global PARIS </vt:lpstr>
      <vt:lpstr>Analyse par appartement</vt:lpstr>
      <vt:lpstr>Appartements</vt:lpstr>
      <vt:lpstr>Mois</vt:lpstr>
    </vt:vector>
  </TitlesOfParts>
  <Company>IUT PARIS DESCARTES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vassoux</dc:creator>
  <cp:lastModifiedBy>Thibault Martin</cp:lastModifiedBy>
  <dcterms:created xsi:type="dcterms:W3CDTF">2016-09-14T15:49:27Z</dcterms:created>
  <dcterms:modified xsi:type="dcterms:W3CDTF">2018-01-24T12:37:18Z</dcterms:modified>
</cp:coreProperties>
</file>