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comments5.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comments6.xml" ContentType="application/vnd.openxmlformats-officedocument.spreadsheetml.comments+xml"/>
  <Override PartName="/xl/drawings/drawing9.xml" ContentType="application/vnd.openxmlformats-officedocument.drawing+xml"/>
  <Override PartName="/xl/comments7.xml" ContentType="application/vnd.openxmlformats-officedocument.spreadsheetml.comments+xml"/>
  <Override PartName="/xl/drawings/drawing10.xml" ContentType="application/vnd.openxmlformats-officedocument.drawing+xml"/>
  <Override PartName="/xl/comments8.xml" ContentType="application/vnd.openxmlformats-officedocument.spreadsheetml.comments+xml"/>
  <Override PartName="/xl/drawings/drawing11.xml" ContentType="application/vnd.openxmlformats-officedocument.drawing+xml"/>
  <Override PartName="/xl/comments9.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V.DEGREVE\Desktop\Bilan PA\2019\Point 1\"/>
    </mc:Choice>
  </mc:AlternateContent>
  <workbookProtection workbookAlgorithmName="SHA-512" workbookHashValue="5Csbo1o1LFYRip1tN1S+tJNi4it7b1+uwBn15ZTlVl/Q+Fp00TVXKAxJ87B4V95KY0Jr1JiZ3hLQF6AD6IjLQw==" workbookSaltValue="I9iznCG/faJeJbUc8L8HYA==" workbookSpinCount="100000" lockStructure="1"/>
  <bookViews>
    <workbookView xWindow="0" yWindow="0" windowWidth="20490" windowHeight="7755" tabRatio="966"/>
  </bookViews>
  <sheets>
    <sheet name="Données" sheetId="6" r:id="rId1"/>
    <sheet name="Phase GPA" sheetId="2" r:id="rId2"/>
    <sheet name="Bilan final GPA HN" sheetId="4" r:id="rId3"/>
    <sheet name="Bilan final GPA HR" sheetId="9" r:id="rId4"/>
    <sheet name="Bilan final GPA OF" sheetId="10" r:id="rId5"/>
    <sheet name="Bilan final GPA IE" sheetId="15" r:id="rId6"/>
    <sheet name="Plan d'actions" sheetId="7" r:id="rId7"/>
    <sheet name="Onglet vierge" sheetId="17" r:id="rId8"/>
    <sheet name="Indicateurs" sheetId="14" r:id="rId9"/>
    <sheet name="Bilan intermédiaire GPA HN" sheetId="11" state="hidden" r:id="rId10"/>
    <sheet name="Bilan intermédiaire GPA HR" sheetId="12" state="hidden" r:id="rId11"/>
    <sheet name="Bilan intermédiaire GPA OF" sheetId="13" state="hidden" r:id="rId12"/>
    <sheet name="Bilan intermédiaire GPA IE" sheetId="16" state="hidden" r:id="rId13"/>
    <sheet name="Feuille Saisie" sheetId="8" state="hidden" r:id="rId14"/>
  </sheets>
  <definedNames>
    <definedName name="DateReunion">'Feuille Saisie'!$B$4</definedName>
    <definedName name="Liste" localSheetId="3">#REF!</definedName>
    <definedName name="Liste" localSheetId="5">#REF!</definedName>
    <definedName name="Liste" localSheetId="4">#REF!</definedName>
    <definedName name="Liste" localSheetId="9">#REF!</definedName>
    <definedName name="Liste" localSheetId="10">#REF!</definedName>
    <definedName name="Liste" localSheetId="12">#REF!</definedName>
    <definedName name="Liste" localSheetId="11">#REF!</definedName>
    <definedName name="Liste" localSheetId="8">#REF!</definedName>
    <definedName name="Liste">#REF!</definedName>
    <definedName name="NomAgence">'Feuille Saisie'!$B$3</definedName>
    <definedName name="Nomdesdestinataires">'Feuille Saisie'!$B$6</definedName>
    <definedName name="nomdesprésents">'Feuille Saisie'!$B$5</definedName>
    <definedName name="Print_Area" localSheetId="2">'Bilan final GPA HN'!$A$1:$R$50</definedName>
    <definedName name="Print_Area" localSheetId="3">'Bilan final GPA HR'!$A$1:$R$50</definedName>
    <definedName name="Print_Area" localSheetId="5">'Bilan final GPA IE'!$A$1:$R$50</definedName>
    <definedName name="Print_Area" localSheetId="4">'Bilan final GPA OF'!$A$1:$R$50</definedName>
    <definedName name="Print_Area" localSheetId="9">'Bilan intermédiaire GPA HN'!$A$1:$R$50</definedName>
    <definedName name="Print_Area" localSheetId="10">'Bilan intermédiaire GPA HR'!$A$1:$R$50</definedName>
    <definedName name="Print_Area" localSheetId="12">'Bilan intermédiaire GPA IE'!$A$1:$R$50</definedName>
    <definedName name="Print_Area" localSheetId="11">'Bilan intermédiaire GPA OF'!$A$1:$R$50</definedName>
    <definedName name="Print_Area" localSheetId="0">Données!$B$1:$N$39</definedName>
    <definedName name="Print_Area" localSheetId="1">'Phase GPA'!$A$1:$W$51</definedName>
    <definedName name="_xlnm.Print_Area" localSheetId="2">'Bilan final GPA HN'!$A$1:$R$53</definedName>
    <definedName name="_xlnm.Print_Area" localSheetId="3">'Bilan final GPA HR'!$A$1:$R$53</definedName>
    <definedName name="_xlnm.Print_Area" localSheetId="5">'Bilan final GPA IE'!$A$1:$R$53</definedName>
    <definedName name="_xlnm.Print_Area" localSheetId="4">'Bilan final GPA OF'!$A$1:$R$53</definedName>
    <definedName name="_xlnm.Print_Area" localSheetId="9">'Bilan intermédiaire GPA HN'!$A$1:$R$50</definedName>
    <definedName name="_xlnm.Print_Area" localSheetId="10">'Bilan intermédiaire GPA HR'!$A$1:$R$50</definedName>
    <definedName name="_xlnm.Print_Area" localSheetId="12">'Bilan intermédiaire GPA IE'!$A$1:$R$50</definedName>
    <definedName name="_xlnm.Print_Area" localSheetId="11">'Bilan intermédiaire GPA OF'!$A$1:$R$50</definedName>
    <definedName name="_xlnm.Print_Area" localSheetId="0">Données!$A$1:$O$47</definedName>
    <definedName name="_xlnm.Print_Area" localSheetId="1">'Phase GPA'!$A$1:$W$53</definedName>
    <definedName name="_xlnm.Print_Area" localSheetId="6">'Plan d''actions'!$A$1:$L$40</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 i="14" l="1"/>
  <c r="G34" i="14" l="1"/>
  <c r="B34" i="14"/>
  <c r="DM43" i="2" l="1"/>
  <c r="DM42" i="2"/>
  <c r="DM41" i="2"/>
  <c r="DM40" i="2"/>
  <c r="DM39" i="2"/>
  <c r="DM38" i="2"/>
  <c r="DM37" i="2"/>
  <c r="DM36" i="2"/>
  <c r="DM35" i="2"/>
  <c r="DM34" i="2"/>
  <c r="DM33" i="2"/>
  <c r="DM32" i="2"/>
  <c r="DM31" i="2"/>
  <c r="DM30" i="2"/>
  <c r="DM29" i="2"/>
  <c r="DL43" i="2" l="1"/>
  <c r="DL42" i="2"/>
  <c r="DL41" i="2"/>
  <c r="DL40" i="2"/>
  <c r="DL39" i="2"/>
  <c r="DL38" i="2"/>
  <c r="DL37" i="2"/>
  <c r="DL36" i="2"/>
  <c r="DL35" i="2"/>
  <c r="DL34" i="2"/>
  <c r="DL33" i="2"/>
  <c r="DL32" i="2"/>
  <c r="DL31" i="2"/>
  <c r="DL30" i="2"/>
  <c r="DL29" i="2"/>
  <c r="EF43" i="2" l="1"/>
  <c r="EA43" i="2"/>
  <c r="EB43" i="2" s="1"/>
  <c r="EF42" i="2"/>
  <c r="EA42" i="2"/>
  <c r="ED42" i="2" s="1"/>
  <c r="EF41" i="2"/>
  <c r="EA41" i="2"/>
  <c r="EB41" i="2" s="1"/>
  <c r="EF40" i="2"/>
  <c r="EA40" i="2"/>
  <c r="ED40" i="2" s="1"/>
  <c r="EF39" i="2"/>
  <c r="EA39" i="2"/>
  <c r="EB39" i="2" s="1"/>
  <c r="EF38" i="2"/>
  <c r="EA38" i="2"/>
  <c r="ED38" i="2" s="1"/>
  <c r="EA37" i="2"/>
  <c r="EB37" i="2" s="1"/>
  <c r="EF36" i="2"/>
  <c r="EA36" i="2"/>
  <c r="ED36" i="2" s="1"/>
  <c r="EA35" i="2"/>
  <c r="EB35" i="2" s="1"/>
  <c r="EA34" i="2"/>
  <c r="ED34" i="2" s="1"/>
  <c r="EA33" i="2"/>
  <c r="EB33" i="2" s="1"/>
  <c r="EA32" i="2"/>
  <c r="ED32" i="2" s="1"/>
  <c r="EA31" i="2"/>
  <c r="EA30" i="2"/>
  <c r="ED30" i="2" s="1"/>
  <c r="EA29" i="2"/>
  <c r="EE29" i="2" s="1"/>
  <c r="ED31" i="2" l="1"/>
  <c r="ED39" i="2"/>
  <c r="ED35" i="2"/>
  <c r="EB29" i="2"/>
  <c r="EC33" i="2"/>
  <c r="EC37" i="2"/>
  <c r="EC41" i="2"/>
  <c r="ED29" i="2"/>
  <c r="ED33" i="2"/>
  <c r="ED41" i="2"/>
  <c r="EC31" i="2"/>
  <c r="EC35" i="2"/>
  <c r="EC39" i="2"/>
  <c r="EE30" i="2"/>
  <c r="EE32" i="2"/>
  <c r="EE34" i="2"/>
  <c r="EE36" i="2"/>
  <c r="EE38" i="2"/>
  <c r="EE40" i="2"/>
  <c r="EE42" i="2"/>
  <c r="EC43" i="2"/>
  <c r="EB32" i="2"/>
  <c r="EB34" i="2"/>
  <c r="EB36" i="2"/>
  <c r="EB38" i="2"/>
  <c r="EB40" i="2"/>
  <c r="EB42" i="2"/>
  <c r="ED43" i="2"/>
  <c r="EC30" i="2"/>
  <c r="EE31" i="2"/>
  <c r="EC32" i="2"/>
  <c r="EE33" i="2"/>
  <c r="EC34" i="2"/>
  <c r="EE35" i="2"/>
  <c r="EC36" i="2"/>
  <c r="EE37" i="2"/>
  <c r="EC38" i="2"/>
  <c r="EE39" i="2"/>
  <c r="EC40" i="2"/>
  <c r="EE41" i="2"/>
  <c r="EC42" i="2"/>
  <c r="EE43" i="2"/>
  <c r="B2" i="14"/>
  <c r="G32" i="14" l="1"/>
  <c r="G30" i="14"/>
  <c r="G28" i="14"/>
  <c r="B32" i="14"/>
  <c r="B30" i="14"/>
  <c r="B28" i="14"/>
  <c r="G26" i="14"/>
  <c r="B26" i="14"/>
  <c r="CZ43" i="2" l="1"/>
  <c r="CY43" i="2"/>
  <c r="CZ42" i="2"/>
  <c r="CY42" i="2"/>
  <c r="CZ41" i="2"/>
  <c r="CY41" i="2"/>
  <c r="CZ40" i="2"/>
  <c r="CY40" i="2"/>
  <c r="CZ39" i="2"/>
  <c r="CY39" i="2"/>
  <c r="CZ38" i="2"/>
  <c r="CY38" i="2"/>
  <c r="CZ36" i="2"/>
  <c r="CY36" i="2"/>
  <c r="AL43" i="2" l="1"/>
  <c r="AK43" i="2"/>
  <c r="AL42" i="2"/>
  <c r="AK42" i="2"/>
  <c r="AL41" i="2"/>
  <c r="AK41" i="2"/>
  <c r="AL40" i="2"/>
  <c r="AK40" i="2"/>
  <c r="AL39" i="2"/>
  <c r="AK39" i="2"/>
  <c r="AL38" i="2"/>
  <c r="AK38" i="2"/>
  <c r="AL37" i="2"/>
  <c r="AK37" i="2"/>
  <c r="AL36" i="2"/>
  <c r="AK36" i="2"/>
  <c r="AL35" i="2"/>
  <c r="AK35" i="2"/>
  <c r="AL34" i="2"/>
  <c r="AK34" i="2"/>
  <c r="AL33" i="2"/>
  <c r="AK33" i="2"/>
  <c r="AL32" i="2"/>
  <c r="AK32" i="2"/>
  <c r="AL31" i="2"/>
  <c r="AK31" i="2"/>
  <c r="AL30" i="2"/>
  <c r="AK30" i="2"/>
  <c r="AL29" i="2"/>
  <c r="DI43" i="2" l="1"/>
  <c r="DG43" i="2"/>
  <c r="DI42" i="2"/>
  <c r="DG42" i="2"/>
  <c r="DI41" i="2"/>
  <c r="DG41" i="2"/>
  <c r="DI40" i="2"/>
  <c r="DG40" i="2"/>
  <c r="DI39" i="2"/>
  <c r="DG39" i="2"/>
  <c r="DI38" i="2"/>
  <c r="DG38" i="2"/>
  <c r="DI37" i="2"/>
  <c r="DG37" i="2"/>
  <c r="DI36" i="2"/>
  <c r="DG36" i="2"/>
  <c r="DI35" i="2"/>
  <c r="DG35" i="2"/>
  <c r="DI34" i="2"/>
  <c r="DG34" i="2"/>
  <c r="DI33" i="2"/>
  <c r="DG33" i="2"/>
  <c r="DI32" i="2"/>
  <c r="DG32" i="2"/>
  <c r="DI31" i="2"/>
  <c r="DG31" i="2"/>
  <c r="DI30" i="2"/>
  <c r="DG30" i="2"/>
  <c r="DG29" i="2" l="1"/>
  <c r="DI29" i="2"/>
  <c r="DF43" i="2" l="1"/>
  <c r="DD43" i="2"/>
  <c r="DC43" i="2"/>
  <c r="DN43" i="2" s="1"/>
  <c r="DO43" i="2" s="1"/>
  <c r="DB43" i="2"/>
  <c r="DF42" i="2"/>
  <c r="DD42" i="2"/>
  <c r="DC42" i="2"/>
  <c r="DN42" i="2" s="1"/>
  <c r="DO42" i="2" s="1"/>
  <c r="DB42" i="2"/>
  <c r="DF41" i="2"/>
  <c r="DD41" i="2"/>
  <c r="DC41" i="2"/>
  <c r="DB41" i="2"/>
  <c r="DF40" i="2"/>
  <c r="DD40" i="2"/>
  <c r="DC40" i="2"/>
  <c r="DN40" i="2" s="1"/>
  <c r="DO40" i="2" s="1"/>
  <c r="DB40" i="2"/>
  <c r="DF39" i="2"/>
  <c r="DD39" i="2"/>
  <c r="DC39" i="2"/>
  <c r="DN39" i="2" s="1"/>
  <c r="DO39" i="2" s="1"/>
  <c r="DB39" i="2"/>
  <c r="DF38" i="2"/>
  <c r="DD38" i="2"/>
  <c r="DC38" i="2"/>
  <c r="DN38" i="2" s="1"/>
  <c r="DO38" i="2" s="1"/>
  <c r="DB38" i="2"/>
  <c r="DF37" i="2"/>
  <c r="DD37" i="2"/>
  <c r="DC37" i="2"/>
  <c r="DN37" i="2" s="1"/>
  <c r="DB37" i="2"/>
  <c r="DF36" i="2"/>
  <c r="DD36" i="2"/>
  <c r="DC36" i="2"/>
  <c r="DN36" i="2" s="1"/>
  <c r="DO36" i="2" s="1"/>
  <c r="DB36" i="2"/>
  <c r="DF35" i="2"/>
  <c r="DD35" i="2"/>
  <c r="DC35" i="2"/>
  <c r="DN35" i="2" s="1"/>
  <c r="DO35" i="2" s="1"/>
  <c r="DB35" i="2"/>
  <c r="DF34" i="2"/>
  <c r="DD34" i="2"/>
  <c r="DC34" i="2"/>
  <c r="DN34" i="2" s="1"/>
  <c r="DO34" i="2" s="1"/>
  <c r="DB34" i="2"/>
  <c r="DF33" i="2"/>
  <c r="DD33" i="2"/>
  <c r="DC33" i="2"/>
  <c r="DN33" i="2" s="1"/>
  <c r="DB33" i="2"/>
  <c r="DF32" i="2"/>
  <c r="DD32" i="2"/>
  <c r="DC32" i="2"/>
  <c r="DN32" i="2" s="1"/>
  <c r="DB32" i="2"/>
  <c r="DF31" i="2"/>
  <c r="DD31" i="2"/>
  <c r="DC31" i="2"/>
  <c r="DN31" i="2" s="1"/>
  <c r="DO31" i="2" s="1"/>
  <c r="DB31" i="2"/>
  <c r="DF30" i="2"/>
  <c r="DD30" i="2"/>
  <c r="DC30" i="2"/>
  <c r="DN30" i="2" s="1"/>
  <c r="DO30" i="2" s="1"/>
  <c r="DB30" i="2"/>
  <c r="DF29" i="2"/>
  <c r="DD29" i="2"/>
  <c r="DC29" i="2"/>
  <c r="DE41" i="2" l="1"/>
  <c r="DK41" i="2" s="1"/>
  <c r="DN41" i="2"/>
  <c r="DO41" i="2" s="1"/>
  <c r="DJ29" i="2"/>
  <c r="DN29" i="2"/>
  <c r="DE37" i="2"/>
  <c r="DK37" i="2" s="1"/>
  <c r="DE33" i="2"/>
  <c r="DK33" i="2" s="1"/>
  <c r="DJ30" i="2"/>
  <c r="DH30" i="2"/>
  <c r="DH32" i="2"/>
  <c r="DJ32" i="2"/>
  <c r="DJ34" i="2"/>
  <c r="DH34" i="2"/>
  <c r="DJ36" i="2"/>
  <c r="DH36" i="2"/>
  <c r="DJ38" i="2"/>
  <c r="DH38" i="2"/>
  <c r="DJ40" i="2"/>
  <c r="DH40" i="2"/>
  <c r="DH42" i="2"/>
  <c r="DJ42" i="2"/>
  <c r="DJ43" i="2"/>
  <c r="DH43" i="2"/>
  <c r="DE32" i="2"/>
  <c r="DK32" i="2" s="1"/>
  <c r="DE36" i="2"/>
  <c r="DK36" i="2" s="1"/>
  <c r="DE40" i="2"/>
  <c r="DK40" i="2" s="1"/>
  <c r="DE30" i="2"/>
  <c r="DE38" i="2"/>
  <c r="DK38" i="2" s="1"/>
  <c r="DE42" i="2"/>
  <c r="DK42" i="2" s="1"/>
  <c r="DH29" i="2"/>
  <c r="DH31" i="2"/>
  <c r="DJ31" i="2"/>
  <c r="DJ33" i="2"/>
  <c r="DH33" i="2"/>
  <c r="DJ35" i="2"/>
  <c r="DH35" i="2"/>
  <c r="DJ37" i="2"/>
  <c r="DH37" i="2"/>
  <c r="DH39" i="2"/>
  <c r="DJ39" i="2"/>
  <c r="DJ41" i="2"/>
  <c r="DH41" i="2"/>
  <c r="DE34" i="2"/>
  <c r="DK34" i="2" s="1"/>
  <c r="DE31" i="2"/>
  <c r="DK31" i="2" s="1"/>
  <c r="DE35" i="2"/>
  <c r="DK35" i="2" s="1"/>
  <c r="DE39" i="2"/>
  <c r="DK39" i="2" s="1"/>
  <c r="DE43" i="2"/>
  <c r="DK43" i="2" s="1"/>
  <c r="DE29" i="2"/>
  <c r="DN44" i="2" l="1"/>
  <c r="DO29" i="2"/>
  <c r="DJ44" i="2"/>
  <c r="DH44" i="2"/>
  <c r="DB29" i="2"/>
  <c r="AK29" i="2"/>
  <c r="AK44" i="2" s="1"/>
  <c r="I34" i="14" l="1"/>
  <c r="D34" i="14"/>
  <c r="I30" i="14"/>
  <c r="D30" i="14"/>
  <c r="D31" i="14"/>
  <c r="I31" i="14"/>
  <c r="DB44" i="2"/>
  <c r="R43" i="2"/>
  <c r="R42" i="2"/>
  <c r="R41" i="2"/>
  <c r="R40" i="2"/>
  <c r="R39" i="2"/>
  <c r="R38" i="2"/>
  <c r="I43" i="15" l="1"/>
  <c r="I42" i="15"/>
  <c r="I41" i="15"/>
  <c r="I40" i="15"/>
  <c r="I39" i="15"/>
  <c r="I38" i="15"/>
  <c r="I37" i="15"/>
  <c r="I36" i="15"/>
  <c r="I35" i="15"/>
  <c r="I34" i="15"/>
  <c r="I33" i="15"/>
  <c r="I32" i="15"/>
  <c r="I31" i="15"/>
  <c r="I30" i="15"/>
  <c r="I29" i="15"/>
  <c r="G43" i="15"/>
  <c r="G42" i="15"/>
  <c r="G41" i="15"/>
  <c r="G40" i="15"/>
  <c r="G39" i="15"/>
  <c r="G38" i="15"/>
  <c r="G37" i="15"/>
  <c r="G36" i="15"/>
  <c r="G35" i="15"/>
  <c r="G34" i="15"/>
  <c r="G33" i="15"/>
  <c r="G32" i="15"/>
  <c r="G31" i="15"/>
  <c r="G30" i="15"/>
  <c r="G29" i="15"/>
  <c r="G43" i="10"/>
  <c r="G42" i="10"/>
  <c r="G41" i="10"/>
  <c r="G40" i="10"/>
  <c r="G39" i="10"/>
  <c r="G38" i="10"/>
  <c r="G37" i="10"/>
  <c r="G36" i="10"/>
  <c r="G35" i="10"/>
  <c r="G34" i="10"/>
  <c r="G33" i="10"/>
  <c r="G32" i="10"/>
  <c r="G31" i="10"/>
  <c r="G30" i="10"/>
  <c r="G29" i="10"/>
  <c r="I43" i="10"/>
  <c r="I42" i="10"/>
  <c r="I41" i="10"/>
  <c r="I40" i="10"/>
  <c r="I39" i="10"/>
  <c r="I38" i="10"/>
  <c r="I37" i="10"/>
  <c r="I36" i="10"/>
  <c r="I35" i="10"/>
  <c r="I34" i="10"/>
  <c r="I33" i="10"/>
  <c r="I32" i="10"/>
  <c r="I31" i="10"/>
  <c r="I30" i="10"/>
  <c r="I43" i="9"/>
  <c r="I42" i="9"/>
  <c r="I41" i="9"/>
  <c r="I40" i="9"/>
  <c r="I39" i="9"/>
  <c r="I38" i="9"/>
  <c r="I37" i="9"/>
  <c r="I36" i="9"/>
  <c r="I35" i="9"/>
  <c r="I34" i="9"/>
  <c r="I33" i="9"/>
  <c r="I32" i="9"/>
  <c r="I31" i="9"/>
  <c r="I30" i="9"/>
  <c r="G43" i="9"/>
  <c r="G42" i="9"/>
  <c r="G41" i="9"/>
  <c r="G40" i="9"/>
  <c r="G39" i="9"/>
  <c r="G38" i="9"/>
  <c r="G37" i="9"/>
  <c r="G36" i="9"/>
  <c r="G35" i="9"/>
  <c r="G34" i="9"/>
  <c r="G33" i="9"/>
  <c r="G32" i="9"/>
  <c r="G31" i="9"/>
  <c r="G30" i="9"/>
  <c r="G29" i="9"/>
  <c r="BG43" i="2" l="1"/>
  <c r="BF43" i="2"/>
  <c r="BG42" i="2"/>
  <c r="BF42" i="2"/>
  <c r="BG41" i="2"/>
  <c r="BF41" i="2"/>
  <c r="BG40" i="2"/>
  <c r="BF40" i="2"/>
  <c r="BG39" i="2"/>
  <c r="BF39" i="2"/>
  <c r="BG38" i="2"/>
  <c r="BF38" i="2"/>
  <c r="BG37" i="2"/>
  <c r="BF37" i="2"/>
  <c r="BG36" i="2"/>
  <c r="BF36" i="2"/>
  <c r="BG35" i="2"/>
  <c r="BF35" i="2"/>
  <c r="BG34" i="2"/>
  <c r="BF34" i="2"/>
  <c r="BG33" i="2"/>
  <c r="BF33" i="2"/>
  <c r="BG32" i="2"/>
  <c r="BF32" i="2"/>
  <c r="BG31" i="2"/>
  <c r="BF31" i="2"/>
  <c r="BG30" i="2"/>
  <c r="BF30" i="2"/>
  <c r="BG29" i="2"/>
  <c r="BF29" i="2"/>
  <c r="B4" i="14" l="1"/>
  <c r="BC43" i="2" l="1"/>
  <c r="BC42" i="2"/>
  <c r="BC41" i="2"/>
  <c r="BC40" i="2"/>
  <c r="BC39" i="2"/>
  <c r="BC38" i="2"/>
  <c r="BC37" i="2"/>
  <c r="BC36" i="2"/>
  <c r="BC35" i="2"/>
  <c r="BC34" i="2"/>
  <c r="BC33" i="2"/>
  <c r="BC32" i="2"/>
  <c r="BC31" i="2"/>
  <c r="BC30" i="2"/>
  <c r="BC29" i="2"/>
  <c r="BB43" i="2"/>
  <c r="BB42" i="2"/>
  <c r="BB41" i="2"/>
  <c r="BB40" i="2"/>
  <c r="BB39" i="2"/>
  <c r="BB38" i="2"/>
  <c r="BB37" i="2"/>
  <c r="BB36" i="2"/>
  <c r="BB35" i="2"/>
  <c r="BB34" i="2"/>
  <c r="BB33" i="2"/>
  <c r="BB32" i="2"/>
  <c r="BB31" i="2"/>
  <c r="BB30" i="2"/>
  <c r="BB29" i="2"/>
  <c r="BC44" i="2" l="1"/>
  <c r="BB44" i="2"/>
  <c r="D37" i="14" l="1"/>
  <c r="D36" i="14"/>
  <c r="AV43" i="2"/>
  <c r="AV42" i="2"/>
  <c r="AV41" i="2"/>
  <c r="AV40" i="2"/>
  <c r="AV39" i="2"/>
  <c r="AV38" i="2"/>
  <c r="AV36" i="2"/>
  <c r="AV35" i="2"/>
  <c r="AV32" i="2"/>
  <c r="C45" i="6" l="1"/>
  <c r="C38" i="7" l="1"/>
  <c r="C51" i="15"/>
  <c r="C51" i="10"/>
  <c r="C51" i="9"/>
  <c r="C51" i="4"/>
  <c r="C51" i="2"/>
  <c r="W43" i="15" l="1"/>
  <c r="V43" i="15"/>
  <c r="U43" i="15"/>
  <c r="T43" i="15"/>
  <c r="S43" i="15"/>
  <c r="K43" i="15"/>
  <c r="J43" i="15"/>
  <c r="H43" i="15"/>
  <c r="F43" i="15"/>
  <c r="E43" i="15"/>
  <c r="D43" i="15"/>
  <c r="L43" i="15" s="1"/>
  <c r="W42" i="15"/>
  <c r="V42" i="15"/>
  <c r="U42" i="15"/>
  <c r="T42" i="15"/>
  <c r="S42" i="15"/>
  <c r="K42" i="15"/>
  <c r="J42" i="15"/>
  <c r="H42" i="15"/>
  <c r="F42" i="15"/>
  <c r="E42" i="15"/>
  <c r="D42" i="15"/>
  <c r="L42" i="15" s="1"/>
  <c r="W41" i="15"/>
  <c r="V41" i="15"/>
  <c r="U41" i="15"/>
  <c r="T41" i="15"/>
  <c r="S41" i="15"/>
  <c r="K41" i="15"/>
  <c r="J41" i="15"/>
  <c r="H41" i="15"/>
  <c r="F41" i="15"/>
  <c r="E41" i="15"/>
  <c r="D41" i="15"/>
  <c r="L41" i="15" s="1"/>
  <c r="W40" i="15"/>
  <c r="V40" i="15"/>
  <c r="U40" i="15"/>
  <c r="T40" i="15"/>
  <c r="S40" i="15"/>
  <c r="K40" i="15"/>
  <c r="J40" i="15"/>
  <c r="H40" i="15"/>
  <c r="F40" i="15"/>
  <c r="E40" i="15"/>
  <c r="D40" i="15"/>
  <c r="L40" i="15" s="1"/>
  <c r="W39" i="15"/>
  <c r="V39" i="15"/>
  <c r="U39" i="15"/>
  <c r="T39" i="15"/>
  <c r="S39" i="15"/>
  <c r="K39" i="15"/>
  <c r="J39" i="15"/>
  <c r="H39" i="15"/>
  <c r="F39" i="15"/>
  <c r="E39" i="15"/>
  <c r="D39" i="15"/>
  <c r="L39" i="15" s="1"/>
  <c r="W38" i="15"/>
  <c r="V38" i="15"/>
  <c r="U38" i="15"/>
  <c r="T38" i="15"/>
  <c r="S38" i="15"/>
  <c r="K38" i="15"/>
  <c r="J38" i="15"/>
  <c r="H38" i="15"/>
  <c r="F38" i="15"/>
  <c r="E38" i="15"/>
  <c r="D38" i="15"/>
  <c r="L38" i="15" s="1"/>
  <c r="W37" i="15"/>
  <c r="V37" i="15"/>
  <c r="U37" i="15"/>
  <c r="T37" i="15"/>
  <c r="S37" i="15"/>
  <c r="K37" i="15"/>
  <c r="J37" i="15"/>
  <c r="H37" i="15"/>
  <c r="F37" i="15"/>
  <c r="E37" i="15"/>
  <c r="D37" i="15"/>
  <c r="L37" i="15" s="1"/>
  <c r="W36" i="15"/>
  <c r="V36" i="15"/>
  <c r="U36" i="15"/>
  <c r="T36" i="15"/>
  <c r="S36" i="15"/>
  <c r="K36" i="15"/>
  <c r="J36" i="15"/>
  <c r="H36" i="15"/>
  <c r="F36" i="15"/>
  <c r="E36" i="15"/>
  <c r="D36" i="15"/>
  <c r="L36" i="15" s="1"/>
  <c r="W35" i="15"/>
  <c r="V35" i="15"/>
  <c r="U35" i="15"/>
  <c r="T35" i="15"/>
  <c r="S35" i="15"/>
  <c r="K35" i="15"/>
  <c r="J35" i="15"/>
  <c r="H35" i="15"/>
  <c r="F35" i="15"/>
  <c r="E35" i="15"/>
  <c r="D35" i="15"/>
  <c r="L35" i="15" s="1"/>
  <c r="W34" i="15"/>
  <c r="V34" i="15"/>
  <c r="U34" i="15"/>
  <c r="T34" i="15"/>
  <c r="S34" i="15"/>
  <c r="K34" i="15"/>
  <c r="J34" i="15"/>
  <c r="H34" i="15"/>
  <c r="F34" i="15"/>
  <c r="E34" i="15"/>
  <c r="D34" i="15"/>
  <c r="L34" i="15" s="1"/>
  <c r="W33" i="15"/>
  <c r="V33" i="15"/>
  <c r="U33" i="15"/>
  <c r="T33" i="15"/>
  <c r="S33" i="15"/>
  <c r="K33" i="15"/>
  <c r="J33" i="15"/>
  <c r="H33" i="15"/>
  <c r="F33" i="15"/>
  <c r="E33" i="15"/>
  <c r="D33" i="15"/>
  <c r="L33" i="15" s="1"/>
  <c r="W32" i="15"/>
  <c r="V32" i="15"/>
  <c r="U32" i="15"/>
  <c r="T32" i="15"/>
  <c r="S32" i="15"/>
  <c r="K32" i="15"/>
  <c r="J32" i="15"/>
  <c r="H32" i="15"/>
  <c r="F32" i="15"/>
  <c r="E32" i="15"/>
  <c r="D32" i="15"/>
  <c r="L32" i="15" s="1"/>
  <c r="W31" i="15"/>
  <c r="V31" i="15"/>
  <c r="U31" i="15"/>
  <c r="T31" i="15"/>
  <c r="S31" i="15"/>
  <c r="K31" i="15"/>
  <c r="J31" i="15"/>
  <c r="H31" i="15"/>
  <c r="F31" i="15"/>
  <c r="E31" i="15"/>
  <c r="D31" i="15"/>
  <c r="L31" i="15" s="1"/>
  <c r="W30" i="15"/>
  <c r="U30" i="15"/>
  <c r="T30" i="15"/>
  <c r="S30" i="15"/>
  <c r="J30" i="15"/>
  <c r="H30" i="15"/>
  <c r="F30" i="15"/>
  <c r="D30" i="15"/>
  <c r="L30" i="15" s="1"/>
  <c r="W29" i="15"/>
  <c r="W44" i="15" s="1"/>
  <c r="H24" i="14" s="1"/>
  <c r="U29" i="15"/>
  <c r="T29" i="15"/>
  <c r="S29" i="15"/>
  <c r="H29" i="15"/>
  <c r="K29" i="15" s="1"/>
  <c r="D29" i="15"/>
  <c r="W43" i="10"/>
  <c r="W42" i="10"/>
  <c r="W41" i="10"/>
  <c r="W40" i="10"/>
  <c r="W39" i="10"/>
  <c r="W38" i="10"/>
  <c r="W37" i="10"/>
  <c r="W36" i="10"/>
  <c r="W35" i="10"/>
  <c r="W34" i="10"/>
  <c r="W33" i="10"/>
  <c r="W32" i="10"/>
  <c r="W31" i="10"/>
  <c r="W30" i="10"/>
  <c r="W29" i="10"/>
  <c r="W43" i="9"/>
  <c r="W42" i="9"/>
  <c r="W41" i="9"/>
  <c r="W40" i="9"/>
  <c r="W39" i="9"/>
  <c r="W38" i="9"/>
  <c r="W37" i="9"/>
  <c r="W36" i="9"/>
  <c r="W35" i="9"/>
  <c r="W34" i="9"/>
  <c r="W33" i="9"/>
  <c r="W32" i="9"/>
  <c r="W31" i="9"/>
  <c r="W30" i="9"/>
  <c r="W29" i="9"/>
  <c r="W43" i="4"/>
  <c r="W42" i="4"/>
  <c r="W41" i="4"/>
  <c r="W40" i="4"/>
  <c r="W39" i="4"/>
  <c r="W38" i="4"/>
  <c r="W37" i="4"/>
  <c r="W36" i="4"/>
  <c r="W35" i="4"/>
  <c r="W34" i="4"/>
  <c r="W33" i="4"/>
  <c r="W32" i="4"/>
  <c r="W31" i="4"/>
  <c r="W30" i="4"/>
  <c r="W29" i="4"/>
  <c r="W44" i="4" l="1"/>
  <c r="H21" i="14" s="1"/>
  <c r="K30" i="15"/>
  <c r="V30" i="15"/>
  <c r="E30" i="15"/>
  <c r="W44" i="10"/>
  <c r="H23" i="14" s="1"/>
  <c r="W44" i="9"/>
  <c r="H22" i="14" s="1"/>
  <c r="S44" i="15"/>
  <c r="D44" i="15"/>
  <c r="U44" i="15"/>
  <c r="T44" i="15"/>
  <c r="F44" i="15" s="1"/>
  <c r="V29" i="15"/>
  <c r="L29" i="15"/>
  <c r="F29" i="15"/>
  <c r="J29" i="15"/>
  <c r="H44" i="15"/>
  <c r="I44" i="15" s="1"/>
  <c r="E29" i="15"/>
  <c r="V44" i="15" l="1"/>
  <c r="G44" i="15" s="1"/>
  <c r="J44" i="15"/>
  <c r="E44" i="15"/>
  <c r="K44" i="15"/>
  <c r="L44" i="15"/>
  <c r="AT43" i="2" l="1"/>
  <c r="AT42" i="2"/>
  <c r="AT41" i="2"/>
  <c r="C41" i="16" s="1"/>
  <c r="AT40" i="2"/>
  <c r="AT39" i="2"/>
  <c r="AT38" i="2"/>
  <c r="AT37" i="2"/>
  <c r="C37" i="16" s="1"/>
  <c r="AT36" i="2"/>
  <c r="AT35" i="2"/>
  <c r="AT34" i="2"/>
  <c r="AT33" i="2"/>
  <c r="C33" i="16" s="1"/>
  <c r="AT32" i="2"/>
  <c r="AT31" i="2"/>
  <c r="AT30" i="2"/>
  <c r="AT29" i="2"/>
  <c r="C29" i="16" s="1"/>
  <c r="C31" i="13" l="1"/>
  <c r="I31" i="13" s="1"/>
  <c r="C31" i="16"/>
  <c r="C32" i="12"/>
  <c r="H32" i="12" s="1"/>
  <c r="I32" i="12" s="1"/>
  <c r="C32" i="16"/>
  <c r="C36" i="12"/>
  <c r="E36" i="12" s="1"/>
  <c r="C36" i="16"/>
  <c r="C40" i="12"/>
  <c r="E40" i="12" s="1"/>
  <c r="C40" i="16"/>
  <c r="S29" i="16"/>
  <c r="G29" i="16"/>
  <c r="H29" i="16"/>
  <c r="U29" i="16"/>
  <c r="L29" i="16"/>
  <c r="T29" i="16"/>
  <c r="D29" i="16"/>
  <c r="E29" i="16"/>
  <c r="I29" i="16"/>
  <c r="J29" i="16"/>
  <c r="F29" i="16"/>
  <c r="K29" i="16"/>
  <c r="T33" i="16"/>
  <c r="S33" i="16"/>
  <c r="H33" i="16"/>
  <c r="J33" i="16"/>
  <c r="D33" i="16"/>
  <c r="F33" i="16"/>
  <c r="G33" i="16"/>
  <c r="U33" i="16"/>
  <c r="L33" i="16"/>
  <c r="K33" i="16"/>
  <c r="E33" i="16"/>
  <c r="I33" i="16"/>
  <c r="J37" i="16"/>
  <c r="L37" i="16"/>
  <c r="F37" i="16"/>
  <c r="T37" i="16"/>
  <c r="D37" i="16"/>
  <c r="K37" i="16"/>
  <c r="U37" i="16"/>
  <c r="G37" i="16"/>
  <c r="H37" i="16"/>
  <c r="E37" i="16"/>
  <c r="S37" i="16"/>
  <c r="I37" i="16"/>
  <c r="T41" i="16"/>
  <c r="J41" i="16"/>
  <c r="H41" i="16"/>
  <c r="S41" i="16"/>
  <c r="D41" i="16"/>
  <c r="G41" i="16"/>
  <c r="I41" i="16"/>
  <c r="L41" i="16"/>
  <c r="F41" i="16"/>
  <c r="K41" i="16"/>
  <c r="E41" i="16"/>
  <c r="U41" i="16"/>
  <c r="C30" i="13"/>
  <c r="J30" i="13" s="1"/>
  <c r="C30" i="16"/>
  <c r="C34" i="13"/>
  <c r="J34" i="13" s="1"/>
  <c r="C34" i="16"/>
  <c r="C38" i="13"/>
  <c r="J38" i="13" s="1"/>
  <c r="C38" i="16"/>
  <c r="C42" i="13"/>
  <c r="J42" i="13" s="1"/>
  <c r="C42" i="16"/>
  <c r="C35" i="13"/>
  <c r="C35" i="16"/>
  <c r="C39" i="13"/>
  <c r="L39" i="13" s="1"/>
  <c r="C39" i="16"/>
  <c r="C43" i="13"/>
  <c r="I43" i="13" s="1"/>
  <c r="C43" i="16"/>
  <c r="C40" i="11"/>
  <c r="J40" i="11" s="1"/>
  <c r="C36" i="11"/>
  <c r="J36" i="11" s="1"/>
  <c r="C33" i="11"/>
  <c r="H33" i="11" s="1"/>
  <c r="I33" i="11" s="1"/>
  <c r="C33" i="12"/>
  <c r="L33" i="12" s="1"/>
  <c r="C41" i="11"/>
  <c r="L41" i="11" s="1"/>
  <c r="C41" i="12"/>
  <c r="L41" i="12" s="1"/>
  <c r="C30" i="11"/>
  <c r="C30" i="12"/>
  <c r="G30" i="12" s="1"/>
  <c r="C38" i="11"/>
  <c r="J38" i="11" s="1"/>
  <c r="C38" i="12"/>
  <c r="C42" i="11"/>
  <c r="J42" i="11" s="1"/>
  <c r="C42" i="12"/>
  <c r="G42" i="12" s="1"/>
  <c r="C35" i="11"/>
  <c r="G35" i="11" s="1"/>
  <c r="C35" i="12"/>
  <c r="L35" i="12" s="1"/>
  <c r="C39" i="11"/>
  <c r="E39" i="11" s="1"/>
  <c r="C39" i="12"/>
  <c r="L39" i="12" s="1"/>
  <c r="C43" i="11"/>
  <c r="L43" i="11" s="1"/>
  <c r="C43" i="12"/>
  <c r="L43" i="12" s="1"/>
  <c r="E31" i="13"/>
  <c r="C32" i="13"/>
  <c r="J32" i="13" s="1"/>
  <c r="C36" i="13"/>
  <c r="J36" i="13" s="1"/>
  <c r="C40" i="13"/>
  <c r="J40" i="13" s="1"/>
  <c r="C29" i="11"/>
  <c r="H29" i="11" s="1"/>
  <c r="C29" i="13"/>
  <c r="D29" i="13" s="1"/>
  <c r="C29" i="12"/>
  <c r="G29" i="12" s="1"/>
  <c r="C37" i="11"/>
  <c r="I37" i="11" s="1"/>
  <c r="C37" i="12"/>
  <c r="L37" i="12" s="1"/>
  <c r="C34" i="11"/>
  <c r="J34" i="11" s="1"/>
  <c r="C34" i="12"/>
  <c r="H34" i="12" s="1"/>
  <c r="C31" i="11"/>
  <c r="C31" i="12"/>
  <c r="D31" i="12" s="1"/>
  <c r="C32" i="11"/>
  <c r="C33" i="13"/>
  <c r="H33" i="13" s="1"/>
  <c r="C37" i="13"/>
  <c r="G37" i="13" s="1"/>
  <c r="C41" i="13"/>
  <c r="H41" i="13" s="1"/>
  <c r="G36" i="12" l="1"/>
  <c r="D36" i="12"/>
  <c r="G31" i="13"/>
  <c r="G40" i="12"/>
  <c r="H40" i="12"/>
  <c r="L36" i="11"/>
  <c r="D32" i="12"/>
  <c r="E32" i="12" s="1"/>
  <c r="H38" i="13"/>
  <c r="H41" i="11"/>
  <c r="D40" i="12"/>
  <c r="G42" i="13"/>
  <c r="L38" i="11"/>
  <c r="G32" i="12"/>
  <c r="L36" i="12"/>
  <c r="H31" i="13"/>
  <c r="K31" i="13"/>
  <c r="F36" i="12"/>
  <c r="H36" i="12"/>
  <c r="K36" i="12"/>
  <c r="D31" i="13"/>
  <c r="F31" i="13"/>
  <c r="E40" i="11"/>
  <c r="F36" i="11"/>
  <c r="E36" i="11"/>
  <c r="F30" i="13"/>
  <c r="L31" i="13"/>
  <c r="K38" i="11"/>
  <c r="G41" i="11"/>
  <c r="F41" i="11"/>
  <c r="I41" i="11"/>
  <c r="L40" i="11"/>
  <c r="E35" i="12"/>
  <c r="L42" i="12"/>
  <c r="K33" i="12"/>
  <c r="D30" i="13"/>
  <c r="G30" i="13"/>
  <c r="L38" i="13"/>
  <c r="J31" i="13"/>
  <c r="K36" i="11"/>
  <c r="F38" i="13"/>
  <c r="J36" i="12"/>
  <c r="D41" i="11"/>
  <c r="I36" i="11"/>
  <c r="E38" i="11"/>
  <c r="H36" i="11"/>
  <c r="D43" i="12"/>
  <c r="D43" i="13"/>
  <c r="I30" i="13"/>
  <c r="G43" i="13"/>
  <c r="D38" i="13"/>
  <c r="L30" i="13"/>
  <c r="I36" i="12"/>
  <c r="K41" i="11"/>
  <c r="G38" i="11"/>
  <c r="G36" i="11"/>
  <c r="D38" i="11"/>
  <c r="E41" i="11"/>
  <c r="K43" i="12"/>
  <c r="H35" i="13"/>
  <c r="I35" i="13" s="1"/>
  <c r="E38" i="13"/>
  <c r="K38" i="13"/>
  <c r="G35" i="13"/>
  <c r="G38" i="13"/>
  <c r="F38" i="11"/>
  <c r="I38" i="11"/>
  <c r="J41" i="11"/>
  <c r="H38" i="11"/>
  <c r="D36" i="11"/>
  <c r="F43" i="13"/>
  <c r="F43" i="11"/>
  <c r="K43" i="11"/>
  <c r="H29" i="12"/>
  <c r="I29" i="12" s="1"/>
  <c r="D35" i="11"/>
  <c r="E35" i="11" s="1"/>
  <c r="J43" i="11"/>
  <c r="D36" i="13"/>
  <c r="H35" i="12"/>
  <c r="H43" i="13"/>
  <c r="D35" i="13"/>
  <c r="E35" i="13" s="1"/>
  <c r="I38" i="13"/>
  <c r="E30" i="13"/>
  <c r="K43" i="13"/>
  <c r="K30" i="13"/>
  <c r="H30" i="13"/>
  <c r="E43" i="13"/>
  <c r="J43" i="13"/>
  <c r="E43" i="12"/>
  <c r="V33" i="16"/>
  <c r="V29" i="16"/>
  <c r="H32" i="11"/>
  <c r="J32" i="11" s="1"/>
  <c r="D34" i="12"/>
  <c r="E34" i="12" s="1"/>
  <c r="K32" i="13"/>
  <c r="D29" i="12"/>
  <c r="K39" i="13"/>
  <c r="H42" i="13"/>
  <c r="D32" i="11"/>
  <c r="E32" i="11" s="1"/>
  <c r="F40" i="13"/>
  <c r="G37" i="11"/>
  <c r="L37" i="11"/>
  <c r="H37" i="11"/>
  <c r="G34" i="12"/>
  <c r="K40" i="13"/>
  <c r="V37" i="16"/>
  <c r="L43" i="13"/>
  <c r="D37" i="13"/>
  <c r="F37" i="13" s="1"/>
  <c r="G33" i="13"/>
  <c r="E43" i="11"/>
  <c r="J40" i="12"/>
  <c r="H40" i="11"/>
  <c r="F42" i="12"/>
  <c r="D35" i="12"/>
  <c r="J35" i="12"/>
  <c r="J33" i="12"/>
  <c r="H30" i="12"/>
  <c r="K42" i="12"/>
  <c r="D40" i="11"/>
  <c r="J37" i="11"/>
  <c r="K40" i="11"/>
  <c r="E37" i="11"/>
  <c r="F33" i="12"/>
  <c r="D30" i="12"/>
  <c r="E30" i="12" s="1"/>
  <c r="I33" i="12"/>
  <c r="K35" i="12"/>
  <c r="D40" i="13"/>
  <c r="G32" i="13"/>
  <c r="I42" i="13"/>
  <c r="L32" i="13"/>
  <c r="E39" i="13"/>
  <c r="D37" i="11"/>
  <c r="G43" i="12"/>
  <c r="H42" i="12"/>
  <c r="G33" i="12"/>
  <c r="H39" i="13"/>
  <c r="E34" i="13"/>
  <c r="D34" i="13"/>
  <c r="H43" i="11"/>
  <c r="F40" i="11"/>
  <c r="G43" i="11"/>
  <c r="G32" i="11"/>
  <c r="I43" i="11"/>
  <c r="F40" i="12"/>
  <c r="H33" i="12"/>
  <c r="J43" i="12"/>
  <c r="D42" i="12"/>
  <c r="F35" i="12"/>
  <c r="D43" i="11"/>
  <c r="H35" i="11"/>
  <c r="I35" i="11" s="1"/>
  <c r="I40" i="11"/>
  <c r="K37" i="11"/>
  <c r="F37" i="11"/>
  <c r="G40" i="11"/>
  <c r="H43" i="12"/>
  <c r="D33" i="12"/>
  <c r="F43" i="12"/>
  <c r="L40" i="12"/>
  <c r="I43" i="12"/>
  <c r="K40" i="12"/>
  <c r="I35" i="12"/>
  <c r="E33" i="12"/>
  <c r="G35" i="12"/>
  <c r="H37" i="13"/>
  <c r="K37" i="13" s="1"/>
  <c r="F32" i="13"/>
  <c r="E40" i="13"/>
  <c r="I40" i="12"/>
  <c r="D39" i="13"/>
  <c r="E42" i="13"/>
  <c r="G39" i="13"/>
  <c r="I32" i="13"/>
  <c r="D42" i="13"/>
  <c r="H32" i="13"/>
  <c r="G40" i="13"/>
  <c r="J39" i="13"/>
  <c r="F42" i="13"/>
  <c r="E32" i="13"/>
  <c r="L40" i="13"/>
  <c r="K34" i="13"/>
  <c r="I40" i="13"/>
  <c r="H40" i="13"/>
  <c r="D32" i="13"/>
  <c r="G34" i="13"/>
  <c r="L34" i="13"/>
  <c r="F39" i="13"/>
  <c r="F34" i="13"/>
  <c r="I34" i="13"/>
  <c r="L42" i="13"/>
  <c r="H34" i="13"/>
  <c r="K42" i="13"/>
  <c r="S40" i="16"/>
  <c r="I40" i="16"/>
  <c r="D40" i="16"/>
  <c r="T40" i="16"/>
  <c r="L40" i="16"/>
  <c r="U40" i="16"/>
  <c r="G40" i="16"/>
  <c r="E40" i="16"/>
  <c r="H40" i="16"/>
  <c r="K40" i="16"/>
  <c r="F40" i="16"/>
  <c r="J40" i="16"/>
  <c r="S32" i="16"/>
  <c r="D32" i="16"/>
  <c r="T32" i="16"/>
  <c r="I32" i="16"/>
  <c r="J32" i="16"/>
  <c r="L32" i="16"/>
  <c r="H32" i="16"/>
  <c r="G32" i="16"/>
  <c r="U32" i="16"/>
  <c r="K32" i="16"/>
  <c r="F32" i="16"/>
  <c r="E32" i="16"/>
  <c r="I39" i="13"/>
  <c r="L43" i="16"/>
  <c r="D43" i="16"/>
  <c r="J43" i="16"/>
  <c r="S43" i="16"/>
  <c r="T43" i="16"/>
  <c r="H43" i="16"/>
  <c r="F43" i="16"/>
  <c r="G43" i="16"/>
  <c r="K43" i="16"/>
  <c r="U43" i="16"/>
  <c r="E43" i="16"/>
  <c r="I43" i="16"/>
  <c r="H35" i="16"/>
  <c r="T35" i="16"/>
  <c r="F35" i="16"/>
  <c r="S35" i="16"/>
  <c r="L35" i="16"/>
  <c r="D35" i="16"/>
  <c r="J35" i="16"/>
  <c r="G35" i="16"/>
  <c r="K35" i="16"/>
  <c r="I35" i="16"/>
  <c r="U35" i="16"/>
  <c r="E35" i="16"/>
  <c r="J38" i="16"/>
  <c r="E38" i="16"/>
  <c r="T38" i="16"/>
  <c r="I38" i="16"/>
  <c r="D38" i="16"/>
  <c r="L38" i="16"/>
  <c r="S38" i="16"/>
  <c r="H38" i="16"/>
  <c r="U38" i="16"/>
  <c r="F38" i="16"/>
  <c r="G38" i="16"/>
  <c r="K38" i="16"/>
  <c r="S30" i="16"/>
  <c r="H30" i="16"/>
  <c r="J30" i="16" s="1"/>
  <c r="U30" i="16"/>
  <c r="D30" i="16"/>
  <c r="L30" i="16" s="1"/>
  <c r="T30" i="16"/>
  <c r="G30" i="16"/>
  <c r="V41" i="16"/>
  <c r="U36" i="16"/>
  <c r="G36" i="16"/>
  <c r="H36" i="16"/>
  <c r="I36" i="16" s="1"/>
  <c r="T36" i="16"/>
  <c r="S36" i="16"/>
  <c r="D36" i="16"/>
  <c r="F36" i="16" s="1"/>
  <c r="T31" i="16"/>
  <c r="F31" i="16"/>
  <c r="L31" i="16"/>
  <c r="D31" i="16"/>
  <c r="J31" i="16"/>
  <c r="S31" i="16"/>
  <c r="H31" i="16"/>
  <c r="U31" i="16"/>
  <c r="I31" i="16"/>
  <c r="G31" i="16"/>
  <c r="E31" i="16"/>
  <c r="K31" i="16"/>
  <c r="J39" i="16"/>
  <c r="S39" i="16"/>
  <c r="D39" i="16"/>
  <c r="H39" i="16"/>
  <c r="T39" i="16"/>
  <c r="F39" i="16"/>
  <c r="L39" i="16"/>
  <c r="U39" i="16"/>
  <c r="I39" i="16"/>
  <c r="G39" i="16"/>
  <c r="E39" i="16"/>
  <c r="K39" i="16"/>
  <c r="L42" i="16"/>
  <c r="F42" i="16"/>
  <c r="H42" i="16"/>
  <c r="J42" i="16"/>
  <c r="E42" i="16"/>
  <c r="S42" i="16"/>
  <c r="T42" i="16"/>
  <c r="I42" i="16"/>
  <c r="D42" i="16"/>
  <c r="U42" i="16"/>
  <c r="G42" i="16"/>
  <c r="K42" i="16"/>
  <c r="T34" i="16"/>
  <c r="I34" i="16"/>
  <c r="D34" i="16"/>
  <c r="J34" i="16"/>
  <c r="S34" i="16"/>
  <c r="H34" i="16"/>
  <c r="U34" i="16"/>
  <c r="L34" i="16"/>
  <c r="F34" i="16"/>
  <c r="E34" i="16"/>
  <c r="G34" i="16"/>
  <c r="V34" i="16" s="1"/>
  <c r="K34" i="16"/>
  <c r="I34" i="11"/>
  <c r="J37" i="12"/>
  <c r="E37" i="12"/>
  <c r="L42" i="11"/>
  <c r="I42" i="11"/>
  <c r="L34" i="11"/>
  <c r="D30" i="11"/>
  <c r="F30" i="11" s="1"/>
  <c r="I39" i="11"/>
  <c r="K39" i="12"/>
  <c r="G29" i="13"/>
  <c r="D33" i="11"/>
  <c r="E33" i="11" s="1"/>
  <c r="H31" i="12"/>
  <c r="I31" i="12" s="1"/>
  <c r="F39" i="12"/>
  <c r="H34" i="11"/>
  <c r="K42" i="11"/>
  <c r="H39" i="12"/>
  <c r="F34" i="11"/>
  <c r="H31" i="11"/>
  <c r="J31" i="11" s="1"/>
  <c r="G33" i="11"/>
  <c r="D42" i="11"/>
  <c r="D34" i="11"/>
  <c r="G42" i="11"/>
  <c r="K34" i="11"/>
  <c r="D39" i="12"/>
  <c r="G31" i="12"/>
  <c r="I39" i="12"/>
  <c r="H29" i="13"/>
  <c r="J29" i="13" s="1"/>
  <c r="E42" i="11"/>
  <c r="E34" i="11"/>
  <c r="H42" i="11"/>
  <c r="G39" i="12"/>
  <c r="F42" i="11"/>
  <c r="H39" i="11"/>
  <c r="H30" i="11"/>
  <c r="J30" i="11" s="1"/>
  <c r="G34" i="11"/>
  <c r="G30" i="11"/>
  <c r="K29" i="11"/>
  <c r="H41" i="12"/>
  <c r="J39" i="12"/>
  <c r="E41" i="12"/>
  <c r="E39" i="12"/>
  <c r="F36" i="13"/>
  <c r="L41" i="13"/>
  <c r="J41" i="13"/>
  <c r="E41" i="13"/>
  <c r="I41" i="13"/>
  <c r="F41" i="13"/>
  <c r="J33" i="13"/>
  <c r="I33" i="13"/>
  <c r="E38" i="12"/>
  <c r="J38" i="12"/>
  <c r="I38" i="12"/>
  <c r="D39" i="11"/>
  <c r="D31" i="11"/>
  <c r="L31" i="11" s="1"/>
  <c r="K39" i="11"/>
  <c r="G31" i="11"/>
  <c r="J29" i="11"/>
  <c r="L39" i="11"/>
  <c r="D41" i="12"/>
  <c r="F38" i="12"/>
  <c r="L38" i="12"/>
  <c r="F37" i="12"/>
  <c r="K38" i="12"/>
  <c r="D41" i="13"/>
  <c r="D33" i="13"/>
  <c r="E33" i="13" s="1"/>
  <c r="K36" i="13"/>
  <c r="I36" i="13"/>
  <c r="G39" i="11"/>
  <c r="J39" i="11"/>
  <c r="I29" i="11"/>
  <c r="D29" i="11"/>
  <c r="F29" i="11" s="1"/>
  <c r="H37" i="12"/>
  <c r="K41" i="12"/>
  <c r="K37" i="12"/>
  <c r="J41" i="12"/>
  <c r="H38" i="12"/>
  <c r="G38" i="12"/>
  <c r="K41" i="13"/>
  <c r="E36" i="13"/>
  <c r="G36" i="13"/>
  <c r="L36" i="13"/>
  <c r="E42" i="12"/>
  <c r="I42" i="12"/>
  <c r="J42" i="12"/>
  <c r="F39" i="11"/>
  <c r="G29" i="11"/>
  <c r="D37" i="12"/>
  <c r="G41" i="12"/>
  <c r="G37" i="12"/>
  <c r="F41" i="12"/>
  <c r="D38" i="12"/>
  <c r="I41" i="12"/>
  <c r="I37" i="12"/>
  <c r="K33" i="13"/>
  <c r="G41" i="13"/>
  <c r="H36" i="13"/>
  <c r="J34" i="12"/>
  <c r="I34" i="12"/>
  <c r="L32" i="12"/>
  <c r="F31" i="12"/>
  <c r="E31" i="12"/>
  <c r="J32" i="12"/>
  <c r="F30" i="12"/>
  <c r="K34" i="12"/>
  <c r="K32" i="12"/>
  <c r="F29" i="13"/>
  <c r="E29" i="13"/>
  <c r="J33" i="11"/>
  <c r="K33" i="11"/>
  <c r="L29" i="12" l="1"/>
  <c r="J29" i="12"/>
  <c r="K31" i="11"/>
  <c r="I31" i="11"/>
  <c r="K29" i="12"/>
  <c r="E31" i="11"/>
  <c r="F29" i="12"/>
  <c r="E29" i="12"/>
  <c r="F31" i="11"/>
  <c r="L30" i="11"/>
  <c r="I30" i="11"/>
  <c r="K30" i="11"/>
  <c r="E30" i="11"/>
  <c r="F34" i="12"/>
  <c r="I37" i="13"/>
  <c r="L37" i="13"/>
  <c r="E37" i="13"/>
  <c r="J37" i="13"/>
  <c r="J36" i="16"/>
  <c r="K36" i="16"/>
  <c r="E36" i="16"/>
  <c r="L36" i="16"/>
  <c r="L35" i="13"/>
  <c r="F35" i="13"/>
  <c r="K35" i="13"/>
  <c r="J35" i="13"/>
  <c r="F33" i="13"/>
  <c r="L33" i="13"/>
  <c r="L32" i="11"/>
  <c r="I32" i="11"/>
  <c r="F32" i="11"/>
  <c r="K32" i="11"/>
  <c r="F30" i="16"/>
  <c r="E30" i="16"/>
  <c r="I30" i="16"/>
  <c r="K30" i="16"/>
  <c r="E29" i="11"/>
  <c r="L29" i="11"/>
  <c r="J35" i="11"/>
  <c r="K35" i="11"/>
  <c r="F32" i="12"/>
  <c r="L34" i="12"/>
  <c r="V40" i="16"/>
  <c r="F35" i="11"/>
  <c r="L35" i="11"/>
  <c r="L30" i="12"/>
  <c r="V31" i="16"/>
  <c r="I30" i="12"/>
  <c r="V39" i="16"/>
  <c r="V30" i="16"/>
  <c r="K30" i="12"/>
  <c r="J30" i="12"/>
  <c r="K31" i="12"/>
  <c r="J31" i="12"/>
  <c r="V38" i="16"/>
  <c r="V32" i="16"/>
  <c r="L31" i="12"/>
  <c r="F33" i="11"/>
  <c r="V42" i="16"/>
  <c r="V35" i="16"/>
  <c r="V43" i="16"/>
  <c r="L33" i="11"/>
  <c r="T44" i="16"/>
  <c r="U44" i="16"/>
  <c r="V36" i="16"/>
  <c r="H44" i="16"/>
  <c r="D44" i="16"/>
  <c r="S44" i="16"/>
  <c r="I29" i="13"/>
  <c r="K29" i="13"/>
  <c r="L29" i="13"/>
  <c r="U38" i="6"/>
  <c r="U37" i="6"/>
  <c r="U36" i="6"/>
  <c r="U35" i="6"/>
  <c r="U34" i="6"/>
  <c r="U33" i="6"/>
  <c r="U32" i="6"/>
  <c r="U31" i="6"/>
  <c r="U30" i="6"/>
  <c r="U29" i="6"/>
  <c r="U28" i="6"/>
  <c r="U27" i="6"/>
  <c r="U26" i="6"/>
  <c r="U25" i="6"/>
  <c r="U24" i="6"/>
  <c r="U23" i="6"/>
  <c r="U22" i="6"/>
  <c r="U21" i="6"/>
  <c r="U20" i="6"/>
  <c r="U19" i="6"/>
  <c r="K44" i="16" l="1"/>
  <c r="U39" i="6"/>
  <c r="C24" i="14" s="1"/>
  <c r="F44" i="16"/>
  <c r="L44" i="16"/>
  <c r="I44" i="16"/>
  <c r="V44" i="16"/>
  <c r="G44" i="16" s="1"/>
  <c r="E44" i="16"/>
  <c r="J44" i="16"/>
  <c r="T38" i="6"/>
  <c r="T37" i="6"/>
  <c r="T36" i="6"/>
  <c r="T35" i="6"/>
  <c r="T34" i="6"/>
  <c r="T33" i="6"/>
  <c r="T32" i="6"/>
  <c r="T31" i="6"/>
  <c r="T30" i="6"/>
  <c r="T29" i="6"/>
  <c r="T28" i="6"/>
  <c r="T27" i="6"/>
  <c r="T26" i="6"/>
  <c r="T25" i="6"/>
  <c r="T24" i="6"/>
  <c r="T23" i="6"/>
  <c r="T22" i="6"/>
  <c r="T21" i="6"/>
  <c r="T20" i="6"/>
  <c r="T19" i="6"/>
  <c r="S38" i="6"/>
  <c r="S37" i="6"/>
  <c r="S36" i="6"/>
  <c r="S35" i="6"/>
  <c r="S34" i="6"/>
  <c r="S33" i="6"/>
  <c r="S32" i="6"/>
  <c r="S31" i="6"/>
  <c r="S30" i="6"/>
  <c r="S29" i="6"/>
  <c r="S28" i="6"/>
  <c r="S27" i="6"/>
  <c r="S26" i="6"/>
  <c r="S25" i="6"/>
  <c r="S24" i="6"/>
  <c r="S23" i="6"/>
  <c r="S22" i="6"/>
  <c r="S21" i="6"/>
  <c r="S20" i="6"/>
  <c r="S19" i="6"/>
  <c r="R38" i="6"/>
  <c r="R37" i="6"/>
  <c r="R36" i="6"/>
  <c r="R35" i="6"/>
  <c r="R34" i="6"/>
  <c r="R33" i="6"/>
  <c r="R32" i="6"/>
  <c r="R31" i="6"/>
  <c r="R30" i="6"/>
  <c r="R29" i="6"/>
  <c r="R28" i="6"/>
  <c r="R27" i="6"/>
  <c r="R26" i="6"/>
  <c r="R25" i="6"/>
  <c r="R24" i="6"/>
  <c r="R23" i="6"/>
  <c r="R22" i="6"/>
  <c r="R21" i="6"/>
  <c r="R20" i="6"/>
  <c r="R19" i="6"/>
  <c r="R39" i="6" l="1"/>
  <c r="C21" i="14" s="1"/>
  <c r="S39" i="6"/>
  <c r="C22" i="14" s="1"/>
  <c r="T39" i="6"/>
  <c r="C23" i="14" s="1"/>
  <c r="V43" i="13"/>
  <c r="U43" i="13"/>
  <c r="T43" i="13"/>
  <c r="S43" i="13"/>
  <c r="V42" i="13"/>
  <c r="U42" i="13"/>
  <c r="T42" i="13"/>
  <c r="S42" i="13"/>
  <c r="V41" i="13"/>
  <c r="U41" i="13"/>
  <c r="T41" i="13"/>
  <c r="S41" i="13"/>
  <c r="V40" i="13"/>
  <c r="U40" i="13"/>
  <c r="T40" i="13"/>
  <c r="S40" i="13"/>
  <c r="V39" i="13"/>
  <c r="U39" i="13"/>
  <c r="T39" i="13"/>
  <c r="S39" i="13"/>
  <c r="V38" i="13"/>
  <c r="U38" i="13"/>
  <c r="T38" i="13"/>
  <c r="S38" i="13"/>
  <c r="V37" i="13"/>
  <c r="U37" i="13"/>
  <c r="T37" i="13"/>
  <c r="S37" i="13"/>
  <c r="V36" i="13"/>
  <c r="U36" i="13"/>
  <c r="T36" i="13"/>
  <c r="S36" i="13"/>
  <c r="V35" i="13"/>
  <c r="U35" i="13"/>
  <c r="T35" i="13"/>
  <c r="S35" i="13"/>
  <c r="V34" i="13"/>
  <c r="U34" i="13"/>
  <c r="T34" i="13"/>
  <c r="S34" i="13"/>
  <c r="V33" i="13"/>
  <c r="U33" i="13"/>
  <c r="T33" i="13"/>
  <c r="S33" i="13"/>
  <c r="U32" i="13"/>
  <c r="T32" i="13"/>
  <c r="S32" i="13"/>
  <c r="V32" i="13"/>
  <c r="U31" i="13"/>
  <c r="T31" i="13"/>
  <c r="S31" i="13"/>
  <c r="U30" i="13"/>
  <c r="T30" i="13"/>
  <c r="S30" i="13"/>
  <c r="U29" i="13"/>
  <c r="T29" i="13"/>
  <c r="S29" i="13"/>
  <c r="V43" i="12"/>
  <c r="U43" i="12"/>
  <c r="T43" i="12"/>
  <c r="S43" i="12"/>
  <c r="V42" i="12"/>
  <c r="U42" i="12"/>
  <c r="T42" i="12"/>
  <c r="S42" i="12"/>
  <c r="V41" i="12"/>
  <c r="U41" i="12"/>
  <c r="T41" i="12"/>
  <c r="S41" i="12"/>
  <c r="V40" i="12"/>
  <c r="U40" i="12"/>
  <c r="T40" i="12"/>
  <c r="S40" i="12"/>
  <c r="V39" i="12"/>
  <c r="U39" i="12"/>
  <c r="T39" i="12"/>
  <c r="S39" i="12"/>
  <c r="V38" i="12"/>
  <c r="U38" i="12"/>
  <c r="T38" i="12"/>
  <c r="S38" i="12"/>
  <c r="V37" i="12"/>
  <c r="U37" i="12"/>
  <c r="T37" i="12"/>
  <c r="S37" i="12"/>
  <c r="V36" i="12"/>
  <c r="U36" i="12"/>
  <c r="T36" i="12"/>
  <c r="S36" i="12"/>
  <c r="V35" i="12"/>
  <c r="U35" i="12"/>
  <c r="T35" i="12"/>
  <c r="S35" i="12"/>
  <c r="V34" i="12"/>
  <c r="U34" i="12"/>
  <c r="T34" i="12"/>
  <c r="S34" i="12"/>
  <c r="V33" i="12"/>
  <c r="U33" i="12"/>
  <c r="T33" i="12"/>
  <c r="S33" i="12"/>
  <c r="U32" i="12"/>
  <c r="T32" i="12"/>
  <c r="S32" i="12"/>
  <c r="U31" i="12"/>
  <c r="T31" i="12"/>
  <c r="S31" i="12"/>
  <c r="U30" i="12"/>
  <c r="T30" i="12"/>
  <c r="S30" i="12"/>
  <c r="U29" i="12"/>
  <c r="T29" i="12"/>
  <c r="S29" i="12"/>
  <c r="U43" i="11"/>
  <c r="T43" i="11"/>
  <c r="S43" i="11"/>
  <c r="U42" i="11"/>
  <c r="T42" i="11"/>
  <c r="S42" i="11"/>
  <c r="U41" i="11"/>
  <c r="T41" i="11"/>
  <c r="S41" i="11"/>
  <c r="U40" i="11"/>
  <c r="T40" i="11"/>
  <c r="S40" i="11"/>
  <c r="U39" i="11"/>
  <c r="T39" i="11"/>
  <c r="S39" i="11"/>
  <c r="U38" i="11"/>
  <c r="T38" i="11"/>
  <c r="S38" i="11"/>
  <c r="U37" i="11"/>
  <c r="T37" i="11"/>
  <c r="S37" i="11"/>
  <c r="U36" i="11"/>
  <c r="T36" i="11"/>
  <c r="S36" i="11"/>
  <c r="U35" i="11"/>
  <c r="T35" i="11"/>
  <c r="S35" i="11"/>
  <c r="U34" i="11"/>
  <c r="T34" i="11"/>
  <c r="S34" i="11"/>
  <c r="U33" i="11"/>
  <c r="T33" i="11"/>
  <c r="S33" i="11"/>
  <c r="U32" i="11"/>
  <c r="T32" i="11"/>
  <c r="S32" i="11"/>
  <c r="U31" i="11"/>
  <c r="T31" i="11"/>
  <c r="S31" i="11"/>
  <c r="U30" i="11"/>
  <c r="T30" i="11"/>
  <c r="S30" i="11"/>
  <c r="U29" i="11"/>
  <c r="T29" i="11"/>
  <c r="S29" i="11"/>
  <c r="L44" i="2"/>
  <c r="AQ43" i="2"/>
  <c r="AQ42" i="2"/>
  <c r="AQ41" i="2"/>
  <c r="AQ40" i="2"/>
  <c r="AQ39" i="2"/>
  <c r="AQ38" i="2"/>
  <c r="AQ37" i="2"/>
  <c r="AQ36" i="2"/>
  <c r="AQ35" i="2"/>
  <c r="AQ34" i="2"/>
  <c r="AQ33" i="2"/>
  <c r="AQ32" i="2"/>
  <c r="AQ31" i="2"/>
  <c r="AQ30" i="2"/>
  <c r="AQ29" i="2"/>
  <c r="AP43" i="2"/>
  <c r="AP42" i="2"/>
  <c r="AP41" i="2"/>
  <c r="AP40" i="2"/>
  <c r="AP39" i="2"/>
  <c r="AP38" i="2"/>
  <c r="AP37" i="2"/>
  <c r="AP36" i="2"/>
  <c r="AP35" i="2"/>
  <c r="AP34" i="2"/>
  <c r="AP33" i="2"/>
  <c r="AP32" i="2"/>
  <c r="AP31" i="2"/>
  <c r="AP30" i="2"/>
  <c r="AP29" i="2"/>
  <c r="N44" i="2"/>
  <c r="C12" i="14" s="1"/>
  <c r="D13" i="14" s="1"/>
  <c r="AQ44" i="2" l="1"/>
  <c r="AP44" i="2"/>
  <c r="U44" i="12"/>
  <c r="V31" i="11"/>
  <c r="V32" i="11"/>
  <c r="V33" i="11"/>
  <c r="V34" i="11"/>
  <c r="V35" i="11"/>
  <c r="V36" i="11"/>
  <c r="V37" i="11"/>
  <c r="V38" i="11"/>
  <c r="V39" i="11"/>
  <c r="V40" i="11"/>
  <c r="V41" i="11"/>
  <c r="V42" i="11"/>
  <c r="V43" i="11"/>
  <c r="H44" i="13"/>
  <c r="T44" i="11"/>
  <c r="F44" i="11" s="1"/>
  <c r="T44" i="13"/>
  <c r="E10" i="14" s="1"/>
  <c r="U44" i="13"/>
  <c r="D44" i="13"/>
  <c r="D10" i="14" s="1"/>
  <c r="S44" i="13"/>
  <c r="J44" i="13" s="1"/>
  <c r="V29" i="13"/>
  <c r="V30" i="13"/>
  <c r="V31" i="13"/>
  <c r="V32" i="12"/>
  <c r="S44" i="12"/>
  <c r="E9" i="14" s="1"/>
  <c r="V31" i="12"/>
  <c r="H44" i="12"/>
  <c r="V30" i="12"/>
  <c r="D44" i="12"/>
  <c r="D9" i="14" s="1"/>
  <c r="T44" i="12"/>
  <c r="V29" i="12"/>
  <c r="H44" i="11"/>
  <c r="D44" i="11"/>
  <c r="D8" i="14" s="1"/>
  <c r="U44" i="11"/>
  <c r="V30" i="11"/>
  <c r="S44" i="11"/>
  <c r="E8" i="14" s="1"/>
  <c r="V29" i="11"/>
  <c r="V43" i="10"/>
  <c r="U43" i="10"/>
  <c r="T43" i="10"/>
  <c r="S43" i="10"/>
  <c r="K43" i="10"/>
  <c r="J43" i="10"/>
  <c r="H43" i="10"/>
  <c r="F43" i="10"/>
  <c r="E43" i="10"/>
  <c r="D43" i="10"/>
  <c r="L43" i="10" s="1"/>
  <c r="V42" i="10"/>
  <c r="U42" i="10"/>
  <c r="T42" i="10"/>
  <c r="S42" i="10"/>
  <c r="K42" i="10"/>
  <c r="J42" i="10"/>
  <c r="H42" i="10"/>
  <c r="F42" i="10"/>
  <c r="E42" i="10"/>
  <c r="D42" i="10"/>
  <c r="L42" i="10" s="1"/>
  <c r="V41" i="10"/>
  <c r="U41" i="10"/>
  <c r="T41" i="10"/>
  <c r="S41" i="10"/>
  <c r="K41" i="10"/>
  <c r="J41" i="10"/>
  <c r="H41" i="10"/>
  <c r="F41" i="10"/>
  <c r="E41" i="10"/>
  <c r="D41" i="10"/>
  <c r="L41" i="10" s="1"/>
  <c r="V40" i="10"/>
  <c r="U40" i="10"/>
  <c r="T40" i="10"/>
  <c r="S40" i="10"/>
  <c r="K40" i="10"/>
  <c r="J40" i="10"/>
  <c r="H40" i="10"/>
  <c r="F40" i="10"/>
  <c r="E40" i="10"/>
  <c r="D40" i="10"/>
  <c r="L40" i="10" s="1"/>
  <c r="V39" i="10"/>
  <c r="U39" i="10"/>
  <c r="T39" i="10"/>
  <c r="S39" i="10"/>
  <c r="K39" i="10"/>
  <c r="J39" i="10"/>
  <c r="H39" i="10"/>
  <c r="F39" i="10"/>
  <c r="E39" i="10"/>
  <c r="D39" i="10"/>
  <c r="L39" i="10" s="1"/>
  <c r="V38" i="10"/>
  <c r="U38" i="10"/>
  <c r="T38" i="10"/>
  <c r="S38" i="10"/>
  <c r="K38" i="10"/>
  <c r="J38" i="10"/>
  <c r="H38" i="10"/>
  <c r="F38" i="10"/>
  <c r="E38" i="10"/>
  <c r="D38" i="10"/>
  <c r="L38" i="10" s="1"/>
  <c r="V37" i="10"/>
  <c r="U37" i="10"/>
  <c r="T37" i="10"/>
  <c r="S37" i="10"/>
  <c r="K37" i="10"/>
  <c r="J37" i="10"/>
  <c r="H37" i="10"/>
  <c r="F37" i="10"/>
  <c r="E37" i="10"/>
  <c r="D37" i="10"/>
  <c r="L37" i="10" s="1"/>
  <c r="V36" i="10"/>
  <c r="U36" i="10"/>
  <c r="T36" i="10"/>
  <c r="S36" i="10"/>
  <c r="K36" i="10"/>
  <c r="J36" i="10"/>
  <c r="H36" i="10"/>
  <c r="F36" i="10"/>
  <c r="E36" i="10"/>
  <c r="D36" i="10"/>
  <c r="L36" i="10" s="1"/>
  <c r="V35" i="10"/>
  <c r="U35" i="10"/>
  <c r="T35" i="10"/>
  <c r="S35" i="10"/>
  <c r="K35" i="10"/>
  <c r="J35" i="10"/>
  <c r="H35" i="10"/>
  <c r="F35" i="10"/>
  <c r="E35" i="10"/>
  <c r="D35" i="10"/>
  <c r="L35" i="10" s="1"/>
  <c r="V34" i="10"/>
  <c r="U34" i="10"/>
  <c r="T34" i="10"/>
  <c r="S34" i="10"/>
  <c r="K34" i="10"/>
  <c r="J34" i="10"/>
  <c r="H34" i="10"/>
  <c r="F34" i="10"/>
  <c r="E34" i="10"/>
  <c r="D34" i="10"/>
  <c r="L34" i="10" s="1"/>
  <c r="V33" i="10"/>
  <c r="U33" i="10"/>
  <c r="T33" i="10"/>
  <c r="S33" i="10"/>
  <c r="K33" i="10"/>
  <c r="J33" i="10"/>
  <c r="H33" i="10"/>
  <c r="F33" i="10"/>
  <c r="E33" i="10"/>
  <c r="D33" i="10"/>
  <c r="L33" i="10" s="1"/>
  <c r="U32" i="10"/>
  <c r="T32" i="10"/>
  <c r="S32" i="10"/>
  <c r="K32" i="10"/>
  <c r="J32" i="10"/>
  <c r="H32" i="10"/>
  <c r="F32" i="10"/>
  <c r="E32" i="10"/>
  <c r="D32" i="10"/>
  <c r="V32" i="10" s="1"/>
  <c r="U31" i="10"/>
  <c r="T31" i="10"/>
  <c r="S31" i="10"/>
  <c r="J31" i="10"/>
  <c r="H31" i="10"/>
  <c r="F31" i="10"/>
  <c r="D31" i="10"/>
  <c r="E31" i="10" s="1"/>
  <c r="U30" i="10"/>
  <c r="T30" i="10"/>
  <c r="S30" i="10"/>
  <c r="H30" i="10"/>
  <c r="J30" i="10" s="1"/>
  <c r="D30" i="10"/>
  <c r="F30" i="10" s="1"/>
  <c r="U29" i="10"/>
  <c r="T29" i="10"/>
  <c r="S29" i="10"/>
  <c r="H29" i="10"/>
  <c r="I29" i="10" s="1"/>
  <c r="D29" i="10"/>
  <c r="V43" i="9"/>
  <c r="U43" i="9"/>
  <c r="T43" i="9"/>
  <c r="S43" i="9"/>
  <c r="K43" i="9"/>
  <c r="J43" i="9"/>
  <c r="H43" i="9"/>
  <c r="F43" i="9"/>
  <c r="E43" i="9"/>
  <c r="D43" i="9"/>
  <c r="L43" i="9" s="1"/>
  <c r="V42" i="9"/>
  <c r="U42" i="9"/>
  <c r="T42" i="9"/>
  <c r="S42" i="9"/>
  <c r="K42" i="9"/>
  <c r="J42" i="9"/>
  <c r="H42" i="9"/>
  <c r="F42" i="9"/>
  <c r="E42" i="9"/>
  <c r="D42" i="9"/>
  <c r="L42" i="9" s="1"/>
  <c r="V41" i="9"/>
  <c r="U41" i="9"/>
  <c r="T41" i="9"/>
  <c r="S41" i="9"/>
  <c r="K41" i="9"/>
  <c r="J41" i="9"/>
  <c r="H41" i="9"/>
  <c r="F41" i="9"/>
  <c r="E41" i="9"/>
  <c r="D41" i="9"/>
  <c r="L41" i="9" s="1"/>
  <c r="V40" i="9"/>
  <c r="U40" i="9"/>
  <c r="T40" i="9"/>
  <c r="S40" i="9"/>
  <c r="K40" i="9"/>
  <c r="J40" i="9"/>
  <c r="H40" i="9"/>
  <c r="F40" i="9"/>
  <c r="E40" i="9"/>
  <c r="D40" i="9"/>
  <c r="L40" i="9" s="1"/>
  <c r="V39" i="9"/>
  <c r="U39" i="9"/>
  <c r="T39" i="9"/>
  <c r="S39" i="9"/>
  <c r="K39" i="9"/>
  <c r="J39" i="9"/>
  <c r="H39" i="9"/>
  <c r="F39" i="9"/>
  <c r="E39" i="9"/>
  <c r="D39" i="9"/>
  <c r="L39" i="9" s="1"/>
  <c r="V38" i="9"/>
  <c r="U38" i="9"/>
  <c r="T38" i="9"/>
  <c r="S38" i="9"/>
  <c r="K38" i="9"/>
  <c r="J38" i="9"/>
  <c r="H38" i="9"/>
  <c r="F38" i="9"/>
  <c r="E38" i="9"/>
  <c r="D38" i="9"/>
  <c r="L38" i="9" s="1"/>
  <c r="V37" i="9"/>
  <c r="U37" i="9"/>
  <c r="T37" i="9"/>
  <c r="S37" i="9"/>
  <c r="K37" i="9"/>
  <c r="J37" i="9"/>
  <c r="H37" i="9"/>
  <c r="F37" i="9"/>
  <c r="E37" i="9"/>
  <c r="D37" i="9"/>
  <c r="L37" i="9" s="1"/>
  <c r="V36" i="9"/>
  <c r="U36" i="9"/>
  <c r="T36" i="9"/>
  <c r="S36" i="9"/>
  <c r="K36" i="9"/>
  <c r="J36" i="9"/>
  <c r="H36" i="9"/>
  <c r="F36" i="9"/>
  <c r="E36" i="9"/>
  <c r="D36" i="9"/>
  <c r="L36" i="9" s="1"/>
  <c r="V35" i="9"/>
  <c r="U35" i="9"/>
  <c r="T35" i="9"/>
  <c r="S35" i="9"/>
  <c r="K35" i="9"/>
  <c r="J35" i="9"/>
  <c r="H35" i="9"/>
  <c r="F35" i="9"/>
  <c r="E35" i="9"/>
  <c r="D35" i="9"/>
  <c r="L35" i="9" s="1"/>
  <c r="V34" i="9"/>
  <c r="U34" i="9"/>
  <c r="T34" i="9"/>
  <c r="S34" i="9"/>
  <c r="K34" i="9"/>
  <c r="J34" i="9"/>
  <c r="H34" i="9"/>
  <c r="F34" i="9"/>
  <c r="E34" i="9"/>
  <c r="D34" i="9"/>
  <c r="L34" i="9" s="1"/>
  <c r="V33" i="9"/>
  <c r="U33" i="9"/>
  <c r="T33" i="9"/>
  <c r="S33" i="9"/>
  <c r="K33" i="9"/>
  <c r="J33" i="9"/>
  <c r="H33" i="9"/>
  <c r="F33" i="9"/>
  <c r="E33" i="9"/>
  <c r="D33" i="9"/>
  <c r="L33" i="9" s="1"/>
  <c r="U32" i="9"/>
  <c r="T32" i="9"/>
  <c r="S32" i="9"/>
  <c r="K32" i="9"/>
  <c r="J32" i="9"/>
  <c r="H32" i="9"/>
  <c r="F32" i="9"/>
  <c r="E32" i="9"/>
  <c r="D32" i="9"/>
  <c r="V32" i="9" s="1"/>
  <c r="U31" i="9"/>
  <c r="T31" i="9"/>
  <c r="S31" i="9"/>
  <c r="H31" i="9"/>
  <c r="D31" i="9"/>
  <c r="E31" i="9" s="1"/>
  <c r="U30" i="9"/>
  <c r="T30" i="9"/>
  <c r="S30" i="9"/>
  <c r="H30" i="9"/>
  <c r="J30" i="9" s="1"/>
  <c r="D30" i="9"/>
  <c r="F30" i="9" s="1"/>
  <c r="U29" i="9"/>
  <c r="T29" i="9"/>
  <c r="S29" i="9"/>
  <c r="H29" i="9"/>
  <c r="I29" i="9" s="1"/>
  <c r="D29" i="9"/>
  <c r="E30" i="10" l="1"/>
  <c r="K30" i="10"/>
  <c r="M44" i="2"/>
  <c r="C11" i="14" s="1"/>
  <c r="E13" i="14"/>
  <c r="C13" i="14" s="1"/>
  <c r="C10" i="14"/>
  <c r="C9" i="14"/>
  <c r="C8" i="14"/>
  <c r="K44" i="12"/>
  <c r="I44" i="13"/>
  <c r="J44" i="12"/>
  <c r="K44" i="11"/>
  <c r="H44" i="10"/>
  <c r="I44" i="12"/>
  <c r="E44" i="12"/>
  <c r="I44" i="11"/>
  <c r="L44" i="12"/>
  <c r="V44" i="11"/>
  <c r="G44" i="11" s="1"/>
  <c r="F44" i="13"/>
  <c r="L44" i="13"/>
  <c r="L44" i="11"/>
  <c r="E44" i="11"/>
  <c r="K44" i="13"/>
  <c r="V44" i="13"/>
  <c r="G44" i="13" s="1"/>
  <c r="E44" i="13"/>
  <c r="V44" i="12"/>
  <c r="G44" i="12" s="1"/>
  <c r="F44" i="12"/>
  <c r="J44" i="11"/>
  <c r="D44" i="9"/>
  <c r="I9" i="14" s="1"/>
  <c r="D44" i="10"/>
  <c r="I10" i="14" s="1"/>
  <c r="H44" i="9"/>
  <c r="U44" i="9"/>
  <c r="F31" i="9"/>
  <c r="U44" i="10"/>
  <c r="T44" i="10"/>
  <c r="J10" i="14" s="1"/>
  <c r="S44" i="10"/>
  <c r="T44" i="9"/>
  <c r="K44" i="9" s="1"/>
  <c r="J31" i="9"/>
  <c r="S44" i="9"/>
  <c r="J9" i="14" s="1"/>
  <c r="K30" i="9"/>
  <c r="L29" i="10"/>
  <c r="V29" i="10"/>
  <c r="L30" i="10"/>
  <c r="V30" i="10"/>
  <c r="K31" i="10"/>
  <c r="L31" i="10"/>
  <c r="V31" i="10"/>
  <c r="F29" i="10"/>
  <c r="J29" i="10"/>
  <c r="K29" i="10"/>
  <c r="L32" i="10"/>
  <c r="L30" i="9"/>
  <c r="V30" i="9"/>
  <c r="K31" i="9"/>
  <c r="L29" i="9"/>
  <c r="V29" i="9"/>
  <c r="E30" i="9"/>
  <c r="L31" i="9"/>
  <c r="V31" i="9"/>
  <c r="F29" i="9"/>
  <c r="J29" i="9"/>
  <c r="K29" i="9"/>
  <c r="L32" i="9"/>
  <c r="AN43" i="2"/>
  <c r="AN42" i="2"/>
  <c r="AN41" i="2"/>
  <c r="AN40" i="2"/>
  <c r="AN39" i="2"/>
  <c r="AN38" i="2"/>
  <c r="AN37" i="2"/>
  <c r="AN36" i="2"/>
  <c r="AN35" i="2"/>
  <c r="AN34" i="2"/>
  <c r="AN33" i="2"/>
  <c r="AN32" i="2"/>
  <c r="AN31" i="2"/>
  <c r="AN30" i="2"/>
  <c r="AN29" i="2"/>
  <c r="AJ43" i="2"/>
  <c r="AJ42" i="2"/>
  <c r="AJ41" i="2"/>
  <c r="AJ40" i="2"/>
  <c r="AJ39" i="2"/>
  <c r="AJ38" i="2"/>
  <c r="E29" i="9"/>
  <c r="E29" i="10"/>
  <c r="I44" i="10" l="1"/>
  <c r="I44" i="9"/>
  <c r="J44" i="10"/>
  <c r="H10" i="14"/>
  <c r="H9" i="14"/>
  <c r="J44" i="9"/>
  <c r="K44" i="10"/>
  <c r="L44" i="10"/>
  <c r="L44" i="9"/>
  <c r="E44" i="10"/>
  <c r="E44" i="9"/>
  <c r="F44" i="10"/>
  <c r="F44" i="9"/>
  <c r="V44" i="10"/>
  <c r="G44" i="10" s="1"/>
  <c r="V44" i="9"/>
  <c r="G44" i="9" s="1"/>
  <c r="AN44" i="2"/>
  <c r="AI29" i="2"/>
  <c r="AI30" i="2"/>
  <c r="AI31" i="2"/>
  <c r="AI32" i="2"/>
  <c r="AI33" i="2"/>
  <c r="AI34" i="2"/>
  <c r="AI35" i="2"/>
  <c r="AI36" i="2"/>
  <c r="AI37" i="2"/>
  <c r="AI38" i="2"/>
  <c r="AI39" i="2"/>
  <c r="AI40" i="2"/>
  <c r="AI41" i="2"/>
  <c r="AI42" i="2"/>
  <c r="AI43" i="2"/>
  <c r="AH43" i="2"/>
  <c r="AH42" i="2"/>
  <c r="AH41" i="2"/>
  <c r="AH40" i="2"/>
  <c r="AH39" i="2"/>
  <c r="AH38" i="2"/>
  <c r="AH37" i="2"/>
  <c r="AH36" i="2"/>
  <c r="AH35" i="2"/>
  <c r="AH34" i="2"/>
  <c r="AH33" i="2"/>
  <c r="AH32" i="2"/>
  <c r="AH31" i="2"/>
  <c r="AH30" i="2"/>
  <c r="AH29" i="2"/>
  <c r="E44" i="2"/>
  <c r="Y29" i="2"/>
  <c r="Y30" i="2"/>
  <c r="Y31" i="2"/>
  <c r="Y32" i="2"/>
  <c r="Y33" i="2"/>
  <c r="Y34" i="2"/>
  <c r="Y35" i="2"/>
  <c r="Y36" i="2"/>
  <c r="Y37" i="2"/>
  <c r="Y38" i="2"/>
  <c r="Y39" i="2"/>
  <c r="Y40" i="2"/>
  <c r="Y41" i="2"/>
  <c r="Y42" i="2"/>
  <c r="Y43" i="2"/>
  <c r="EF35" i="2" l="1"/>
  <c r="CZ35" i="2"/>
  <c r="CY35" i="2"/>
  <c r="EF34" i="2"/>
  <c r="CZ34" i="2"/>
  <c r="CY34" i="2"/>
  <c r="EF33" i="2"/>
  <c r="CZ33" i="2"/>
  <c r="EF32" i="2"/>
  <c r="CZ32" i="2"/>
  <c r="EF31" i="2"/>
  <c r="EB31" i="2" s="1"/>
  <c r="CZ31" i="2"/>
  <c r="CY31" i="2"/>
  <c r="EF30" i="2"/>
  <c r="EB30" i="2" s="1"/>
  <c r="CZ30" i="2"/>
  <c r="CY30" i="2"/>
  <c r="BE29" i="2"/>
  <c r="EF29" i="2"/>
  <c r="EC29" i="2" s="1"/>
  <c r="CZ29" i="2"/>
  <c r="CY29" i="2"/>
  <c r="EF37" i="2"/>
  <c r="ED37" i="2" s="1"/>
  <c r="CZ37" i="2"/>
  <c r="CY37" i="2"/>
  <c r="AV37" i="2"/>
  <c r="BD42" i="2"/>
  <c r="BE42" i="2"/>
  <c r="AU42" i="2"/>
  <c r="BA42" i="2" s="1"/>
  <c r="AW42" i="2"/>
  <c r="AX42" i="2" s="1"/>
  <c r="AY42" i="2"/>
  <c r="AZ42" i="2" s="1"/>
  <c r="AR42" i="2"/>
  <c r="BD41" i="2"/>
  <c r="BE41" i="2"/>
  <c r="AU41" i="2"/>
  <c r="BA41" i="2" s="1"/>
  <c r="AW41" i="2"/>
  <c r="AX41" i="2" s="1"/>
  <c r="AY41" i="2"/>
  <c r="AZ41" i="2" s="1"/>
  <c r="AR41" i="2"/>
  <c r="BD37" i="2"/>
  <c r="BE37" i="2"/>
  <c r="AU37" i="2"/>
  <c r="AW37" i="2"/>
  <c r="AX37" i="2" s="1"/>
  <c r="AY37" i="2"/>
  <c r="AZ37" i="2" s="1"/>
  <c r="AR37" i="2"/>
  <c r="BD38" i="2"/>
  <c r="BE38" i="2"/>
  <c r="AU38" i="2"/>
  <c r="BA38" i="2" s="1"/>
  <c r="AW38" i="2"/>
  <c r="AX38" i="2" s="1"/>
  <c r="AY38" i="2"/>
  <c r="AZ38" i="2" s="1"/>
  <c r="AR38" i="2"/>
  <c r="BD40" i="2"/>
  <c r="BE40" i="2"/>
  <c r="AU40" i="2"/>
  <c r="BA40" i="2" s="1"/>
  <c r="AY40" i="2"/>
  <c r="AZ40" i="2" s="1"/>
  <c r="AW40" i="2"/>
  <c r="AX40" i="2" s="1"/>
  <c r="AR40" i="2"/>
  <c r="BD36" i="2"/>
  <c r="BE36" i="2"/>
  <c r="AU36" i="2"/>
  <c r="BA36" i="2" s="1"/>
  <c r="AU32" i="2"/>
  <c r="BA32" i="2" s="1"/>
  <c r="BD32" i="2"/>
  <c r="BE32" i="2"/>
  <c r="AU34" i="2"/>
  <c r="BD34" i="2"/>
  <c r="BE34" i="2"/>
  <c r="BE43" i="2"/>
  <c r="BD43" i="2"/>
  <c r="AU43" i="2"/>
  <c r="BA43" i="2" s="1"/>
  <c r="AY43" i="2"/>
  <c r="AZ43" i="2" s="1"/>
  <c r="AW43" i="2"/>
  <c r="AX43" i="2" s="1"/>
  <c r="AR43" i="2"/>
  <c r="BE39" i="2"/>
  <c r="BD39" i="2"/>
  <c r="AU39" i="2"/>
  <c r="BA39" i="2" s="1"/>
  <c r="AY39" i="2"/>
  <c r="AZ39" i="2" s="1"/>
  <c r="AW39" i="2"/>
  <c r="AX39" i="2" s="1"/>
  <c r="AR39" i="2"/>
  <c r="AU35" i="2"/>
  <c r="BA35" i="2" s="1"/>
  <c r="BE35" i="2"/>
  <c r="BD35" i="2"/>
  <c r="AU33" i="2"/>
  <c r="BD33" i="2"/>
  <c r="BE33" i="2"/>
  <c r="AU31" i="2"/>
  <c r="BE31" i="2"/>
  <c r="BD31" i="2"/>
  <c r="AU30" i="2"/>
  <c r="BD30" i="2"/>
  <c r="BE30" i="2"/>
  <c r="AU29" i="2"/>
  <c r="BD29" i="2"/>
  <c r="AR36" i="2"/>
  <c r="AY34" i="2"/>
  <c r="AY36" i="2"/>
  <c r="AZ36" i="2" s="1"/>
  <c r="AW36" i="2"/>
  <c r="AX36" i="2" s="1"/>
  <c r="AW29" i="2"/>
  <c r="AY35" i="2"/>
  <c r="AZ35" i="2" s="1"/>
  <c r="AR35" i="2"/>
  <c r="AW35" i="2"/>
  <c r="AX35" i="2" s="1"/>
  <c r="AY33" i="2"/>
  <c r="AR33" i="2"/>
  <c r="AW33" i="2"/>
  <c r="AW32" i="2"/>
  <c r="AY32" i="2"/>
  <c r="AR32" i="2"/>
  <c r="AW31" i="2"/>
  <c r="AY31" i="2"/>
  <c r="AR31" i="2"/>
  <c r="AW30" i="2"/>
  <c r="AY30" i="2"/>
  <c r="AR30" i="2"/>
  <c r="AY29" i="2"/>
  <c r="AR29" i="2"/>
  <c r="AW34" i="2"/>
  <c r="AR34" i="2"/>
  <c r="AL44" i="2"/>
  <c r="AH44" i="2"/>
  <c r="F44" i="2" s="1"/>
  <c r="AI44" i="2"/>
  <c r="G44" i="2" s="1"/>
  <c r="U43" i="4"/>
  <c r="U42" i="4"/>
  <c r="U41" i="4"/>
  <c r="U40" i="4"/>
  <c r="U39" i="4"/>
  <c r="U38" i="4"/>
  <c r="U37" i="4"/>
  <c r="U36" i="4"/>
  <c r="U35" i="4"/>
  <c r="U34" i="4"/>
  <c r="U33" i="4"/>
  <c r="U32" i="4"/>
  <c r="U31" i="4"/>
  <c r="U30" i="4"/>
  <c r="U29" i="4"/>
  <c r="T43" i="4"/>
  <c r="T42" i="4"/>
  <c r="T41" i="4"/>
  <c r="T40" i="4"/>
  <c r="T39" i="4"/>
  <c r="T38" i="4"/>
  <c r="T37" i="4"/>
  <c r="T36" i="4"/>
  <c r="T35" i="4"/>
  <c r="T34" i="4"/>
  <c r="T33" i="4"/>
  <c r="T32" i="4"/>
  <c r="T31" i="4"/>
  <c r="T30" i="4"/>
  <c r="T29" i="4"/>
  <c r="S43" i="4"/>
  <c r="S42" i="4"/>
  <c r="S41" i="4"/>
  <c r="S40" i="4"/>
  <c r="S39" i="4"/>
  <c r="S38" i="4"/>
  <c r="S37" i="4"/>
  <c r="S36" i="4"/>
  <c r="S35" i="4"/>
  <c r="S34" i="4"/>
  <c r="S33" i="4"/>
  <c r="S32" i="4"/>
  <c r="S31" i="4"/>
  <c r="S30" i="4"/>
  <c r="S29" i="4"/>
  <c r="CZ44" i="2" l="1"/>
  <c r="BA37" i="2"/>
  <c r="BE44" i="2"/>
  <c r="BD44" i="2"/>
  <c r="C16" i="14"/>
  <c r="C14" i="14"/>
  <c r="AR44" i="2"/>
  <c r="AU44" i="2"/>
  <c r="AY44" i="2"/>
  <c r="H16" i="14" s="1"/>
  <c r="AW44" i="2"/>
  <c r="H14" i="14" s="1"/>
  <c r="U44" i="4"/>
  <c r="J13" i="14" s="1"/>
  <c r="T44" i="4"/>
  <c r="S44" i="4"/>
  <c r="J8" i="14" s="1"/>
  <c r="U43" i="2"/>
  <c r="AM43" i="2" s="1"/>
  <c r="U42" i="2"/>
  <c r="AM42" i="2" s="1"/>
  <c r="U41" i="2"/>
  <c r="AM41" i="2" s="1"/>
  <c r="U40" i="2"/>
  <c r="AM40" i="2" s="1"/>
  <c r="U39" i="2"/>
  <c r="AM39" i="2" s="1"/>
  <c r="U38" i="2"/>
  <c r="AM38" i="2" s="1"/>
  <c r="U37" i="2"/>
  <c r="U36" i="2"/>
  <c r="AM36" i="2" s="1"/>
  <c r="U35" i="2"/>
  <c r="AM35" i="2" s="1"/>
  <c r="U34" i="2"/>
  <c r="U33" i="2"/>
  <c r="U32" i="2"/>
  <c r="U31" i="2"/>
  <c r="U30" i="2"/>
  <c r="U29" i="2"/>
  <c r="AM37" i="2" l="1"/>
  <c r="DO37" i="2"/>
  <c r="AM32" i="2"/>
  <c r="DO32" i="2"/>
  <c r="AM33" i="2"/>
  <c r="DO33" i="2"/>
  <c r="I37" i="14"/>
  <c r="I36" i="14"/>
  <c r="AZ33" i="2"/>
  <c r="AZ32" i="2"/>
  <c r="I29" i="14"/>
  <c r="D29" i="14"/>
  <c r="AM31" i="2"/>
  <c r="AZ31" i="2"/>
  <c r="AM30" i="2"/>
  <c r="AZ30" i="2"/>
  <c r="AM29" i="2"/>
  <c r="AZ29" i="2"/>
  <c r="AM34" i="2"/>
  <c r="AZ34" i="2"/>
  <c r="AG43" i="2"/>
  <c r="AG42" i="2"/>
  <c r="AG41" i="2"/>
  <c r="AG40" i="2"/>
  <c r="AG39" i="2"/>
  <c r="AG38" i="2"/>
  <c r="AG37" i="2"/>
  <c r="AG36" i="2"/>
  <c r="AG35" i="2"/>
  <c r="AG34" i="2"/>
  <c r="AG33" i="2"/>
  <c r="AG32" i="2"/>
  <c r="AG31" i="2"/>
  <c r="AG30" i="2"/>
  <c r="DO44" i="2" l="1"/>
  <c r="AM44" i="2"/>
  <c r="AZ44" i="2"/>
  <c r="H17" i="14" s="1"/>
  <c r="AG29" i="2"/>
  <c r="I35" i="14" l="1"/>
  <c r="D35" i="14"/>
  <c r="U44" i="2"/>
  <c r="C17" i="14" s="1"/>
  <c r="AE43" i="2" l="1"/>
  <c r="AE42" i="2"/>
  <c r="AE41" i="2"/>
  <c r="AE40" i="2"/>
  <c r="AE39" i="2"/>
  <c r="AE38" i="2"/>
  <c r="AE37" i="2"/>
  <c r="AE36" i="2"/>
  <c r="AE35" i="2"/>
  <c r="AE34" i="2"/>
  <c r="AE33" i="2"/>
  <c r="AE32" i="2"/>
  <c r="AE31" i="2"/>
  <c r="AE30" i="2"/>
  <c r="AE29" i="2"/>
  <c r="AD43" i="2" l="1"/>
  <c r="AC43" i="2"/>
  <c r="AD42" i="2"/>
  <c r="AC42" i="2"/>
  <c r="AD41" i="2"/>
  <c r="AC41" i="2"/>
  <c r="AD40" i="2"/>
  <c r="AC40" i="2"/>
  <c r="AD39" i="2"/>
  <c r="AC39" i="2"/>
  <c r="AD38" i="2"/>
  <c r="AC38" i="2"/>
  <c r="AD37" i="2"/>
  <c r="AC37" i="2"/>
  <c r="AD36" i="2"/>
  <c r="AC36" i="2"/>
  <c r="AD35" i="2"/>
  <c r="AC35" i="2"/>
  <c r="AD34" i="2"/>
  <c r="AC34" i="2"/>
  <c r="AD33" i="2"/>
  <c r="AC33" i="2"/>
  <c r="AD32" i="2"/>
  <c r="AC32" i="2"/>
  <c r="AD31" i="2"/>
  <c r="AC31" i="2"/>
  <c r="AD30" i="2"/>
  <c r="AC30" i="2"/>
  <c r="AD29" i="2"/>
  <c r="AC29" i="2"/>
  <c r="H43" i="4" l="1"/>
  <c r="K43" i="4" s="1"/>
  <c r="G43" i="4"/>
  <c r="D43" i="4"/>
  <c r="E43" i="4" s="1"/>
  <c r="H42" i="4"/>
  <c r="K42" i="4" s="1"/>
  <c r="G42" i="4"/>
  <c r="D42" i="4"/>
  <c r="E42" i="4" s="1"/>
  <c r="H41" i="4"/>
  <c r="K41" i="4" s="1"/>
  <c r="G41" i="4"/>
  <c r="D41" i="4"/>
  <c r="E41" i="4" s="1"/>
  <c r="H40" i="4"/>
  <c r="K40" i="4" s="1"/>
  <c r="G40" i="4"/>
  <c r="D40" i="4"/>
  <c r="E40" i="4" s="1"/>
  <c r="H39" i="4"/>
  <c r="K39" i="4" s="1"/>
  <c r="G39" i="4"/>
  <c r="D39" i="4"/>
  <c r="E39" i="4" s="1"/>
  <c r="H38" i="4"/>
  <c r="K38" i="4" s="1"/>
  <c r="G38" i="4"/>
  <c r="D38" i="4"/>
  <c r="E38" i="4" s="1"/>
  <c r="H37" i="4"/>
  <c r="K37" i="4" s="1"/>
  <c r="G37" i="4"/>
  <c r="D37" i="4"/>
  <c r="E37" i="4" s="1"/>
  <c r="H36" i="4"/>
  <c r="K36" i="4" s="1"/>
  <c r="G36" i="4"/>
  <c r="D36" i="4"/>
  <c r="E36" i="4" s="1"/>
  <c r="H35" i="4"/>
  <c r="K35" i="4" s="1"/>
  <c r="G35" i="4"/>
  <c r="D35" i="4"/>
  <c r="E35" i="4" s="1"/>
  <c r="H34" i="4"/>
  <c r="K34" i="4" s="1"/>
  <c r="G34" i="4"/>
  <c r="D34" i="4"/>
  <c r="F34" i="4" s="1"/>
  <c r="H33" i="4"/>
  <c r="K33" i="4" s="1"/>
  <c r="G33" i="4"/>
  <c r="D33" i="4"/>
  <c r="H32" i="4"/>
  <c r="K32" i="4" s="1"/>
  <c r="G32" i="4"/>
  <c r="D32" i="4"/>
  <c r="H31" i="4"/>
  <c r="K31" i="4" s="1"/>
  <c r="G31" i="4"/>
  <c r="D31" i="4"/>
  <c r="H30" i="4"/>
  <c r="K30" i="4" s="1"/>
  <c r="G30" i="4"/>
  <c r="D30" i="4"/>
  <c r="H29" i="4"/>
  <c r="D29" i="4"/>
  <c r="G29" i="4"/>
  <c r="E34" i="4" l="1"/>
  <c r="I34" i="4"/>
  <c r="I35" i="4"/>
  <c r="I36" i="4"/>
  <c r="I37" i="4"/>
  <c r="I38" i="4"/>
  <c r="I39" i="4"/>
  <c r="I40" i="4"/>
  <c r="I41" i="4"/>
  <c r="I42" i="4"/>
  <c r="I43" i="4"/>
  <c r="L35" i="4"/>
  <c r="V35" i="4"/>
  <c r="L36" i="4"/>
  <c r="V36" i="4"/>
  <c r="L37" i="4"/>
  <c r="V37" i="4"/>
  <c r="L38" i="4"/>
  <c r="V38" i="4"/>
  <c r="L39" i="4"/>
  <c r="V39" i="4"/>
  <c r="L40" i="4"/>
  <c r="V40" i="4"/>
  <c r="L41" i="4"/>
  <c r="V41" i="4"/>
  <c r="L42" i="4"/>
  <c r="V42" i="4"/>
  <c r="L43" i="4"/>
  <c r="V43" i="4"/>
  <c r="J34" i="4"/>
  <c r="F35" i="4"/>
  <c r="J35" i="4"/>
  <c r="F36" i="4"/>
  <c r="J36" i="4"/>
  <c r="F37" i="4"/>
  <c r="J37" i="4"/>
  <c r="F38" i="4"/>
  <c r="J38" i="4"/>
  <c r="F39" i="4"/>
  <c r="J39" i="4"/>
  <c r="F40" i="4"/>
  <c r="J40" i="4"/>
  <c r="F41" i="4"/>
  <c r="J41" i="4"/>
  <c r="F42" i="4"/>
  <c r="J42" i="4"/>
  <c r="F43" i="4"/>
  <c r="J43" i="4"/>
  <c r="L34" i="4"/>
  <c r="V34" i="4"/>
  <c r="V30" i="4"/>
  <c r="L32" i="4"/>
  <c r="V32" i="4"/>
  <c r="L33" i="4"/>
  <c r="V33" i="4"/>
  <c r="D44" i="4"/>
  <c r="V29" i="4"/>
  <c r="H44" i="4"/>
  <c r="L31" i="4"/>
  <c r="V31" i="4"/>
  <c r="E33" i="4"/>
  <c r="I33" i="4"/>
  <c r="F33" i="4"/>
  <c r="J33" i="4"/>
  <c r="E32" i="4"/>
  <c r="I32" i="4"/>
  <c r="F32" i="4"/>
  <c r="J32" i="4"/>
  <c r="E31" i="4"/>
  <c r="I31" i="4"/>
  <c r="F31" i="4"/>
  <c r="J31" i="4"/>
  <c r="L30" i="4"/>
  <c r="E30" i="4"/>
  <c r="I30" i="4"/>
  <c r="F30" i="4"/>
  <c r="J30" i="4"/>
  <c r="K43" i="2"/>
  <c r="AO43" i="2" s="1"/>
  <c r="K42" i="2"/>
  <c r="AO42" i="2" s="1"/>
  <c r="K41" i="2"/>
  <c r="AO41" i="2" s="1"/>
  <c r="K40" i="2"/>
  <c r="AO40" i="2" s="1"/>
  <c r="K39" i="2"/>
  <c r="AO39" i="2" s="1"/>
  <c r="K38" i="2"/>
  <c r="AO38" i="2" s="1"/>
  <c r="K37" i="2"/>
  <c r="AO37" i="2" s="1"/>
  <c r="K36" i="2"/>
  <c r="AO36" i="2" s="1"/>
  <c r="K35" i="2"/>
  <c r="AO35" i="2" s="1"/>
  <c r="K34" i="2"/>
  <c r="K33" i="2"/>
  <c r="K32" i="2"/>
  <c r="K31" i="2"/>
  <c r="K30" i="2"/>
  <c r="DK30" i="2" s="1"/>
  <c r="K29" i="2"/>
  <c r="DK29" i="2" s="1"/>
  <c r="I43" i="2"/>
  <c r="DA43" i="2" s="1"/>
  <c r="I42" i="2"/>
  <c r="DA42" i="2" s="1"/>
  <c r="I41" i="2"/>
  <c r="DA41" i="2" s="1"/>
  <c r="I40" i="2"/>
  <c r="DA40" i="2" s="1"/>
  <c r="I39" i="2"/>
  <c r="DA39" i="2" s="1"/>
  <c r="I38" i="2"/>
  <c r="DA38" i="2" s="1"/>
  <c r="I37" i="2"/>
  <c r="I36" i="2"/>
  <c r="I35" i="2"/>
  <c r="DA35" i="2" s="1"/>
  <c r="I34" i="2"/>
  <c r="DA34" i="2" s="1"/>
  <c r="I33" i="2"/>
  <c r="I32" i="2"/>
  <c r="DA32" i="2" s="1"/>
  <c r="CY32" i="2" s="1"/>
  <c r="I31" i="2"/>
  <c r="DA31" i="2" s="1"/>
  <c r="I30" i="2"/>
  <c r="DA30" i="2" s="1"/>
  <c r="I29" i="2"/>
  <c r="G43" i="2"/>
  <c r="F43" i="2"/>
  <c r="G42" i="2"/>
  <c r="F42" i="2"/>
  <c r="G41" i="2"/>
  <c r="F41" i="2"/>
  <c r="G40" i="2"/>
  <c r="F40" i="2"/>
  <c r="G39" i="2"/>
  <c r="F39" i="2"/>
  <c r="G38" i="2"/>
  <c r="F38" i="2"/>
  <c r="G37" i="2"/>
  <c r="F37" i="2"/>
  <c r="G36" i="2"/>
  <c r="F36" i="2"/>
  <c r="G35" i="2"/>
  <c r="F35" i="2"/>
  <c r="G34" i="2"/>
  <c r="F34" i="2"/>
  <c r="G33" i="2"/>
  <c r="F33" i="2"/>
  <c r="G32" i="2"/>
  <c r="F32" i="2"/>
  <c r="G31" i="2"/>
  <c r="F31" i="2"/>
  <c r="G30" i="2"/>
  <c r="F30" i="2"/>
  <c r="G29" i="2"/>
  <c r="F29" i="2"/>
  <c r="E29" i="4"/>
  <c r="DK44" i="2" l="1"/>
  <c r="DA37" i="2"/>
  <c r="AJ37" i="2"/>
  <c r="DA36" i="2"/>
  <c r="AJ36" i="2"/>
  <c r="AO32" i="2"/>
  <c r="AX32" i="2"/>
  <c r="AO33" i="2"/>
  <c r="AX33" i="2"/>
  <c r="DA33" i="2"/>
  <c r="CY33" i="2" s="1"/>
  <c r="CY44" i="2" s="1"/>
  <c r="H7" i="14" s="1"/>
  <c r="AV33" i="2"/>
  <c r="BA33" i="2" s="1"/>
  <c r="AV29" i="2"/>
  <c r="BA29" i="2" s="1"/>
  <c r="DA29" i="2"/>
  <c r="AV34" i="2"/>
  <c r="BA34" i="2" s="1"/>
  <c r="AV31" i="2"/>
  <c r="BA31" i="2" s="1"/>
  <c r="AJ35" i="2"/>
  <c r="AJ32" i="2"/>
  <c r="AJ33" i="2"/>
  <c r="I44" i="4"/>
  <c r="L44" i="4"/>
  <c r="J44" i="4"/>
  <c r="K44" i="4"/>
  <c r="I8" i="14"/>
  <c r="H8" i="14" s="1"/>
  <c r="F44" i="4"/>
  <c r="AJ30" i="2"/>
  <c r="AV30" i="2"/>
  <c r="BA30" i="2" s="1"/>
  <c r="H12" i="14"/>
  <c r="I13" i="14" s="1"/>
  <c r="H13" i="14" s="1"/>
  <c r="AO31" i="2"/>
  <c r="AX31" i="2"/>
  <c r="AO29" i="2"/>
  <c r="AX29" i="2"/>
  <c r="AO30" i="2"/>
  <c r="AX30" i="2"/>
  <c r="AO34" i="2"/>
  <c r="AX34" i="2"/>
  <c r="AJ31" i="2"/>
  <c r="AJ34" i="2"/>
  <c r="AJ29" i="2"/>
  <c r="E44" i="4"/>
  <c r="V44" i="4"/>
  <c r="AA43" i="2"/>
  <c r="AA42" i="2"/>
  <c r="AA41" i="2"/>
  <c r="AA40" i="2"/>
  <c r="AA39" i="2"/>
  <c r="AA38" i="2"/>
  <c r="AA37" i="2"/>
  <c r="AA36" i="2"/>
  <c r="AA35" i="2"/>
  <c r="AA34" i="2"/>
  <c r="AA33" i="2"/>
  <c r="AA32" i="2"/>
  <c r="AA31" i="2"/>
  <c r="AA30" i="2"/>
  <c r="AA29" i="2"/>
  <c r="BA44" i="2" l="1"/>
  <c r="DA44" i="2"/>
  <c r="I44" i="2" s="1"/>
  <c r="H11" i="14"/>
  <c r="G44" i="4"/>
  <c r="AO44" i="2"/>
  <c r="AJ44" i="2"/>
  <c r="AX44" i="2"/>
  <c r="H15" i="14" s="1"/>
  <c r="AV44" i="2"/>
  <c r="K44" i="2" l="1"/>
  <c r="C15" i="14" s="1"/>
  <c r="C7" i="14"/>
  <c r="D43" i="2"/>
  <c r="D42" i="2"/>
  <c r="D41" i="2"/>
  <c r="D40" i="2"/>
  <c r="D39" i="2"/>
  <c r="D38" i="2"/>
  <c r="D37" i="2"/>
  <c r="R37" i="2" s="1"/>
  <c r="D36" i="2"/>
  <c r="R36" i="2" s="1"/>
  <c r="D35" i="2"/>
  <c r="R35" i="2" s="1"/>
  <c r="D34" i="2"/>
  <c r="R34" i="2" s="1"/>
  <c r="D33" i="2"/>
  <c r="R33" i="2" s="1"/>
  <c r="D32" i="2"/>
  <c r="R32" i="2" s="1"/>
  <c r="D31" i="2"/>
  <c r="R31" i="2" s="1"/>
  <c r="D30" i="2"/>
  <c r="R30" i="2" s="1"/>
  <c r="D29" i="2"/>
  <c r="R29" i="2" l="1"/>
  <c r="DE44" i="2"/>
  <c r="AS30" i="2"/>
  <c r="BH30" i="2" s="1"/>
  <c r="AF30" i="2"/>
  <c r="AS34" i="2"/>
  <c r="BH34" i="2" s="1"/>
  <c r="AF34" i="2"/>
  <c r="AS38" i="2"/>
  <c r="AF38" i="2"/>
  <c r="AS42" i="2"/>
  <c r="BH42" i="2" s="1"/>
  <c r="AF42" i="2"/>
  <c r="AS31" i="2"/>
  <c r="BH31" i="2" s="1"/>
  <c r="AF31" i="2"/>
  <c r="AS39" i="2"/>
  <c r="BH39" i="2" s="1"/>
  <c r="AF39" i="2"/>
  <c r="AS43" i="2"/>
  <c r="BH43" i="2" s="1"/>
  <c r="AF43" i="2"/>
  <c r="AS29" i="2"/>
  <c r="BH29" i="2" s="1"/>
  <c r="AF29" i="2"/>
  <c r="AS35" i="2"/>
  <c r="BH35" i="2" s="1"/>
  <c r="AF35" i="2"/>
  <c r="AS32" i="2"/>
  <c r="BH32" i="2" s="1"/>
  <c r="AF32" i="2"/>
  <c r="AS36" i="2"/>
  <c r="BH36" i="2" s="1"/>
  <c r="AF36" i="2"/>
  <c r="AS40" i="2"/>
  <c r="BH40" i="2" s="1"/>
  <c r="AF40" i="2"/>
  <c r="AS33" i="2"/>
  <c r="BH33" i="2" s="1"/>
  <c r="AF33" i="2"/>
  <c r="AS37" i="2"/>
  <c r="BH37" i="2" s="1"/>
  <c r="AF37" i="2"/>
  <c r="AS41" i="2"/>
  <c r="BH41" i="2" s="1"/>
  <c r="AF41" i="2"/>
  <c r="BH38" i="2"/>
  <c r="I29" i="4"/>
  <c r="J29" i="4"/>
  <c r="F29" i="4"/>
  <c r="L29" i="4"/>
  <c r="K29" i="4"/>
  <c r="I33" i="14" l="1"/>
  <c r="D33" i="14"/>
  <c r="D32" i="14"/>
  <c r="I32" i="14"/>
  <c r="BH44" i="2"/>
  <c r="D28" i="14" s="1"/>
  <c r="AS44" i="2"/>
  <c r="E4" i="8"/>
  <c r="I28" i="14" l="1"/>
  <c r="E2" i="8"/>
</calcChain>
</file>

<file path=xl/comments1.xml><?xml version="1.0" encoding="utf-8"?>
<comments xmlns="http://schemas.openxmlformats.org/spreadsheetml/2006/main">
  <authors>
    <author>DEGREVE, Vincent</author>
  </authors>
  <commentList>
    <comment ref="Q25" authorId="0" shapeId="0">
      <text>
        <r>
          <rPr>
            <sz val="10"/>
            <color indexed="81"/>
            <rFont val="Calibri"/>
            <family val="2"/>
            <scheme val="minor"/>
          </rPr>
          <t>Si confirmation de la passation administrative et obtention du quitus de fin de PA
→ Clôture de la Phase GPA et transfert de responsabilité au SAV
Conserver la ligne jusqu'au bilan annuel et créer l'opération dans le tableau de l'onglet suivant
(Etablissement du Bilan final GPA en fonction du type d'ouvrage)</t>
        </r>
      </text>
    </comment>
    <comment ref="T25" authorId="0" shapeId="0">
      <text>
        <r>
          <rPr>
            <sz val="10"/>
            <color indexed="81"/>
            <rFont val="Calibri"/>
            <family val="2"/>
            <scheme val="minor"/>
          </rPr>
          <t>Si confirmation de la passation administrative et obtention du quitus de fin de PA
→ Clôture de la Phase GPA et transfert de responsabilité au SAV
Conserver la ligne jusqu'au bilan annuel et créer l'opération dans le tableau de l'onglet suivant
(Etablissement du Bilan final GPA en fonction du type d'ouvrage)</t>
        </r>
      </text>
    </comment>
  </commentList>
</comments>
</file>

<file path=xl/comments2.xml><?xml version="1.0" encoding="utf-8"?>
<comments xmlns="http://schemas.openxmlformats.org/spreadsheetml/2006/main">
  <authors>
    <author>DEGREVE, Vincent</author>
  </authors>
  <commentList>
    <comment ref="P25" authorId="0" shapeId="0">
      <text>
        <r>
          <rPr>
            <sz val="10"/>
            <color indexed="81"/>
            <rFont val="Calibri"/>
            <family val="2"/>
            <scheme val="minor"/>
          </rPr>
          <t>Si définition d'actions
→ Utiliser le document de l'onglet "Plan d'actions"</t>
        </r>
      </text>
    </comment>
  </commentList>
</comments>
</file>

<file path=xl/comments3.xml><?xml version="1.0" encoding="utf-8"?>
<comments xmlns="http://schemas.openxmlformats.org/spreadsheetml/2006/main">
  <authors>
    <author>DEGREVE, Vincent</author>
  </authors>
  <commentList>
    <comment ref="P25" authorId="0" shapeId="0">
      <text>
        <r>
          <rPr>
            <sz val="10"/>
            <color indexed="81"/>
            <rFont val="Calibri"/>
            <family val="2"/>
            <scheme val="minor"/>
          </rPr>
          <t>Si définition d'actions
→ Utiliser le document de l'onglet "Plan d'actions"</t>
        </r>
      </text>
    </comment>
  </commentList>
</comments>
</file>

<file path=xl/comments4.xml><?xml version="1.0" encoding="utf-8"?>
<comments xmlns="http://schemas.openxmlformats.org/spreadsheetml/2006/main">
  <authors>
    <author>DEGREVE, Vincent</author>
  </authors>
  <commentList>
    <comment ref="P25" authorId="0" shapeId="0">
      <text>
        <r>
          <rPr>
            <sz val="10"/>
            <color indexed="81"/>
            <rFont val="Calibri"/>
            <family val="2"/>
            <scheme val="minor"/>
          </rPr>
          <t>Si définition d'actions
→ Utiliser le document de l'onglet "Plan d'actions"</t>
        </r>
      </text>
    </comment>
  </commentList>
</comments>
</file>

<file path=xl/comments5.xml><?xml version="1.0" encoding="utf-8"?>
<comments xmlns="http://schemas.openxmlformats.org/spreadsheetml/2006/main">
  <authors>
    <author>DEGREVE, Vincent</author>
  </authors>
  <commentList>
    <comment ref="P25" authorId="0" shapeId="0">
      <text>
        <r>
          <rPr>
            <sz val="10"/>
            <color indexed="81"/>
            <rFont val="Calibri"/>
            <family val="2"/>
            <scheme val="minor"/>
          </rPr>
          <t>Si définition d'actions
→ Utiliser le document de l'onglet "Plan d'actions"</t>
        </r>
      </text>
    </comment>
  </commentList>
</comments>
</file>

<file path=xl/comments6.xml><?xml version="1.0" encoding="utf-8"?>
<comments xmlns="http://schemas.openxmlformats.org/spreadsheetml/2006/main">
  <authors>
    <author>DEGREVE, Vincent</author>
  </authors>
  <commentList>
    <comment ref="P25" authorId="0" shapeId="0">
      <text>
        <r>
          <rPr>
            <sz val="10"/>
            <color indexed="81"/>
            <rFont val="Calibri"/>
            <family val="2"/>
            <scheme val="minor"/>
          </rPr>
          <t>Si définition d'actions
→ Utiliser le document de l'onglet "Plan d'actions"</t>
        </r>
      </text>
    </comment>
  </commentList>
</comments>
</file>

<file path=xl/comments7.xml><?xml version="1.0" encoding="utf-8"?>
<comments xmlns="http://schemas.openxmlformats.org/spreadsheetml/2006/main">
  <authors>
    <author>DEGREVE, Vincent</author>
  </authors>
  <commentList>
    <comment ref="P25" authorId="0" shapeId="0">
      <text>
        <r>
          <rPr>
            <sz val="10"/>
            <color indexed="81"/>
            <rFont val="Calibri"/>
            <family val="2"/>
            <scheme val="minor"/>
          </rPr>
          <t>Si définition d'actions
→ Utiliser le document de l'onglet "Plan d'actions"</t>
        </r>
      </text>
    </comment>
  </commentList>
</comments>
</file>

<file path=xl/comments8.xml><?xml version="1.0" encoding="utf-8"?>
<comments xmlns="http://schemas.openxmlformats.org/spreadsheetml/2006/main">
  <authors>
    <author>DEGREVE, Vincent</author>
  </authors>
  <commentList>
    <comment ref="P25" authorId="0" shapeId="0">
      <text>
        <r>
          <rPr>
            <sz val="10"/>
            <color indexed="81"/>
            <rFont val="Calibri"/>
            <family val="2"/>
            <scheme val="minor"/>
          </rPr>
          <t>Si définition d'actions
→ Utiliser le document de l'onglet "Plan d'actions"</t>
        </r>
      </text>
    </comment>
  </commentList>
</comments>
</file>

<file path=xl/comments9.xml><?xml version="1.0" encoding="utf-8"?>
<comments xmlns="http://schemas.openxmlformats.org/spreadsheetml/2006/main">
  <authors>
    <author>DEGREVE, Vincent</author>
  </authors>
  <commentList>
    <comment ref="P25" authorId="0" shapeId="0">
      <text>
        <r>
          <rPr>
            <sz val="10"/>
            <color indexed="81"/>
            <rFont val="Calibri"/>
            <family val="2"/>
            <scheme val="minor"/>
          </rPr>
          <t>Si définition d'actions
→ Utiliser le document de l'onglet "Plan d'actions"</t>
        </r>
      </text>
    </comment>
  </commentList>
</comments>
</file>

<file path=xl/sharedStrings.xml><?xml version="1.0" encoding="utf-8"?>
<sst xmlns="http://schemas.openxmlformats.org/spreadsheetml/2006/main" count="326" uniqueCount="120">
  <si>
    <t>Opération</t>
  </si>
  <si>
    <t>Date de réception</t>
  </si>
  <si>
    <t>CI travaux</t>
  </si>
  <si>
    <t>Date</t>
  </si>
  <si>
    <t>Délai</t>
  </si>
  <si>
    <t>PP</t>
  </si>
  <si>
    <t>ST</t>
  </si>
  <si>
    <t>Nom de l'opération</t>
  </si>
  <si>
    <t>Problématique</t>
  </si>
  <si>
    <t>Actions à mener</t>
  </si>
  <si>
    <t>Responsable(s)</t>
  </si>
  <si>
    <t>Agence</t>
  </si>
  <si>
    <t>Avancement de la phase GPA en %</t>
  </si>
  <si>
    <t>Nombre cumulé
de réclamations
GPA</t>
  </si>
  <si>
    <t>Montant cumulé des dépenses GPA</t>
  </si>
  <si>
    <t>Coût moyen d'une réclamation GPA</t>
  </si>
  <si>
    <t>Date de présentation du Bilan annuel GPA
de BBGO</t>
  </si>
  <si>
    <t>Prorogation
de la GPA
Oui / Non</t>
  </si>
  <si>
    <t>CA en €</t>
  </si>
  <si>
    <t xml:space="preserve">Délai </t>
  </si>
  <si>
    <t>Montant cumulé des dépenses
GPA / CA
en %</t>
  </si>
  <si>
    <t>Nombre de
réserves / logt
HN / HR</t>
  </si>
  <si>
    <t>Nombre cumulé
de réclamations
GPA / logt
HN / HR</t>
  </si>
  <si>
    <t>Montant cumulé des dépenses
GPA / logt
HN / HR</t>
  </si>
  <si>
    <t>Nbre de logts
HN / HR</t>
  </si>
  <si>
    <t>HN</t>
  </si>
  <si>
    <t>HR</t>
  </si>
  <si>
    <t>OF</t>
  </si>
  <si>
    <t>Oui</t>
  </si>
  <si>
    <t>Non</t>
  </si>
  <si>
    <t>Nbre de réserves
de réception</t>
  </si>
  <si>
    <t>Réactivité
moyenne en nombre de jours</t>
  </si>
  <si>
    <t xml:space="preserve">Date : </t>
  </si>
  <si>
    <t xml:space="preserve">Agence : </t>
  </si>
  <si>
    <t>NE RIEN SAISIR DANS CETTE COLONNE SERT A REMPLIR LES AUTRE ONGLETS</t>
  </si>
  <si>
    <t>Présents :</t>
  </si>
  <si>
    <t>Destinataires :</t>
  </si>
  <si>
    <t>Avancement en %</t>
  </si>
  <si>
    <t>Note de Satisfaction générale Qualimétrie PAMS</t>
  </si>
  <si>
    <t>ü</t>
  </si>
  <si>
    <t>♺</t>
  </si>
  <si>
    <t>Maître d'ouvrage Linkcity
Oui / Non</t>
  </si>
  <si>
    <t>Détail des lots réalisés en part propre (Hors gros-œuvre)</t>
  </si>
  <si>
    <t>Commentaires</t>
  </si>
  <si>
    <t>Quitus de levée de réserves</t>
  </si>
  <si>
    <t>Passation technique</t>
  </si>
  <si>
    <t>Passation administrative</t>
  </si>
  <si>
    <t>Nombre cumulé
de réclamations GPA</t>
  </si>
  <si>
    <t>Nombre de réclamations GPA
à solder</t>
  </si>
  <si>
    <t>/</t>
  </si>
  <si>
    <t>Indicateurs agence</t>
  </si>
  <si>
    <t>INDICATEURS</t>
  </si>
  <si>
    <t>VALEUR</t>
  </si>
  <si>
    <t>Numérateur</t>
  </si>
  <si>
    <t>Dénominateur</t>
  </si>
  <si>
    <t>Délai d'obtention des quitus de levée de réserves</t>
  </si>
  <si>
    <t>GPA : Nb de réclamations GPA / lgt HN</t>
  </si>
  <si>
    <t>GPA : Nb de réclamations GPA / lgt HR</t>
  </si>
  <si>
    <t>GPA : Nb de réclamations GPA / 100 m² SHO (OF/IE)</t>
  </si>
  <si>
    <t>GPA : Réactivité globale  (en nombre de jours)</t>
  </si>
  <si>
    <t>Dépenses GPA en k€</t>
  </si>
  <si>
    <t>% de GPA / CA</t>
  </si>
  <si>
    <t>Délai de passation technique</t>
  </si>
  <si>
    <t>Délai de passation administrative</t>
  </si>
  <si>
    <t>Informations complémentaires :</t>
  </si>
  <si>
    <r>
      <t xml:space="preserve">     </t>
    </r>
    <r>
      <rPr>
        <sz val="10"/>
        <color theme="1"/>
        <rFont val="Calibri"/>
        <family val="2"/>
      </rPr>
      <t xml:space="preserve">● </t>
    </r>
    <r>
      <rPr>
        <sz val="10"/>
        <color theme="1"/>
        <rFont val="Calibri"/>
        <family val="2"/>
        <scheme val="minor"/>
      </rPr>
      <t>Le nombre d'affaires en GPA dont sont issues les données ci-dessus :</t>
    </r>
  </si>
  <si>
    <t xml:space="preserve"> - HN : </t>
  </si>
  <si>
    <t xml:space="preserve"> - HR : </t>
  </si>
  <si>
    <t xml:space="preserve"> - OF : </t>
  </si>
  <si>
    <t xml:space="preserve"> - IE : </t>
  </si>
  <si>
    <t>Type d'ouvrage
HN / HR / OF / IE</t>
  </si>
  <si>
    <t>IE</t>
  </si>
  <si>
    <t>Nombre de
rés. / 100 m² SHO
OF / IE</t>
  </si>
  <si>
    <t>Nombre cumulé
de réclamations
GPA / 100 m² SHO
OF / IE</t>
  </si>
  <si>
    <t>Montant cumulé des dépenses
GPA / 100 m² SHO
OF / IE</t>
  </si>
  <si>
    <t>SHO en m²
OF / IE</t>
  </si>
  <si>
    <t>Nb de chantier ayant fait l'objet d'une passation technique</t>
  </si>
  <si>
    <t>Nb de chantier ayant fait l'objet d'une passation administrative</t>
  </si>
  <si>
    <t>XXXX</t>
  </si>
  <si>
    <t>en % :</t>
  </si>
  <si>
    <t>Clôture de la GPA</t>
  </si>
  <si>
    <t>Délai moyen :</t>
  </si>
  <si>
    <t>* : toutes affaires confondues</t>
  </si>
  <si>
    <t>** : affaires avec phase GPA clôturée</t>
  </si>
  <si>
    <r>
      <rPr>
        <sz val="10"/>
        <color theme="1"/>
        <rFont val="Calibri"/>
        <family val="2"/>
      </rPr>
      <t xml:space="preserve">     ● </t>
    </r>
    <r>
      <rPr>
        <sz val="10"/>
        <color theme="1"/>
        <rFont val="Calibri"/>
        <family val="2"/>
        <scheme val="minor"/>
      </rPr>
      <t>Le nombre de bilans de fin de GPA réalisés sur ces affaires ** :</t>
    </r>
  </si>
  <si>
    <r>
      <t xml:space="preserve">     </t>
    </r>
    <r>
      <rPr>
        <sz val="10"/>
        <color theme="1"/>
        <rFont val="Calibri"/>
        <family val="2"/>
      </rPr>
      <t xml:space="preserve">● </t>
    </r>
    <r>
      <rPr>
        <sz val="10"/>
        <color theme="1"/>
        <rFont val="Calibri"/>
        <family val="2"/>
        <scheme val="minor"/>
      </rPr>
      <t>Le nombre d'affaires avec la phase GPA clôturée receptionnées sans réserve ** :</t>
    </r>
  </si>
  <si>
    <r>
      <t xml:space="preserve">     </t>
    </r>
    <r>
      <rPr>
        <sz val="10"/>
        <color theme="1"/>
        <rFont val="Calibri"/>
        <family val="2"/>
      </rPr>
      <t xml:space="preserve">● </t>
    </r>
    <r>
      <rPr>
        <sz val="10"/>
        <color theme="1"/>
        <rFont val="Calibri"/>
        <family val="2"/>
        <scheme val="minor"/>
      </rPr>
      <t>Le nombre d'affaires receptionnées sans réserve * :</t>
    </r>
  </si>
  <si>
    <t>EVREUX</t>
  </si>
  <si>
    <t>Territoire ROUEN ELBEUF - CPE 6</t>
  </si>
  <si>
    <t>BEV602</t>
  </si>
  <si>
    <t>BOIS GUILLAUME - CARRE D'OR 33 lgts</t>
  </si>
  <si>
    <t>BEV702</t>
  </si>
  <si>
    <t>VAL DE REUIL - Eco-Village ZAC DES NOES</t>
  </si>
  <si>
    <t>BEV401</t>
  </si>
  <si>
    <t>Infiltrations dans logement malgré plusieurs interventions</t>
  </si>
  <si>
    <t>Pas de relance de la SILOGE - Attendre</t>
  </si>
  <si>
    <t>T. LESEUR</t>
  </si>
  <si>
    <t>Problème menuiseries alu. laquées : défaut d'aspect des menuiseries (ELYSEE Fermetures) sur les faces extérieures
4 ouvrants concernés</t>
  </si>
  <si>
    <t>Diagnostique du fournisseur : problèmes suite aux travaux de nettoyage Hors garantie
Solution de reprise à déterminer</t>
  </si>
  <si>
    <t>Problème d'infiltrations dans le sous-sol autour d'une pénétration</t>
  </si>
  <si>
    <t>Mise en place d'un joint hydro gonflant + réparation mortier sans retrait</t>
  </si>
  <si>
    <t>VMC bruyante</t>
  </si>
  <si>
    <t>Réglage à faire par ALDES (400,00 €)</t>
  </si>
  <si>
    <t>Défaut de pression réseau de distribution plomberie cage B 3ème niveau</t>
  </si>
  <si>
    <t>Investigations à faire / Appui C. FREMONT  + appui DT</t>
  </si>
  <si>
    <t>T. LESEUR / C. FREMONT</t>
  </si>
  <si>
    <t>Décollement peinture sur muret (Côté extérieure + côté escalier) + pieds de bâtiment</t>
  </si>
  <si>
    <t>Laisser une bande de 15 cm sans peinture en pied de bâtiment + I4 sur muret (Côté intérieur)</t>
  </si>
  <si>
    <t>EVREUX - BA105 Accueil ALSR</t>
  </si>
  <si>
    <t>BEV801</t>
  </si>
  <si>
    <t>BEV703</t>
  </si>
  <si>
    <t>GASNY - Rue de Paris 40 lgts</t>
  </si>
  <si>
    <t>2 maîtres d'ouvrage / 2 PV de réception</t>
  </si>
  <si>
    <t>BEV701</t>
  </si>
  <si>
    <t>En attente transfert adminstratif - Pièces manquantes</t>
  </si>
  <si>
    <t>Archivage à parfaire</t>
  </si>
  <si>
    <t>C. FREMONT</t>
  </si>
  <si>
    <t>En attente transfert adminstratif - CCRD à vérifier</t>
  </si>
  <si>
    <t>Vérifier avec le service juridique la validité de la CCRD</t>
  </si>
  <si>
    <t>LOUVIERS - ZAC Justice 40 lgts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</si>
</sst>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yyyy"/>
  </numFmts>
  <fonts count="21" x14ac:knownFonts="1">
    <font>
      <sz val="11"/>
      <color theme="1"/>
      <name val="Calibri"/>
      <family val="2"/>
      <scheme val="minor"/>
    </font>
    <font>
      <b/>
      <sz val="10"/>
      <color theme="1"/>
      <name val="Calibri"/>
      <family val="2"/>
      <scheme val="minor"/>
    </font>
    <font>
      <sz val="10"/>
      <color theme="1"/>
      <name val="Calibri"/>
      <family val="2"/>
      <scheme val="minor"/>
    </font>
    <font>
      <b/>
      <sz val="14"/>
      <color theme="1"/>
      <name val="Calibri"/>
      <family val="2"/>
      <scheme val="minor"/>
    </font>
    <font>
      <sz val="14"/>
      <color theme="1"/>
      <name val="Calibri"/>
      <family val="2"/>
      <scheme val="minor"/>
    </font>
    <font>
      <sz val="10"/>
      <color theme="0"/>
      <name val="Calibri"/>
      <family val="2"/>
      <scheme val="minor"/>
    </font>
    <font>
      <sz val="10"/>
      <color rgb="FFFF0000"/>
      <name val="Calibri"/>
      <family val="2"/>
      <scheme val="minor"/>
    </font>
    <font>
      <b/>
      <sz val="11"/>
      <color theme="1"/>
      <name val="Calibri"/>
      <family val="2"/>
      <scheme val="minor"/>
    </font>
    <font>
      <sz val="11"/>
      <color theme="0"/>
      <name val="Calibri"/>
      <family val="2"/>
      <scheme val="minor"/>
    </font>
    <font>
      <sz val="11"/>
      <color rgb="FF000000"/>
      <name val="Calibri"/>
      <family val="2"/>
    </font>
    <font>
      <b/>
      <sz val="12"/>
      <color rgb="FFFF0000"/>
      <name val="Calibri"/>
      <family val="2"/>
      <scheme val="minor"/>
    </font>
    <font>
      <sz val="16"/>
      <color theme="0"/>
      <name val="Wingdings"/>
      <charset val="2"/>
    </font>
    <font>
      <sz val="11"/>
      <color theme="0"/>
      <name val="Yu Gothic UI Semilight"/>
      <family val="2"/>
    </font>
    <font>
      <sz val="8"/>
      <color rgb="FF000000"/>
      <name val="Segoe UI"/>
      <family val="2"/>
    </font>
    <font>
      <sz val="10"/>
      <color indexed="81"/>
      <name val="Calibri"/>
      <family val="2"/>
      <scheme val="minor"/>
    </font>
    <font>
      <sz val="11"/>
      <color theme="0"/>
      <name val="Calibri"/>
      <family val="2"/>
    </font>
    <font>
      <sz val="10"/>
      <color theme="1"/>
      <name val="Calibri"/>
      <family val="2"/>
    </font>
    <font>
      <i/>
      <sz val="11"/>
      <color theme="1"/>
      <name val="Calibri"/>
      <family val="2"/>
      <scheme val="minor"/>
    </font>
    <font>
      <sz val="9"/>
      <color rgb="FF3E3E3E"/>
      <name val="Courier New"/>
      <family val="3"/>
    </font>
    <font>
      <sz val="11"/>
      <color rgb="FFFF0000"/>
      <name val="Calibri"/>
      <family val="2"/>
      <scheme val="minor"/>
    </font>
    <font>
      <b/>
      <i/>
      <sz val="11"/>
      <color theme="1"/>
      <name val="Calibri"/>
      <family val="2"/>
      <scheme val="minor"/>
    </font>
  </fonts>
  <fills count="14">
    <fill>
      <patternFill patternType="none"/>
    </fill>
    <fill>
      <patternFill patternType="gray125"/>
    </fill>
    <fill>
      <patternFill patternType="solid">
        <fgColor theme="9" tint="0.79998168889431442"/>
        <bgColor indexed="64"/>
      </patternFill>
    </fill>
    <fill>
      <patternFill patternType="solid">
        <fgColor theme="4" tint="0.79998168889431442"/>
        <bgColor indexed="64"/>
      </patternFill>
    </fill>
    <fill>
      <patternFill patternType="solid">
        <fgColor theme="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rgb="FFFF0000"/>
        <bgColor indexed="64"/>
      </patternFill>
    </fill>
    <fill>
      <patternFill patternType="gray0625">
        <bgColor theme="0"/>
      </patternFill>
    </fill>
    <fill>
      <patternFill patternType="gray0625"/>
    </fill>
    <fill>
      <patternFill patternType="solid">
        <fgColor rgb="FFFFFFCC"/>
        <bgColor indexed="64"/>
      </patternFill>
    </fill>
    <fill>
      <patternFill patternType="solid">
        <fgColor theme="7" tint="0.39997558519241921"/>
        <bgColor indexed="64"/>
      </patternFill>
    </fill>
    <fill>
      <patternFill patternType="solid">
        <fgColor theme="8" tint="0.79998168889431442"/>
        <bgColor indexed="64"/>
      </patternFill>
    </fill>
  </fills>
  <borders count="12">
    <border>
      <left/>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s>
  <cellStyleXfs count="1">
    <xf numFmtId="0" fontId="0" fillId="0" borderId="0"/>
  </cellStyleXfs>
  <cellXfs count="165">
    <xf numFmtId="0" fontId="0" fillId="0" borderId="0" xfId="0"/>
    <xf numFmtId="0" fontId="0" fillId="0" borderId="0" xfId="0" applyFill="1"/>
    <xf numFmtId="0" fontId="1" fillId="0" borderId="4" xfId="0" applyFont="1" applyFill="1" applyBorder="1" applyAlignment="1">
      <alignment horizontal="center" vertical="center"/>
    </xf>
    <xf numFmtId="0" fontId="0" fillId="0" borderId="4" xfId="0" applyFill="1" applyBorder="1" applyAlignment="1">
      <alignment horizontal="center" vertical="center"/>
    </xf>
    <xf numFmtId="0" fontId="0" fillId="0" borderId="0" xfId="0" applyFill="1" applyBorder="1" applyAlignment="1">
      <alignment vertical="center"/>
    </xf>
    <xf numFmtId="0" fontId="2" fillId="0" borderId="0" xfId="0" applyFont="1" applyFill="1" applyBorder="1" applyAlignment="1">
      <alignment horizontal="left" vertical="center"/>
    </xf>
    <xf numFmtId="0" fontId="2" fillId="0" borderId="0" xfId="0" applyFont="1" applyFill="1" applyBorder="1" applyAlignment="1">
      <alignment vertical="center"/>
    </xf>
    <xf numFmtId="0" fontId="0" fillId="0" borderId="0" xfId="0" applyFill="1" applyAlignment="1">
      <alignment vertical="center"/>
    </xf>
    <xf numFmtId="0" fontId="0" fillId="0" borderId="0" xfId="0" applyAlignment="1">
      <alignment vertical="center"/>
    </xf>
    <xf numFmtId="0" fontId="1" fillId="0" borderId="4" xfId="0" applyFont="1" applyFill="1" applyBorder="1" applyAlignment="1">
      <alignment horizontal="center" vertical="center" wrapText="1"/>
    </xf>
    <xf numFmtId="0" fontId="0" fillId="0" borderId="0" xfId="0" applyBorder="1" applyAlignment="1">
      <alignment horizontal="center" vertical="center"/>
    </xf>
    <xf numFmtId="0" fontId="0" fillId="0" borderId="0" xfId="0" applyFill="1" applyBorder="1" applyAlignment="1">
      <alignment horizontal="center" vertical="center"/>
    </xf>
    <xf numFmtId="0" fontId="2" fillId="0" borderId="9" xfId="0" applyFont="1" applyBorder="1" applyAlignment="1">
      <alignment horizontal="center" vertical="center"/>
    </xf>
    <xf numFmtId="14" fontId="2" fillId="0" borderId="9" xfId="0" applyNumberFormat="1" applyFont="1" applyBorder="1" applyAlignment="1">
      <alignment horizontal="center" vertical="center"/>
    </xf>
    <xf numFmtId="0" fontId="2" fillId="0" borderId="8" xfId="0" applyFont="1" applyBorder="1" applyAlignment="1">
      <alignment horizontal="center" vertical="center"/>
    </xf>
    <xf numFmtId="0" fontId="2" fillId="4" borderId="8" xfId="0" applyFont="1" applyFill="1" applyBorder="1" applyAlignment="1">
      <alignment horizontal="center" vertical="center"/>
    </xf>
    <xf numFmtId="0" fontId="2" fillId="4" borderId="9" xfId="0" applyFont="1" applyFill="1" applyBorder="1" applyAlignment="1">
      <alignment horizontal="center" vertical="center"/>
    </xf>
    <xf numFmtId="0" fontId="0" fillId="0" borderId="0" xfId="0" applyAlignment="1">
      <alignment horizontal="center" vertical="center"/>
    </xf>
    <xf numFmtId="4" fontId="2" fillId="0" borderId="9" xfId="0" applyNumberFormat="1" applyFont="1" applyBorder="1" applyAlignment="1">
      <alignment horizontal="center" vertical="center"/>
    </xf>
    <xf numFmtId="1" fontId="2" fillId="4" borderId="9" xfId="0" applyNumberFormat="1" applyFont="1" applyFill="1" applyBorder="1" applyAlignment="1" applyProtection="1">
      <alignment horizontal="center" vertical="center"/>
    </xf>
    <xf numFmtId="0" fontId="1" fillId="0" borderId="0" xfId="0" applyFont="1" applyFill="1" applyBorder="1" applyAlignment="1">
      <alignment horizontal="center" vertical="center" wrapText="1"/>
    </xf>
    <xf numFmtId="0" fontId="1" fillId="0" borderId="0" xfId="0" applyFont="1" applyFill="1" applyBorder="1" applyAlignment="1">
      <alignment vertical="center"/>
    </xf>
    <xf numFmtId="0" fontId="5" fillId="0" borderId="0" xfId="0" applyFont="1"/>
    <xf numFmtId="1" fontId="2" fillId="0" borderId="9" xfId="0" applyNumberFormat="1" applyFont="1" applyBorder="1" applyAlignment="1">
      <alignment horizontal="center" vertical="center"/>
    </xf>
    <xf numFmtId="0" fontId="6" fillId="0" borderId="0" xfId="0" applyFont="1"/>
    <xf numFmtId="0" fontId="7" fillId="5" borderId="0" xfId="0" applyFont="1" applyFill="1" applyAlignment="1">
      <alignment wrapText="1"/>
    </xf>
    <xf numFmtId="0" fontId="0" fillId="5" borderId="0" xfId="0" applyFill="1"/>
    <xf numFmtId="0" fontId="8" fillId="8" borderId="0" xfId="0" applyFont="1" applyFill="1"/>
    <xf numFmtId="14" fontId="0" fillId="0" borderId="0" xfId="0" applyNumberFormat="1" applyAlignment="1">
      <alignment horizontal="center" vertical="center"/>
    </xf>
    <xf numFmtId="0" fontId="10" fillId="0" borderId="0" xfId="0" applyFont="1" applyAlignment="1">
      <alignment vertical="center"/>
    </xf>
    <xf numFmtId="0" fontId="10" fillId="0" borderId="0" xfId="0" applyFont="1" applyAlignment="1">
      <alignment vertical="center" wrapText="1"/>
    </xf>
    <xf numFmtId="3" fontId="2" fillId="4" borderId="9" xfId="0" applyNumberFormat="1" applyFont="1" applyFill="1" applyBorder="1" applyAlignment="1">
      <alignment horizontal="center" vertical="center"/>
    </xf>
    <xf numFmtId="3" fontId="2" fillId="4" borderId="9" xfId="0" applyNumberFormat="1" applyFont="1" applyFill="1" applyBorder="1" applyAlignment="1" applyProtection="1">
      <alignment horizontal="center" vertical="center"/>
    </xf>
    <xf numFmtId="14" fontId="2" fillId="4" borderId="9" xfId="0" applyNumberFormat="1" applyFont="1" applyFill="1" applyBorder="1" applyAlignment="1" applyProtection="1">
      <alignment horizontal="center" vertical="center"/>
    </xf>
    <xf numFmtId="0" fontId="2" fillId="0" borderId="9" xfId="0" applyFont="1" applyBorder="1" applyAlignment="1" applyProtection="1">
      <alignment horizontal="center" vertical="center"/>
    </xf>
    <xf numFmtId="14" fontId="2" fillId="0" borderId="9" xfId="0" applyNumberFormat="1" applyFont="1" applyBorder="1" applyAlignment="1" applyProtection="1">
      <alignment horizontal="center" vertical="center"/>
    </xf>
    <xf numFmtId="4" fontId="2" fillId="0" borderId="9" xfId="0" applyNumberFormat="1" applyFont="1" applyBorder="1" applyAlignment="1" applyProtection="1">
      <alignment horizontal="center" vertical="center"/>
    </xf>
    <xf numFmtId="1" fontId="2" fillId="0" borderId="9" xfId="0" applyNumberFormat="1" applyFont="1" applyBorder="1" applyAlignment="1" applyProtection="1">
      <alignment horizontal="center" vertical="center"/>
    </xf>
    <xf numFmtId="0" fontId="2" fillId="4" borderId="9" xfId="0" applyFont="1" applyFill="1" applyBorder="1" applyAlignment="1" applyProtection="1">
      <alignment horizontal="center" vertical="center"/>
    </xf>
    <xf numFmtId="0" fontId="8" fillId="0" borderId="0" xfId="0" applyFont="1"/>
    <xf numFmtId="4" fontId="2" fillId="4" borderId="9" xfId="0" applyNumberFormat="1" applyFont="1" applyFill="1" applyBorder="1" applyAlignment="1" applyProtection="1">
      <alignment horizontal="center" vertical="center"/>
    </xf>
    <xf numFmtId="0" fontId="2" fillId="0" borderId="0" xfId="0" applyFont="1"/>
    <xf numFmtId="1" fontId="2" fillId="4" borderId="9" xfId="0" applyNumberFormat="1" applyFont="1" applyFill="1" applyBorder="1" applyAlignment="1" applyProtection="1">
      <alignment horizontal="center" vertical="center"/>
      <protection hidden="1"/>
    </xf>
    <xf numFmtId="2" fontId="2" fillId="4" borderId="9" xfId="0" applyNumberFormat="1" applyFont="1" applyFill="1" applyBorder="1" applyAlignment="1" applyProtection="1">
      <alignment horizontal="center" vertical="center"/>
      <protection hidden="1"/>
    </xf>
    <xf numFmtId="3" fontId="2" fillId="4" borderId="9" xfId="0" applyNumberFormat="1" applyFont="1" applyFill="1" applyBorder="1" applyAlignment="1" applyProtection="1">
      <alignment horizontal="center" vertical="center"/>
      <protection hidden="1"/>
    </xf>
    <xf numFmtId="4" fontId="2" fillId="4" borderId="9" xfId="0" applyNumberFormat="1" applyFont="1" applyFill="1" applyBorder="1" applyAlignment="1" applyProtection="1">
      <alignment horizontal="center" vertical="center"/>
      <protection hidden="1"/>
    </xf>
    <xf numFmtId="4" fontId="2" fillId="0" borderId="9" xfId="0" applyNumberFormat="1" applyFont="1" applyBorder="1" applyAlignment="1" applyProtection="1">
      <alignment horizontal="center" vertical="center"/>
      <protection hidden="1"/>
    </xf>
    <xf numFmtId="0" fontId="8" fillId="0" borderId="0" xfId="0" applyFont="1" applyAlignment="1" applyProtection="1">
      <alignment horizontal="center" vertical="center"/>
      <protection hidden="1"/>
    </xf>
    <xf numFmtId="0" fontId="11" fillId="0" borderId="0" xfId="0" applyFont="1" applyAlignment="1" applyProtection="1">
      <alignment horizontal="center" vertical="center"/>
      <protection hidden="1"/>
    </xf>
    <xf numFmtId="0" fontId="12" fillId="0" borderId="0" xfId="0" applyFont="1" applyProtection="1">
      <protection hidden="1"/>
    </xf>
    <xf numFmtId="0" fontId="8" fillId="0" borderId="0" xfId="0" applyFont="1" applyProtection="1">
      <protection hidden="1"/>
    </xf>
    <xf numFmtId="0" fontId="15" fillId="0" borderId="0" xfId="0" applyFont="1" applyProtection="1">
      <protection hidden="1"/>
    </xf>
    <xf numFmtId="0" fontId="2" fillId="0" borderId="8" xfId="0" applyFont="1" applyBorder="1" applyAlignment="1" applyProtection="1">
      <alignment horizontal="center" vertical="center"/>
    </xf>
    <xf numFmtId="0" fontId="2" fillId="0" borderId="8" xfId="0" applyFont="1" applyBorder="1" applyAlignment="1" applyProtection="1">
      <alignment horizontal="center" vertical="center" wrapText="1"/>
    </xf>
    <xf numFmtId="0" fontId="2" fillId="0" borderId="9" xfId="0" applyNumberFormat="1" applyFont="1" applyBorder="1" applyAlignment="1">
      <alignment horizontal="center" vertical="center"/>
    </xf>
    <xf numFmtId="2" fontId="5" fillId="4" borderId="0" xfId="0" applyNumberFormat="1" applyFont="1" applyFill="1" applyBorder="1" applyAlignment="1" applyProtection="1">
      <protection hidden="1"/>
    </xf>
    <xf numFmtId="2" fontId="8" fillId="0" borderId="0" xfId="0" applyNumberFormat="1" applyFont="1"/>
    <xf numFmtId="0" fontId="1" fillId="4" borderId="8" xfId="0" applyFont="1" applyFill="1" applyBorder="1" applyAlignment="1">
      <alignment horizontal="center" vertical="center"/>
    </xf>
    <xf numFmtId="1" fontId="1" fillId="4" borderId="9" xfId="0" applyNumberFormat="1" applyFont="1" applyFill="1" applyBorder="1" applyAlignment="1" applyProtection="1">
      <alignment horizontal="center" vertical="center"/>
      <protection hidden="1"/>
    </xf>
    <xf numFmtId="1" fontId="1" fillId="4" borderId="9" xfId="0" applyNumberFormat="1" applyFont="1" applyFill="1" applyBorder="1" applyAlignment="1" applyProtection="1">
      <alignment horizontal="center" vertical="center"/>
    </xf>
    <xf numFmtId="2" fontId="1" fillId="4" borderId="9" xfId="0" applyNumberFormat="1" applyFont="1" applyFill="1" applyBorder="1" applyAlignment="1" applyProtection="1">
      <alignment horizontal="center" vertical="center"/>
      <protection hidden="1"/>
    </xf>
    <xf numFmtId="14" fontId="1" fillId="9" borderId="9" xfId="0" applyNumberFormat="1" applyFont="1" applyFill="1" applyBorder="1" applyAlignment="1" applyProtection="1">
      <alignment horizontal="center" vertical="center"/>
    </xf>
    <xf numFmtId="3" fontId="1" fillId="4" borderId="9" xfId="0" applyNumberFormat="1" applyFont="1" applyFill="1" applyBorder="1" applyAlignment="1" applyProtection="1">
      <alignment horizontal="center" vertical="center"/>
      <protection hidden="1"/>
    </xf>
    <xf numFmtId="3" fontId="1" fillId="9" borderId="7" xfId="0" applyNumberFormat="1" applyFont="1" applyFill="1" applyBorder="1" applyAlignment="1">
      <alignment horizontal="center" vertical="center"/>
    </xf>
    <xf numFmtId="3" fontId="1" fillId="9" borderId="9" xfId="0" applyNumberFormat="1" applyFont="1" applyFill="1" applyBorder="1" applyAlignment="1" applyProtection="1">
      <alignment horizontal="center" vertical="center"/>
      <protection hidden="1"/>
    </xf>
    <xf numFmtId="0" fontId="1" fillId="9" borderId="9" xfId="0" applyFont="1" applyFill="1" applyBorder="1" applyAlignment="1">
      <alignment horizontal="center" vertical="center"/>
    </xf>
    <xf numFmtId="4" fontId="1" fillId="4" borderId="9" xfId="0" applyNumberFormat="1" applyFont="1" applyFill="1" applyBorder="1" applyAlignment="1" applyProtection="1">
      <alignment horizontal="center" vertical="center"/>
      <protection hidden="1"/>
    </xf>
    <xf numFmtId="4" fontId="1" fillId="0" borderId="9" xfId="0" applyNumberFormat="1" applyFont="1" applyBorder="1" applyAlignment="1" applyProtection="1">
      <alignment horizontal="center" vertical="center"/>
      <protection hidden="1"/>
    </xf>
    <xf numFmtId="14" fontId="1" fillId="10" borderId="7" xfId="0" applyNumberFormat="1" applyFont="1" applyFill="1" applyBorder="1" applyAlignment="1">
      <alignment horizontal="center" vertical="center"/>
    </xf>
    <xf numFmtId="0" fontId="1" fillId="10" borderId="7" xfId="0" applyFont="1" applyFill="1" applyBorder="1" applyAlignment="1">
      <alignment horizontal="center" vertical="center"/>
    </xf>
    <xf numFmtId="0" fontId="0" fillId="0" borderId="0" xfId="0" applyFont="1" applyFill="1"/>
    <xf numFmtId="3" fontId="1" fillId="4" borderId="9" xfId="0" applyNumberFormat="1" applyFont="1" applyFill="1" applyBorder="1" applyAlignment="1" applyProtection="1">
      <alignment horizontal="center" vertical="center"/>
    </xf>
    <xf numFmtId="0" fontId="2" fillId="0" borderId="0" xfId="0" applyFont="1" applyAlignment="1">
      <alignment vertical="center"/>
    </xf>
    <xf numFmtId="0" fontId="0" fillId="0" borderId="0" xfId="0" applyProtection="1">
      <protection hidden="1"/>
    </xf>
    <xf numFmtId="0" fontId="5" fillId="0" borderId="0" xfId="0" applyFont="1" applyProtection="1">
      <protection hidden="1"/>
    </xf>
    <xf numFmtId="2" fontId="8" fillId="0" borderId="0" xfId="0" applyNumberFormat="1" applyFont="1" applyProtection="1">
      <protection hidden="1"/>
    </xf>
    <xf numFmtId="0" fontId="7" fillId="0" borderId="0" xfId="0" applyFont="1" applyAlignment="1" applyProtection="1">
      <alignment vertical="center"/>
      <protection hidden="1"/>
    </xf>
    <xf numFmtId="0" fontId="0" fillId="0" borderId="0" xfId="0" applyAlignment="1" applyProtection="1">
      <alignment vertical="center"/>
      <protection hidden="1"/>
    </xf>
    <xf numFmtId="0" fontId="7" fillId="3" borderId="9" xfId="0" applyFont="1" applyFill="1" applyBorder="1" applyAlignment="1" applyProtection="1">
      <alignment horizontal="center" vertical="center"/>
      <protection hidden="1"/>
    </xf>
    <xf numFmtId="0" fontId="2" fillId="11" borderId="9" xfId="0" applyFont="1" applyFill="1" applyBorder="1" applyAlignment="1" applyProtection="1">
      <alignment horizontal="center" vertical="center"/>
      <protection hidden="1"/>
    </xf>
    <xf numFmtId="0" fontId="2" fillId="12" borderId="9" xfId="0" applyFont="1" applyFill="1" applyBorder="1" applyAlignment="1" applyProtection="1">
      <alignment horizontal="center" vertical="center"/>
      <protection hidden="1"/>
    </xf>
    <xf numFmtId="0" fontId="2" fillId="13" borderId="9" xfId="0" applyFont="1" applyFill="1" applyBorder="1" applyAlignment="1" applyProtection="1">
      <alignment horizontal="center" vertical="center"/>
      <protection hidden="1"/>
    </xf>
    <xf numFmtId="0" fontId="2" fillId="2" borderId="9" xfId="0" applyFont="1" applyFill="1" applyBorder="1" applyAlignment="1" applyProtection="1">
      <alignment horizontal="center" vertical="center"/>
      <protection hidden="1"/>
    </xf>
    <xf numFmtId="0" fontId="2" fillId="0" borderId="0" xfId="0" applyFont="1" applyAlignment="1" applyProtection="1">
      <alignment vertical="center"/>
      <protection hidden="1"/>
    </xf>
    <xf numFmtId="0" fontId="2" fillId="0" borderId="0" xfId="0" applyFont="1" applyAlignment="1" applyProtection="1">
      <alignment horizontal="right" vertical="center"/>
      <protection hidden="1"/>
    </xf>
    <xf numFmtId="0" fontId="2" fillId="0" borderId="0" xfId="0" applyFont="1" applyAlignment="1" applyProtection="1">
      <alignment horizontal="center" vertical="center"/>
      <protection hidden="1"/>
    </xf>
    <xf numFmtId="1" fontId="2" fillId="0" borderId="0" xfId="0" applyNumberFormat="1" applyFont="1" applyAlignment="1" applyProtection="1">
      <alignment horizontal="center" vertical="center"/>
      <protection hidden="1"/>
    </xf>
    <xf numFmtId="0" fontId="0" fillId="0" borderId="0" xfId="0" applyFont="1" applyAlignment="1">
      <alignment vertical="center"/>
    </xf>
    <xf numFmtId="0" fontId="2" fillId="4" borderId="8" xfId="0" applyFont="1" applyFill="1" applyBorder="1" applyAlignment="1" applyProtection="1">
      <alignment horizontal="center" vertical="center"/>
      <protection hidden="1"/>
    </xf>
    <xf numFmtId="0" fontId="2" fillId="2" borderId="9" xfId="0" applyFont="1" applyFill="1" applyBorder="1" applyAlignment="1" applyProtection="1">
      <alignment horizontal="center" vertical="center" wrapText="1"/>
      <protection hidden="1"/>
    </xf>
    <xf numFmtId="0" fontId="2" fillId="4" borderId="8" xfId="0" applyFont="1" applyFill="1" applyBorder="1" applyAlignment="1" applyProtection="1">
      <alignment horizontal="center" vertical="center"/>
    </xf>
    <xf numFmtId="10" fontId="2" fillId="0" borderId="0" xfId="0" applyNumberFormat="1" applyFont="1" applyAlignment="1" applyProtection="1">
      <alignment horizontal="center" vertical="center"/>
      <protection hidden="1"/>
    </xf>
    <xf numFmtId="3" fontId="2" fillId="11" borderId="9" xfId="0" applyNumberFormat="1" applyFont="1" applyFill="1" applyBorder="1" applyAlignment="1" applyProtection="1">
      <alignment horizontal="center" vertical="center"/>
      <protection hidden="1"/>
    </xf>
    <xf numFmtId="1" fontId="2" fillId="11" borderId="9" xfId="0" applyNumberFormat="1" applyFont="1" applyFill="1" applyBorder="1" applyAlignment="1" applyProtection="1">
      <alignment horizontal="center" vertical="center"/>
      <protection hidden="1"/>
    </xf>
    <xf numFmtId="4" fontId="2" fillId="13" borderId="9" xfId="0" applyNumberFormat="1" applyFont="1" applyFill="1" applyBorder="1" applyAlignment="1" applyProtection="1">
      <alignment horizontal="center" vertical="center"/>
      <protection hidden="1"/>
    </xf>
    <xf numFmtId="1" fontId="2" fillId="2" borderId="9" xfId="0" applyNumberFormat="1" applyFont="1" applyFill="1" applyBorder="1" applyAlignment="1" applyProtection="1">
      <alignment horizontal="center" vertical="center"/>
      <protection hidden="1"/>
    </xf>
    <xf numFmtId="3" fontId="2" fillId="0" borderId="9" xfId="0" applyNumberFormat="1" applyFont="1" applyBorder="1" applyAlignment="1" applyProtection="1">
      <alignment horizontal="center" vertical="center"/>
    </xf>
    <xf numFmtId="3" fontId="2" fillId="0" borderId="9" xfId="0" applyNumberFormat="1" applyFont="1" applyBorder="1" applyAlignment="1">
      <alignment horizontal="center" vertical="center"/>
    </xf>
    <xf numFmtId="3" fontId="1" fillId="4" borderId="9" xfId="0" applyNumberFormat="1" applyFont="1" applyFill="1" applyBorder="1" applyAlignment="1">
      <alignment horizontal="center" vertical="center"/>
    </xf>
    <xf numFmtId="3" fontId="2" fillId="0" borderId="9" xfId="0" applyNumberFormat="1" applyFont="1" applyBorder="1" applyAlignment="1" applyProtection="1">
      <alignment horizontal="center" vertical="center"/>
      <protection hidden="1"/>
    </xf>
    <xf numFmtId="3" fontId="1" fillId="0" borderId="9" xfId="0" applyNumberFormat="1" applyFont="1" applyBorder="1" applyAlignment="1" applyProtection="1">
      <alignment horizontal="center" vertical="center"/>
      <protection hidden="1"/>
    </xf>
    <xf numFmtId="164" fontId="0" fillId="0" borderId="0" xfId="0" applyNumberFormat="1" applyAlignment="1">
      <alignment horizontal="center" vertical="center"/>
    </xf>
    <xf numFmtId="0" fontId="18" fillId="0" borderId="0" xfId="0" applyFont="1"/>
    <xf numFmtId="1" fontId="2" fillId="4" borderId="9" xfId="0" applyNumberFormat="1" applyFont="1" applyFill="1" applyBorder="1" applyAlignment="1">
      <alignment horizontal="center" vertical="center"/>
    </xf>
    <xf numFmtId="0" fontId="19" fillId="0" borderId="0" xfId="0" applyFont="1"/>
    <xf numFmtId="0" fontId="0" fillId="0" borderId="0" xfId="0" applyFont="1"/>
    <xf numFmtId="14" fontId="8" fillId="0" borderId="0" xfId="0" applyNumberFormat="1" applyFont="1" applyProtection="1">
      <protection hidden="1"/>
    </xf>
    <xf numFmtId="0" fontId="2" fillId="0" borderId="0" xfId="0" applyFont="1" applyAlignment="1">
      <alignment horizontal="right" vertical="center"/>
    </xf>
    <xf numFmtId="3" fontId="2" fillId="0" borderId="0" xfId="0" applyNumberFormat="1" applyFont="1" applyAlignment="1" applyProtection="1">
      <alignment horizontal="center" vertical="center"/>
      <protection hidden="1"/>
    </xf>
    <xf numFmtId="0" fontId="1" fillId="0" borderId="0" xfId="0" applyFont="1" applyAlignment="1" applyProtection="1">
      <alignment vertical="center"/>
      <protection hidden="1"/>
    </xf>
    <xf numFmtId="0" fontId="20" fillId="0" borderId="0" xfId="0" applyFont="1" applyAlignment="1">
      <alignment vertical="center"/>
    </xf>
    <xf numFmtId="4" fontId="2" fillId="12" borderId="9" xfId="0" applyNumberFormat="1" applyFont="1" applyFill="1" applyBorder="1" applyAlignment="1" applyProtection="1">
      <alignment horizontal="center" vertical="center"/>
      <protection hidden="1"/>
    </xf>
    <xf numFmtId="0" fontId="2" fillId="0" borderId="9" xfId="0" applyFont="1" applyBorder="1" applyAlignment="1" applyProtection="1">
      <alignment horizontal="center" vertical="center"/>
    </xf>
    <xf numFmtId="14" fontId="2" fillId="0" borderId="9" xfId="0" applyNumberFormat="1" applyFont="1" applyBorder="1" applyAlignment="1" applyProtection="1">
      <alignment horizontal="center" vertical="center"/>
    </xf>
    <xf numFmtId="0" fontId="2" fillId="0" borderId="8" xfId="0" applyFont="1" applyBorder="1" applyAlignment="1" applyProtection="1">
      <alignment horizontal="center" vertical="center"/>
    </xf>
    <xf numFmtId="0" fontId="2" fillId="0" borderId="9" xfId="0" applyFont="1" applyBorder="1" applyAlignment="1">
      <alignment horizontal="center" vertical="center"/>
    </xf>
    <xf numFmtId="0" fontId="2" fillId="0" borderId="9" xfId="0" applyFont="1" applyBorder="1" applyAlignment="1" applyProtection="1">
      <alignment horizontal="center" vertical="center"/>
    </xf>
    <xf numFmtId="14" fontId="2" fillId="0" borderId="9" xfId="0" applyNumberFormat="1" applyFont="1" applyBorder="1" applyAlignment="1" applyProtection="1">
      <alignment horizontal="center" vertical="center"/>
    </xf>
    <xf numFmtId="0" fontId="2" fillId="0" borderId="8" xfId="0" applyFont="1" applyBorder="1" applyAlignment="1">
      <alignment horizontal="center"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pplyProtection="1">
      <alignment horizontal="center" vertical="center"/>
    </xf>
    <xf numFmtId="14" fontId="2" fillId="0" borderId="9" xfId="0" applyNumberFormat="1" applyFont="1" applyBorder="1" applyAlignment="1" applyProtection="1">
      <alignment horizontal="center" vertical="center"/>
    </xf>
    <xf numFmtId="0" fontId="2" fillId="0" borderId="8" xfId="0" applyFont="1" applyBorder="1" applyAlignment="1">
      <alignment horizontal="center" vertical="center" wrapText="1"/>
    </xf>
    <xf numFmtId="0" fontId="17" fillId="0" borderId="0" xfId="0" applyFont="1" applyAlignment="1" applyProtection="1">
      <alignment horizontal="center" vertical="center"/>
      <protection hidden="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7"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2" borderId="11"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5" borderId="10" xfId="0" applyFont="1" applyFill="1" applyBorder="1" applyAlignment="1">
      <alignment horizontal="center" vertical="center"/>
    </xf>
    <xf numFmtId="0" fontId="1" fillId="5" borderId="5" xfId="0" applyFont="1" applyFill="1" applyBorder="1" applyAlignment="1">
      <alignment horizontal="center" vertical="center"/>
    </xf>
    <xf numFmtId="0" fontId="17" fillId="0" borderId="0" xfId="0" applyFont="1" applyFill="1" applyAlignment="1" applyProtection="1">
      <alignment horizontal="center" vertical="center"/>
      <protection hidden="1"/>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5" xfId="0" applyFont="1" applyFill="1" applyBorder="1" applyAlignment="1">
      <alignment horizontal="center" vertical="center"/>
    </xf>
    <xf numFmtId="0" fontId="1" fillId="5" borderId="1" xfId="0" applyFont="1" applyFill="1" applyBorder="1" applyAlignment="1">
      <alignment horizontal="center" vertical="center"/>
    </xf>
    <xf numFmtId="0" fontId="1" fillId="5" borderId="4" xfId="0" applyFont="1" applyFill="1" applyBorder="1" applyAlignment="1">
      <alignment horizontal="center" vertical="center"/>
    </xf>
    <xf numFmtId="0" fontId="1" fillId="5" borderId="7" xfId="0" applyFont="1" applyFill="1" applyBorder="1" applyAlignment="1">
      <alignment horizontal="center" vertical="center"/>
    </xf>
    <xf numFmtId="0" fontId="1" fillId="5" borderId="3" xfId="0" applyFont="1" applyFill="1" applyBorder="1" applyAlignment="1">
      <alignment horizontal="center" vertical="center"/>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3" fillId="7" borderId="3" xfId="0" applyFont="1" applyFill="1" applyBorder="1" applyAlignment="1">
      <alignment horizontal="center" vertical="center" wrapText="1"/>
    </xf>
    <xf numFmtId="0" fontId="3" fillId="7" borderId="4" xfId="0" applyFont="1" applyFill="1" applyBorder="1" applyAlignment="1">
      <alignment horizontal="center" vertical="center" wrapText="1"/>
    </xf>
    <xf numFmtId="0" fontId="4" fillId="7" borderId="7"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3" fillId="7" borderId="10" xfId="0" applyFont="1" applyFill="1" applyBorder="1" applyAlignment="1">
      <alignment horizontal="center" vertical="center" wrapText="1"/>
    </xf>
    <xf numFmtId="0" fontId="3" fillId="7" borderId="5" xfId="0" applyFont="1" applyFill="1" applyBorder="1" applyAlignment="1">
      <alignment horizontal="center" vertical="center" wrapText="1"/>
    </xf>
    <xf numFmtId="0" fontId="3" fillId="7" borderId="7" xfId="0" applyFont="1" applyFill="1" applyBorder="1" applyAlignment="1">
      <alignment horizontal="center" vertical="center" wrapText="1"/>
    </xf>
    <xf numFmtId="0" fontId="4" fillId="7" borderId="5" xfId="0" applyFont="1" applyFill="1" applyBorder="1" applyAlignment="1">
      <alignment horizontal="center" vertical="center" wrapText="1"/>
    </xf>
  </cellXfs>
  <cellStyles count="1">
    <cellStyle name="Normal" xfId="0" builtinId="0"/>
  </cellStyles>
  <dxfs count="118">
    <dxf>
      <font>
        <color rgb="FFFF0000"/>
      </font>
    </dxf>
    <dxf>
      <font>
        <color auto="1"/>
      </font>
    </dxf>
    <dxf>
      <font>
        <color rgb="FF00B050"/>
      </font>
    </dxf>
    <dxf>
      <font>
        <color rgb="FFFF0000"/>
      </font>
    </dxf>
    <dxf>
      <font>
        <color rgb="FF00B050"/>
      </font>
    </dxf>
    <dxf>
      <font>
        <color rgb="FFFF0000"/>
      </font>
    </dxf>
    <dxf>
      <font>
        <color auto="1"/>
      </font>
    </dxf>
    <dxf>
      <font>
        <color rgb="FF00B050"/>
      </font>
    </dxf>
    <dxf>
      <font>
        <color rgb="FFFF0000"/>
      </font>
    </dxf>
    <dxf>
      <font>
        <color rgb="FF00B050"/>
      </font>
    </dxf>
    <dxf>
      <font>
        <color rgb="FFFF0000"/>
      </font>
    </dxf>
    <dxf>
      <font>
        <color auto="1"/>
      </font>
    </dxf>
    <dxf>
      <font>
        <color rgb="FF00B050"/>
      </font>
    </dxf>
    <dxf>
      <font>
        <color rgb="FFFF0000"/>
      </font>
    </dxf>
    <dxf>
      <font>
        <color rgb="FF00B050"/>
      </font>
    </dxf>
    <dxf>
      <font>
        <color rgb="FFFF0000"/>
      </font>
    </dxf>
    <dxf>
      <font>
        <color auto="1"/>
      </font>
    </dxf>
    <dxf>
      <font>
        <color rgb="FF00B050"/>
      </font>
    </dxf>
    <dxf>
      <font>
        <color rgb="FFFF0000"/>
      </font>
    </dxf>
    <dxf>
      <font>
        <color rgb="FF00B050"/>
      </font>
    </dxf>
    <dxf>
      <font>
        <color rgb="FFFF0000"/>
      </font>
    </dxf>
    <dxf>
      <font>
        <color auto="1"/>
      </font>
    </dxf>
    <dxf>
      <font>
        <color rgb="FF00B050"/>
      </font>
    </dxf>
    <dxf>
      <font>
        <color rgb="FFFF0000"/>
      </font>
    </dxf>
    <dxf>
      <font>
        <color rgb="FF00B050"/>
      </font>
    </dxf>
    <dxf>
      <font>
        <color rgb="FFFF0000"/>
      </font>
    </dxf>
    <dxf>
      <font>
        <color auto="1"/>
      </font>
    </dxf>
    <dxf>
      <font>
        <color rgb="FF00B050"/>
      </font>
    </dxf>
    <dxf>
      <font>
        <color rgb="FFFF0000"/>
      </font>
    </dxf>
    <dxf>
      <font>
        <color rgb="FF00B050"/>
      </font>
    </dxf>
    <dxf>
      <font>
        <color rgb="FFFF0000"/>
      </font>
    </dxf>
    <dxf>
      <font>
        <color auto="1"/>
      </font>
    </dxf>
    <dxf>
      <font>
        <color rgb="FF00B050"/>
      </font>
    </dxf>
    <dxf>
      <font>
        <color rgb="FFFF0000"/>
      </font>
    </dxf>
    <dxf>
      <font>
        <color rgb="FF00B050"/>
      </font>
    </dxf>
    <dxf>
      <font>
        <color rgb="FFFF0000"/>
      </font>
    </dxf>
    <dxf>
      <font>
        <color auto="1"/>
      </font>
    </dxf>
    <dxf>
      <font>
        <color rgb="FF00B050"/>
      </font>
    </dxf>
    <dxf>
      <font>
        <color rgb="FFFF0000"/>
      </font>
    </dxf>
    <dxf>
      <font>
        <color rgb="FF00B050"/>
      </font>
    </dxf>
    <dxf>
      <font>
        <color rgb="FFFF0000"/>
      </font>
    </dxf>
    <dxf>
      <font>
        <color auto="1"/>
      </font>
    </dxf>
    <dxf>
      <font>
        <color rgb="FF00B050"/>
      </font>
    </dxf>
    <dxf>
      <font>
        <color rgb="FFFF0000"/>
      </font>
    </dxf>
    <dxf>
      <font>
        <color rgb="FF00B050"/>
      </font>
    </dxf>
    <dxf>
      <font>
        <color rgb="FFFF0000"/>
      </font>
    </dxf>
    <dxf>
      <font>
        <color auto="1"/>
      </font>
    </dxf>
    <dxf>
      <font>
        <color rgb="FF00B050"/>
      </font>
    </dxf>
    <dxf>
      <font>
        <color rgb="FFFF0000"/>
      </font>
    </dxf>
    <dxf>
      <font>
        <color rgb="FF00B050"/>
      </font>
    </dxf>
    <dxf>
      <font>
        <color rgb="FFFF0000"/>
      </font>
    </dxf>
    <dxf>
      <font>
        <color auto="1"/>
      </font>
    </dxf>
    <dxf>
      <font>
        <color rgb="FF00B050"/>
      </font>
    </dxf>
    <dxf>
      <font>
        <color rgb="FFFF0000"/>
      </font>
    </dxf>
    <dxf>
      <font>
        <color rgb="FF00B050"/>
      </font>
    </dxf>
    <dxf>
      <font>
        <color rgb="FFFF0000"/>
      </font>
    </dxf>
    <dxf>
      <font>
        <color auto="1"/>
      </font>
    </dxf>
    <dxf>
      <font>
        <color rgb="FF00B050"/>
      </font>
    </dxf>
    <dxf>
      <font>
        <color rgb="FFFF0000"/>
      </font>
    </dxf>
    <dxf>
      <font>
        <color rgb="FF00B050"/>
      </font>
    </dxf>
    <dxf>
      <font>
        <color rgb="FFFF0000"/>
      </font>
    </dxf>
    <dxf>
      <font>
        <color rgb="FF00B050"/>
      </font>
    </dxf>
    <dxf>
      <font>
        <color auto="1"/>
      </font>
    </dxf>
    <dxf>
      <font>
        <color rgb="FFFF0000"/>
      </font>
    </dxf>
    <dxf>
      <font>
        <color auto="1"/>
      </font>
    </dxf>
    <dxf>
      <font>
        <color rgb="FF00B050"/>
      </font>
    </dxf>
    <dxf>
      <font>
        <color rgb="FFFF0000"/>
      </font>
    </dxf>
    <dxf>
      <font>
        <color auto="1"/>
      </font>
    </dxf>
    <dxf>
      <font>
        <color rgb="FF00B050"/>
      </font>
    </dxf>
    <dxf>
      <font>
        <color rgb="FFFF0000"/>
      </font>
    </dxf>
    <dxf>
      <font>
        <color rgb="FF00B050"/>
      </font>
    </dxf>
    <dxf>
      <font>
        <color auto="1"/>
      </font>
    </dxf>
    <dxf>
      <font>
        <color rgb="FFFF0000"/>
      </font>
    </dxf>
    <dxf>
      <font>
        <color auto="1"/>
      </font>
    </dxf>
    <dxf>
      <font>
        <color rgb="FF00B050"/>
      </font>
    </dxf>
    <dxf>
      <font>
        <color rgb="FFFF0000"/>
      </font>
    </dxf>
    <dxf>
      <font>
        <color auto="1"/>
      </font>
    </dxf>
    <dxf>
      <font>
        <color rgb="FF00B050"/>
      </font>
    </dxf>
    <dxf>
      <font>
        <color rgb="FFFF0000"/>
      </font>
    </dxf>
    <dxf>
      <font>
        <color rgb="FF00B050"/>
      </font>
    </dxf>
    <dxf>
      <font>
        <color auto="1"/>
      </font>
    </dxf>
    <dxf>
      <font>
        <color rgb="FFFF0000"/>
      </font>
    </dxf>
    <dxf>
      <font>
        <color auto="1"/>
      </font>
    </dxf>
    <dxf>
      <font>
        <color rgb="FF00B050"/>
      </font>
    </dxf>
    <dxf>
      <font>
        <color rgb="FFFF0000"/>
      </font>
    </dxf>
    <dxf>
      <font>
        <color auto="1"/>
      </font>
    </dxf>
    <dxf>
      <font>
        <color rgb="FF00B050"/>
      </font>
    </dxf>
    <dxf>
      <font>
        <color rgb="FFFF0000"/>
      </font>
    </dxf>
    <dxf>
      <font>
        <color auto="1"/>
      </font>
    </dxf>
    <dxf>
      <font>
        <color rgb="FF00B050"/>
      </font>
    </dxf>
    <dxf>
      <font>
        <color rgb="FFFF0000"/>
      </font>
    </dxf>
    <dxf>
      <font>
        <color rgb="FF00B050"/>
      </font>
    </dxf>
    <dxf>
      <font>
        <color auto="1"/>
      </font>
    </dxf>
    <dxf>
      <font>
        <color theme="0"/>
      </font>
    </dxf>
    <dxf>
      <font>
        <color theme="0"/>
      </font>
      <fill>
        <patternFill patternType="gray0625"/>
      </fill>
    </dxf>
    <dxf>
      <font>
        <color theme="0"/>
      </font>
      <fill>
        <patternFill patternType="gray0625"/>
      </fill>
    </dxf>
    <dxf>
      <font>
        <color theme="0"/>
      </font>
      <fill>
        <patternFill patternType="gray0625"/>
      </fill>
    </dxf>
    <dxf>
      <font>
        <color theme="0"/>
      </font>
      <fill>
        <patternFill patternType="gray0625"/>
      </fill>
    </dxf>
    <dxf>
      <font>
        <color rgb="FFFF0000"/>
      </font>
    </dxf>
    <dxf>
      <font>
        <color rgb="FF00B050"/>
      </font>
    </dxf>
    <dxf>
      <font>
        <color theme="0"/>
      </font>
      <fill>
        <patternFill patternType="gray0625"/>
      </fill>
    </dxf>
    <dxf>
      <font>
        <color theme="1"/>
      </font>
    </dxf>
    <dxf>
      <font>
        <color theme="0"/>
      </font>
      <fill>
        <patternFill patternType="gray0625"/>
      </fill>
    </dxf>
    <dxf>
      <font>
        <color theme="0"/>
      </font>
      <fill>
        <patternFill patternType="gray0625"/>
      </fill>
    </dxf>
    <dxf>
      <font>
        <color theme="0"/>
      </font>
    </dxf>
    <dxf>
      <font>
        <color rgb="FF00B050"/>
      </font>
    </dxf>
    <dxf>
      <font>
        <color rgb="FFFF0000"/>
      </font>
    </dxf>
    <dxf>
      <font>
        <color theme="1"/>
      </font>
    </dxf>
    <dxf>
      <font>
        <color theme="0"/>
      </font>
    </dxf>
    <dxf>
      <font>
        <color theme="0"/>
      </font>
    </dxf>
    <dxf>
      <font>
        <color rgb="FFFF0000"/>
      </font>
    </dxf>
    <dxf>
      <font>
        <color rgb="FF00B050"/>
      </font>
    </dxf>
    <dxf>
      <font>
        <color theme="0"/>
      </font>
    </dxf>
    <dxf>
      <font>
        <color theme="1"/>
      </font>
    </dxf>
    <dxf>
      <font>
        <color theme="0"/>
      </font>
    </dxf>
    <dxf>
      <font>
        <color theme="0"/>
      </font>
    </dxf>
    <dxf>
      <font>
        <color theme="0"/>
      </font>
    </dxf>
    <dxf>
      <font>
        <color theme="0"/>
      </font>
    </dxf>
  </dxfs>
  <tableStyles count="0" defaultTableStyle="TableStyleMedium2" defaultPivotStyle="PivotStyleLight16"/>
  <colors>
    <mruColors>
      <color rgb="FFFFFFCC"/>
      <color rgb="FFFF6600"/>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theme" Target="theme/theme1.xml"/><Relationship Id="rId23" Type="http://schemas.openxmlformats.org/officeDocument/2006/relationships/customXml" Target="../customXml/item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checked="Checked"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checked="Checked"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3.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5.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7.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9.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2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76200</xdr:colOff>
          <xdr:row>18</xdr:row>
          <xdr:rowOff>85725</xdr:rowOff>
        </xdr:from>
        <xdr:to>
          <xdr:col>10</xdr:col>
          <xdr:colOff>1123950</xdr:colOff>
          <xdr:row>18</xdr:row>
          <xdr:rowOff>266700</xdr:rowOff>
        </xdr:to>
        <xdr:sp macro="" textlink="">
          <xdr:nvSpPr>
            <xdr:cNvPr id="1028" name="Check Box 4" hidden="1">
              <a:extLst>
                <a:ext uri="{63B3BB69-23CF-44E3-9099-C40C66FF867C}">
                  <a14:compatExt spid="_x0000_s10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xdr:twoCellAnchor>
    <xdr:from>
      <xdr:col>1</xdr:col>
      <xdr:colOff>4757</xdr:colOff>
      <xdr:row>9</xdr:row>
      <xdr:rowOff>4763</xdr:rowOff>
    </xdr:from>
    <xdr:to>
      <xdr:col>13</xdr:col>
      <xdr:colOff>55157</xdr:colOff>
      <xdr:row>12</xdr:row>
      <xdr:rowOff>189263</xdr:rowOff>
    </xdr:to>
    <xdr:sp macro="" textlink="">
      <xdr:nvSpPr>
        <xdr:cNvPr id="4" name="ZoneTexte 3"/>
        <xdr:cNvSpPr txBox="1"/>
      </xdr:nvSpPr>
      <xdr:spPr>
        <a:xfrm>
          <a:off x="61907" y="1585913"/>
          <a:ext cx="10108800" cy="756000"/>
        </a:xfrm>
        <a:prstGeom prst="roundRect">
          <a:avLst/>
        </a:prstGeom>
        <a:solidFill>
          <a:schemeClr val="bg1">
            <a:lumMod val="95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solidFill>
                <a:schemeClr val="tx1"/>
              </a:solidFill>
            </a:rPr>
            <a:t>Données</a:t>
          </a:r>
          <a:r>
            <a:rPr lang="fr-FR" sz="1400" b="1" baseline="0">
              <a:solidFill>
                <a:schemeClr val="tx1"/>
              </a:solidFill>
            </a:rPr>
            <a:t> opérations</a:t>
          </a:r>
          <a:endParaRPr lang="fr-FR" sz="1400" b="1">
            <a:solidFill>
              <a:schemeClr val="tx1"/>
            </a:solidFill>
          </a:endParaRPr>
        </a:p>
      </xdr:txBody>
    </xdr:sp>
    <xdr:clientData/>
  </xdr:twoCellAnchor>
  <xdr:twoCellAnchor>
    <xdr:from>
      <xdr:col>1</xdr:col>
      <xdr:colOff>4767</xdr:colOff>
      <xdr:row>1</xdr:row>
      <xdr:rowOff>4763</xdr:rowOff>
    </xdr:from>
    <xdr:to>
      <xdr:col>10</xdr:col>
      <xdr:colOff>1318617</xdr:colOff>
      <xdr:row>6</xdr:row>
      <xdr:rowOff>189863</xdr:rowOff>
    </xdr:to>
    <xdr:sp macro="" textlink="'Feuille Saisie'!E2">
      <xdr:nvSpPr>
        <xdr:cNvPr id="2" name="ZoneTexte 1">
          <a:extLst>
            <a:ext uri="{FF2B5EF4-FFF2-40B4-BE49-F238E27FC236}">
              <a16:creationId xmlns:a16="http://schemas.microsoft.com/office/drawing/2014/main" xmlns="" id="{336C5E17-EF01-43B4-BA2F-2629C9DA112E}"/>
            </a:ext>
          </a:extLst>
        </xdr:cNvPr>
        <xdr:cNvSpPr txBox="1"/>
      </xdr:nvSpPr>
      <xdr:spPr>
        <a:xfrm>
          <a:off x="61917" y="61913"/>
          <a:ext cx="1242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78B3FDD3-A508-404A-BE79-B55CD8F614FE}" type="TxLink">
            <a:rPr lang="en-US" sz="1400" b="1" i="0" u="none" strike="noStrike">
              <a:solidFill>
                <a:srgbClr val="000000"/>
              </a:solidFill>
              <a:latin typeface="Calibri"/>
              <a:cs typeface="Calibri"/>
            </a:rPr>
            <a:pPr>
              <a:lnSpc>
                <a:spcPts val="3400"/>
              </a:lnSpc>
            </a:pPr>
            <a:t>Agence : EVREUX
Date : 27/02/2019</a:t>
          </a:fld>
          <a:endParaRPr lang="fr-FR" sz="1400" b="1"/>
        </a:p>
      </xdr:txBody>
    </xdr:sp>
    <xdr:clientData/>
  </xdr:twoCellAnchor>
  <xdr:twoCellAnchor>
    <xdr:from>
      <xdr:col>10</xdr:col>
      <xdr:colOff>1447941</xdr:colOff>
      <xdr:row>1</xdr:row>
      <xdr:rowOff>4763</xdr:rowOff>
    </xdr:from>
    <xdr:to>
      <xdr:col>13</xdr:col>
      <xdr:colOff>56691</xdr:colOff>
      <xdr:row>6</xdr:row>
      <xdr:rowOff>189863</xdr:rowOff>
    </xdr:to>
    <xdr:sp macro="" textlink="'Feuille Saisie'!E4">
      <xdr:nvSpPr>
        <xdr:cNvPr id="9" name="ZoneTexte 8">
          <a:extLst>
            <a:ext uri="{FF2B5EF4-FFF2-40B4-BE49-F238E27FC236}">
              <a16:creationId xmlns:a16="http://schemas.microsoft.com/office/drawing/2014/main" xmlns="" id="{336C5E17-EF01-43B4-BA2F-2629C9DA112E}"/>
            </a:ext>
          </a:extLst>
        </xdr:cNvPr>
        <xdr:cNvSpPr txBox="1"/>
      </xdr:nvSpPr>
      <xdr:spPr>
        <a:xfrm>
          <a:off x="12611241" y="61913"/>
          <a:ext cx="1242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1EE38D43-F033-4B6A-9636-E592408209D7}" type="TxLink">
            <a:rPr lang="en-US" sz="1400" b="1" i="0" u="none" strike="noStrike">
              <a:solidFill>
                <a:srgbClr val="000000"/>
              </a:solidFill>
              <a:latin typeface="Calibri"/>
              <a:cs typeface="Calibri"/>
            </a:rPr>
            <a:pPr>
              <a:lnSpc>
                <a:spcPts val="3400"/>
              </a:lnSpc>
            </a:pPr>
            <a:t>Présents : XXXX
Destinataires : XXXX</a:t>
          </a:fld>
          <a:endParaRPr lang="fr-FR" sz="1400" b="1"/>
        </a:p>
      </xdr:txBody>
    </xdr:sp>
    <xdr:clientData/>
  </xdr:twoCellAnchor>
  <mc:AlternateContent xmlns:mc="http://schemas.openxmlformats.org/markup-compatibility/2006">
    <mc:Choice xmlns:a14="http://schemas.microsoft.com/office/drawing/2010/main" Requires="a14">
      <xdr:twoCellAnchor>
        <xdr:from>
          <xdr:col>9</xdr:col>
          <xdr:colOff>133350</xdr:colOff>
          <xdr:row>1</xdr:row>
          <xdr:rowOff>152400</xdr:rowOff>
        </xdr:from>
        <xdr:to>
          <xdr:col>10</xdr:col>
          <xdr:colOff>933450</xdr:colOff>
          <xdr:row>6</xdr:row>
          <xdr:rowOff>38100</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Cliquer ici pour saisir le nom</a:t>
              </a:r>
            </a:p>
            <a:p>
              <a:pPr algn="ctr" rtl="0">
                <a:defRPr sz="1000"/>
              </a:pPr>
              <a:r>
                <a:rPr lang="fr-FR" sz="1100" b="0" i="0" u="none" strike="noStrike" baseline="0">
                  <a:solidFill>
                    <a:srgbClr val="000000"/>
                  </a:solidFill>
                  <a:latin typeface="Calibri"/>
                  <a:cs typeface="Calibri"/>
                </a:rPr>
                <a:t>de l'agence et la date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7210425</xdr:colOff>
          <xdr:row>1</xdr:row>
          <xdr:rowOff>152400</xdr:rowOff>
        </xdr:from>
        <xdr:to>
          <xdr:col>12</xdr:col>
          <xdr:colOff>9058275</xdr:colOff>
          <xdr:row>6</xdr:row>
          <xdr:rowOff>38100</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Cliquer ici pour saisir le nom des présents et des destinataires en diffusion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18</xdr:row>
          <xdr:rowOff>85725</xdr:rowOff>
        </xdr:from>
        <xdr:to>
          <xdr:col>10</xdr:col>
          <xdr:colOff>2181225</xdr:colOff>
          <xdr:row>18</xdr:row>
          <xdr:rowOff>266700</xdr:rowOff>
        </xdr:to>
        <xdr:sp macro="" textlink="">
          <xdr:nvSpPr>
            <xdr:cNvPr id="1029" name="Check Box 5" hidden="1">
              <a:extLst>
                <a:ext uri="{63B3BB69-23CF-44E3-9099-C40C66FF867C}">
                  <a14:compatExt spid="_x0000_s10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18</xdr:row>
          <xdr:rowOff>371475</xdr:rowOff>
        </xdr:from>
        <xdr:to>
          <xdr:col>10</xdr:col>
          <xdr:colOff>828675</xdr:colOff>
          <xdr:row>18</xdr:row>
          <xdr:rowOff>552450</xdr:rowOff>
        </xdr:to>
        <xdr:sp macro="" textlink="">
          <xdr:nvSpPr>
            <xdr:cNvPr id="1030" name="Check Box 6" hidden="1">
              <a:extLst>
                <a:ext uri="{63B3BB69-23CF-44E3-9099-C40C66FF867C}">
                  <a14:compatExt spid="_x0000_s10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18</xdr:row>
          <xdr:rowOff>85725</xdr:rowOff>
        </xdr:from>
        <xdr:to>
          <xdr:col>10</xdr:col>
          <xdr:colOff>2943225</xdr:colOff>
          <xdr:row>18</xdr:row>
          <xdr:rowOff>266700</xdr:rowOff>
        </xdr:to>
        <xdr:sp macro="" textlink="">
          <xdr:nvSpPr>
            <xdr:cNvPr id="1031" name="Check Box 7" hidden="1">
              <a:extLst>
                <a:ext uri="{63B3BB69-23CF-44E3-9099-C40C66FF867C}">
                  <a14:compatExt spid="_x0000_s10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18</xdr:row>
          <xdr:rowOff>371475</xdr:rowOff>
        </xdr:from>
        <xdr:to>
          <xdr:col>10</xdr:col>
          <xdr:colOff>1771650</xdr:colOff>
          <xdr:row>18</xdr:row>
          <xdr:rowOff>552450</xdr:rowOff>
        </xdr:to>
        <xdr:sp macro="" textlink="">
          <xdr:nvSpPr>
            <xdr:cNvPr id="1032" name="Check Box 8" hidden="1">
              <a:extLst>
                <a:ext uri="{63B3BB69-23CF-44E3-9099-C40C66FF867C}">
                  <a14:compatExt spid="_x0000_s10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18</xdr:row>
          <xdr:rowOff>85725</xdr:rowOff>
        </xdr:from>
        <xdr:to>
          <xdr:col>10</xdr:col>
          <xdr:colOff>4257675</xdr:colOff>
          <xdr:row>18</xdr:row>
          <xdr:rowOff>266700</xdr:rowOff>
        </xdr:to>
        <xdr:sp macro="" textlink="">
          <xdr:nvSpPr>
            <xdr:cNvPr id="1033" name="Check Box 9" hidden="1">
              <a:extLst>
                <a:ext uri="{63B3BB69-23CF-44E3-9099-C40C66FF867C}">
                  <a14:compatExt spid="_x0000_s10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18</xdr:row>
          <xdr:rowOff>85725</xdr:rowOff>
        </xdr:from>
        <xdr:to>
          <xdr:col>10</xdr:col>
          <xdr:colOff>3705225</xdr:colOff>
          <xdr:row>18</xdr:row>
          <xdr:rowOff>266700</xdr:rowOff>
        </xdr:to>
        <xdr:sp macro="" textlink="">
          <xdr:nvSpPr>
            <xdr:cNvPr id="1034" name="Check Box 10" hidden="1">
              <a:extLst>
                <a:ext uri="{63B3BB69-23CF-44E3-9099-C40C66FF867C}">
                  <a14:compatExt spid="_x0000_s10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18</xdr:row>
          <xdr:rowOff>371475</xdr:rowOff>
        </xdr:from>
        <xdr:to>
          <xdr:col>10</xdr:col>
          <xdr:colOff>3981450</xdr:colOff>
          <xdr:row>18</xdr:row>
          <xdr:rowOff>552450</xdr:rowOff>
        </xdr:to>
        <xdr:sp macro="" textlink="">
          <xdr:nvSpPr>
            <xdr:cNvPr id="1035" name="Check Box 11" hidden="1">
              <a:extLst>
                <a:ext uri="{63B3BB69-23CF-44E3-9099-C40C66FF867C}">
                  <a14:compatExt spid="_x0000_s10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19</xdr:row>
          <xdr:rowOff>85725</xdr:rowOff>
        </xdr:from>
        <xdr:to>
          <xdr:col>10</xdr:col>
          <xdr:colOff>1123950</xdr:colOff>
          <xdr:row>19</xdr:row>
          <xdr:rowOff>266700</xdr:rowOff>
        </xdr:to>
        <xdr:sp macro="" textlink="">
          <xdr:nvSpPr>
            <xdr:cNvPr id="1724" name="Check Box 700" hidden="1">
              <a:extLst>
                <a:ext uri="{63B3BB69-23CF-44E3-9099-C40C66FF867C}">
                  <a14:compatExt spid="_x0000_s17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19</xdr:row>
          <xdr:rowOff>85725</xdr:rowOff>
        </xdr:from>
        <xdr:to>
          <xdr:col>10</xdr:col>
          <xdr:colOff>2181225</xdr:colOff>
          <xdr:row>19</xdr:row>
          <xdr:rowOff>266700</xdr:rowOff>
        </xdr:to>
        <xdr:sp macro="" textlink="">
          <xdr:nvSpPr>
            <xdr:cNvPr id="1725" name="Check Box 701" hidden="1">
              <a:extLst>
                <a:ext uri="{63B3BB69-23CF-44E3-9099-C40C66FF867C}">
                  <a14:compatExt spid="_x0000_s17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19</xdr:row>
          <xdr:rowOff>371475</xdr:rowOff>
        </xdr:from>
        <xdr:to>
          <xdr:col>10</xdr:col>
          <xdr:colOff>828675</xdr:colOff>
          <xdr:row>19</xdr:row>
          <xdr:rowOff>552450</xdr:rowOff>
        </xdr:to>
        <xdr:sp macro="" textlink="">
          <xdr:nvSpPr>
            <xdr:cNvPr id="1726" name="Check Box 702" hidden="1">
              <a:extLst>
                <a:ext uri="{63B3BB69-23CF-44E3-9099-C40C66FF867C}">
                  <a14:compatExt spid="_x0000_s17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19</xdr:row>
          <xdr:rowOff>85725</xdr:rowOff>
        </xdr:from>
        <xdr:to>
          <xdr:col>10</xdr:col>
          <xdr:colOff>2943225</xdr:colOff>
          <xdr:row>19</xdr:row>
          <xdr:rowOff>266700</xdr:rowOff>
        </xdr:to>
        <xdr:sp macro="" textlink="">
          <xdr:nvSpPr>
            <xdr:cNvPr id="1727" name="Check Box 703" hidden="1">
              <a:extLst>
                <a:ext uri="{63B3BB69-23CF-44E3-9099-C40C66FF867C}">
                  <a14:compatExt spid="_x0000_s17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19</xdr:row>
          <xdr:rowOff>371475</xdr:rowOff>
        </xdr:from>
        <xdr:to>
          <xdr:col>10</xdr:col>
          <xdr:colOff>1771650</xdr:colOff>
          <xdr:row>19</xdr:row>
          <xdr:rowOff>552450</xdr:rowOff>
        </xdr:to>
        <xdr:sp macro="" textlink="">
          <xdr:nvSpPr>
            <xdr:cNvPr id="1728" name="Check Box 704" hidden="1">
              <a:extLst>
                <a:ext uri="{63B3BB69-23CF-44E3-9099-C40C66FF867C}">
                  <a14:compatExt spid="_x0000_s17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19</xdr:row>
          <xdr:rowOff>85725</xdr:rowOff>
        </xdr:from>
        <xdr:to>
          <xdr:col>10</xdr:col>
          <xdr:colOff>4257675</xdr:colOff>
          <xdr:row>19</xdr:row>
          <xdr:rowOff>266700</xdr:rowOff>
        </xdr:to>
        <xdr:sp macro="" textlink="">
          <xdr:nvSpPr>
            <xdr:cNvPr id="1729" name="Check Box 705" hidden="1">
              <a:extLst>
                <a:ext uri="{63B3BB69-23CF-44E3-9099-C40C66FF867C}">
                  <a14:compatExt spid="_x0000_s17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19</xdr:row>
          <xdr:rowOff>85725</xdr:rowOff>
        </xdr:from>
        <xdr:to>
          <xdr:col>10</xdr:col>
          <xdr:colOff>3705225</xdr:colOff>
          <xdr:row>19</xdr:row>
          <xdr:rowOff>266700</xdr:rowOff>
        </xdr:to>
        <xdr:sp macro="" textlink="">
          <xdr:nvSpPr>
            <xdr:cNvPr id="1730" name="Check Box 706" hidden="1">
              <a:extLst>
                <a:ext uri="{63B3BB69-23CF-44E3-9099-C40C66FF867C}">
                  <a14:compatExt spid="_x0000_s17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19</xdr:row>
          <xdr:rowOff>371475</xdr:rowOff>
        </xdr:from>
        <xdr:to>
          <xdr:col>10</xdr:col>
          <xdr:colOff>3981450</xdr:colOff>
          <xdr:row>19</xdr:row>
          <xdr:rowOff>552450</xdr:rowOff>
        </xdr:to>
        <xdr:sp macro="" textlink="">
          <xdr:nvSpPr>
            <xdr:cNvPr id="1731" name="Check Box 707" hidden="1">
              <a:extLst>
                <a:ext uri="{63B3BB69-23CF-44E3-9099-C40C66FF867C}">
                  <a14:compatExt spid="_x0000_s17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20</xdr:row>
          <xdr:rowOff>104775</xdr:rowOff>
        </xdr:from>
        <xdr:to>
          <xdr:col>10</xdr:col>
          <xdr:colOff>1123950</xdr:colOff>
          <xdr:row>20</xdr:row>
          <xdr:rowOff>285750</xdr:rowOff>
        </xdr:to>
        <xdr:sp macro="" textlink="">
          <xdr:nvSpPr>
            <xdr:cNvPr id="1732" name="Check Box 708" hidden="1">
              <a:extLst>
                <a:ext uri="{63B3BB69-23CF-44E3-9099-C40C66FF867C}">
                  <a14:compatExt spid="_x0000_s17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20</xdr:row>
          <xdr:rowOff>85725</xdr:rowOff>
        </xdr:from>
        <xdr:to>
          <xdr:col>10</xdr:col>
          <xdr:colOff>2181225</xdr:colOff>
          <xdr:row>20</xdr:row>
          <xdr:rowOff>266700</xdr:rowOff>
        </xdr:to>
        <xdr:sp macro="" textlink="">
          <xdr:nvSpPr>
            <xdr:cNvPr id="1733" name="Check Box 709" hidden="1">
              <a:extLst>
                <a:ext uri="{63B3BB69-23CF-44E3-9099-C40C66FF867C}">
                  <a14:compatExt spid="_x0000_s17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20</xdr:row>
          <xdr:rowOff>371475</xdr:rowOff>
        </xdr:from>
        <xdr:to>
          <xdr:col>10</xdr:col>
          <xdr:colOff>828675</xdr:colOff>
          <xdr:row>20</xdr:row>
          <xdr:rowOff>552450</xdr:rowOff>
        </xdr:to>
        <xdr:sp macro="" textlink="">
          <xdr:nvSpPr>
            <xdr:cNvPr id="1734" name="Check Box 710" hidden="1">
              <a:extLst>
                <a:ext uri="{63B3BB69-23CF-44E3-9099-C40C66FF867C}">
                  <a14:compatExt spid="_x0000_s17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20</xdr:row>
          <xdr:rowOff>85725</xdr:rowOff>
        </xdr:from>
        <xdr:to>
          <xdr:col>10</xdr:col>
          <xdr:colOff>2943225</xdr:colOff>
          <xdr:row>20</xdr:row>
          <xdr:rowOff>266700</xdr:rowOff>
        </xdr:to>
        <xdr:sp macro="" textlink="">
          <xdr:nvSpPr>
            <xdr:cNvPr id="1735" name="Check Box 711" hidden="1">
              <a:extLst>
                <a:ext uri="{63B3BB69-23CF-44E3-9099-C40C66FF867C}">
                  <a14:compatExt spid="_x0000_s17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20</xdr:row>
          <xdr:rowOff>371475</xdr:rowOff>
        </xdr:from>
        <xdr:to>
          <xdr:col>10</xdr:col>
          <xdr:colOff>1771650</xdr:colOff>
          <xdr:row>20</xdr:row>
          <xdr:rowOff>552450</xdr:rowOff>
        </xdr:to>
        <xdr:sp macro="" textlink="">
          <xdr:nvSpPr>
            <xdr:cNvPr id="1736" name="Check Box 712" hidden="1">
              <a:extLst>
                <a:ext uri="{63B3BB69-23CF-44E3-9099-C40C66FF867C}">
                  <a14:compatExt spid="_x0000_s17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20</xdr:row>
          <xdr:rowOff>85725</xdr:rowOff>
        </xdr:from>
        <xdr:to>
          <xdr:col>10</xdr:col>
          <xdr:colOff>4257675</xdr:colOff>
          <xdr:row>20</xdr:row>
          <xdr:rowOff>266700</xdr:rowOff>
        </xdr:to>
        <xdr:sp macro="" textlink="">
          <xdr:nvSpPr>
            <xdr:cNvPr id="1737" name="Check Box 713" hidden="1">
              <a:extLst>
                <a:ext uri="{63B3BB69-23CF-44E3-9099-C40C66FF867C}">
                  <a14:compatExt spid="_x0000_s17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20</xdr:row>
          <xdr:rowOff>85725</xdr:rowOff>
        </xdr:from>
        <xdr:to>
          <xdr:col>10</xdr:col>
          <xdr:colOff>3705225</xdr:colOff>
          <xdr:row>20</xdr:row>
          <xdr:rowOff>266700</xdr:rowOff>
        </xdr:to>
        <xdr:sp macro="" textlink="">
          <xdr:nvSpPr>
            <xdr:cNvPr id="1738" name="Check Box 714" hidden="1">
              <a:extLst>
                <a:ext uri="{63B3BB69-23CF-44E3-9099-C40C66FF867C}">
                  <a14:compatExt spid="_x0000_s17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20</xdr:row>
          <xdr:rowOff>371475</xdr:rowOff>
        </xdr:from>
        <xdr:to>
          <xdr:col>10</xdr:col>
          <xdr:colOff>3981450</xdr:colOff>
          <xdr:row>20</xdr:row>
          <xdr:rowOff>552450</xdr:rowOff>
        </xdr:to>
        <xdr:sp macro="" textlink="">
          <xdr:nvSpPr>
            <xdr:cNvPr id="1739" name="Check Box 715" hidden="1">
              <a:extLst>
                <a:ext uri="{63B3BB69-23CF-44E3-9099-C40C66FF867C}">
                  <a14:compatExt spid="_x0000_s17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21</xdr:row>
          <xdr:rowOff>85725</xdr:rowOff>
        </xdr:from>
        <xdr:to>
          <xdr:col>10</xdr:col>
          <xdr:colOff>1123950</xdr:colOff>
          <xdr:row>21</xdr:row>
          <xdr:rowOff>266700</xdr:rowOff>
        </xdr:to>
        <xdr:sp macro="" textlink="">
          <xdr:nvSpPr>
            <xdr:cNvPr id="1740" name="Check Box 716" hidden="1">
              <a:extLst>
                <a:ext uri="{63B3BB69-23CF-44E3-9099-C40C66FF867C}">
                  <a14:compatExt spid="_x0000_s17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21</xdr:row>
          <xdr:rowOff>85725</xdr:rowOff>
        </xdr:from>
        <xdr:to>
          <xdr:col>10</xdr:col>
          <xdr:colOff>2181225</xdr:colOff>
          <xdr:row>21</xdr:row>
          <xdr:rowOff>266700</xdr:rowOff>
        </xdr:to>
        <xdr:sp macro="" textlink="">
          <xdr:nvSpPr>
            <xdr:cNvPr id="1741" name="Check Box 717" hidden="1">
              <a:extLst>
                <a:ext uri="{63B3BB69-23CF-44E3-9099-C40C66FF867C}">
                  <a14:compatExt spid="_x0000_s17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21</xdr:row>
          <xdr:rowOff>371475</xdr:rowOff>
        </xdr:from>
        <xdr:to>
          <xdr:col>10</xdr:col>
          <xdr:colOff>828675</xdr:colOff>
          <xdr:row>21</xdr:row>
          <xdr:rowOff>552450</xdr:rowOff>
        </xdr:to>
        <xdr:sp macro="" textlink="">
          <xdr:nvSpPr>
            <xdr:cNvPr id="1742" name="Check Box 718" hidden="1">
              <a:extLst>
                <a:ext uri="{63B3BB69-23CF-44E3-9099-C40C66FF867C}">
                  <a14:compatExt spid="_x0000_s17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21</xdr:row>
          <xdr:rowOff>85725</xdr:rowOff>
        </xdr:from>
        <xdr:to>
          <xdr:col>10</xdr:col>
          <xdr:colOff>2943225</xdr:colOff>
          <xdr:row>21</xdr:row>
          <xdr:rowOff>266700</xdr:rowOff>
        </xdr:to>
        <xdr:sp macro="" textlink="">
          <xdr:nvSpPr>
            <xdr:cNvPr id="1743" name="Check Box 719" hidden="1">
              <a:extLst>
                <a:ext uri="{63B3BB69-23CF-44E3-9099-C40C66FF867C}">
                  <a14:compatExt spid="_x0000_s17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21</xdr:row>
          <xdr:rowOff>371475</xdr:rowOff>
        </xdr:from>
        <xdr:to>
          <xdr:col>10</xdr:col>
          <xdr:colOff>1771650</xdr:colOff>
          <xdr:row>21</xdr:row>
          <xdr:rowOff>552450</xdr:rowOff>
        </xdr:to>
        <xdr:sp macro="" textlink="">
          <xdr:nvSpPr>
            <xdr:cNvPr id="1744" name="Check Box 720" hidden="1">
              <a:extLst>
                <a:ext uri="{63B3BB69-23CF-44E3-9099-C40C66FF867C}">
                  <a14:compatExt spid="_x0000_s17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21</xdr:row>
          <xdr:rowOff>85725</xdr:rowOff>
        </xdr:from>
        <xdr:to>
          <xdr:col>10</xdr:col>
          <xdr:colOff>4257675</xdr:colOff>
          <xdr:row>21</xdr:row>
          <xdr:rowOff>266700</xdr:rowOff>
        </xdr:to>
        <xdr:sp macro="" textlink="">
          <xdr:nvSpPr>
            <xdr:cNvPr id="1745" name="Check Box 721" hidden="1">
              <a:extLst>
                <a:ext uri="{63B3BB69-23CF-44E3-9099-C40C66FF867C}">
                  <a14:compatExt spid="_x0000_s17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21</xdr:row>
          <xdr:rowOff>85725</xdr:rowOff>
        </xdr:from>
        <xdr:to>
          <xdr:col>10</xdr:col>
          <xdr:colOff>3705225</xdr:colOff>
          <xdr:row>21</xdr:row>
          <xdr:rowOff>266700</xdr:rowOff>
        </xdr:to>
        <xdr:sp macro="" textlink="">
          <xdr:nvSpPr>
            <xdr:cNvPr id="1746" name="Check Box 722" hidden="1">
              <a:extLst>
                <a:ext uri="{63B3BB69-23CF-44E3-9099-C40C66FF867C}">
                  <a14:compatExt spid="_x0000_s17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21</xdr:row>
          <xdr:rowOff>371475</xdr:rowOff>
        </xdr:from>
        <xdr:to>
          <xdr:col>10</xdr:col>
          <xdr:colOff>3981450</xdr:colOff>
          <xdr:row>21</xdr:row>
          <xdr:rowOff>552450</xdr:rowOff>
        </xdr:to>
        <xdr:sp macro="" textlink="">
          <xdr:nvSpPr>
            <xdr:cNvPr id="1747" name="Check Box 723" hidden="1">
              <a:extLst>
                <a:ext uri="{63B3BB69-23CF-44E3-9099-C40C66FF867C}">
                  <a14:compatExt spid="_x0000_s17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22</xdr:row>
          <xdr:rowOff>85725</xdr:rowOff>
        </xdr:from>
        <xdr:to>
          <xdr:col>10</xdr:col>
          <xdr:colOff>1123950</xdr:colOff>
          <xdr:row>22</xdr:row>
          <xdr:rowOff>266700</xdr:rowOff>
        </xdr:to>
        <xdr:sp macro="" textlink="">
          <xdr:nvSpPr>
            <xdr:cNvPr id="1748" name="Check Box 724" hidden="1">
              <a:extLst>
                <a:ext uri="{63B3BB69-23CF-44E3-9099-C40C66FF867C}">
                  <a14:compatExt spid="_x0000_s17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22</xdr:row>
          <xdr:rowOff>85725</xdr:rowOff>
        </xdr:from>
        <xdr:to>
          <xdr:col>10</xdr:col>
          <xdr:colOff>2181225</xdr:colOff>
          <xdr:row>22</xdr:row>
          <xdr:rowOff>266700</xdr:rowOff>
        </xdr:to>
        <xdr:sp macro="" textlink="">
          <xdr:nvSpPr>
            <xdr:cNvPr id="1749" name="Check Box 725" hidden="1">
              <a:extLst>
                <a:ext uri="{63B3BB69-23CF-44E3-9099-C40C66FF867C}">
                  <a14:compatExt spid="_x0000_s17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22</xdr:row>
          <xdr:rowOff>371475</xdr:rowOff>
        </xdr:from>
        <xdr:to>
          <xdr:col>10</xdr:col>
          <xdr:colOff>828675</xdr:colOff>
          <xdr:row>22</xdr:row>
          <xdr:rowOff>552450</xdr:rowOff>
        </xdr:to>
        <xdr:sp macro="" textlink="">
          <xdr:nvSpPr>
            <xdr:cNvPr id="1750" name="Check Box 726" hidden="1">
              <a:extLst>
                <a:ext uri="{63B3BB69-23CF-44E3-9099-C40C66FF867C}">
                  <a14:compatExt spid="_x0000_s17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22</xdr:row>
          <xdr:rowOff>85725</xdr:rowOff>
        </xdr:from>
        <xdr:to>
          <xdr:col>10</xdr:col>
          <xdr:colOff>2943225</xdr:colOff>
          <xdr:row>22</xdr:row>
          <xdr:rowOff>266700</xdr:rowOff>
        </xdr:to>
        <xdr:sp macro="" textlink="">
          <xdr:nvSpPr>
            <xdr:cNvPr id="1751" name="Check Box 727" hidden="1">
              <a:extLst>
                <a:ext uri="{63B3BB69-23CF-44E3-9099-C40C66FF867C}">
                  <a14:compatExt spid="_x0000_s17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22</xdr:row>
          <xdr:rowOff>371475</xdr:rowOff>
        </xdr:from>
        <xdr:to>
          <xdr:col>10</xdr:col>
          <xdr:colOff>1771650</xdr:colOff>
          <xdr:row>22</xdr:row>
          <xdr:rowOff>552450</xdr:rowOff>
        </xdr:to>
        <xdr:sp macro="" textlink="">
          <xdr:nvSpPr>
            <xdr:cNvPr id="1752" name="Check Box 728" hidden="1">
              <a:extLst>
                <a:ext uri="{63B3BB69-23CF-44E3-9099-C40C66FF867C}">
                  <a14:compatExt spid="_x0000_s17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22</xdr:row>
          <xdr:rowOff>85725</xdr:rowOff>
        </xdr:from>
        <xdr:to>
          <xdr:col>10</xdr:col>
          <xdr:colOff>4257675</xdr:colOff>
          <xdr:row>22</xdr:row>
          <xdr:rowOff>266700</xdr:rowOff>
        </xdr:to>
        <xdr:sp macro="" textlink="">
          <xdr:nvSpPr>
            <xdr:cNvPr id="1753" name="Check Box 729" hidden="1">
              <a:extLst>
                <a:ext uri="{63B3BB69-23CF-44E3-9099-C40C66FF867C}">
                  <a14:compatExt spid="_x0000_s17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22</xdr:row>
          <xdr:rowOff>85725</xdr:rowOff>
        </xdr:from>
        <xdr:to>
          <xdr:col>10</xdr:col>
          <xdr:colOff>3705225</xdr:colOff>
          <xdr:row>22</xdr:row>
          <xdr:rowOff>266700</xdr:rowOff>
        </xdr:to>
        <xdr:sp macro="" textlink="">
          <xdr:nvSpPr>
            <xdr:cNvPr id="1754" name="Check Box 730" hidden="1">
              <a:extLst>
                <a:ext uri="{63B3BB69-23CF-44E3-9099-C40C66FF867C}">
                  <a14:compatExt spid="_x0000_s17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22</xdr:row>
          <xdr:rowOff>371475</xdr:rowOff>
        </xdr:from>
        <xdr:to>
          <xdr:col>10</xdr:col>
          <xdr:colOff>3981450</xdr:colOff>
          <xdr:row>22</xdr:row>
          <xdr:rowOff>552450</xdr:rowOff>
        </xdr:to>
        <xdr:sp macro="" textlink="">
          <xdr:nvSpPr>
            <xdr:cNvPr id="1755" name="Check Box 731" hidden="1">
              <a:extLst>
                <a:ext uri="{63B3BB69-23CF-44E3-9099-C40C66FF867C}">
                  <a14:compatExt spid="_x0000_s17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23</xdr:row>
          <xdr:rowOff>85725</xdr:rowOff>
        </xdr:from>
        <xdr:to>
          <xdr:col>10</xdr:col>
          <xdr:colOff>1123950</xdr:colOff>
          <xdr:row>23</xdr:row>
          <xdr:rowOff>266700</xdr:rowOff>
        </xdr:to>
        <xdr:sp macro="" textlink="">
          <xdr:nvSpPr>
            <xdr:cNvPr id="1756" name="Check Box 732" hidden="1">
              <a:extLst>
                <a:ext uri="{63B3BB69-23CF-44E3-9099-C40C66FF867C}">
                  <a14:compatExt spid="_x0000_s17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23</xdr:row>
          <xdr:rowOff>85725</xdr:rowOff>
        </xdr:from>
        <xdr:to>
          <xdr:col>10</xdr:col>
          <xdr:colOff>2181225</xdr:colOff>
          <xdr:row>23</xdr:row>
          <xdr:rowOff>266700</xdr:rowOff>
        </xdr:to>
        <xdr:sp macro="" textlink="">
          <xdr:nvSpPr>
            <xdr:cNvPr id="1757" name="Check Box 733" hidden="1">
              <a:extLst>
                <a:ext uri="{63B3BB69-23CF-44E3-9099-C40C66FF867C}">
                  <a14:compatExt spid="_x0000_s17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23</xdr:row>
          <xdr:rowOff>371475</xdr:rowOff>
        </xdr:from>
        <xdr:to>
          <xdr:col>10</xdr:col>
          <xdr:colOff>828675</xdr:colOff>
          <xdr:row>23</xdr:row>
          <xdr:rowOff>552450</xdr:rowOff>
        </xdr:to>
        <xdr:sp macro="" textlink="">
          <xdr:nvSpPr>
            <xdr:cNvPr id="1758" name="Check Box 734" hidden="1">
              <a:extLst>
                <a:ext uri="{63B3BB69-23CF-44E3-9099-C40C66FF867C}">
                  <a14:compatExt spid="_x0000_s17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23</xdr:row>
          <xdr:rowOff>85725</xdr:rowOff>
        </xdr:from>
        <xdr:to>
          <xdr:col>10</xdr:col>
          <xdr:colOff>2943225</xdr:colOff>
          <xdr:row>23</xdr:row>
          <xdr:rowOff>266700</xdr:rowOff>
        </xdr:to>
        <xdr:sp macro="" textlink="">
          <xdr:nvSpPr>
            <xdr:cNvPr id="1759" name="Check Box 735" hidden="1">
              <a:extLst>
                <a:ext uri="{63B3BB69-23CF-44E3-9099-C40C66FF867C}">
                  <a14:compatExt spid="_x0000_s17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23</xdr:row>
          <xdr:rowOff>371475</xdr:rowOff>
        </xdr:from>
        <xdr:to>
          <xdr:col>10</xdr:col>
          <xdr:colOff>1771650</xdr:colOff>
          <xdr:row>23</xdr:row>
          <xdr:rowOff>552450</xdr:rowOff>
        </xdr:to>
        <xdr:sp macro="" textlink="">
          <xdr:nvSpPr>
            <xdr:cNvPr id="1760" name="Check Box 736" hidden="1">
              <a:extLst>
                <a:ext uri="{63B3BB69-23CF-44E3-9099-C40C66FF867C}">
                  <a14:compatExt spid="_x0000_s17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23</xdr:row>
          <xdr:rowOff>85725</xdr:rowOff>
        </xdr:from>
        <xdr:to>
          <xdr:col>10</xdr:col>
          <xdr:colOff>4257675</xdr:colOff>
          <xdr:row>23</xdr:row>
          <xdr:rowOff>266700</xdr:rowOff>
        </xdr:to>
        <xdr:sp macro="" textlink="">
          <xdr:nvSpPr>
            <xdr:cNvPr id="1761" name="Check Box 737" hidden="1">
              <a:extLst>
                <a:ext uri="{63B3BB69-23CF-44E3-9099-C40C66FF867C}">
                  <a14:compatExt spid="_x0000_s17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23</xdr:row>
          <xdr:rowOff>85725</xdr:rowOff>
        </xdr:from>
        <xdr:to>
          <xdr:col>10</xdr:col>
          <xdr:colOff>3705225</xdr:colOff>
          <xdr:row>23</xdr:row>
          <xdr:rowOff>266700</xdr:rowOff>
        </xdr:to>
        <xdr:sp macro="" textlink="">
          <xdr:nvSpPr>
            <xdr:cNvPr id="1762" name="Check Box 738" hidden="1">
              <a:extLst>
                <a:ext uri="{63B3BB69-23CF-44E3-9099-C40C66FF867C}">
                  <a14:compatExt spid="_x0000_s17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23</xdr:row>
          <xdr:rowOff>371475</xdr:rowOff>
        </xdr:from>
        <xdr:to>
          <xdr:col>10</xdr:col>
          <xdr:colOff>3981450</xdr:colOff>
          <xdr:row>23</xdr:row>
          <xdr:rowOff>552450</xdr:rowOff>
        </xdr:to>
        <xdr:sp macro="" textlink="">
          <xdr:nvSpPr>
            <xdr:cNvPr id="1763" name="Check Box 739" hidden="1">
              <a:extLst>
                <a:ext uri="{63B3BB69-23CF-44E3-9099-C40C66FF867C}">
                  <a14:compatExt spid="_x0000_s17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24</xdr:row>
          <xdr:rowOff>85725</xdr:rowOff>
        </xdr:from>
        <xdr:to>
          <xdr:col>10</xdr:col>
          <xdr:colOff>1123950</xdr:colOff>
          <xdr:row>24</xdr:row>
          <xdr:rowOff>266700</xdr:rowOff>
        </xdr:to>
        <xdr:sp macro="" textlink="">
          <xdr:nvSpPr>
            <xdr:cNvPr id="1764" name="Check Box 740" hidden="1">
              <a:extLst>
                <a:ext uri="{63B3BB69-23CF-44E3-9099-C40C66FF867C}">
                  <a14:compatExt spid="_x0000_s17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24</xdr:row>
          <xdr:rowOff>85725</xdr:rowOff>
        </xdr:from>
        <xdr:to>
          <xdr:col>10</xdr:col>
          <xdr:colOff>2181225</xdr:colOff>
          <xdr:row>24</xdr:row>
          <xdr:rowOff>266700</xdr:rowOff>
        </xdr:to>
        <xdr:sp macro="" textlink="">
          <xdr:nvSpPr>
            <xdr:cNvPr id="1765" name="Check Box 741" hidden="1">
              <a:extLst>
                <a:ext uri="{63B3BB69-23CF-44E3-9099-C40C66FF867C}">
                  <a14:compatExt spid="_x0000_s17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24</xdr:row>
          <xdr:rowOff>371475</xdr:rowOff>
        </xdr:from>
        <xdr:to>
          <xdr:col>10</xdr:col>
          <xdr:colOff>828675</xdr:colOff>
          <xdr:row>24</xdr:row>
          <xdr:rowOff>552450</xdr:rowOff>
        </xdr:to>
        <xdr:sp macro="" textlink="">
          <xdr:nvSpPr>
            <xdr:cNvPr id="1766" name="Check Box 742" hidden="1">
              <a:extLst>
                <a:ext uri="{63B3BB69-23CF-44E3-9099-C40C66FF867C}">
                  <a14:compatExt spid="_x0000_s17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24</xdr:row>
          <xdr:rowOff>85725</xdr:rowOff>
        </xdr:from>
        <xdr:to>
          <xdr:col>10</xdr:col>
          <xdr:colOff>2943225</xdr:colOff>
          <xdr:row>24</xdr:row>
          <xdr:rowOff>266700</xdr:rowOff>
        </xdr:to>
        <xdr:sp macro="" textlink="">
          <xdr:nvSpPr>
            <xdr:cNvPr id="1767" name="Check Box 743" hidden="1">
              <a:extLst>
                <a:ext uri="{63B3BB69-23CF-44E3-9099-C40C66FF867C}">
                  <a14:compatExt spid="_x0000_s17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24</xdr:row>
          <xdr:rowOff>371475</xdr:rowOff>
        </xdr:from>
        <xdr:to>
          <xdr:col>10</xdr:col>
          <xdr:colOff>1771650</xdr:colOff>
          <xdr:row>24</xdr:row>
          <xdr:rowOff>552450</xdr:rowOff>
        </xdr:to>
        <xdr:sp macro="" textlink="">
          <xdr:nvSpPr>
            <xdr:cNvPr id="1768" name="Check Box 744" hidden="1">
              <a:extLst>
                <a:ext uri="{63B3BB69-23CF-44E3-9099-C40C66FF867C}">
                  <a14:compatExt spid="_x0000_s17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24</xdr:row>
          <xdr:rowOff>85725</xdr:rowOff>
        </xdr:from>
        <xdr:to>
          <xdr:col>10</xdr:col>
          <xdr:colOff>4257675</xdr:colOff>
          <xdr:row>24</xdr:row>
          <xdr:rowOff>266700</xdr:rowOff>
        </xdr:to>
        <xdr:sp macro="" textlink="">
          <xdr:nvSpPr>
            <xdr:cNvPr id="1769" name="Check Box 745" hidden="1">
              <a:extLst>
                <a:ext uri="{63B3BB69-23CF-44E3-9099-C40C66FF867C}">
                  <a14:compatExt spid="_x0000_s17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24</xdr:row>
          <xdr:rowOff>85725</xdr:rowOff>
        </xdr:from>
        <xdr:to>
          <xdr:col>10</xdr:col>
          <xdr:colOff>3705225</xdr:colOff>
          <xdr:row>24</xdr:row>
          <xdr:rowOff>266700</xdr:rowOff>
        </xdr:to>
        <xdr:sp macro="" textlink="">
          <xdr:nvSpPr>
            <xdr:cNvPr id="1770" name="Check Box 746" hidden="1">
              <a:extLst>
                <a:ext uri="{63B3BB69-23CF-44E3-9099-C40C66FF867C}">
                  <a14:compatExt spid="_x0000_s17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24</xdr:row>
          <xdr:rowOff>371475</xdr:rowOff>
        </xdr:from>
        <xdr:to>
          <xdr:col>10</xdr:col>
          <xdr:colOff>3981450</xdr:colOff>
          <xdr:row>24</xdr:row>
          <xdr:rowOff>552450</xdr:rowOff>
        </xdr:to>
        <xdr:sp macro="" textlink="">
          <xdr:nvSpPr>
            <xdr:cNvPr id="1771" name="Check Box 747" hidden="1">
              <a:extLst>
                <a:ext uri="{63B3BB69-23CF-44E3-9099-C40C66FF867C}">
                  <a14:compatExt spid="_x0000_s17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25</xdr:row>
          <xdr:rowOff>85725</xdr:rowOff>
        </xdr:from>
        <xdr:to>
          <xdr:col>10</xdr:col>
          <xdr:colOff>1123950</xdr:colOff>
          <xdr:row>25</xdr:row>
          <xdr:rowOff>266700</xdr:rowOff>
        </xdr:to>
        <xdr:sp macro="" textlink="">
          <xdr:nvSpPr>
            <xdr:cNvPr id="1772" name="Check Box 748" hidden="1">
              <a:extLst>
                <a:ext uri="{63B3BB69-23CF-44E3-9099-C40C66FF867C}">
                  <a14:compatExt spid="_x0000_s17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25</xdr:row>
          <xdr:rowOff>85725</xdr:rowOff>
        </xdr:from>
        <xdr:to>
          <xdr:col>10</xdr:col>
          <xdr:colOff>2181225</xdr:colOff>
          <xdr:row>25</xdr:row>
          <xdr:rowOff>266700</xdr:rowOff>
        </xdr:to>
        <xdr:sp macro="" textlink="">
          <xdr:nvSpPr>
            <xdr:cNvPr id="1773" name="Check Box 749" hidden="1">
              <a:extLst>
                <a:ext uri="{63B3BB69-23CF-44E3-9099-C40C66FF867C}">
                  <a14:compatExt spid="_x0000_s17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25</xdr:row>
          <xdr:rowOff>371475</xdr:rowOff>
        </xdr:from>
        <xdr:to>
          <xdr:col>10</xdr:col>
          <xdr:colOff>828675</xdr:colOff>
          <xdr:row>25</xdr:row>
          <xdr:rowOff>552450</xdr:rowOff>
        </xdr:to>
        <xdr:sp macro="" textlink="">
          <xdr:nvSpPr>
            <xdr:cNvPr id="1774" name="Check Box 750" hidden="1">
              <a:extLst>
                <a:ext uri="{63B3BB69-23CF-44E3-9099-C40C66FF867C}">
                  <a14:compatExt spid="_x0000_s17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25</xdr:row>
          <xdr:rowOff>85725</xdr:rowOff>
        </xdr:from>
        <xdr:to>
          <xdr:col>10</xdr:col>
          <xdr:colOff>2943225</xdr:colOff>
          <xdr:row>25</xdr:row>
          <xdr:rowOff>266700</xdr:rowOff>
        </xdr:to>
        <xdr:sp macro="" textlink="">
          <xdr:nvSpPr>
            <xdr:cNvPr id="1775" name="Check Box 751" hidden="1">
              <a:extLst>
                <a:ext uri="{63B3BB69-23CF-44E3-9099-C40C66FF867C}">
                  <a14:compatExt spid="_x0000_s17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25</xdr:row>
          <xdr:rowOff>371475</xdr:rowOff>
        </xdr:from>
        <xdr:to>
          <xdr:col>10</xdr:col>
          <xdr:colOff>1771650</xdr:colOff>
          <xdr:row>25</xdr:row>
          <xdr:rowOff>552450</xdr:rowOff>
        </xdr:to>
        <xdr:sp macro="" textlink="">
          <xdr:nvSpPr>
            <xdr:cNvPr id="1776" name="Check Box 752" hidden="1">
              <a:extLst>
                <a:ext uri="{63B3BB69-23CF-44E3-9099-C40C66FF867C}">
                  <a14:compatExt spid="_x0000_s17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25</xdr:row>
          <xdr:rowOff>85725</xdr:rowOff>
        </xdr:from>
        <xdr:to>
          <xdr:col>10</xdr:col>
          <xdr:colOff>4257675</xdr:colOff>
          <xdr:row>25</xdr:row>
          <xdr:rowOff>266700</xdr:rowOff>
        </xdr:to>
        <xdr:sp macro="" textlink="">
          <xdr:nvSpPr>
            <xdr:cNvPr id="1777" name="Check Box 753" hidden="1">
              <a:extLst>
                <a:ext uri="{63B3BB69-23CF-44E3-9099-C40C66FF867C}">
                  <a14:compatExt spid="_x0000_s17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25</xdr:row>
          <xdr:rowOff>85725</xdr:rowOff>
        </xdr:from>
        <xdr:to>
          <xdr:col>10</xdr:col>
          <xdr:colOff>3705225</xdr:colOff>
          <xdr:row>25</xdr:row>
          <xdr:rowOff>266700</xdr:rowOff>
        </xdr:to>
        <xdr:sp macro="" textlink="">
          <xdr:nvSpPr>
            <xdr:cNvPr id="1778" name="Check Box 754" hidden="1">
              <a:extLst>
                <a:ext uri="{63B3BB69-23CF-44E3-9099-C40C66FF867C}">
                  <a14:compatExt spid="_x0000_s17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25</xdr:row>
          <xdr:rowOff>371475</xdr:rowOff>
        </xdr:from>
        <xdr:to>
          <xdr:col>10</xdr:col>
          <xdr:colOff>3981450</xdr:colOff>
          <xdr:row>25</xdr:row>
          <xdr:rowOff>552450</xdr:rowOff>
        </xdr:to>
        <xdr:sp macro="" textlink="">
          <xdr:nvSpPr>
            <xdr:cNvPr id="1779" name="Check Box 755" hidden="1">
              <a:extLst>
                <a:ext uri="{63B3BB69-23CF-44E3-9099-C40C66FF867C}">
                  <a14:compatExt spid="_x0000_s17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26</xdr:row>
          <xdr:rowOff>85725</xdr:rowOff>
        </xdr:from>
        <xdr:to>
          <xdr:col>10</xdr:col>
          <xdr:colOff>1123950</xdr:colOff>
          <xdr:row>26</xdr:row>
          <xdr:rowOff>266700</xdr:rowOff>
        </xdr:to>
        <xdr:sp macro="" textlink="">
          <xdr:nvSpPr>
            <xdr:cNvPr id="1780" name="Check Box 756" hidden="1">
              <a:extLst>
                <a:ext uri="{63B3BB69-23CF-44E3-9099-C40C66FF867C}">
                  <a14:compatExt spid="_x0000_s17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26</xdr:row>
          <xdr:rowOff>85725</xdr:rowOff>
        </xdr:from>
        <xdr:to>
          <xdr:col>10</xdr:col>
          <xdr:colOff>2181225</xdr:colOff>
          <xdr:row>26</xdr:row>
          <xdr:rowOff>266700</xdr:rowOff>
        </xdr:to>
        <xdr:sp macro="" textlink="">
          <xdr:nvSpPr>
            <xdr:cNvPr id="1781" name="Check Box 757" hidden="1">
              <a:extLst>
                <a:ext uri="{63B3BB69-23CF-44E3-9099-C40C66FF867C}">
                  <a14:compatExt spid="_x0000_s17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26</xdr:row>
          <xdr:rowOff>371475</xdr:rowOff>
        </xdr:from>
        <xdr:to>
          <xdr:col>10</xdr:col>
          <xdr:colOff>828675</xdr:colOff>
          <xdr:row>26</xdr:row>
          <xdr:rowOff>552450</xdr:rowOff>
        </xdr:to>
        <xdr:sp macro="" textlink="">
          <xdr:nvSpPr>
            <xdr:cNvPr id="1782" name="Check Box 758" hidden="1">
              <a:extLst>
                <a:ext uri="{63B3BB69-23CF-44E3-9099-C40C66FF867C}">
                  <a14:compatExt spid="_x0000_s17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26</xdr:row>
          <xdr:rowOff>85725</xdr:rowOff>
        </xdr:from>
        <xdr:to>
          <xdr:col>10</xdr:col>
          <xdr:colOff>2943225</xdr:colOff>
          <xdr:row>26</xdr:row>
          <xdr:rowOff>266700</xdr:rowOff>
        </xdr:to>
        <xdr:sp macro="" textlink="">
          <xdr:nvSpPr>
            <xdr:cNvPr id="1783" name="Check Box 759" hidden="1">
              <a:extLst>
                <a:ext uri="{63B3BB69-23CF-44E3-9099-C40C66FF867C}">
                  <a14:compatExt spid="_x0000_s17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26</xdr:row>
          <xdr:rowOff>371475</xdr:rowOff>
        </xdr:from>
        <xdr:to>
          <xdr:col>10</xdr:col>
          <xdr:colOff>1771650</xdr:colOff>
          <xdr:row>26</xdr:row>
          <xdr:rowOff>552450</xdr:rowOff>
        </xdr:to>
        <xdr:sp macro="" textlink="">
          <xdr:nvSpPr>
            <xdr:cNvPr id="1784" name="Check Box 760" hidden="1">
              <a:extLst>
                <a:ext uri="{63B3BB69-23CF-44E3-9099-C40C66FF867C}">
                  <a14:compatExt spid="_x0000_s17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26</xdr:row>
          <xdr:rowOff>85725</xdr:rowOff>
        </xdr:from>
        <xdr:to>
          <xdr:col>10</xdr:col>
          <xdr:colOff>4257675</xdr:colOff>
          <xdr:row>26</xdr:row>
          <xdr:rowOff>266700</xdr:rowOff>
        </xdr:to>
        <xdr:sp macro="" textlink="">
          <xdr:nvSpPr>
            <xdr:cNvPr id="1785" name="Check Box 761" hidden="1">
              <a:extLst>
                <a:ext uri="{63B3BB69-23CF-44E3-9099-C40C66FF867C}">
                  <a14:compatExt spid="_x0000_s17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26</xdr:row>
          <xdr:rowOff>85725</xdr:rowOff>
        </xdr:from>
        <xdr:to>
          <xdr:col>10</xdr:col>
          <xdr:colOff>3705225</xdr:colOff>
          <xdr:row>26</xdr:row>
          <xdr:rowOff>266700</xdr:rowOff>
        </xdr:to>
        <xdr:sp macro="" textlink="">
          <xdr:nvSpPr>
            <xdr:cNvPr id="1786" name="Check Box 762" hidden="1">
              <a:extLst>
                <a:ext uri="{63B3BB69-23CF-44E3-9099-C40C66FF867C}">
                  <a14:compatExt spid="_x0000_s17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26</xdr:row>
          <xdr:rowOff>371475</xdr:rowOff>
        </xdr:from>
        <xdr:to>
          <xdr:col>10</xdr:col>
          <xdr:colOff>3981450</xdr:colOff>
          <xdr:row>26</xdr:row>
          <xdr:rowOff>552450</xdr:rowOff>
        </xdr:to>
        <xdr:sp macro="" textlink="">
          <xdr:nvSpPr>
            <xdr:cNvPr id="1787" name="Check Box 763" hidden="1">
              <a:extLst>
                <a:ext uri="{63B3BB69-23CF-44E3-9099-C40C66FF867C}">
                  <a14:compatExt spid="_x0000_s17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27</xdr:row>
          <xdr:rowOff>85725</xdr:rowOff>
        </xdr:from>
        <xdr:to>
          <xdr:col>10</xdr:col>
          <xdr:colOff>1123950</xdr:colOff>
          <xdr:row>27</xdr:row>
          <xdr:rowOff>266700</xdr:rowOff>
        </xdr:to>
        <xdr:sp macro="" textlink="">
          <xdr:nvSpPr>
            <xdr:cNvPr id="1788" name="Check Box 764" hidden="1">
              <a:extLst>
                <a:ext uri="{63B3BB69-23CF-44E3-9099-C40C66FF867C}">
                  <a14:compatExt spid="_x0000_s17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27</xdr:row>
          <xdr:rowOff>85725</xdr:rowOff>
        </xdr:from>
        <xdr:to>
          <xdr:col>10</xdr:col>
          <xdr:colOff>2181225</xdr:colOff>
          <xdr:row>27</xdr:row>
          <xdr:rowOff>266700</xdr:rowOff>
        </xdr:to>
        <xdr:sp macro="" textlink="">
          <xdr:nvSpPr>
            <xdr:cNvPr id="1789" name="Check Box 765" hidden="1">
              <a:extLst>
                <a:ext uri="{63B3BB69-23CF-44E3-9099-C40C66FF867C}">
                  <a14:compatExt spid="_x0000_s17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27</xdr:row>
          <xdr:rowOff>371475</xdr:rowOff>
        </xdr:from>
        <xdr:to>
          <xdr:col>10</xdr:col>
          <xdr:colOff>828675</xdr:colOff>
          <xdr:row>27</xdr:row>
          <xdr:rowOff>552450</xdr:rowOff>
        </xdr:to>
        <xdr:sp macro="" textlink="">
          <xdr:nvSpPr>
            <xdr:cNvPr id="1790" name="Check Box 766" hidden="1">
              <a:extLst>
                <a:ext uri="{63B3BB69-23CF-44E3-9099-C40C66FF867C}">
                  <a14:compatExt spid="_x0000_s17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27</xdr:row>
          <xdr:rowOff>85725</xdr:rowOff>
        </xdr:from>
        <xdr:to>
          <xdr:col>10</xdr:col>
          <xdr:colOff>2943225</xdr:colOff>
          <xdr:row>27</xdr:row>
          <xdr:rowOff>266700</xdr:rowOff>
        </xdr:to>
        <xdr:sp macro="" textlink="">
          <xdr:nvSpPr>
            <xdr:cNvPr id="1791" name="Check Box 767" hidden="1">
              <a:extLst>
                <a:ext uri="{63B3BB69-23CF-44E3-9099-C40C66FF867C}">
                  <a14:compatExt spid="_x0000_s17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27</xdr:row>
          <xdr:rowOff>371475</xdr:rowOff>
        </xdr:from>
        <xdr:to>
          <xdr:col>10</xdr:col>
          <xdr:colOff>1771650</xdr:colOff>
          <xdr:row>27</xdr:row>
          <xdr:rowOff>552450</xdr:rowOff>
        </xdr:to>
        <xdr:sp macro="" textlink="">
          <xdr:nvSpPr>
            <xdr:cNvPr id="1792" name="Check Box 768" hidden="1">
              <a:extLst>
                <a:ext uri="{63B3BB69-23CF-44E3-9099-C40C66FF867C}">
                  <a14:compatExt spid="_x0000_s17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27</xdr:row>
          <xdr:rowOff>85725</xdr:rowOff>
        </xdr:from>
        <xdr:to>
          <xdr:col>10</xdr:col>
          <xdr:colOff>4257675</xdr:colOff>
          <xdr:row>27</xdr:row>
          <xdr:rowOff>266700</xdr:rowOff>
        </xdr:to>
        <xdr:sp macro="" textlink="">
          <xdr:nvSpPr>
            <xdr:cNvPr id="1793" name="Check Box 769" hidden="1">
              <a:extLst>
                <a:ext uri="{63B3BB69-23CF-44E3-9099-C40C66FF867C}">
                  <a14:compatExt spid="_x0000_s17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27</xdr:row>
          <xdr:rowOff>85725</xdr:rowOff>
        </xdr:from>
        <xdr:to>
          <xdr:col>10</xdr:col>
          <xdr:colOff>3705225</xdr:colOff>
          <xdr:row>27</xdr:row>
          <xdr:rowOff>266700</xdr:rowOff>
        </xdr:to>
        <xdr:sp macro="" textlink="">
          <xdr:nvSpPr>
            <xdr:cNvPr id="1794" name="Check Box 770" hidden="1">
              <a:extLst>
                <a:ext uri="{63B3BB69-23CF-44E3-9099-C40C66FF867C}">
                  <a14:compatExt spid="_x0000_s17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27</xdr:row>
          <xdr:rowOff>371475</xdr:rowOff>
        </xdr:from>
        <xdr:to>
          <xdr:col>10</xdr:col>
          <xdr:colOff>3981450</xdr:colOff>
          <xdr:row>27</xdr:row>
          <xdr:rowOff>552450</xdr:rowOff>
        </xdr:to>
        <xdr:sp macro="" textlink="">
          <xdr:nvSpPr>
            <xdr:cNvPr id="1795" name="Check Box 771" hidden="1">
              <a:extLst>
                <a:ext uri="{63B3BB69-23CF-44E3-9099-C40C66FF867C}">
                  <a14:compatExt spid="_x0000_s17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28</xdr:row>
          <xdr:rowOff>85725</xdr:rowOff>
        </xdr:from>
        <xdr:to>
          <xdr:col>10</xdr:col>
          <xdr:colOff>1123950</xdr:colOff>
          <xdr:row>28</xdr:row>
          <xdr:rowOff>266700</xdr:rowOff>
        </xdr:to>
        <xdr:sp macro="" textlink="">
          <xdr:nvSpPr>
            <xdr:cNvPr id="1796" name="Check Box 772" hidden="1">
              <a:extLst>
                <a:ext uri="{63B3BB69-23CF-44E3-9099-C40C66FF867C}">
                  <a14:compatExt spid="_x0000_s17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28</xdr:row>
          <xdr:rowOff>85725</xdr:rowOff>
        </xdr:from>
        <xdr:to>
          <xdr:col>10</xdr:col>
          <xdr:colOff>2181225</xdr:colOff>
          <xdr:row>28</xdr:row>
          <xdr:rowOff>266700</xdr:rowOff>
        </xdr:to>
        <xdr:sp macro="" textlink="">
          <xdr:nvSpPr>
            <xdr:cNvPr id="1797" name="Check Box 773" hidden="1">
              <a:extLst>
                <a:ext uri="{63B3BB69-23CF-44E3-9099-C40C66FF867C}">
                  <a14:compatExt spid="_x0000_s17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28</xdr:row>
          <xdr:rowOff>371475</xdr:rowOff>
        </xdr:from>
        <xdr:to>
          <xdr:col>10</xdr:col>
          <xdr:colOff>828675</xdr:colOff>
          <xdr:row>28</xdr:row>
          <xdr:rowOff>552450</xdr:rowOff>
        </xdr:to>
        <xdr:sp macro="" textlink="">
          <xdr:nvSpPr>
            <xdr:cNvPr id="1798" name="Check Box 774" hidden="1">
              <a:extLst>
                <a:ext uri="{63B3BB69-23CF-44E3-9099-C40C66FF867C}">
                  <a14:compatExt spid="_x0000_s17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28</xdr:row>
          <xdr:rowOff>85725</xdr:rowOff>
        </xdr:from>
        <xdr:to>
          <xdr:col>10</xdr:col>
          <xdr:colOff>2943225</xdr:colOff>
          <xdr:row>28</xdr:row>
          <xdr:rowOff>266700</xdr:rowOff>
        </xdr:to>
        <xdr:sp macro="" textlink="">
          <xdr:nvSpPr>
            <xdr:cNvPr id="1799" name="Check Box 775" hidden="1">
              <a:extLst>
                <a:ext uri="{63B3BB69-23CF-44E3-9099-C40C66FF867C}">
                  <a14:compatExt spid="_x0000_s17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28</xdr:row>
          <xdr:rowOff>371475</xdr:rowOff>
        </xdr:from>
        <xdr:to>
          <xdr:col>10</xdr:col>
          <xdr:colOff>1771650</xdr:colOff>
          <xdr:row>28</xdr:row>
          <xdr:rowOff>552450</xdr:rowOff>
        </xdr:to>
        <xdr:sp macro="" textlink="">
          <xdr:nvSpPr>
            <xdr:cNvPr id="1800" name="Check Box 776" hidden="1">
              <a:extLst>
                <a:ext uri="{63B3BB69-23CF-44E3-9099-C40C66FF867C}">
                  <a14:compatExt spid="_x0000_s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28</xdr:row>
          <xdr:rowOff>85725</xdr:rowOff>
        </xdr:from>
        <xdr:to>
          <xdr:col>10</xdr:col>
          <xdr:colOff>4257675</xdr:colOff>
          <xdr:row>28</xdr:row>
          <xdr:rowOff>266700</xdr:rowOff>
        </xdr:to>
        <xdr:sp macro="" textlink="">
          <xdr:nvSpPr>
            <xdr:cNvPr id="1801" name="Check Box 777" hidden="1">
              <a:extLst>
                <a:ext uri="{63B3BB69-23CF-44E3-9099-C40C66FF867C}">
                  <a14:compatExt spid="_x0000_s18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28</xdr:row>
          <xdr:rowOff>85725</xdr:rowOff>
        </xdr:from>
        <xdr:to>
          <xdr:col>10</xdr:col>
          <xdr:colOff>3705225</xdr:colOff>
          <xdr:row>28</xdr:row>
          <xdr:rowOff>266700</xdr:rowOff>
        </xdr:to>
        <xdr:sp macro="" textlink="">
          <xdr:nvSpPr>
            <xdr:cNvPr id="1802" name="Check Box 778" hidden="1">
              <a:extLst>
                <a:ext uri="{63B3BB69-23CF-44E3-9099-C40C66FF867C}">
                  <a14:compatExt spid="_x0000_s18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28</xdr:row>
          <xdr:rowOff>371475</xdr:rowOff>
        </xdr:from>
        <xdr:to>
          <xdr:col>10</xdr:col>
          <xdr:colOff>3981450</xdr:colOff>
          <xdr:row>28</xdr:row>
          <xdr:rowOff>552450</xdr:rowOff>
        </xdr:to>
        <xdr:sp macro="" textlink="">
          <xdr:nvSpPr>
            <xdr:cNvPr id="1803" name="Check Box 779" hidden="1">
              <a:extLst>
                <a:ext uri="{63B3BB69-23CF-44E3-9099-C40C66FF867C}">
                  <a14:compatExt spid="_x0000_s18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29</xdr:row>
          <xdr:rowOff>85725</xdr:rowOff>
        </xdr:from>
        <xdr:to>
          <xdr:col>10</xdr:col>
          <xdr:colOff>1123950</xdr:colOff>
          <xdr:row>29</xdr:row>
          <xdr:rowOff>266700</xdr:rowOff>
        </xdr:to>
        <xdr:sp macro="" textlink="">
          <xdr:nvSpPr>
            <xdr:cNvPr id="1804" name="Check Box 780" hidden="1">
              <a:extLst>
                <a:ext uri="{63B3BB69-23CF-44E3-9099-C40C66FF867C}">
                  <a14:compatExt spid="_x0000_s18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29</xdr:row>
          <xdr:rowOff>85725</xdr:rowOff>
        </xdr:from>
        <xdr:to>
          <xdr:col>10</xdr:col>
          <xdr:colOff>2181225</xdr:colOff>
          <xdr:row>29</xdr:row>
          <xdr:rowOff>266700</xdr:rowOff>
        </xdr:to>
        <xdr:sp macro="" textlink="">
          <xdr:nvSpPr>
            <xdr:cNvPr id="1805" name="Check Box 781" hidden="1">
              <a:extLst>
                <a:ext uri="{63B3BB69-23CF-44E3-9099-C40C66FF867C}">
                  <a14:compatExt spid="_x0000_s18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29</xdr:row>
          <xdr:rowOff>371475</xdr:rowOff>
        </xdr:from>
        <xdr:to>
          <xdr:col>10</xdr:col>
          <xdr:colOff>828675</xdr:colOff>
          <xdr:row>29</xdr:row>
          <xdr:rowOff>552450</xdr:rowOff>
        </xdr:to>
        <xdr:sp macro="" textlink="">
          <xdr:nvSpPr>
            <xdr:cNvPr id="1806" name="Check Box 782" hidden="1">
              <a:extLst>
                <a:ext uri="{63B3BB69-23CF-44E3-9099-C40C66FF867C}">
                  <a14:compatExt spid="_x0000_s18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29</xdr:row>
          <xdr:rowOff>85725</xdr:rowOff>
        </xdr:from>
        <xdr:to>
          <xdr:col>10</xdr:col>
          <xdr:colOff>2943225</xdr:colOff>
          <xdr:row>29</xdr:row>
          <xdr:rowOff>266700</xdr:rowOff>
        </xdr:to>
        <xdr:sp macro="" textlink="">
          <xdr:nvSpPr>
            <xdr:cNvPr id="1807" name="Check Box 783" hidden="1">
              <a:extLst>
                <a:ext uri="{63B3BB69-23CF-44E3-9099-C40C66FF867C}">
                  <a14:compatExt spid="_x0000_s18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29</xdr:row>
          <xdr:rowOff>371475</xdr:rowOff>
        </xdr:from>
        <xdr:to>
          <xdr:col>10</xdr:col>
          <xdr:colOff>1771650</xdr:colOff>
          <xdr:row>29</xdr:row>
          <xdr:rowOff>552450</xdr:rowOff>
        </xdr:to>
        <xdr:sp macro="" textlink="">
          <xdr:nvSpPr>
            <xdr:cNvPr id="1808" name="Check Box 784" hidden="1">
              <a:extLst>
                <a:ext uri="{63B3BB69-23CF-44E3-9099-C40C66FF867C}">
                  <a14:compatExt spid="_x0000_s18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29</xdr:row>
          <xdr:rowOff>85725</xdr:rowOff>
        </xdr:from>
        <xdr:to>
          <xdr:col>10</xdr:col>
          <xdr:colOff>4257675</xdr:colOff>
          <xdr:row>29</xdr:row>
          <xdr:rowOff>266700</xdr:rowOff>
        </xdr:to>
        <xdr:sp macro="" textlink="">
          <xdr:nvSpPr>
            <xdr:cNvPr id="1809" name="Check Box 785" hidden="1">
              <a:extLst>
                <a:ext uri="{63B3BB69-23CF-44E3-9099-C40C66FF867C}">
                  <a14:compatExt spid="_x0000_s18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29</xdr:row>
          <xdr:rowOff>85725</xdr:rowOff>
        </xdr:from>
        <xdr:to>
          <xdr:col>10</xdr:col>
          <xdr:colOff>3705225</xdr:colOff>
          <xdr:row>29</xdr:row>
          <xdr:rowOff>266700</xdr:rowOff>
        </xdr:to>
        <xdr:sp macro="" textlink="">
          <xdr:nvSpPr>
            <xdr:cNvPr id="1810" name="Check Box 786" hidden="1">
              <a:extLst>
                <a:ext uri="{63B3BB69-23CF-44E3-9099-C40C66FF867C}">
                  <a14:compatExt spid="_x0000_s18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29</xdr:row>
          <xdr:rowOff>371475</xdr:rowOff>
        </xdr:from>
        <xdr:to>
          <xdr:col>10</xdr:col>
          <xdr:colOff>3981450</xdr:colOff>
          <xdr:row>29</xdr:row>
          <xdr:rowOff>552450</xdr:rowOff>
        </xdr:to>
        <xdr:sp macro="" textlink="">
          <xdr:nvSpPr>
            <xdr:cNvPr id="1811" name="Check Box 787" hidden="1">
              <a:extLst>
                <a:ext uri="{63B3BB69-23CF-44E3-9099-C40C66FF867C}">
                  <a14:compatExt spid="_x0000_s18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30</xdr:row>
          <xdr:rowOff>85725</xdr:rowOff>
        </xdr:from>
        <xdr:to>
          <xdr:col>10</xdr:col>
          <xdr:colOff>1123950</xdr:colOff>
          <xdr:row>30</xdr:row>
          <xdr:rowOff>266700</xdr:rowOff>
        </xdr:to>
        <xdr:sp macro="" textlink="">
          <xdr:nvSpPr>
            <xdr:cNvPr id="1812" name="Check Box 788" hidden="1">
              <a:extLst>
                <a:ext uri="{63B3BB69-23CF-44E3-9099-C40C66FF867C}">
                  <a14:compatExt spid="_x0000_s18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30</xdr:row>
          <xdr:rowOff>85725</xdr:rowOff>
        </xdr:from>
        <xdr:to>
          <xdr:col>10</xdr:col>
          <xdr:colOff>2181225</xdr:colOff>
          <xdr:row>30</xdr:row>
          <xdr:rowOff>266700</xdr:rowOff>
        </xdr:to>
        <xdr:sp macro="" textlink="">
          <xdr:nvSpPr>
            <xdr:cNvPr id="1813" name="Check Box 789" hidden="1">
              <a:extLst>
                <a:ext uri="{63B3BB69-23CF-44E3-9099-C40C66FF867C}">
                  <a14:compatExt spid="_x0000_s18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30</xdr:row>
          <xdr:rowOff>371475</xdr:rowOff>
        </xdr:from>
        <xdr:to>
          <xdr:col>10</xdr:col>
          <xdr:colOff>828675</xdr:colOff>
          <xdr:row>30</xdr:row>
          <xdr:rowOff>552450</xdr:rowOff>
        </xdr:to>
        <xdr:sp macro="" textlink="">
          <xdr:nvSpPr>
            <xdr:cNvPr id="1814" name="Check Box 790" hidden="1">
              <a:extLst>
                <a:ext uri="{63B3BB69-23CF-44E3-9099-C40C66FF867C}">
                  <a14:compatExt spid="_x0000_s18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30</xdr:row>
          <xdr:rowOff>85725</xdr:rowOff>
        </xdr:from>
        <xdr:to>
          <xdr:col>10</xdr:col>
          <xdr:colOff>2943225</xdr:colOff>
          <xdr:row>30</xdr:row>
          <xdr:rowOff>266700</xdr:rowOff>
        </xdr:to>
        <xdr:sp macro="" textlink="">
          <xdr:nvSpPr>
            <xdr:cNvPr id="1815" name="Check Box 791" hidden="1">
              <a:extLst>
                <a:ext uri="{63B3BB69-23CF-44E3-9099-C40C66FF867C}">
                  <a14:compatExt spid="_x0000_s18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30</xdr:row>
          <xdr:rowOff>371475</xdr:rowOff>
        </xdr:from>
        <xdr:to>
          <xdr:col>10</xdr:col>
          <xdr:colOff>1771650</xdr:colOff>
          <xdr:row>30</xdr:row>
          <xdr:rowOff>552450</xdr:rowOff>
        </xdr:to>
        <xdr:sp macro="" textlink="">
          <xdr:nvSpPr>
            <xdr:cNvPr id="1816" name="Check Box 792" hidden="1">
              <a:extLst>
                <a:ext uri="{63B3BB69-23CF-44E3-9099-C40C66FF867C}">
                  <a14:compatExt spid="_x0000_s18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30</xdr:row>
          <xdr:rowOff>85725</xdr:rowOff>
        </xdr:from>
        <xdr:to>
          <xdr:col>10</xdr:col>
          <xdr:colOff>4257675</xdr:colOff>
          <xdr:row>30</xdr:row>
          <xdr:rowOff>266700</xdr:rowOff>
        </xdr:to>
        <xdr:sp macro="" textlink="">
          <xdr:nvSpPr>
            <xdr:cNvPr id="1817" name="Check Box 793" hidden="1">
              <a:extLst>
                <a:ext uri="{63B3BB69-23CF-44E3-9099-C40C66FF867C}">
                  <a14:compatExt spid="_x0000_s18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30</xdr:row>
          <xdr:rowOff>85725</xdr:rowOff>
        </xdr:from>
        <xdr:to>
          <xdr:col>10</xdr:col>
          <xdr:colOff>3705225</xdr:colOff>
          <xdr:row>30</xdr:row>
          <xdr:rowOff>266700</xdr:rowOff>
        </xdr:to>
        <xdr:sp macro="" textlink="">
          <xdr:nvSpPr>
            <xdr:cNvPr id="1818" name="Check Box 794" hidden="1">
              <a:extLst>
                <a:ext uri="{63B3BB69-23CF-44E3-9099-C40C66FF867C}">
                  <a14:compatExt spid="_x0000_s18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30</xdr:row>
          <xdr:rowOff>371475</xdr:rowOff>
        </xdr:from>
        <xdr:to>
          <xdr:col>10</xdr:col>
          <xdr:colOff>3981450</xdr:colOff>
          <xdr:row>30</xdr:row>
          <xdr:rowOff>552450</xdr:rowOff>
        </xdr:to>
        <xdr:sp macro="" textlink="">
          <xdr:nvSpPr>
            <xdr:cNvPr id="1819" name="Check Box 795" hidden="1">
              <a:extLst>
                <a:ext uri="{63B3BB69-23CF-44E3-9099-C40C66FF867C}">
                  <a14:compatExt spid="_x0000_s18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31</xdr:row>
          <xdr:rowOff>85725</xdr:rowOff>
        </xdr:from>
        <xdr:to>
          <xdr:col>10</xdr:col>
          <xdr:colOff>1123950</xdr:colOff>
          <xdr:row>31</xdr:row>
          <xdr:rowOff>266700</xdr:rowOff>
        </xdr:to>
        <xdr:sp macro="" textlink="">
          <xdr:nvSpPr>
            <xdr:cNvPr id="1820" name="Check Box 796" hidden="1">
              <a:extLst>
                <a:ext uri="{63B3BB69-23CF-44E3-9099-C40C66FF867C}">
                  <a14:compatExt spid="_x0000_s18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31</xdr:row>
          <xdr:rowOff>85725</xdr:rowOff>
        </xdr:from>
        <xdr:to>
          <xdr:col>10</xdr:col>
          <xdr:colOff>2181225</xdr:colOff>
          <xdr:row>31</xdr:row>
          <xdr:rowOff>266700</xdr:rowOff>
        </xdr:to>
        <xdr:sp macro="" textlink="">
          <xdr:nvSpPr>
            <xdr:cNvPr id="1821" name="Check Box 797" hidden="1">
              <a:extLst>
                <a:ext uri="{63B3BB69-23CF-44E3-9099-C40C66FF867C}">
                  <a14:compatExt spid="_x0000_s18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31</xdr:row>
          <xdr:rowOff>371475</xdr:rowOff>
        </xdr:from>
        <xdr:to>
          <xdr:col>10</xdr:col>
          <xdr:colOff>828675</xdr:colOff>
          <xdr:row>31</xdr:row>
          <xdr:rowOff>552450</xdr:rowOff>
        </xdr:to>
        <xdr:sp macro="" textlink="">
          <xdr:nvSpPr>
            <xdr:cNvPr id="1822" name="Check Box 798" hidden="1">
              <a:extLst>
                <a:ext uri="{63B3BB69-23CF-44E3-9099-C40C66FF867C}">
                  <a14:compatExt spid="_x0000_s18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31</xdr:row>
          <xdr:rowOff>85725</xdr:rowOff>
        </xdr:from>
        <xdr:to>
          <xdr:col>10</xdr:col>
          <xdr:colOff>2943225</xdr:colOff>
          <xdr:row>31</xdr:row>
          <xdr:rowOff>266700</xdr:rowOff>
        </xdr:to>
        <xdr:sp macro="" textlink="">
          <xdr:nvSpPr>
            <xdr:cNvPr id="1823" name="Check Box 799" hidden="1">
              <a:extLst>
                <a:ext uri="{63B3BB69-23CF-44E3-9099-C40C66FF867C}">
                  <a14:compatExt spid="_x0000_s18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31</xdr:row>
          <xdr:rowOff>371475</xdr:rowOff>
        </xdr:from>
        <xdr:to>
          <xdr:col>10</xdr:col>
          <xdr:colOff>1771650</xdr:colOff>
          <xdr:row>31</xdr:row>
          <xdr:rowOff>552450</xdr:rowOff>
        </xdr:to>
        <xdr:sp macro="" textlink="">
          <xdr:nvSpPr>
            <xdr:cNvPr id="1824" name="Check Box 800" hidden="1">
              <a:extLst>
                <a:ext uri="{63B3BB69-23CF-44E3-9099-C40C66FF867C}">
                  <a14:compatExt spid="_x0000_s18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31</xdr:row>
          <xdr:rowOff>85725</xdr:rowOff>
        </xdr:from>
        <xdr:to>
          <xdr:col>10</xdr:col>
          <xdr:colOff>4257675</xdr:colOff>
          <xdr:row>31</xdr:row>
          <xdr:rowOff>266700</xdr:rowOff>
        </xdr:to>
        <xdr:sp macro="" textlink="">
          <xdr:nvSpPr>
            <xdr:cNvPr id="1825" name="Check Box 801" hidden="1">
              <a:extLst>
                <a:ext uri="{63B3BB69-23CF-44E3-9099-C40C66FF867C}">
                  <a14:compatExt spid="_x0000_s18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31</xdr:row>
          <xdr:rowOff>85725</xdr:rowOff>
        </xdr:from>
        <xdr:to>
          <xdr:col>10</xdr:col>
          <xdr:colOff>3705225</xdr:colOff>
          <xdr:row>31</xdr:row>
          <xdr:rowOff>266700</xdr:rowOff>
        </xdr:to>
        <xdr:sp macro="" textlink="">
          <xdr:nvSpPr>
            <xdr:cNvPr id="1826" name="Check Box 802" hidden="1">
              <a:extLst>
                <a:ext uri="{63B3BB69-23CF-44E3-9099-C40C66FF867C}">
                  <a14:compatExt spid="_x0000_s18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31</xdr:row>
          <xdr:rowOff>371475</xdr:rowOff>
        </xdr:from>
        <xdr:to>
          <xdr:col>10</xdr:col>
          <xdr:colOff>3981450</xdr:colOff>
          <xdr:row>31</xdr:row>
          <xdr:rowOff>552450</xdr:rowOff>
        </xdr:to>
        <xdr:sp macro="" textlink="">
          <xdr:nvSpPr>
            <xdr:cNvPr id="1827" name="Check Box 803" hidden="1">
              <a:extLst>
                <a:ext uri="{63B3BB69-23CF-44E3-9099-C40C66FF867C}">
                  <a14:compatExt spid="_x0000_s18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32</xdr:row>
          <xdr:rowOff>85725</xdr:rowOff>
        </xdr:from>
        <xdr:to>
          <xdr:col>10</xdr:col>
          <xdr:colOff>1123950</xdr:colOff>
          <xdr:row>32</xdr:row>
          <xdr:rowOff>266700</xdr:rowOff>
        </xdr:to>
        <xdr:sp macro="" textlink="">
          <xdr:nvSpPr>
            <xdr:cNvPr id="1828" name="Check Box 804" hidden="1">
              <a:extLst>
                <a:ext uri="{63B3BB69-23CF-44E3-9099-C40C66FF867C}">
                  <a14:compatExt spid="_x0000_s18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32</xdr:row>
          <xdr:rowOff>85725</xdr:rowOff>
        </xdr:from>
        <xdr:to>
          <xdr:col>10</xdr:col>
          <xdr:colOff>2181225</xdr:colOff>
          <xdr:row>32</xdr:row>
          <xdr:rowOff>266700</xdr:rowOff>
        </xdr:to>
        <xdr:sp macro="" textlink="">
          <xdr:nvSpPr>
            <xdr:cNvPr id="1829" name="Check Box 805" hidden="1">
              <a:extLst>
                <a:ext uri="{63B3BB69-23CF-44E3-9099-C40C66FF867C}">
                  <a14:compatExt spid="_x0000_s18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32</xdr:row>
          <xdr:rowOff>371475</xdr:rowOff>
        </xdr:from>
        <xdr:to>
          <xdr:col>10</xdr:col>
          <xdr:colOff>828675</xdr:colOff>
          <xdr:row>32</xdr:row>
          <xdr:rowOff>552450</xdr:rowOff>
        </xdr:to>
        <xdr:sp macro="" textlink="">
          <xdr:nvSpPr>
            <xdr:cNvPr id="1830" name="Check Box 806" hidden="1">
              <a:extLst>
                <a:ext uri="{63B3BB69-23CF-44E3-9099-C40C66FF867C}">
                  <a14:compatExt spid="_x0000_s18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32</xdr:row>
          <xdr:rowOff>85725</xdr:rowOff>
        </xdr:from>
        <xdr:to>
          <xdr:col>10</xdr:col>
          <xdr:colOff>2943225</xdr:colOff>
          <xdr:row>32</xdr:row>
          <xdr:rowOff>266700</xdr:rowOff>
        </xdr:to>
        <xdr:sp macro="" textlink="">
          <xdr:nvSpPr>
            <xdr:cNvPr id="1831" name="Check Box 807" hidden="1">
              <a:extLst>
                <a:ext uri="{63B3BB69-23CF-44E3-9099-C40C66FF867C}">
                  <a14:compatExt spid="_x0000_s18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32</xdr:row>
          <xdr:rowOff>371475</xdr:rowOff>
        </xdr:from>
        <xdr:to>
          <xdr:col>10</xdr:col>
          <xdr:colOff>1771650</xdr:colOff>
          <xdr:row>32</xdr:row>
          <xdr:rowOff>552450</xdr:rowOff>
        </xdr:to>
        <xdr:sp macro="" textlink="">
          <xdr:nvSpPr>
            <xdr:cNvPr id="1832" name="Check Box 808" hidden="1">
              <a:extLst>
                <a:ext uri="{63B3BB69-23CF-44E3-9099-C40C66FF867C}">
                  <a14:compatExt spid="_x0000_s18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32</xdr:row>
          <xdr:rowOff>85725</xdr:rowOff>
        </xdr:from>
        <xdr:to>
          <xdr:col>10</xdr:col>
          <xdr:colOff>4257675</xdr:colOff>
          <xdr:row>32</xdr:row>
          <xdr:rowOff>266700</xdr:rowOff>
        </xdr:to>
        <xdr:sp macro="" textlink="">
          <xdr:nvSpPr>
            <xdr:cNvPr id="1833" name="Check Box 809" hidden="1">
              <a:extLst>
                <a:ext uri="{63B3BB69-23CF-44E3-9099-C40C66FF867C}">
                  <a14:compatExt spid="_x0000_s18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32</xdr:row>
          <xdr:rowOff>85725</xdr:rowOff>
        </xdr:from>
        <xdr:to>
          <xdr:col>10</xdr:col>
          <xdr:colOff>3705225</xdr:colOff>
          <xdr:row>32</xdr:row>
          <xdr:rowOff>266700</xdr:rowOff>
        </xdr:to>
        <xdr:sp macro="" textlink="">
          <xdr:nvSpPr>
            <xdr:cNvPr id="1834" name="Check Box 810" hidden="1">
              <a:extLst>
                <a:ext uri="{63B3BB69-23CF-44E3-9099-C40C66FF867C}">
                  <a14:compatExt spid="_x0000_s18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32</xdr:row>
          <xdr:rowOff>371475</xdr:rowOff>
        </xdr:from>
        <xdr:to>
          <xdr:col>10</xdr:col>
          <xdr:colOff>3981450</xdr:colOff>
          <xdr:row>32</xdr:row>
          <xdr:rowOff>552450</xdr:rowOff>
        </xdr:to>
        <xdr:sp macro="" textlink="">
          <xdr:nvSpPr>
            <xdr:cNvPr id="1835" name="Check Box 811" hidden="1">
              <a:extLst>
                <a:ext uri="{63B3BB69-23CF-44E3-9099-C40C66FF867C}">
                  <a14:compatExt spid="_x0000_s18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33</xdr:row>
          <xdr:rowOff>85725</xdr:rowOff>
        </xdr:from>
        <xdr:to>
          <xdr:col>10</xdr:col>
          <xdr:colOff>1123950</xdr:colOff>
          <xdr:row>33</xdr:row>
          <xdr:rowOff>266700</xdr:rowOff>
        </xdr:to>
        <xdr:sp macro="" textlink="">
          <xdr:nvSpPr>
            <xdr:cNvPr id="1836" name="Check Box 812" hidden="1">
              <a:extLst>
                <a:ext uri="{63B3BB69-23CF-44E3-9099-C40C66FF867C}">
                  <a14:compatExt spid="_x0000_s18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33</xdr:row>
          <xdr:rowOff>85725</xdr:rowOff>
        </xdr:from>
        <xdr:to>
          <xdr:col>10</xdr:col>
          <xdr:colOff>2181225</xdr:colOff>
          <xdr:row>33</xdr:row>
          <xdr:rowOff>266700</xdr:rowOff>
        </xdr:to>
        <xdr:sp macro="" textlink="">
          <xdr:nvSpPr>
            <xdr:cNvPr id="1837" name="Check Box 813" hidden="1">
              <a:extLst>
                <a:ext uri="{63B3BB69-23CF-44E3-9099-C40C66FF867C}">
                  <a14:compatExt spid="_x0000_s18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33</xdr:row>
          <xdr:rowOff>371475</xdr:rowOff>
        </xdr:from>
        <xdr:to>
          <xdr:col>10</xdr:col>
          <xdr:colOff>828675</xdr:colOff>
          <xdr:row>33</xdr:row>
          <xdr:rowOff>552450</xdr:rowOff>
        </xdr:to>
        <xdr:sp macro="" textlink="">
          <xdr:nvSpPr>
            <xdr:cNvPr id="1838" name="Check Box 814" hidden="1">
              <a:extLst>
                <a:ext uri="{63B3BB69-23CF-44E3-9099-C40C66FF867C}">
                  <a14:compatExt spid="_x0000_s18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33</xdr:row>
          <xdr:rowOff>85725</xdr:rowOff>
        </xdr:from>
        <xdr:to>
          <xdr:col>10</xdr:col>
          <xdr:colOff>2943225</xdr:colOff>
          <xdr:row>33</xdr:row>
          <xdr:rowOff>266700</xdr:rowOff>
        </xdr:to>
        <xdr:sp macro="" textlink="">
          <xdr:nvSpPr>
            <xdr:cNvPr id="1839" name="Check Box 815" hidden="1">
              <a:extLst>
                <a:ext uri="{63B3BB69-23CF-44E3-9099-C40C66FF867C}">
                  <a14:compatExt spid="_x0000_s18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33</xdr:row>
          <xdr:rowOff>371475</xdr:rowOff>
        </xdr:from>
        <xdr:to>
          <xdr:col>10</xdr:col>
          <xdr:colOff>1771650</xdr:colOff>
          <xdr:row>33</xdr:row>
          <xdr:rowOff>552450</xdr:rowOff>
        </xdr:to>
        <xdr:sp macro="" textlink="">
          <xdr:nvSpPr>
            <xdr:cNvPr id="1840" name="Check Box 816" hidden="1">
              <a:extLst>
                <a:ext uri="{63B3BB69-23CF-44E3-9099-C40C66FF867C}">
                  <a14:compatExt spid="_x0000_s18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33</xdr:row>
          <xdr:rowOff>85725</xdr:rowOff>
        </xdr:from>
        <xdr:to>
          <xdr:col>10</xdr:col>
          <xdr:colOff>4257675</xdr:colOff>
          <xdr:row>33</xdr:row>
          <xdr:rowOff>266700</xdr:rowOff>
        </xdr:to>
        <xdr:sp macro="" textlink="">
          <xdr:nvSpPr>
            <xdr:cNvPr id="1841" name="Check Box 817" hidden="1">
              <a:extLst>
                <a:ext uri="{63B3BB69-23CF-44E3-9099-C40C66FF867C}">
                  <a14:compatExt spid="_x0000_s18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33</xdr:row>
          <xdr:rowOff>85725</xdr:rowOff>
        </xdr:from>
        <xdr:to>
          <xdr:col>10</xdr:col>
          <xdr:colOff>3705225</xdr:colOff>
          <xdr:row>33</xdr:row>
          <xdr:rowOff>266700</xdr:rowOff>
        </xdr:to>
        <xdr:sp macro="" textlink="">
          <xdr:nvSpPr>
            <xdr:cNvPr id="1842" name="Check Box 818" hidden="1">
              <a:extLst>
                <a:ext uri="{63B3BB69-23CF-44E3-9099-C40C66FF867C}">
                  <a14:compatExt spid="_x0000_s18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33</xdr:row>
          <xdr:rowOff>371475</xdr:rowOff>
        </xdr:from>
        <xdr:to>
          <xdr:col>10</xdr:col>
          <xdr:colOff>3981450</xdr:colOff>
          <xdr:row>33</xdr:row>
          <xdr:rowOff>552450</xdr:rowOff>
        </xdr:to>
        <xdr:sp macro="" textlink="">
          <xdr:nvSpPr>
            <xdr:cNvPr id="1843" name="Check Box 819" hidden="1">
              <a:extLst>
                <a:ext uri="{63B3BB69-23CF-44E3-9099-C40C66FF867C}">
                  <a14:compatExt spid="_x0000_s18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34</xdr:row>
          <xdr:rowOff>85725</xdr:rowOff>
        </xdr:from>
        <xdr:to>
          <xdr:col>10</xdr:col>
          <xdr:colOff>1123950</xdr:colOff>
          <xdr:row>34</xdr:row>
          <xdr:rowOff>266700</xdr:rowOff>
        </xdr:to>
        <xdr:sp macro="" textlink="">
          <xdr:nvSpPr>
            <xdr:cNvPr id="1844" name="Check Box 820" hidden="1">
              <a:extLst>
                <a:ext uri="{63B3BB69-23CF-44E3-9099-C40C66FF867C}">
                  <a14:compatExt spid="_x0000_s18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34</xdr:row>
          <xdr:rowOff>85725</xdr:rowOff>
        </xdr:from>
        <xdr:to>
          <xdr:col>10</xdr:col>
          <xdr:colOff>2181225</xdr:colOff>
          <xdr:row>34</xdr:row>
          <xdr:rowOff>266700</xdr:rowOff>
        </xdr:to>
        <xdr:sp macro="" textlink="">
          <xdr:nvSpPr>
            <xdr:cNvPr id="1845" name="Check Box 821" hidden="1">
              <a:extLst>
                <a:ext uri="{63B3BB69-23CF-44E3-9099-C40C66FF867C}">
                  <a14:compatExt spid="_x0000_s18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34</xdr:row>
          <xdr:rowOff>371475</xdr:rowOff>
        </xdr:from>
        <xdr:to>
          <xdr:col>10</xdr:col>
          <xdr:colOff>828675</xdr:colOff>
          <xdr:row>34</xdr:row>
          <xdr:rowOff>552450</xdr:rowOff>
        </xdr:to>
        <xdr:sp macro="" textlink="">
          <xdr:nvSpPr>
            <xdr:cNvPr id="1846" name="Check Box 822" hidden="1">
              <a:extLst>
                <a:ext uri="{63B3BB69-23CF-44E3-9099-C40C66FF867C}">
                  <a14:compatExt spid="_x0000_s18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34</xdr:row>
          <xdr:rowOff>85725</xdr:rowOff>
        </xdr:from>
        <xdr:to>
          <xdr:col>10</xdr:col>
          <xdr:colOff>2943225</xdr:colOff>
          <xdr:row>34</xdr:row>
          <xdr:rowOff>266700</xdr:rowOff>
        </xdr:to>
        <xdr:sp macro="" textlink="">
          <xdr:nvSpPr>
            <xdr:cNvPr id="1847" name="Check Box 823" hidden="1">
              <a:extLst>
                <a:ext uri="{63B3BB69-23CF-44E3-9099-C40C66FF867C}">
                  <a14:compatExt spid="_x0000_s18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34</xdr:row>
          <xdr:rowOff>371475</xdr:rowOff>
        </xdr:from>
        <xdr:to>
          <xdr:col>10</xdr:col>
          <xdr:colOff>1771650</xdr:colOff>
          <xdr:row>34</xdr:row>
          <xdr:rowOff>552450</xdr:rowOff>
        </xdr:to>
        <xdr:sp macro="" textlink="">
          <xdr:nvSpPr>
            <xdr:cNvPr id="1848" name="Check Box 824" hidden="1">
              <a:extLst>
                <a:ext uri="{63B3BB69-23CF-44E3-9099-C40C66FF867C}">
                  <a14:compatExt spid="_x0000_s18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34</xdr:row>
          <xdr:rowOff>85725</xdr:rowOff>
        </xdr:from>
        <xdr:to>
          <xdr:col>10</xdr:col>
          <xdr:colOff>4257675</xdr:colOff>
          <xdr:row>34</xdr:row>
          <xdr:rowOff>266700</xdr:rowOff>
        </xdr:to>
        <xdr:sp macro="" textlink="">
          <xdr:nvSpPr>
            <xdr:cNvPr id="1849" name="Check Box 825" hidden="1">
              <a:extLst>
                <a:ext uri="{63B3BB69-23CF-44E3-9099-C40C66FF867C}">
                  <a14:compatExt spid="_x0000_s18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34</xdr:row>
          <xdr:rowOff>85725</xdr:rowOff>
        </xdr:from>
        <xdr:to>
          <xdr:col>10</xdr:col>
          <xdr:colOff>3705225</xdr:colOff>
          <xdr:row>34</xdr:row>
          <xdr:rowOff>266700</xdr:rowOff>
        </xdr:to>
        <xdr:sp macro="" textlink="">
          <xdr:nvSpPr>
            <xdr:cNvPr id="1850" name="Check Box 826" hidden="1">
              <a:extLst>
                <a:ext uri="{63B3BB69-23CF-44E3-9099-C40C66FF867C}">
                  <a14:compatExt spid="_x0000_s18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34</xdr:row>
          <xdr:rowOff>371475</xdr:rowOff>
        </xdr:from>
        <xdr:to>
          <xdr:col>10</xdr:col>
          <xdr:colOff>3981450</xdr:colOff>
          <xdr:row>34</xdr:row>
          <xdr:rowOff>552450</xdr:rowOff>
        </xdr:to>
        <xdr:sp macro="" textlink="">
          <xdr:nvSpPr>
            <xdr:cNvPr id="1851" name="Check Box 827" hidden="1">
              <a:extLst>
                <a:ext uri="{63B3BB69-23CF-44E3-9099-C40C66FF867C}">
                  <a14:compatExt spid="_x0000_s18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35</xdr:row>
          <xdr:rowOff>85725</xdr:rowOff>
        </xdr:from>
        <xdr:to>
          <xdr:col>10</xdr:col>
          <xdr:colOff>1123950</xdr:colOff>
          <xdr:row>35</xdr:row>
          <xdr:rowOff>266700</xdr:rowOff>
        </xdr:to>
        <xdr:sp macro="" textlink="">
          <xdr:nvSpPr>
            <xdr:cNvPr id="1852" name="Check Box 828" hidden="1">
              <a:extLst>
                <a:ext uri="{63B3BB69-23CF-44E3-9099-C40C66FF867C}">
                  <a14:compatExt spid="_x0000_s18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35</xdr:row>
          <xdr:rowOff>85725</xdr:rowOff>
        </xdr:from>
        <xdr:to>
          <xdr:col>10</xdr:col>
          <xdr:colOff>2181225</xdr:colOff>
          <xdr:row>35</xdr:row>
          <xdr:rowOff>266700</xdr:rowOff>
        </xdr:to>
        <xdr:sp macro="" textlink="">
          <xdr:nvSpPr>
            <xdr:cNvPr id="1853" name="Check Box 829" hidden="1">
              <a:extLst>
                <a:ext uri="{63B3BB69-23CF-44E3-9099-C40C66FF867C}">
                  <a14:compatExt spid="_x0000_s18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35</xdr:row>
          <xdr:rowOff>371475</xdr:rowOff>
        </xdr:from>
        <xdr:to>
          <xdr:col>10</xdr:col>
          <xdr:colOff>828675</xdr:colOff>
          <xdr:row>35</xdr:row>
          <xdr:rowOff>552450</xdr:rowOff>
        </xdr:to>
        <xdr:sp macro="" textlink="">
          <xdr:nvSpPr>
            <xdr:cNvPr id="1854" name="Check Box 830" hidden="1">
              <a:extLst>
                <a:ext uri="{63B3BB69-23CF-44E3-9099-C40C66FF867C}">
                  <a14:compatExt spid="_x0000_s18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35</xdr:row>
          <xdr:rowOff>85725</xdr:rowOff>
        </xdr:from>
        <xdr:to>
          <xdr:col>10</xdr:col>
          <xdr:colOff>2943225</xdr:colOff>
          <xdr:row>35</xdr:row>
          <xdr:rowOff>266700</xdr:rowOff>
        </xdr:to>
        <xdr:sp macro="" textlink="">
          <xdr:nvSpPr>
            <xdr:cNvPr id="1855" name="Check Box 831" hidden="1">
              <a:extLst>
                <a:ext uri="{63B3BB69-23CF-44E3-9099-C40C66FF867C}">
                  <a14:compatExt spid="_x0000_s18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35</xdr:row>
          <xdr:rowOff>371475</xdr:rowOff>
        </xdr:from>
        <xdr:to>
          <xdr:col>10</xdr:col>
          <xdr:colOff>1771650</xdr:colOff>
          <xdr:row>35</xdr:row>
          <xdr:rowOff>552450</xdr:rowOff>
        </xdr:to>
        <xdr:sp macro="" textlink="">
          <xdr:nvSpPr>
            <xdr:cNvPr id="1856" name="Check Box 832" hidden="1">
              <a:extLst>
                <a:ext uri="{63B3BB69-23CF-44E3-9099-C40C66FF867C}">
                  <a14:compatExt spid="_x0000_s18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35</xdr:row>
          <xdr:rowOff>85725</xdr:rowOff>
        </xdr:from>
        <xdr:to>
          <xdr:col>10</xdr:col>
          <xdr:colOff>4257675</xdr:colOff>
          <xdr:row>35</xdr:row>
          <xdr:rowOff>266700</xdr:rowOff>
        </xdr:to>
        <xdr:sp macro="" textlink="">
          <xdr:nvSpPr>
            <xdr:cNvPr id="1857" name="Check Box 833" hidden="1">
              <a:extLst>
                <a:ext uri="{63B3BB69-23CF-44E3-9099-C40C66FF867C}">
                  <a14:compatExt spid="_x0000_s18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35</xdr:row>
          <xdr:rowOff>85725</xdr:rowOff>
        </xdr:from>
        <xdr:to>
          <xdr:col>10</xdr:col>
          <xdr:colOff>3705225</xdr:colOff>
          <xdr:row>35</xdr:row>
          <xdr:rowOff>266700</xdr:rowOff>
        </xdr:to>
        <xdr:sp macro="" textlink="">
          <xdr:nvSpPr>
            <xdr:cNvPr id="1858" name="Check Box 834" hidden="1">
              <a:extLst>
                <a:ext uri="{63B3BB69-23CF-44E3-9099-C40C66FF867C}">
                  <a14:compatExt spid="_x0000_s18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35</xdr:row>
          <xdr:rowOff>371475</xdr:rowOff>
        </xdr:from>
        <xdr:to>
          <xdr:col>10</xdr:col>
          <xdr:colOff>3981450</xdr:colOff>
          <xdr:row>35</xdr:row>
          <xdr:rowOff>552450</xdr:rowOff>
        </xdr:to>
        <xdr:sp macro="" textlink="">
          <xdr:nvSpPr>
            <xdr:cNvPr id="1859" name="Check Box 835" hidden="1">
              <a:extLst>
                <a:ext uri="{63B3BB69-23CF-44E3-9099-C40C66FF867C}">
                  <a14:compatExt spid="_x0000_s18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36</xdr:row>
          <xdr:rowOff>85725</xdr:rowOff>
        </xdr:from>
        <xdr:to>
          <xdr:col>10</xdr:col>
          <xdr:colOff>1123950</xdr:colOff>
          <xdr:row>36</xdr:row>
          <xdr:rowOff>266700</xdr:rowOff>
        </xdr:to>
        <xdr:sp macro="" textlink="">
          <xdr:nvSpPr>
            <xdr:cNvPr id="1860" name="Check Box 836" hidden="1">
              <a:extLst>
                <a:ext uri="{63B3BB69-23CF-44E3-9099-C40C66FF867C}">
                  <a14:compatExt spid="_x0000_s18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36</xdr:row>
          <xdr:rowOff>85725</xdr:rowOff>
        </xdr:from>
        <xdr:to>
          <xdr:col>10</xdr:col>
          <xdr:colOff>2181225</xdr:colOff>
          <xdr:row>36</xdr:row>
          <xdr:rowOff>266700</xdr:rowOff>
        </xdr:to>
        <xdr:sp macro="" textlink="">
          <xdr:nvSpPr>
            <xdr:cNvPr id="1861" name="Check Box 837" hidden="1">
              <a:extLst>
                <a:ext uri="{63B3BB69-23CF-44E3-9099-C40C66FF867C}">
                  <a14:compatExt spid="_x0000_s18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36</xdr:row>
          <xdr:rowOff>371475</xdr:rowOff>
        </xdr:from>
        <xdr:to>
          <xdr:col>10</xdr:col>
          <xdr:colOff>828675</xdr:colOff>
          <xdr:row>36</xdr:row>
          <xdr:rowOff>552450</xdr:rowOff>
        </xdr:to>
        <xdr:sp macro="" textlink="">
          <xdr:nvSpPr>
            <xdr:cNvPr id="1862" name="Check Box 838" hidden="1">
              <a:extLst>
                <a:ext uri="{63B3BB69-23CF-44E3-9099-C40C66FF867C}">
                  <a14:compatExt spid="_x0000_s18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36</xdr:row>
          <xdr:rowOff>85725</xdr:rowOff>
        </xdr:from>
        <xdr:to>
          <xdr:col>10</xdr:col>
          <xdr:colOff>2943225</xdr:colOff>
          <xdr:row>36</xdr:row>
          <xdr:rowOff>266700</xdr:rowOff>
        </xdr:to>
        <xdr:sp macro="" textlink="">
          <xdr:nvSpPr>
            <xdr:cNvPr id="1863" name="Check Box 839" hidden="1">
              <a:extLst>
                <a:ext uri="{63B3BB69-23CF-44E3-9099-C40C66FF867C}">
                  <a14:compatExt spid="_x0000_s18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36</xdr:row>
          <xdr:rowOff>371475</xdr:rowOff>
        </xdr:from>
        <xdr:to>
          <xdr:col>10</xdr:col>
          <xdr:colOff>1771650</xdr:colOff>
          <xdr:row>36</xdr:row>
          <xdr:rowOff>552450</xdr:rowOff>
        </xdr:to>
        <xdr:sp macro="" textlink="">
          <xdr:nvSpPr>
            <xdr:cNvPr id="1864" name="Check Box 840" hidden="1">
              <a:extLst>
                <a:ext uri="{63B3BB69-23CF-44E3-9099-C40C66FF867C}">
                  <a14:compatExt spid="_x0000_s18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36</xdr:row>
          <xdr:rowOff>85725</xdr:rowOff>
        </xdr:from>
        <xdr:to>
          <xdr:col>10</xdr:col>
          <xdr:colOff>4257675</xdr:colOff>
          <xdr:row>36</xdr:row>
          <xdr:rowOff>266700</xdr:rowOff>
        </xdr:to>
        <xdr:sp macro="" textlink="">
          <xdr:nvSpPr>
            <xdr:cNvPr id="1865" name="Check Box 841" hidden="1">
              <a:extLst>
                <a:ext uri="{63B3BB69-23CF-44E3-9099-C40C66FF867C}">
                  <a14:compatExt spid="_x0000_s18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36</xdr:row>
          <xdr:rowOff>85725</xdr:rowOff>
        </xdr:from>
        <xdr:to>
          <xdr:col>10</xdr:col>
          <xdr:colOff>3705225</xdr:colOff>
          <xdr:row>36</xdr:row>
          <xdr:rowOff>266700</xdr:rowOff>
        </xdr:to>
        <xdr:sp macro="" textlink="">
          <xdr:nvSpPr>
            <xdr:cNvPr id="1866" name="Check Box 842" hidden="1">
              <a:extLst>
                <a:ext uri="{63B3BB69-23CF-44E3-9099-C40C66FF867C}">
                  <a14:compatExt spid="_x0000_s18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36</xdr:row>
          <xdr:rowOff>371475</xdr:rowOff>
        </xdr:from>
        <xdr:to>
          <xdr:col>10</xdr:col>
          <xdr:colOff>3981450</xdr:colOff>
          <xdr:row>36</xdr:row>
          <xdr:rowOff>552450</xdr:rowOff>
        </xdr:to>
        <xdr:sp macro="" textlink="">
          <xdr:nvSpPr>
            <xdr:cNvPr id="1867" name="Check Box 843" hidden="1">
              <a:extLst>
                <a:ext uri="{63B3BB69-23CF-44E3-9099-C40C66FF867C}">
                  <a14:compatExt spid="_x0000_s18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37</xdr:row>
          <xdr:rowOff>85725</xdr:rowOff>
        </xdr:from>
        <xdr:to>
          <xdr:col>10</xdr:col>
          <xdr:colOff>1123950</xdr:colOff>
          <xdr:row>37</xdr:row>
          <xdr:rowOff>266700</xdr:rowOff>
        </xdr:to>
        <xdr:sp macro="" textlink="">
          <xdr:nvSpPr>
            <xdr:cNvPr id="1868" name="Check Box 844" hidden="1">
              <a:extLst>
                <a:ext uri="{63B3BB69-23CF-44E3-9099-C40C66FF867C}">
                  <a14:compatExt spid="_x0000_s18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37</xdr:row>
          <xdr:rowOff>85725</xdr:rowOff>
        </xdr:from>
        <xdr:to>
          <xdr:col>10</xdr:col>
          <xdr:colOff>2181225</xdr:colOff>
          <xdr:row>37</xdr:row>
          <xdr:rowOff>266700</xdr:rowOff>
        </xdr:to>
        <xdr:sp macro="" textlink="">
          <xdr:nvSpPr>
            <xdr:cNvPr id="1869" name="Check Box 845" hidden="1">
              <a:extLst>
                <a:ext uri="{63B3BB69-23CF-44E3-9099-C40C66FF867C}">
                  <a14:compatExt spid="_x0000_s18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37</xdr:row>
          <xdr:rowOff>371475</xdr:rowOff>
        </xdr:from>
        <xdr:to>
          <xdr:col>10</xdr:col>
          <xdr:colOff>828675</xdr:colOff>
          <xdr:row>37</xdr:row>
          <xdr:rowOff>552450</xdr:rowOff>
        </xdr:to>
        <xdr:sp macro="" textlink="">
          <xdr:nvSpPr>
            <xdr:cNvPr id="1870" name="Check Box 846" hidden="1">
              <a:extLst>
                <a:ext uri="{63B3BB69-23CF-44E3-9099-C40C66FF867C}">
                  <a14:compatExt spid="_x0000_s18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37</xdr:row>
          <xdr:rowOff>85725</xdr:rowOff>
        </xdr:from>
        <xdr:to>
          <xdr:col>10</xdr:col>
          <xdr:colOff>2943225</xdr:colOff>
          <xdr:row>37</xdr:row>
          <xdr:rowOff>266700</xdr:rowOff>
        </xdr:to>
        <xdr:sp macro="" textlink="">
          <xdr:nvSpPr>
            <xdr:cNvPr id="1871" name="Check Box 847" hidden="1">
              <a:extLst>
                <a:ext uri="{63B3BB69-23CF-44E3-9099-C40C66FF867C}">
                  <a14:compatExt spid="_x0000_s18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37</xdr:row>
          <xdr:rowOff>371475</xdr:rowOff>
        </xdr:from>
        <xdr:to>
          <xdr:col>10</xdr:col>
          <xdr:colOff>1771650</xdr:colOff>
          <xdr:row>37</xdr:row>
          <xdr:rowOff>552450</xdr:rowOff>
        </xdr:to>
        <xdr:sp macro="" textlink="">
          <xdr:nvSpPr>
            <xdr:cNvPr id="1872" name="Check Box 848" hidden="1">
              <a:extLst>
                <a:ext uri="{63B3BB69-23CF-44E3-9099-C40C66FF867C}">
                  <a14:compatExt spid="_x0000_s18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37</xdr:row>
          <xdr:rowOff>85725</xdr:rowOff>
        </xdr:from>
        <xdr:to>
          <xdr:col>10</xdr:col>
          <xdr:colOff>4257675</xdr:colOff>
          <xdr:row>37</xdr:row>
          <xdr:rowOff>266700</xdr:rowOff>
        </xdr:to>
        <xdr:sp macro="" textlink="">
          <xdr:nvSpPr>
            <xdr:cNvPr id="1873" name="Check Box 849" hidden="1">
              <a:extLst>
                <a:ext uri="{63B3BB69-23CF-44E3-9099-C40C66FF867C}">
                  <a14:compatExt spid="_x0000_s18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37</xdr:row>
          <xdr:rowOff>85725</xdr:rowOff>
        </xdr:from>
        <xdr:to>
          <xdr:col>10</xdr:col>
          <xdr:colOff>3705225</xdr:colOff>
          <xdr:row>37</xdr:row>
          <xdr:rowOff>266700</xdr:rowOff>
        </xdr:to>
        <xdr:sp macro="" textlink="">
          <xdr:nvSpPr>
            <xdr:cNvPr id="1874" name="Check Box 850" hidden="1">
              <a:extLst>
                <a:ext uri="{63B3BB69-23CF-44E3-9099-C40C66FF867C}">
                  <a14:compatExt spid="_x0000_s18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37</xdr:row>
          <xdr:rowOff>371475</xdr:rowOff>
        </xdr:from>
        <xdr:to>
          <xdr:col>10</xdr:col>
          <xdr:colOff>3981450</xdr:colOff>
          <xdr:row>37</xdr:row>
          <xdr:rowOff>552450</xdr:rowOff>
        </xdr:to>
        <xdr:sp macro="" textlink="">
          <xdr:nvSpPr>
            <xdr:cNvPr id="1875" name="Check Box 851" hidden="1">
              <a:extLst>
                <a:ext uri="{63B3BB69-23CF-44E3-9099-C40C66FF867C}">
                  <a14:compatExt spid="_x0000_s18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xdr:twoCellAnchor editAs="oneCell">
    <xdr:from>
      <xdr:col>2</xdr:col>
      <xdr:colOff>3314700</xdr:colOff>
      <xdr:row>18</xdr:row>
      <xdr:rowOff>466725</xdr:rowOff>
    </xdr:from>
    <xdr:to>
      <xdr:col>2</xdr:col>
      <xdr:colOff>3674700</xdr:colOff>
      <xdr:row>18</xdr:row>
      <xdr:rowOff>588900</xdr:rowOff>
    </xdr:to>
    <xdr:pic>
      <xdr:nvPicPr>
        <xdr:cNvPr id="192" name="Image 191"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3762375"/>
          <a:ext cx="360000" cy="122175"/>
        </a:xfrm>
        <a:prstGeom prst="rect">
          <a:avLst/>
        </a:prstGeom>
      </xdr:spPr>
    </xdr:pic>
    <xdr:clientData/>
  </xdr:twoCellAnchor>
  <xdr:twoCellAnchor editAs="oneCell">
    <xdr:from>
      <xdr:col>2</xdr:col>
      <xdr:colOff>3314700</xdr:colOff>
      <xdr:row>19</xdr:row>
      <xdr:rowOff>466725</xdr:rowOff>
    </xdr:from>
    <xdr:to>
      <xdr:col>2</xdr:col>
      <xdr:colOff>3674700</xdr:colOff>
      <xdr:row>19</xdr:row>
      <xdr:rowOff>588900</xdr:rowOff>
    </xdr:to>
    <xdr:pic>
      <xdr:nvPicPr>
        <xdr:cNvPr id="193" name="Image 192"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4391025"/>
          <a:ext cx="360000" cy="122175"/>
        </a:xfrm>
        <a:prstGeom prst="rect">
          <a:avLst/>
        </a:prstGeom>
      </xdr:spPr>
    </xdr:pic>
    <xdr:clientData/>
  </xdr:twoCellAnchor>
  <xdr:twoCellAnchor editAs="oneCell">
    <xdr:from>
      <xdr:col>2</xdr:col>
      <xdr:colOff>3314700</xdr:colOff>
      <xdr:row>20</xdr:row>
      <xdr:rowOff>466725</xdr:rowOff>
    </xdr:from>
    <xdr:to>
      <xdr:col>2</xdr:col>
      <xdr:colOff>3674700</xdr:colOff>
      <xdr:row>20</xdr:row>
      <xdr:rowOff>588900</xdr:rowOff>
    </xdr:to>
    <xdr:pic>
      <xdr:nvPicPr>
        <xdr:cNvPr id="194" name="Image 193"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5019675"/>
          <a:ext cx="360000" cy="122175"/>
        </a:xfrm>
        <a:prstGeom prst="rect">
          <a:avLst/>
        </a:prstGeom>
      </xdr:spPr>
    </xdr:pic>
    <xdr:clientData/>
  </xdr:twoCellAnchor>
  <xdr:twoCellAnchor editAs="oneCell">
    <xdr:from>
      <xdr:col>2</xdr:col>
      <xdr:colOff>3314700</xdr:colOff>
      <xdr:row>21</xdr:row>
      <xdr:rowOff>466725</xdr:rowOff>
    </xdr:from>
    <xdr:to>
      <xdr:col>2</xdr:col>
      <xdr:colOff>3674700</xdr:colOff>
      <xdr:row>21</xdr:row>
      <xdr:rowOff>588900</xdr:rowOff>
    </xdr:to>
    <xdr:pic>
      <xdr:nvPicPr>
        <xdr:cNvPr id="195" name="Image 194"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5648325"/>
          <a:ext cx="360000" cy="122175"/>
        </a:xfrm>
        <a:prstGeom prst="rect">
          <a:avLst/>
        </a:prstGeom>
      </xdr:spPr>
    </xdr:pic>
    <xdr:clientData/>
  </xdr:twoCellAnchor>
  <xdr:twoCellAnchor editAs="oneCell">
    <xdr:from>
      <xdr:col>2</xdr:col>
      <xdr:colOff>3314700</xdr:colOff>
      <xdr:row>22</xdr:row>
      <xdr:rowOff>466725</xdr:rowOff>
    </xdr:from>
    <xdr:to>
      <xdr:col>2</xdr:col>
      <xdr:colOff>3674700</xdr:colOff>
      <xdr:row>22</xdr:row>
      <xdr:rowOff>588900</xdr:rowOff>
    </xdr:to>
    <xdr:pic>
      <xdr:nvPicPr>
        <xdr:cNvPr id="196" name="Image 195"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6276975"/>
          <a:ext cx="360000" cy="122175"/>
        </a:xfrm>
        <a:prstGeom prst="rect">
          <a:avLst/>
        </a:prstGeom>
      </xdr:spPr>
    </xdr:pic>
    <xdr:clientData/>
  </xdr:twoCellAnchor>
  <xdr:twoCellAnchor editAs="oneCell">
    <xdr:from>
      <xdr:col>2</xdr:col>
      <xdr:colOff>3314700</xdr:colOff>
      <xdr:row>23</xdr:row>
      <xdr:rowOff>466725</xdr:rowOff>
    </xdr:from>
    <xdr:to>
      <xdr:col>2</xdr:col>
      <xdr:colOff>3674700</xdr:colOff>
      <xdr:row>23</xdr:row>
      <xdr:rowOff>588900</xdr:rowOff>
    </xdr:to>
    <xdr:pic>
      <xdr:nvPicPr>
        <xdr:cNvPr id="197" name="Image 196"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6905625"/>
          <a:ext cx="360000" cy="122175"/>
        </a:xfrm>
        <a:prstGeom prst="rect">
          <a:avLst/>
        </a:prstGeom>
      </xdr:spPr>
    </xdr:pic>
    <xdr:clientData/>
  </xdr:twoCellAnchor>
  <xdr:twoCellAnchor editAs="oneCell">
    <xdr:from>
      <xdr:col>2</xdr:col>
      <xdr:colOff>3314700</xdr:colOff>
      <xdr:row>24</xdr:row>
      <xdr:rowOff>466725</xdr:rowOff>
    </xdr:from>
    <xdr:to>
      <xdr:col>2</xdr:col>
      <xdr:colOff>3674700</xdr:colOff>
      <xdr:row>24</xdr:row>
      <xdr:rowOff>588900</xdr:rowOff>
    </xdr:to>
    <xdr:pic>
      <xdr:nvPicPr>
        <xdr:cNvPr id="198" name="Image 197"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7534275"/>
          <a:ext cx="360000" cy="122175"/>
        </a:xfrm>
        <a:prstGeom prst="rect">
          <a:avLst/>
        </a:prstGeom>
      </xdr:spPr>
    </xdr:pic>
    <xdr:clientData/>
  </xdr:twoCellAnchor>
  <xdr:twoCellAnchor editAs="oneCell">
    <xdr:from>
      <xdr:col>2</xdr:col>
      <xdr:colOff>3314700</xdr:colOff>
      <xdr:row>25</xdr:row>
      <xdr:rowOff>466725</xdr:rowOff>
    </xdr:from>
    <xdr:to>
      <xdr:col>2</xdr:col>
      <xdr:colOff>3674700</xdr:colOff>
      <xdr:row>25</xdr:row>
      <xdr:rowOff>588900</xdr:rowOff>
    </xdr:to>
    <xdr:pic>
      <xdr:nvPicPr>
        <xdr:cNvPr id="199" name="Image 19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8162925"/>
          <a:ext cx="360000" cy="122175"/>
        </a:xfrm>
        <a:prstGeom prst="rect">
          <a:avLst/>
        </a:prstGeom>
      </xdr:spPr>
    </xdr:pic>
    <xdr:clientData/>
  </xdr:twoCellAnchor>
  <xdr:twoCellAnchor editAs="oneCell">
    <xdr:from>
      <xdr:col>2</xdr:col>
      <xdr:colOff>3314700</xdr:colOff>
      <xdr:row>26</xdr:row>
      <xdr:rowOff>466725</xdr:rowOff>
    </xdr:from>
    <xdr:to>
      <xdr:col>2</xdr:col>
      <xdr:colOff>3674700</xdr:colOff>
      <xdr:row>26</xdr:row>
      <xdr:rowOff>588900</xdr:rowOff>
    </xdr:to>
    <xdr:pic>
      <xdr:nvPicPr>
        <xdr:cNvPr id="200" name="Image 199"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8791575"/>
          <a:ext cx="360000" cy="122175"/>
        </a:xfrm>
        <a:prstGeom prst="rect">
          <a:avLst/>
        </a:prstGeom>
      </xdr:spPr>
    </xdr:pic>
    <xdr:clientData/>
  </xdr:twoCellAnchor>
  <xdr:twoCellAnchor editAs="oneCell">
    <xdr:from>
      <xdr:col>2</xdr:col>
      <xdr:colOff>3314700</xdr:colOff>
      <xdr:row>27</xdr:row>
      <xdr:rowOff>466725</xdr:rowOff>
    </xdr:from>
    <xdr:to>
      <xdr:col>2</xdr:col>
      <xdr:colOff>3674700</xdr:colOff>
      <xdr:row>27</xdr:row>
      <xdr:rowOff>588900</xdr:rowOff>
    </xdr:to>
    <xdr:pic>
      <xdr:nvPicPr>
        <xdr:cNvPr id="201" name="Image 200"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9420225"/>
          <a:ext cx="360000" cy="122175"/>
        </a:xfrm>
        <a:prstGeom prst="rect">
          <a:avLst/>
        </a:prstGeom>
      </xdr:spPr>
    </xdr:pic>
    <xdr:clientData/>
  </xdr:twoCellAnchor>
  <xdr:twoCellAnchor editAs="oneCell">
    <xdr:from>
      <xdr:col>2</xdr:col>
      <xdr:colOff>3314700</xdr:colOff>
      <xdr:row>28</xdr:row>
      <xdr:rowOff>466725</xdr:rowOff>
    </xdr:from>
    <xdr:to>
      <xdr:col>2</xdr:col>
      <xdr:colOff>3674700</xdr:colOff>
      <xdr:row>28</xdr:row>
      <xdr:rowOff>588900</xdr:rowOff>
    </xdr:to>
    <xdr:pic>
      <xdr:nvPicPr>
        <xdr:cNvPr id="202" name="Image 201"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10048875"/>
          <a:ext cx="360000" cy="122175"/>
        </a:xfrm>
        <a:prstGeom prst="rect">
          <a:avLst/>
        </a:prstGeom>
      </xdr:spPr>
    </xdr:pic>
    <xdr:clientData/>
  </xdr:twoCellAnchor>
  <xdr:twoCellAnchor editAs="oneCell">
    <xdr:from>
      <xdr:col>2</xdr:col>
      <xdr:colOff>3314700</xdr:colOff>
      <xdr:row>29</xdr:row>
      <xdr:rowOff>466725</xdr:rowOff>
    </xdr:from>
    <xdr:to>
      <xdr:col>2</xdr:col>
      <xdr:colOff>3674700</xdr:colOff>
      <xdr:row>29</xdr:row>
      <xdr:rowOff>588900</xdr:rowOff>
    </xdr:to>
    <xdr:pic>
      <xdr:nvPicPr>
        <xdr:cNvPr id="203" name="Image 202"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10677525"/>
          <a:ext cx="360000" cy="122175"/>
        </a:xfrm>
        <a:prstGeom prst="rect">
          <a:avLst/>
        </a:prstGeom>
      </xdr:spPr>
    </xdr:pic>
    <xdr:clientData/>
  </xdr:twoCellAnchor>
  <xdr:twoCellAnchor editAs="oneCell">
    <xdr:from>
      <xdr:col>2</xdr:col>
      <xdr:colOff>3314700</xdr:colOff>
      <xdr:row>30</xdr:row>
      <xdr:rowOff>466725</xdr:rowOff>
    </xdr:from>
    <xdr:to>
      <xdr:col>2</xdr:col>
      <xdr:colOff>3674700</xdr:colOff>
      <xdr:row>30</xdr:row>
      <xdr:rowOff>588900</xdr:rowOff>
    </xdr:to>
    <xdr:pic>
      <xdr:nvPicPr>
        <xdr:cNvPr id="204" name="Image 203"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11306175"/>
          <a:ext cx="360000" cy="122175"/>
        </a:xfrm>
        <a:prstGeom prst="rect">
          <a:avLst/>
        </a:prstGeom>
      </xdr:spPr>
    </xdr:pic>
    <xdr:clientData/>
  </xdr:twoCellAnchor>
  <xdr:twoCellAnchor editAs="oneCell">
    <xdr:from>
      <xdr:col>2</xdr:col>
      <xdr:colOff>3314700</xdr:colOff>
      <xdr:row>31</xdr:row>
      <xdr:rowOff>466725</xdr:rowOff>
    </xdr:from>
    <xdr:to>
      <xdr:col>2</xdr:col>
      <xdr:colOff>3674700</xdr:colOff>
      <xdr:row>31</xdr:row>
      <xdr:rowOff>588900</xdr:rowOff>
    </xdr:to>
    <xdr:pic>
      <xdr:nvPicPr>
        <xdr:cNvPr id="205" name="Image 204"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11934825"/>
          <a:ext cx="360000" cy="122175"/>
        </a:xfrm>
        <a:prstGeom prst="rect">
          <a:avLst/>
        </a:prstGeom>
      </xdr:spPr>
    </xdr:pic>
    <xdr:clientData/>
  </xdr:twoCellAnchor>
  <xdr:twoCellAnchor editAs="oneCell">
    <xdr:from>
      <xdr:col>2</xdr:col>
      <xdr:colOff>3314700</xdr:colOff>
      <xdr:row>32</xdr:row>
      <xdr:rowOff>466725</xdr:rowOff>
    </xdr:from>
    <xdr:to>
      <xdr:col>2</xdr:col>
      <xdr:colOff>3674700</xdr:colOff>
      <xdr:row>32</xdr:row>
      <xdr:rowOff>588900</xdr:rowOff>
    </xdr:to>
    <xdr:pic>
      <xdr:nvPicPr>
        <xdr:cNvPr id="206" name="Image 205"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12563475"/>
          <a:ext cx="360000" cy="122175"/>
        </a:xfrm>
        <a:prstGeom prst="rect">
          <a:avLst/>
        </a:prstGeom>
      </xdr:spPr>
    </xdr:pic>
    <xdr:clientData/>
  </xdr:twoCellAnchor>
  <xdr:twoCellAnchor editAs="oneCell">
    <xdr:from>
      <xdr:col>2</xdr:col>
      <xdr:colOff>3314700</xdr:colOff>
      <xdr:row>33</xdr:row>
      <xdr:rowOff>466725</xdr:rowOff>
    </xdr:from>
    <xdr:to>
      <xdr:col>2</xdr:col>
      <xdr:colOff>3674700</xdr:colOff>
      <xdr:row>33</xdr:row>
      <xdr:rowOff>588900</xdr:rowOff>
    </xdr:to>
    <xdr:pic>
      <xdr:nvPicPr>
        <xdr:cNvPr id="207" name="Image 206"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13192125"/>
          <a:ext cx="360000" cy="122175"/>
        </a:xfrm>
        <a:prstGeom prst="rect">
          <a:avLst/>
        </a:prstGeom>
      </xdr:spPr>
    </xdr:pic>
    <xdr:clientData/>
  </xdr:twoCellAnchor>
  <xdr:twoCellAnchor editAs="oneCell">
    <xdr:from>
      <xdr:col>2</xdr:col>
      <xdr:colOff>3314700</xdr:colOff>
      <xdr:row>34</xdr:row>
      <xdr:rowOff>466725</xdr:rowOff>
    </xdr:from>
    <xdr:to>
      <xdr:col>2</xdr:col>
      <xdr:colOff>3674700</xdr:colOff>
      <xdr:row>34</xdr:row>
      <xdr:rowOff>588900</xdr:rowOff>
    </xdr:to>
    <xdr:pic>
      <xdr:nvPicPr>
        <xdr:cNvPr id="208" name="Image 207"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13820775"/>
          <a:ext cx="360000" cy="122175"/>
        </a:xfrm>
        <a:prstGeom prst="rect">
          <a:avLst/>
        </a:prstGeom>
      </xdr:spPr>
    </xdr:pic>
    <xdr:clientData/>
  </xdr:twoCellAnchor>
  <xdr:twoCellAnchor editAs="oneCell">
    <xdr:from>
      <xdr:col>2</xdr:col>
      <xdr:colOff>3314700</xdr:colOff>
      <xdr:row>35</xdr:row>
      <xdr:rowOff>466725</xdr:rowOff>
    </xdr:from>
    <xdr:to>
      <xdr:col>2</xdr:col>
      <xdr:colOff>3674700</xdr:colOff>
      <xdr:row>35</xdr:row>
      <xdr:rowOff>588900</xdr:rowOff>
    </xdr:to>
    <xdr:pic>
      <xdr:nvPicPr>
        <xdr:cNvPr id="209" name="Image 20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14449425"/>
          <a:ext cx="360000" cy="122175"/>
        </a:xfrm>
        <a:prstGeom prst="rect">
          <a:avLst/>
        </a:prstGeom>
      </xdr:spPr>
    </xdr:pic>
    <xdr:clientData/>
  </xdr:twoCellAnchor>
  <xdr:twoCellAnchor editAs="oneCell">
    <xdr:from>
      <xdr:col>2</xdr:col>
      <xdr:colOff>3314700</xdr:colOff>
      <xdr:row>36</xdr:row>
      <xdr:rowOff>466725</xdr:rowOff>
    </xdr:from>
    <xdr:to>
      <xdr:col>2</xdr:col>
      <xdr:colOff>3674700</xdr:colOff>
      <xdr:row>36</xdr:row>
      <xdr:rowOff>588900</xdr:rowOff>
    </xdr:to>
    <xdr:pic>
      <xdr:nvPicPr>
        <xdr:cNvPr id="210" name="Image 209"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15078075"/>
          <a:ext cx="360000" cy="122175"/>
        </a:xfrm>
        <a:prstGeom prst="rect">
          <a:avLst/>
        </a:prstGeom>
      </xdr:spPr>
    </xdr:pic>
    <xdr:clientData/>
  </xdr:twoCellAnchor>
  <xdr:twoCellAnchor editAs="oneCell">
    <xdr:from>
      <xdr:col>2</xdr:col>
      <xdr:colOff>3314700</xdr:colOff>
      <xdr:row>37</xdr:row>
      <xdr:rowOff>466725</xdr:rowOff>
    </xdr:from>
    <xdr:to>
      <xdr:col>2</xdr:col>
      <xdr:colOff>3674700</xdr:colOff>
      <xdr:row>37</xdr:row>
      <xdr:rowOff>588900</xdr:rowOff>
    </xdr:to>
    <xdr:pic>
      <xdr:nvPicPr>
        <xdr:cNvPr id="211" name="Image 210"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15706725"/>
          <a:ext cx="360000" cy="122175"/>
        </a:xfrm>
        <a:prstGeom prst="rect">
          <a:avLst/>
        </a:prstGeom>
      </xdr:spPr>
    </xdr:pic>
    <xdr:clientData/>
  </xdr:twoCellAnchor>
  <xdr:twoCellAnchor>
    <xdr:from>
      <xdr:col>2</xdr:col>
      <xdr:colOff>28575</xdr:colOff>
      <xdr:row>39</xdr:row>
      <xdr:rowOff>161925</xdr:rowOff>
    </xdr:from>
    <xdr:to>
      <xdr:col>10</xdr:col>
      <xdr:colOff>1611825</xdr:colOff>
      <xdr:row>43</xdr:row>
      <xdr:rowOff>59400</xdr:rowOff>
    </xdr:to>
    <xdr:grpSp>
      <xdr:nvGrpSpPr>
        <xdr:cNvPr id="7" name="Groupe 6"/>
        <xdr:cNvGrpSpPr/>
      </xdr:nvGrpSpPr>
      <xdr:grpSpPr>
        <a:xfrm>
          <a:off x="142875" y="16221075"/>
          <a:ext cx="12632250" cy="659475"/>
          <a:chOff x="123825" y="16011525"/>
          <a:chExt cx="12632250" cy="659475"/>
        </a:xfrm>
      </xdr:grpSpPr>
      <xdr:grpSp>
        <xdr:nvGrpSpPr>
          <xdr:cNvPr id="6" name="Groupe 5"/>
          <xdr:cNvGrpSpPr/>
        </xdr:nvGrpSpPr>
        <xdr:grpSpPr>
          <a:xfrm>
            <a:off x="203712" y="16011525"/>
            <a:ext cx="3922646" cy="288000"/>
            <a:chOff x="200024" y="15973424"/>
            <a:chExt cx="4248000" cy="288000"/>
          </a:xfrm>
        </xdr:grpSpPr>
        <xdr:sp macro="" textlink="">
          <xdr:nvSpPr>
            <xdr:cNvPr id="13" name="ZoneTexte 12"/>
            <xdr:cNvSpPr txBox="1"/>
          </xdr:nvSpPr>
          <xdr:spPr>
            <a:xfrm>
              <a:off x="200024" y="15973424"/>
              <a:ext cx="424800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transmises par le référent QE / responsable Travaux</a:t>
              </a:r>
              <a:endParaRPr lang="fr-FR" sz="1000">
                <a:latin typeface="+mn-lt"/>
              </a:endParaRPr>
            </a:p>
          </xdr:txBody>
        </xdr:sp>
        <xdr:sp macro="" textlink="">
          <xdr:nvSpPr>
            <xdr:cNvPr id="14" name="Rectangle 13"/>
            <xdr:cNvSpPr/>
          </xdr:nvSpPr>
          <xdr:spPr>
            <a:xfrm>
              <a:off x="200025" y="16021050"/>
              <a:ext cx="540000" cy="180000"/>
            </a:xfrm>
            <a:prstGeom prst="rect">
              <a:avLst/>
            </a:prstGeom>
            <a:solidFill>
              <a:schemeClr val="accent6">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sp macro="" textlink="">
        <xdr:nvSpPr>
          <xdr:cNvPr id="214" name="ZoneTexte 213"/>
          <xdr:cNvSpPr txBox="1"/>
        </xdr:nvSpPr>
        <xdr:spPr>
          <a:xfrm>
            <a:off x="123825" y="16383000"/>
            <a:ext cx="1263225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Ins="0" rtlCol="0" anchor="ctr"/>
          <a:lstStyle/>
          <a:p>
            <a:pPr algn="l"/>
            <a:r>
              <a:rPr lang="fr-FR" sz="1000" b="0" u="none">
                <a:solidFill>
                  <a:srgbClr val="FF0000"/>
                </a:solidFill>
                <a:latin typeface="+mn-lt"/>
              </a:rPr>
              <a:t>   </a:t>
            </a:r>
            <a:r>
              <a:rPr lang="fr-FR" sz="1000" b="1" u="sng">
                <a:solidFill>
                  <a:srgbClr val="FF0000"/>
                </a:solidFill>
                <a:latin typeface="+mn-lt"/>
              </a:rPr>
              <a:t>Note importante </a:t>
            </a:r>
            <a:r>
              <a:rPr lang="fr-FR" sz="1000" b="1" u="none">
                <a:solidFill>
                  <a:srgbClr val="FF0000"/>
                </a:solidFill>
                <a:latin typeface="+mn-lt"/>
              </a:rPr>
              <a:t>: </a:t>
            </a:r>
            <a:r>
              <a:rPr lang="fr-FR" sz="1000">
                <a:solidFill>
                  <a:srgbClr val="FF0000"/>
                </a:solidFill>
                <a:latin typeface="+mn-lt"/>
              </a:rPr>
              <a:t>Ne pas laisser de ligne vide entre chaque opération</a:t>
            </a:r>
          </a:p>
        </xdr:txBody>
      </xdr:sp>
    </xdr:grpSp>
    <xdr:clientData/>
  </xdr:twoCellAnchor>
  <xdr:twoCellAnchor>
    <xdr:from>
      <xdr:col>12</xdr:col>
      <xdr:colOff>133350</xdr:colOff>
      <xdr:row>39</xdr:row>
      <xdr:rowOff>95250</xdr:rowOff>
    </xdr:from>
    <xdr:to>
      <xdr:col>12</xdr:col>
      <xdr:colOff>9272325</xdr:colOff>
      <xdr:row>43</xdr:row>
      <xdr:rowOff>125263</xdr:rowOff>
    </xdr:to>
    <xdr:grpSp>
      <xdr:nvGrpSpPr>
        <xdr:cNvPr id="5" name="Groupe 4"/>
        <xdr:cNvGrpSpPr/>
      </xdr:nvGrpSpPr>
      <xdr:grpSpPr>
        <a:xfrm>
          <a:off x="15725775" y="16154400"/>
          <a:ext cx="9138975" cy="792013"/>
          <a:chOff x="15601950" y="15944850"/>
          <a:chExt cx="9138975" cy="792013"/>
        </a:xfrm>
      </xdr:grpSpPr>
      <xdr:sp macro="" textlink="">
        <xdr:nvSpPr>
          <xdr:cNvPr id="191" name="ZoneTexte 190"/>
          <xdr:cNvSpPr txBox="1"/>
        </xdr:nvSpPr>
        <xdr:spPr>
          <a:xfrm>
            <a:off x="20912153" y="15944863"/>
            <a:ext cx="3240000" cy="784544"/>
          </a:xfrm>
          <a:prstGeom prst="roundRect">
            <a:avLst/>
          </a:prstGeom>
          <a:no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00000"/>
              </a:lnSpc>
            </a:pPr>
            <a:r>
              <a:rPr lang="fr-FR" sz="1000" b="1" i="1" u="sng" strike="noStrike">
                <a:solidFill>
                  <a:srgbClr val="FF0000"/>
                </a:solidFill>
                <a:latin typeface="Calibri"/>
              </a:rPr>
              <a:t>Rappel des objectifs Phase GPA</a:t>
            </a:r>
            <a:r>
              <a:rPr lang="fr-FR" sz="1100" b="1" i="1" u="sng" strike="noStrike">
                <a:solidFill>
                  <a:srgbClr val="FF0000"/>
                </a:solidFill>
                <a:latin typeface="Calibri"/>
              </a:rPr>
              <a:t/>
            </a:r>
            <a:br>
              <a:rPr lang="fr-FR" sz="1100" b="1" i="1" u="sng" strike="noStrike">
                <a:solidFill>
                  <a:srgbClr val="FF0000"/>
                </a:solidFill>
                <a:latin typeface="Calibri"/>
              </a:rPr>
            </a:br>
            <a:r>
              <a:rPr lang="fr-FR" sz="600" b="1" i="1" u="sng" strike="noStrike">
                <a:solidFill>
                  <a:srgbClr val="FF0000"/>
                </a:solidFill>
                <a:latin typeface="Calibri"/>
              </a:rPr>
              <a:t> </a:t>
            </a:r>
            <a:r>
              <a:rPr lang="fr-FR" sz="1100" b="1" i="1" u="sng" strike="noStrike">
                <a:solidFill>
                  <a:srgbClr val="FF0000"/>
                </a:solidFill>
                <a:latin typeface="Calibri"/>
              </a:rPr>
              <a:t/>
            </a:r>
            <a:br>
              <a:rPr lang="fr-FR" sz="1100" b="1" i="1" u="sng" strike="noStrike">
                <a:solidFill>
                  <a:srgbClr val="FF0000"/>
                </a:solidFill>
                <a:latin typeface="Calibri"/>
              </a:rPr>
            </a:br>
            <a:r>
              <a:rPr lang="fr-FR" sz="1000" b="0" i="0" u="none" strike="noStrike">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a:solidFill>
                  <a:srgbClr val="FF0000"/>
                </a:solidFill>
                <a:latin typeface="Calibri"/>
              </a:rPr>
              <a:t>Délai d'intervention</a:t>
            </a:r>
            <a:r>
              <a:rPr lang="fr-FR" sz="1000" b="0" i="0" u="none" strike="noStrike" baseline="0">
                <a:solidFill>
                  <a:srgbClr val="FF0000"/>
                </a:solidFill>
                <a:latin typeface="Calibri"/>
              </a:rPr>
              <a:t> (Réactivité moyenne) &lt; 15 jours</a:t>
            </a:r>
            <a:br>
              <a:rPr lang="fr-FR" sz="1000" b="0" i="0" u="none" strike="noStrike" baseline="0">
                <a:solidFill>
                  <a:srgbClr val="FF0000"/>
                </a:solidFill>
                <a:latin typeface="Calibri"/>
              </a:rPr>
            </a:br>
            <a:r>
              <a:rPr lang="fr-FR" sz="1000" b="0" i="0" u="none" strike="noStrike" baseline="0">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baseline="0">
                <a:solidFill>
                  <a:srgbClr val="FF0000"/>
                </a:solidFill>
                <a:latin typeface="Calibri"/>
              </a:rPr>
              <a:t>Nombre de réclamations GPA &lt; 1 par logement</a:t>
            </a:r>
            <a:endParaRPr lang="fr-FR" sz="1000" b="0" i="0" u="none" strike="noStrike">
              <a:solidFill>
                <a:srgbClr val="FF0000"/>
              </a:solidFill>
              <a:latin typeface="Calibri"/>
            </a:endParaRPr>
          </a:p>
          <a:p>
            <a:pPr algn="ctr">
              <a:lnSpc>
                <a:spcPct val="100000"/>
              </a:lnSpc>
            </a:pPr>
            <a:endParaRPr lang="fr-FR" sz="1100" b="1" i="1" u="sng" strike="noStrike">
              <a:solidFill>
                <a:srgbClr val="FF6600"/>
              </a:solidFill>
              <a:latin typeface="Calibri"/>
            </a:endParaRPr>
          </a:p>
        </xdr:txBody>
      </xdr:sp>
      <xdr:sp macro="" textlink="">
        <xdr:nvSpPr>
          <xdr:cNvPr id="212" name="ZoneTexte 211"/>
          <xdr:cNvSpPr txBox="1"/>
        </xdr:nvSpPr>
        <xdr:spPr>
          <a:xfrm>
            <a:off x="16182975" y="15944863"/>
            <a:ext cx="4140000" cy="79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50000"/>
              </a:lnSpc>
            </a:pPr>
            <a:r>
              <a:rPr lang="fr-FR" sz="1200" b="1" i="0" u="none" strike="noStrike">
                <a:solidFill>
                  <a:srgbClr val="FF0000"/>
                </a:solidFill>
                <a:effectLst/>
                <a:latin typeface="+mn-lt"/>
                <a:ea typeface="+mn-ea"/>
                <a:cs typeface="+mn-cs"/>
              </a:rPr>
              <a:t>HARMONISER ET RENDRE EFFICIENTE LA GESTION DE LA GPA</a:t>
            </a:r>
            <a:br>
              <a:rPr lang="fr-FR" sz="1200" b="1" i="0" u="none" strike="noStrike">
                <a:solidFill>
                  <a:srgbClr val="FF0000"/>
                </a:solidFill>
                <a:effectLst/>
                <a:latin typeface="+mn-lt"/>
                <a:ea typeface="+mn-ea"/>
                <a:cs typeface="+mn-cs"/>
              </a:rPr>
            </a:br>
            <a:r>
              <a:rPr lang="fr-FR" sz="1200" b="1" i="0" u="none" strike="noStrike">
                <a:solidFill>
                  <a:srgbClr val="FF0000"/>
                </a:solidFill>
                <a:effectLst/>
                <a:latin typeface="+mn-lt"/>
                <a:ea typeface="+mn-ea"/>
                <a:cs typeface="+mn-cs"/>
              </a:rPr>
              <a:t>POUR UNE MEILLEURE SATISFACTION DE NOS CLIENTS</a:t>
            </a:r>
            <a:r>
              <a:rPr lang="fr-FR" sz="1200">
                <a:solidFill>
                  <a:srgbClr val="FF0000"/>
                </a:solidFill>
              </a:rPr>
              <a:t> </a:t>
            </a:r>
            <a:endParaRPr lang="fr-FR" sz="1200" b="0" i="0" u="none" strike="noStrike">
              <a:solidFill>
                <a:srgbClr val="FF0000"/>
              </a:solidFill>
              <a:latin typeface="Calibri"/>
            </a:endParaRPr>
          </a:p>
        </xdr:txBody>
      </xdr:sp>
      <xdr:sp macro="" textlink="">
        <xdr:nvSpPr>
          <xdr:cNvPr id="3" name="Rectangle 2"/>
          <xdr:cNvSpPr/>
        </xdr:nvSpPr>
        <xdr:spPr>
          <a:xfrm>
            <a:off x="15601950" y="15944850"/>
            <a:ext cx="576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213" name="Rectangle 212"/>
          <xdr:cNvSpPr/>
        </xdr:nvSpPr>
        <xdr:spPr>
          <a:xfrm>
            <a:off x="20335875" y="15944850"/>
            <a:ext cx="576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215" name="Rectangle 214"/>
          <xdr:cNvSpPr/>
        </xdr:nvSpPr>
        <xdr:spPr>
          <a:xfrm>
            <a:off x="24164925" y="15944850"/>
            <a:ext cx="576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4760</xdr:colOff>
      <xdr:row>1</xdr:row>
      <xdr:rowOff>4763</xdr:rowOff>
    </xdr:from>
    <xdr:to>
      <xdr:col>21</xdr:col>
      <xdr:colOff>53360</xdr:colOff>
      <xdr:row>8</xdr:row>
      <xdr:rowOff>190463</xdr:rowOff>
    </xdr:to>
    <xdr:sp macro="" textlink="">
      <xdr:nvSpPr>
        <xdr:cNvPr id="3" name="ZoneTexte 2"/>
        <xdr:cNvSpPr txBox="1"/>
      </xdr:nvSpPr>
      <xdr:spPr>
        <a:xfrm>
          <a:off x="61910" y="61913"/>
          <a:ext cx="22680000" cy="1519200"/>
        </a:xfrm>
        <a:prstGeom prst="roundRect">
          <a:avLst/>
        </a:prstGeom>
        <a:solidFill>
          <a:schemeClr val="accent6">
            <a:lumMod val="60000"/>
            <a:lumOff val="40000"/>
          </a:schemeClr>
        </a:solidFill>
        <a:ln w="9525" cmpd="sng">
          <a:solidFill>
            <a:schemeClr val="tx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softRound"/>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4400" b="1">
              <a:solidFill>
                <a:schemeClr val="bg1"/>
              </a:solidFill>
            </a:rPr>
            <a:t>POINT BIMESTRIEL PARFAIT ACHEVEMENT</a:t>
          </a:r>
        </a:p>
      </xdr:txBody>
    </xdr:sp>
    <xdr:clientData/>
  </xdr:twoCellAnchor>
  <xdr:twoCellAnchor>
    <xdr:from>
      <xdr:col>1</xdr:col>
      <xdr:colOff>4762</xdr:colOff>
      <xdr:row>19</xdr:row>
      <xdr:rowOff>4762</xdr:rowOff>
    </xdr:from>
    <xdr:to>
      <xdr:col>21</xdr:col>
      <xdr:colOff>56062</xdr:colOff>
      <xdr:row>22</xdr:row>
      <xdr:rowOff>189262</xdr:rowOff>
    </xdr:to>
    <xdr:sp macro="" textlink="">
      <xdr:nvSpPr>
        <xdr:cNvPr id="6" name="ZoneTexte 5"/>
        <xdr:cNvSpPr txBox="1"/>
      </xdr:nvSpPr>
      <xdr:spPr>
        <a:xfrm>
          <a:off x="61912" y="3490912"/>
          <a:ext cx="22111200" cy="756000"/>
        </a:xfrm>
        <a:prstGeom prst="roundRect">
          <a:avLst/>
        </a:prstGeom>
        <a:solidFill>
          <a:schemeClr val="accent2">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baseline="0">
              <a:solidFill>
                <a:schemeClr val="tx1"/>
              </a:solidFill>
            </a:rPr>
            <a:t>P</a:t>
          </a:r>
          <a:r>
            <a:rPr lang="fr-FR" sz="1400" b="1">
              <a:solidFill>
                <a:schemeClr val="tx1"/>
              </a:solidFill>
            </a:rPr>
            <a:t>hase GPA → De la réception à la passation administrative (R + 13 mois)</a:t>
          </a:r>
        </a:p>
      </xdr:txBody>
    </xdr:sp>
    <xdr:clientData/>
  </xdr:twoCellAnchor>
  <xdr:twoCellAnchor>
    <xdr:from>
      <xdr:col>1</xdr:col>
      <xdr:colOff>4767</xdr:colOff>
      <xdr:row>11</xdr:row>
      <xdr:rowOff>4763</xdr:rowOff>
    </xdr:from>
    <xdr:to>
      <xdr:col>21</xdr:col>
      <xdr:colOff>55674</xdr:colOff>
      <xdr:row>16</xdr:row>
      <xdr:rowOff>189863</xdr:rowOff>
    </xdr:to>
    <xdr:grpSp>
      <xdr:nvGrpSpPr>
        <xdr:cNvPr id="2" name="Groupe 1"/>
        <xdr:cNvGrpSpPr/>
      </xdr:nvGrpSpPr>
      <xdr:grpSpPr>
        <a:xfrm>
          <a:off x="61917" y="1966913"/>
          <a:ext cx="22682307" cy="1137600"/>
          <a:chOff x="61917" y="1966913"/>
          <a:chExt cx="23510981" cy="1137600"/>
        </a:xfrm>
      </xdr:grpSpPr>
      <xdr:sp macro="" textlink="'Feuille Saisie'!E2">
        <xdr:nvSpPr>
          <xdr:cNvPr id="32" name="ZoneTexte 31">
            <a:extLst>
              <a:ext uri="{FF2B5EF4-FFF2-40B4-BE49-F238E27FC236}">
                <a16:creationId xmlns:a16="http://schemas.microsoft.com/office/drawing/2014/main" xmlns="" id="{336C5E17-EF01-43B4-BA2F-2629C9DA112E}"/>
              </a:ext>
            </a:extLst>
          </xdr:cNvPr>
          <xdr:cNvSpPr txBox="1"/>
        </xdr:nvSpPr>
        <xdr:spPr>
          <a:xfrm>
            <a:off x="61917"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78B3FDD3-A508-404A-BE79-B55CD8F614FE}" type="TxLink">
              <a:rPr lang="en-US" sz="1400" b="1" i="0" u="none" strike="noStrike">
                <a:solidFill>
                  <a:srgbClr val="000000"/>
                </a:solidFill>
                <a:latin typeface="Calibri"/>
                <a:cs typeface="Calibri"/>
              </a:rPr>
              <a:pPr>
                <a:lnSpc>
                  <a:spcPts val="3400"/>
                </a:lnSpc>
              </a:pPr>
              <a:t>Agence : EVREUX
Date : 27/02/2019</a:t>
            </a:fld>
            <a:endParaRPr lang="fr-FR" sz="1400" b="1"/>
          </a:p>
        </xdr:txBody>
      </xdr:sp>
      <xdr:sp macro="" textlink="'Feuille Saisie'!E4">
        <xdr:nvSpPr>
          <xdr:cNvPr id="30" name="ZoneTexte 29">
            <a:extLst>
              <a:ext uri="{FF2B5EF4-FFF2-40B4-BE49-F238E27FC236}">
                <a16:creationId xmlns:a16="http://schemas.microsoft.com/office/drawing/2014/main" xmlns="" id="{336C5E17-EF01-43B4-BA2F-2629C9DA112E}"/>
              </a:ext>
            </a:extLst>
          </xdr:cNvPr>
          <xdr:cNvSpPr txBox="1"/>
        </xdr:nvSpPr>
        <xdr:spPr>
          <a:xfrm>
            <a:off x="11872898"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1EE38D43-F033-4B6A-9636-E592408209D7}" type="TxLink">
              <a:rPr lang="en-US" sz="1400" b="1" i="0" u="none" strike="noStrike">
                <a:solidFill>
                  <a:srgbClr val="000000"/>
                </a:solidFill>
                <a:latin typeface="Calibri"/>
                <a:cs typeface="Calibri"/>
              </a:rPr>
              <a:pPr>
                <a:lnSpc>
                  <a:spcPts val="3400"/>
                </a:lnSpc>
              </a:pPr>
              <a:t>Présents : XXXX
Destinataires : XXXX</a:t>
            </a:fld>
            <a:endParaRPr lang="fr-FR" sz="1400" b="1"/>
          </a:p>
        </xdr:txBody>
      </xdr:sp>
    </xdr:grpSp>
    <xdr:clientData/>
  </xdr:twoCellAnchor>
  <xdr:twoCellAnchor editAs="oneCell">
    <xdr:from>
      <xdr:col>2</xdr:col>
      <xdr:colOff>3424237</xdr:colOff>
      <xdr:row>28</xdr:row>
      <xdr:rowOff>52386</xdr:rowOff>
    </xdr:from>
    <xdr:to>
      <xdr:col>2</xdr:col>
      <xdr:colOff>3676237</xdr:colOff>
      <xdr:row>28</xdr:row>
      <xdr:rowOff>304386</xdr:rowOff>
    </xdr:to>
    <xdr:sp macro="" textlink="$Y29">
      <xdr:nvSpPr>
        <xdr:cNvPr id="104" name="ZoneTexte 103"/>
        <xdr:cNvSpPr txBox="1">
          <a:spLocks/>
        </xdr:cNvSpPr>
      </xdr:nvSpPr>
      <xdr:spPr>
        <a:xfrm>
          <a:off x="3538537" y="5253036"/>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95182104-9E02-4B4E-9790-4466FC5E22A6}" type="TxLink">
            <a:rPr lang="en-US" sz="1600" b="0" i="0" u="none" strike="noStrike">
              <a:solidFill>
                <a:srgbClr val="FF0000"/>
              </a:solidFill>
              <a:latin typeface="Wingdings" panose="05000000000000000000" pitchFamily="2" charset="2"/>
              <a:cs typeface="Calibri"/>
            </a:rPr>
            <a:pPr algn="ctr">
              <a:lnSpc>
                <a:spcPts val="3400"/>
              </a:lnSpc>
            </a:pPr>
            <a:t> </a:t>
          </a:fld>
          <a:endParaRPr lang="fr-FR" sz="1600" b="0" i="0" u="none" strike="noStrike">
            <a:solidFill>
              <a:srgbClr val="FF0000"/>
            </a:solidFill>
            <a:latin typeface="Wingdings" panose="05000000000000000000" pitchFamily="2" charset="2"/>
          </a:endParaRPr>
        </a:p>
      </xdr:txBody>
    </xdr:sp>
    <xdr:clientData/>
  </xdr:twoCellAnchor>
  <xdr:oneCellAnchor>
    <xdr:from>
      <xdr:col>2</xdr:col>
      <xdr:colOff>3424237</xdr:colOff>
      <xdr:row>29</xdr:row>
      <xdr:rowOff>52386</xdr:rowOff>
    </xdr:from>
    <xdr:ext cx="252000" cy="252000"/>
    <xdr:sp macro="" textlink="$Y30">
      <xdr:nvSpPr>
        <xdr:cNvPr id="105" name="ZoneTexte 104"/>
        <xdr:cNvSpPr txBox="1">
          <a:spLocks/>
        </xdr:cNvSpPr>
      </xdr:nvSpPr>
      <xdr:spPr>
        <a:xfrm>
          <a:off x="3538537" y="5881686"/>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5FD56C23-A37D-4570-AC49-84CB1FECED77}" type="TxLink">
            <a:rPr lang="en-US" sz="1600" b="0" i="0" u="none" strike="noStrike">
              <a:solidFill>
                <a:srgbClr val="FF0000"/>
              </a:solidFill>
              <a:latin typeface="Wingdings" panose="05000000000000000000" pitchFamily="2" charset="2"/>
              <a:cs typeface="Calibri"/>
            </a:rPr>
            <a:pPr algn="ctr">
              <a:lnSpc>
                <a:spcPts val="3400"/>
              </a:lnSpc>
            </a:pPr>
            <a:t> </a:t>
          </a:fld>
          <a:endParaRPr lang="fr-FR" sz="1600" b="0" i="0" u="none" strike="noStrike">
            <a:solidFill>
              <a:srgbClr val="FF0000"/>
            </a:solidFill>
            <a:latin typeface="Wingdings" panose="05000000000000000000" pitchFamily="2" charset="2"/>
          </a:endParaRPr>
        </a:p>
      </xdr:txBody>
    </xdr:sp>
    <xdr:clientData/>
  </xdr:oneCellAnchor>
  <xdr:oneCellAnchor>
    <xdr:from>
      <xdr:col>2</xdr:col>
      <xdr:colOff>3424237</xdr:colOff>
      <xdr:row>30</xdr:row>
      <xdr:rowOff>52386</xdr:rowOff>
    </xdr:from>
    <xdr:ext cx="252000" cy="252000"/>
    <xdr:sp macro="" textlink="$Y31">
      <xdr:nvSpPr>
        <xdr:cNvPr id="106" name="ZoneTexte 105"/>
        <xdr:cNvSpPr txBox="1">
          <a:spLocks/>
        </xdr:cNvSpPr>
      </xdr:nvSpPr>
      <xdr:spPr>
        <a:xfrm>
          <a:off x="3538537" y="6510336"/>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34FF9A91-534B-4392-8005-386AE90317DA}" type="TxLink">
            <a:rPr lang="en-US" sz="1600" b="0" i="0" u="none" strike="noStrike">
              <a:solidFill>
                <a:srgbClr val="FF0000"/>
              </a:solidFill>
              <a:latin typeface="Wingdings" panose="05000000000000000000" pitchFamily="2" charset="2"/>
              <a:cs typeface="Calibri"/>
            </a:rPr>
            <a:pPr algn="ctr">
              <a:lnSpc>
                <a:spcPts val="3400"/>
              </a:lnSpc>
            </a:pPr>
            <a:t> </a:t>
          </a:fld>
          <a:endParaRPr lang="fr-FR" sz="1600" b="0" i="0" u="none" strike="noStrike">
            <a:solidFill>
              <a:srgbClr val="FF0000"/>
            </a:solidFill>
            <a:latin typeface="Wingdings" panose="05000000000000000000" pitchFamily="2" charset="2"/>
          </a:endParaRPr>
        </a:p>
      </xdr:txBody>
    </xdr:sp>
    <xdr:clientData/>
  </xdr:oneCellAnchor>
  <xdr:oneCellAnchor>
    <xdr:from>
      <xdr:col>2</xdr:col>
      <xdr:colOff>3424237</xdr:colOff>
      <xdr:row>31</xdr:row>
      <xdr:rowOff>52386</xdr:rowOff>
    </xdr:from>
    <xdr:ext cx="252000" cy="252000"/>
    <xdr:sp macro="" textlink="$Y32">
      <xdr:nvSpPr>
        <xdr:cNvPr id="107" name="ZoneTexte 106"/>
        <xdr:cNvSpPr txBox="1">
          <a:spLocks/>
        </xdr:cNvSpPr>
      </xdr:nvSpPr>
      <xdr:spPr>
        <a:xfrm>
          <a:off x="3538537" y="7138986"/>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6ED4A809-2644-48D1-90FA-1E18158865E3}" type="TxLink">
            <a:rPr lang="en-US" sz="1600" b="0" i="0" u="none" strike="noStrike">
              <a:solidFill>
                <a:srgbClr val="FF0000"/>
              </a:solidFill>
              <a:latin typeface="Wingdings" panose="05000000000000000000" pitchFamily="2" charset="2"/>
              <a:cs typeface="Calibri"/>
            </a:rPr>
            <a:pPr algn="ctr">
              <a:lnSpc>
                <a:spcPts val="3400"/>
              </a:lnSpc>
            </a:pPr>
            <a:t> </a:t>
          </a:fld>
          <a:endParaRPr lang="fr-FR" sz="1600" b="0" i="0" u="none" strike="noStrike">
            <a:solidFill>
              <a:srgbClr val="FF0000"/>
            </a:solidFill>
            <a:latin typeface="Wingdings" panose="05000000000000000000" pitchFamily="2" charset="2"/>
          </a:endParaRPr>
        </a:p>
      </xdr:txBody>
    </xdr:sp>
    <xdr:clientData/>
  </xdr:oneCellAnchor>
  <xdr:oneCellAnchor>
    <xdr:from>
      <xdr:col>2</xdr:col>
      <xdr:colOff>3424237</xdr:colOff>
      <xdr:row>32</xdr:row>
      <xdr:rowOff>52386</xdr:rowOff>
    </xdr:from>
    <xdr:ext cx="252000" cy="252000"/>
    <xdr:sp macro="" textlink="$Y33">
      <xdr:nvSpPr>
        <xdr:cNvPr id="108" name="ZoneTexte 107"/>
        <xdr:cNvSpPr txBox="1">
          <a:spLocks/>
        </xdr:cNvSpPr>
      </xdr:nvSpPr>
      <xdr:spPr>
        <a:xfrm>
          <a:off x="3538537" y="7767636"/>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4B3F5FDE-113D-42E2-9E9E-81DE2BB68542}" type="TxLink">
            <a:rPr lang="en-US" sz="1600" b="0" i="0" u="none" strike="noStrike">
              <a:solidFill>
                <a:srgbClr val="FF0000"/>
              </a:solidFill>
              <a:latin typeface="Wingdings" panose="05000000000000000000" pitchFamily="2" charset="2"/>
              <a:cs typeface="Calibri"/>
            </a:rPr>
            <a:pPr algn="ctr">
              <a:lnSpc>
                <a:spcPts val="3400"/>
              </a:lnSpc>
            </a:pPr>
            <a:t> </a:t>
          </a:fld>
          <a:endParaRPr lang="fr-FR" sz="1600" b="0" i="0" u="none" strike="noStrike">
            <a:solidFill>
              <a:srgbClr val="FF0000"/>
            </a:solidFill>
            <a:latin typeface="Wingdings" panose="05000000000000000000" pitchFamily="2" charset="2"/>
          </a:endParaRPr>
        </a:p>
      </xdr:txBody>
    </xdr:sp>
    <xdr:clientData/>
  </xdr:oneCellAnchor>
  <xdr:oneCellAnchor>
    <xdr:from>
      <xdr:col>2</xdr:col>
      <xdr:colOff>3424237</xdr:colOff>
      <xdr:row>33</xdr:row>
      <xdr:rowOff>52386</xdr:rowOff>
    </xdr:from>
    <xdr:ext cx="252000" cy="252000"/>
    <xdr:sp macro="" textlink="$Y34">
      <xdr:nvSpPr>
        <xdr:cNvPr id="109" name="ZoneTexte 108"/>
        <xdr:cNvSpPr txBox="1">
          <a:spLocks/>
        </xdr:cNvSpPr>
      </xdr:nvSpPr>
      <xdr:spPr>
        <a:xfrm>
          <a:off x="3538537" y="8396286"/>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0119F012-2106-44DC-A5E6-C6BB43FDCED8}" type="TxLink">
            <a:rPr lang="en-US" sz="1600" b="0" i="0" u="none" strike="noStrike">
              <a:solidFill>
                <a:srgbClr val="FF0000"/>
              </a:solidFill>
              <a:latin typeface="Wingdings" panose="05000000000000000000" pitchFamily="2" charset="2"/>
              <a:cs typeface="Calibri"/>
            </a:rPr>
            <a:pPr algn="ctr">
              <a:lnSpc>
                <a:spcPts val="3400"/>
              </a:lnSpc>
            </a:pPr>
            <a:t> </a:t>
          </a:fld>
          <a:endParaRPr lang="fr-FR" sz="1600" b="0" i="0" u="none" strike="noStrike">
            <a:solidFill>
              <a:srgbClr val="FF0000"/>
            </a:solidFill>
            <a:latin typeface="Wingdings" panose="05000000000000000000" pitchFamily="2" charset="2"/>
          </a:endParaRPr>
        </a:p>
      </xdr:txBody>
    </xdr:sp>
    <xdr:clientData/>
  </xdr:oneCellAnchor>
  <xdr:oneCellAnchor>
    <xdr:from>
      <xdr:col>2</xdr:col>
      <xdr:colOff>3424237</xdr:colOff>
      <xdr:row>34</xdr:row>
      <xdr:rowOff>52386</xdr:rowOff>
    </xdr:from>
    <xdr:ext cx="252000" cy="252000"/>
    <xdr:sp macro="" textlink="$Y35">
      <xdr:nvSpPr>
        <xdr:cNvPr id="110" name="ZoneTexte 109"/>
        <xdr:cNvSpPr txBox="1">
          <a:spLocks/>
        </xdr:cNvSpPr>
      </xdr:nvSpPr>
      <xdr:spPr>
        <a:xfrm>
          <a:off x="3538537" y="9024936"/>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8E75B45D-23CD-4FDA-AEC0-3400E1969209}" type="TxLink">
            <a:rPr lang="en-US" sz="1600" b="0" i="0" u="none" strike="noStrike">
              <a:solidFill>
                <a:srgbClr val="FF0000"/>
              </a:solidFill>
              <a:latin typeface="Wingdings" panose="05000000000000000000" pitchFamily="2" charset="2"/>
              <a:cs typeface="Calibri"/>
            </a:rPr>
            <a:pPr algn="ctr">
              <a:lnSpc>
                <a:spcPts val="3400"/>
              </a:lnSpc>
            </a:pPr>
            <a:t> </a:t>
          </a:fld>
          <a:endParaRPr lang="fr-FR" sz="1600" b="0" i="0" u="none" strike="noStrike">
            <a:solidFill>
              <a:srgbClr val="FF0000"/>
            </a:solidFill>
            <a:latin typeface="Wingdings" panose="05000000000000000000" pitchFamily="2" charset="2"/>
          </a:endParaRPr>
        </a:p>
      </xdr:txBody>
    </xdr:sp>
    <xdr:clientData/>
  </xdr:oneCellAnchor>
  <xdr:oneCellAnchor>
    <xdr:from>
      <xdr:col>2</xdr:col>
      <xdr:colOff>3424237</xdr:colOff>
      <xdr:row>35</xdr:row>
      <xdr:rowOff>52386</xdr:rowOff>
    </xdr:from>
    <xdr:ext cx="252000" cy="252000"/>
    <xdr:sp macro="" textlink="$Y36">
      <xdr:nvSpPr>
        <xdr:cNvPr id="111" name="ZoneTexte 110"/>
        <xdr:cNvSpPr txBox="1">
          <a:spLocks/>
        </xdr:cNvSpPr>
      </xdr:nvSpPr>
      <xdr:spPr>
        <a:xfrm>
          <a:off x="3538537" y="9653586"/>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EB62BDCD-4EB6-41AA-BA09-BC2152A58578}" type="TxLink">
            <a:rPr lang="en-US" sz="1600" b="0" i="0" u="none" strike="noStrike">
              <a:solidFill>
                <a:srgbClr val="FF0000"/>
              </a:solidFill>
              <a:latin typeface="Wingdings" panose="05000000000000000000" pitchFamily="2" charset="2"/>
              <a:cs typeface="Calibri"/>
            </a:rPr>
            <a:pPr algn="ctr">
              <a:lnSpc>
                <a:spcPts val="3400"/>
              </a:lnSpc>
            </a:pPr>
            <a:t> </a:t>
          </a:fld>
          <a:endParaRPr lang="fr-FR" sz="1600" b="0" i="0" u="none" strike="noStrike">
            <a:solidFill>
              <a:srgbClr val="FF0000"/>
            </a:solidFill>
            <a:latin typeface="Wingdings" panose="05000000000000000000" pitchFamily="2" charset="2"/>
          </a:endParaRPr>
        </a:p>
      </xdr:txBody>
    </xdr:sp>
    <xdr:clientData/>
  </xdr:oneCellAnchor>
  <xdr:oneCellAnchor>
    <xdr:from>
      <xdr:col>2</xdr:col>
      <xdr:colOff>3424237</xdr:colOff>
      <xdr:row>36</xdr:row>
      <xdr:rowOff>52386</xdr:rowOff>
    </xdr:from>
    <xdr:ext cx="252000" cy="252000"/>
    <xdr:sp macro="" textlink="$Y37">
      <xdr:nvSpPr>
        <xdr:cNvPr id="112" name="ZoneTexte 111"/>
        <xdr:cNvSpPr txBox="1">
          <a:spLocks/>
        </xdr:cNvSpPr>
      </xdr:nvSpPr>
      <xdr:spPr>
        <a:xfrm>
          <a:off x="3538537" y="10282236"/>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B825CCDD-78E4-477E-9CD1-A2711A15DC90}" type="TxLink">
            <a:rPr lang="en-US" sz="1600" b="0" i="0" u="none" strike="noStrike">
              <a:solidFill>
                <a:srgbClr val="FF0000"/>
              </a:solidFill>
              <a:latin typeface="Wingdings" panose="05000000000000000000" pitchFamily="2" charset="2"/>
              <a:cs typeface="Calibri"/>
            </a:rPr>
            <a:pPr algn="ctr">
              <a:lnSpc>
                <a:spcPts val="3400"/>
              </a:lnSpc>
            </a:pPr>
            <a:t> </a:t>
          </a:fld>
          <a:endParaRPr lang="fr-FR" sz="1600" b="0" i="0" u="none" strike="noStrike">
            <a:solidFill>
              <a:srgbClr val="FF0000"/>
            </a:solidFill>
            <a:latin typeface="Wingdings" panose="05000000000000000000" pitchFamily="2" charset="2"/>
          </a:endParaRPr>
        </a:p>
      </xdr:txBody>
    </xdr:sp>
    <xdr:clientData/>
  </xdr:oneCellAnchor>
  <xdr:oneCellAnchor>
    <xdr:from>
      <xdr:col>2</xdr:col>
      <xdr:colOff>3424237</xdr:colOff>
      <xdr:row>37</xdr:row>
      <xdr:rowOff>52386</xdr:rowOff>
    </xdr:from>
    <xdr:ext cx="252000" cy="252000"/>
    <xdr:sp macro="" textlink="$Y38">
      <xdr:nvSpPr>
        <xdr:cNvPr id="113" name="ZoneTexte 112"/>
        <xdr:cNvSpPr txBox="1">
          <a:spLocks/>
        </xdr:cNvSpPr>
      </xdr:nvSpPr>
      <xdr:spPr>
        <a:xfrm>
          <a:off x="3538537" y="10910886"/>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93802FF4-F3ED-4EE3-AD75-87A7A1256D94}" type="TxLink">
            <a:rPr lang="en-US" sz="1600" b="0" i="0" u="none" strike="noStrike">
              <a:solidFill>
                <a:srgbClr val="FF0000"/>
              </a:solidFill>
              <a:latin typeface="Wingdings" panose="05000000000000000000" pitchFamily="2" charset="2"/>
              <a:cs typeface="Calibri"/>
            </a:rPr>
            <a:pPr algn="ctr">
              <a:lnSpc>
                <a:spcPts val="3400"/>
              </a:lnSpc>
            </a:pPr>
            <a:t> </a:t>
          </a:fld>
          <a:endParaRPr lang="fr-FR" sz="1600" b="0" i="0" u="none" strike="noStrike">
            <a:solidFill>
              <a:srgbClr val="FF0000"/>
            </a:solidFill>
            <a:latin typeface="Wingdings" panose="05000000000000000000" pitchFamily="2" charset="2"/>
          </a:endParaRPr>
        </a:p>
      </xdr:txBody>
    </xdr:sp>
    <xdr:clientData/>
  </xdr:oneCellAnchor>
  <xdr:oneCellAnchor>
    <xdr:from>
      <xdr:col>2</xdr:col>
      <xdr:colOff>3424237</xdr:colOff>
      <xdr:row>38</xdr:row>
      <xdr:rowOff>52386</xdr:rowOff>
    </xdr:from>
    <xdr:ext cx="252000" cy="252000"/>
    <xdr:sp macro="" textlink="$Y39">
      <xdr:nvSpPr>
        <xdr:cNvPr id="114" name="ZoneTexte 113"/>
        <xdr:cNvSpPr txBox="1">
          <a:spLocks/>
        </xdr:cNvSpPr>
      </xdr:nvSpPr>
      <xdr:spPr>
        <a:xfrm>
          <a:off x="3538537" y="11539536"/>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D753E057-C7C6-46BD-884D-B5F035FA6BF7}" type="TxLink">
            <a:rPr lang="en-US" sz="1600" b="0" i="0" u="none" strike="noStrike">
              <a:solidFill>
                <a:srgbClr val="FF0000"/>
              </a:solidFill>
              <a:latin typeface="Wingdings" panose="05000000000000000000" pitchFamily="2" charset="2"/>
              <a:cs typeface="Calibri"/>
            </a:rPr>
            <a:pPr algn="ctr">
              <a:lnSpc>
                <a:spcPts val="3400"/>
              </a:lnSpc>
            </a:pPr>
            <a:t> </a:t>
          </a:fld>
          <a:endParaRPr lang="fr-FR" sz="1600" b="0" i="0" u="none" strike="noStrike">
            <a:solidFill>
              <a:srgbClr val="FF0000"/>
            </a:solidFill>
            <a:latin typeface="Wingdings" panose="05000000000000000000" pitchFamily="2" charset="2"/>
          </a:endParaRPr>
        </a:p>
      </xdr:txBody>
    </xdr:sp>
    <xdr:clientData/>
  </xdr:oneCellAnchor>
  <xdr:oneCellAnchor>
    <xdr:from>
      <xdr:col>2</xdr:col>
      <xdr:colOff>3424237</xdr:colOff>
      <xdr:row>39</xdr:row>
      <xdr:rowOff>52386</xdr:rowOff>
    </xdr:from>
    <xdr:ext cx="252000" cy="252000"/>
    <xdr:sp macro="" textlink="$Y40">
      <xdr:nvSpPr>
        <xdr:cNvPr id="115" name="ZoneTexte 114"/>
        <xdr:cNvSpPr txBox="1">
          <a:spLocks/>
        </xdr:cNvSpPr>
      </xdr:nvSpPr>
      <xdr:spPr>
        <a:xfrm>
          <a:off x="3538537" y="12168186"/>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60C25D4F-D7C3-4EFC-B943-6A62DD918857}" type="TxLink">
            <a:rPr lang="en-US" sz="1600" b="0" i="0" u="none" strike="noStrike">
              <a:solidFill>
                <a:srgbClr val="FF0000"/>
              </a:solidFill>
              <a:latin typeface="Wingdings" panose="05000000000000000000" pitchFamily="2" charset="2"/>
              <a:cs typeface="Calibri"/>
            </a:rPr>
            <a:pPr algn="ctr">
              <a:lnSpc>
                <a:spcPts val="3400"/>
              </a:lnSpc>
            </a:pPr>
            <a:t> </a:t>
          </a:fld>
          <a:endParaRPr lang="fr-FR" sz="1600" b="0" i="0" u="none" strike="noStrike">
            <a:solidFill>
              <a:srgbClr val="FF0000"/>
            </a:solidFill>
            <a:latin typeface="Wingdings" panose="05000000000000000000" pitchFamily="2" charset="2"/>
          </a:endParaRPr>
        </a:p>
      </xdr:txBody>
    </xdr:sp>
    <xdr:clientData/>
  </xdr:oneCellAnchor>
  <xdr:oneCellAnchor>
    <xdr:from>
      <xdr:col>2</xdr:col>
      <xdr:colOff>3424237</xdr:colOff>
      <xdr:row>40</xdr:row>
      <xdr:rowOff>52386</xdr:rowOff>
    </xdr:from>
    <xdr:ext cx="252000" cy="252000"/>
    <xdr:sp macro="" textlink="$Y41">
      <xdr:nvSpPr>
        <xdr:cNvPr id="116" name="ZoneTexte 115"/>
        <xdr:cNvSpPr txBox="1">
          <a:spLocks/>
        </xdr:cNvSpPr>
      </xdr:nvSpPr>
      <xdr:spPr>
        <a:xfrm>
          <a:off x="3538537" y="12796836"/>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D38DF5AC-0481-4F53-9CBE-674F64007B1F}" type="TxLink">
            <a:rPr lang="en-US" sz="1600" b="0" i="0" u="none" strike="noStrike">
              <a:solidFill>
                <a:srgbClr val="FF0000"/>
              </a:solidFill>
              <a:latin typeface="Wingdings" panose="05000000000000000000" pitchFamily="2" charset="2"/>
              <a:cs typeface="Calibri"/>
            </a:rPr>
            <a:pPr algn="ctr">
              <a:lnSpc>
                <a:spcPts val="3400"/>
              </a:lnSpc>
            </a:pPr>
            <a:t> </a:t>
          </a:fld>
          <a:endParaRPr lang="fr-FR" sz="1600" b="0" i="0" u="none" strike="noStrike">
            <a:solidFill>
              <a:srgbClr val="FF0000"/>
            </a:solidFill>
            <a:latin typeface="Wingdings" panose="05000000000000000000" pitchFamily="2" charset="2"/>
          </a:endParaRPr>
        </a:p>
      </xdr:txBody>
    </xdr:sp>
    <xdr:clientData/>
  </xdr:oneCellAnchor>
  <xdr:oneCellAnchor>
    <xdr:from>
      <xdr:col>2</xdr:col>
      <xdr:colOff>3424237</xdr:colOff>
      <xdr:row>41</xdr:row>
      <xdr:rowOff>52386</xdr:rowOff>
    </xdr:from>
    <xdr:ext cx="252000" cy="252000"/>
    <xdr:sp macro="" textlink="$Y42">
      <xdr:nvSpPr>
        <xdr:cNvPr id="117" name="ZoneTexte 116"/>
        <xdr:cNvSpPr txBox="1">
          <a:spLocks/>
        </xdr:cNvSpPr>
      </xdr:nvSpPr>
      <xdr:spPr>
        <a:xfrm>
          <a:off x="3538537" y="13425486"/>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D48F3077-87E0-4D01-89B4-5ED6D872D7E2}" type="TxLink">
            <a:rPr lang="en-US" sz="1600" b="0" i="0" u="none" strike="noStrike">
              <a:solidFill>
                <a:srgbClr val="FF0000"/>
              </a:solidFill>
              <a:latin typeface="Wingdings" panose="05000000000000000000" pitchFamily="2" charset="2"/>
              <a:cs typeface="Calibri"/>
            </a:rPr>
            <a:pPr algn="ctr">
              <a:lnSpc>
                <a:spcPts val="3400"/>
              </a:lnSpc>
            </a:pPr>
            <a:t> </a:t>
          </a:fld>
          <a:endParaRPr lang="fr-FR" sz="1600" b="0" i="0" u="none" strike="noStrike">
            <a:solidFill>
              <a:srgbClr val="FF0000"/>
            </a:solidFill>
            <a:latin typeface="Wingdings" panose="05000000000000000000" pitchFamily="2" charset="2"/>
          </a:endParaRPr>
        </a:p>
      </xdr:txBody>
    </xdr:sp>
    <xdr:clientData/>
  </xdr:oneCellAnchor>
  <xdr:oneCellAnchor>
    <xdr:from>
      <xdr:col>2</xdr:col>
      <xdr:colOff>3424237</xdr:colOff>
      <xdr:row>42</xdr:row>
      <xdr:rowOff>52386</xdr:rowOff>
    </xdr:from>
    <xdr:ext cx="252000" cy="252000"/>
    <xdr:sp macro="" textlink="$Y43">
      <xdr:nvSpPr>
        <xdr:cNvPr id="118" name="ZoneTexte 117"/>
        <xdr:cNvSpPr txBox="1">
          <a:spLocks/>
        </xdr:cNvSpPr>
      </xdr:nvSpPr>
      <xdr:spPr>
        <a:xfrm>
          <a:off x="3538537" y="14054136"/>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44CC9FC5-9BC4-40CC-866F-B9F1A6CF3188}" type="TxLink">
            <a:rPr lang="en-US" sz="1600" b="0" i="0" u="none" strike="noStrike">
              <a:solidFill>
                <a:srgbClr val="FF0000"/>
              </a:solidFill>
              <a:latin typeface="Wingdings" panose="05000000000000000000" pitchFamily="2" charset="2"/>
              <a:cs typeface="Calibri"/>
            </a:rPr>
            <a:pPr algn="ctr">
              <a:lnSpc>
                <a:spcPts val="3400"/>
              </a:lnSpc>
            </a:pPr>
            <a:t> </a:t>
          </a:fld>
          <a:endParaRPr lang="fr-FR" sz="1600" b="0" i="0" u="none" strike="noStrike">
            <a:solidFill>
              <a:srgbClr val="FF0000"/>
            </a:solidFill>
            <a:latin typeface="Wingdings" panose="05000000000000000000" pitchFamily="2" charset="2"/>
          </a:endParaRPr>
        </a:p>
      </xdr:txBody>
    </xdr:sp>
    <xdr:clientData/>
  </xdr:oneCellAnchor>
  <xdr:oneCellAnchor>
    <xdr:from>
      <xdr:col>2</xdr:col>
      <xdr:colOff>3424237</xdr:colOff>
      <xdr:row>43</xdr:row>
      <xdr:rowOff>52386</xdr:rowOff>
    </xdr:from>
    <xdr:ext cx="252000" cy="252000"/>
    <xdr:sp macro="" textlink="$Y44">
      <xdr:nvSpPr>
        <xdr:cNvPr id="119" name="ZoneTexte 118"/>
        <xdr:cNvSpPr txBox="1">
          <a:spLocks/>
        </xdr:cNvSpPr>
      </xdr:nvSpPr>
      <xdr:spPr>
        <a:xfrm>
          <a:off x="3538537" y="14682786"/>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6F4BD8B7-AADE-4F21-B01D-6530DDB932A3}" type="TxLink">
            <a:rPr lang="en-US" sz="1600" b="0" i="0" u="none" strike="noStrike">
              <a:solidFill>
                <a:srgbClr val="FF0000"/>
              </a:solidFill>
              <a:latin typeface="Wingdings" panose="05000000000000000000" pitchFamily="2" charset="2"/>
              <a:cs typeface="Calibri"/>
            </a:rPr>
            <a:pPr algn="ctr">
              <a:lnSpc>
                <a:spcPts val="3400"/>
              </a:lnSpc>
            </a:pPr>
            <a:t> </a:t>
          </a:fld>
          <a:endParaRPr lang="fr-FR" sz="1600" b="0" i="0" u="none" strike="noStrike">
            <a:solidFill>
              <a:srgbClr val="FF0000"/>
            </a:solidFill>
            <a:latin typeface="Wingdings" panose="05000000000000000000" pitchFamily="2" charset="2"/>
          </a:endParaRPr>
        </a:p>
      </xdr:txBody>
    </xdr:sp>
    <xdr:clientData/>
  </xdr:oneCellAnchor>
  <xdr:twoCellAnchor editAs="oneCell">
    <xdr:from>
      <xdr:col>2</xdr:col>
      <xdr:colOff>3429000</xdr:colOff>
      <xdr:row>28</xdr:row>
      <xdr:rowOff>47625</xdr:rowOff>
    </xdr:from>
    <xdr:to>
      <xdr:col>2</xdr:col>
      <xdr:colOff>3681000</xdr:colOff>
      <xdr:row>28</xdr:row>
      <xdr:rowOff>299625</xdr:rowOff>
    </xdr:to>
    <xdr:sp macro="" textlink="$AA29">
      <xdr:nvSpPr>
        <xdr:cNvPr id="120" name="ZoneTexte 119"/>
        <xdr:cNvSpPr txBox="1">
          <a:spLocks/>
        </xdr:cNvSpPr>
      </xdr:nvSpPr>
      <xdr:spPr>
        <a:xfrm>
          <a:off x="3543300" y="5248275"/>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D2C9F095-CDCC-4D8D-8FB9-3A5F2905285B}" type="TxLink">
            <a:rPr lang="en-US" sz="1600" b="0" i="0" u="none" strike="noStrike">
              <a:solidFill>
                <a:srgbClr val="00B050"/>
              </a:solidFill>
              <a:latin typeface="Wingdings" panose="05000000000000000000" pitchFamily="2" charset="2"/>
              <a:cs typeface="Calibri"/>
            </a:rPr>
            <a:pPr algn="ctr">
              <a:lnSpc>
                <a:spcPts val="3400"/>
              </a:lnSpc>
            </a:pPr>
            <a:t>♺</a:t>
          </a:fld>
          <a:endParaRPr lang="fr-FR" sz="1600" b="0" i="0" u="none" strike="noStrike">
            <a:solidFill>
              <a:srgbClr val="00B050"/>
            </a:solidFill>
            <a:latin typeface="Wingdings" panose="05000000000000000000" pitchFamily="2" charset="2"/>
          </a:endParaRPr>
        </a:p>
      </xdr:txBody>
    </xdr:sp>
    <xdr:clientData/>
  </xdr:twoCellAnchor>
  <xdr:twoCellAnchor editAs="oneCell">
    <xdr:from>
      <xdr:col>2</xdr:col>
      <xdr:colOff>3429000</xdr:colOff>
      <xdr:row>29</xdr:row>
      <xdr:rowOff>47625</xdr:rowOff>
    </xdr:from>
    <xdr:to>
      <xdr:col>2</xdr:col>
      <xdr:colOff>3681000</xdr:colOff>
      <xdr:row>29</xdr:row>
      <xdr:rowOff>299625</xdr:rowOff>
    </xdr:to>
    <xdr:sp macro="" textlink="$AA30">
      <xdr:nvSpPr>
        <xdr:cNvPr id="121" name="ZoneTexte 120"/>
        <xdr:cNvSpPr txBox="1">
          <a:spLocks/>
        </xdr:cNvSpPr>
      </xdr:nvSpPr>
      <xdr:spPr>
        <a:xfrm>
          <a:off x="3543300" y="5876925"/>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6A60F169-2DB9-48C3-8299-D46668D7A01C}" type="TxLink">
            <a:rPr lang="en-US" sz="1600" b="0" i="0" u="none" strike="noStrike">
              <a:solidFill>
                <a:srgbClr val="00B050"/>
              </a:solidFill>
              <a:latin typeface="Wingdings"/>
              <a:cs typeface="Calibri"/>
            </a:rPr>
            <a:pPr algn="ctr">
              <a:lnSpc>
                <a:spcPts val="3400"/>
              </a:lnSpc>
            </a:pPr>
            <a:t>♺</a:t>
          </a:fld>
          <a:endParaRPr lang="fr-FR" sz="1600" b="0" i="0" u="none" strike="noStrike">
            <a:solidFill>
              <a:srgbClr val="00B050"/>
            </a:solidFill>
            <a:latin typeface="Wingdings" panose="05000000000000000000" pitchFamily="2" charset="2"/>
          </a:endParaRPr>
        </a:p>
      </xdr:txBody>
    </xdr:sp>
    <xdr:clientData/>
  </xdr:twoCellAnchor>
  <xdr:twoCellAnchor editAs="oneCell">
    <xdr:from>
      <xdr:col>2</xdr:col>
      <xdr:colOff>3429000</xdr:colOff>
      <xdr:row>30</xdr:row>
      <xdr:rowOff>47625</xdr:rowOff>
    </xdr:from>
    <xdr:to>
      <xdr:col>2</xdr:col>
      <xdr:colOff>3681000</xdr:colOff>
      <xdr:row>30</xdr:row>
      <xdr:rowOff>299625</xdr:rowOff>
    </xdr:to>
    <xdr:sp macro="" textlink="$AA31">
      <xdr:nvSpPr>
        <xdr:cNvPr id="122" name="ZoneTexte 121"/>
        <xdr:cNvSpPr txBox="1">
          <a:spLocks/>
        </xdr:cNvSpPr>
      </xdr:nvSpPr>
      <xdr:spPr>
        <a:xfrm>
          <a:off x="3543300" y="6505575"/>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A6CD99D7-2C7A-4891-8DFC-89E852FF94B7}" type="TxLink">
            <a:rPr lang="en-US" sz="1600" b="0" i="0" u="none" strike="noStrike">
              <a:solidFill>
                <a:srgbClr val="00B050"/>
              </a:solidFill>
              <a:latin typeface="Wingdings"/>
              <a:cs typeface="Calibri"/>
            </a:rPr>
            <a:pPr algn="ctr">
              <a:lnSpc>
                <a:spcPts val="3400"/>
              </a:lnSpc>
            </a:pPr>
            <a:t>♺</a:t>
          </a:fld>
          <a:endParaRPr lang="fr-FR" sz="1600" b="0" i="0" u="none" strike="noStrike">
            <a:solidFill>
              <a:srgbClr val="00B050"/>
            </a:solidFill>
            <a:latin typeface="Wingdings" panose="05000000000000000000" pitchFamily="2" charset="2"/>
          </a:endParaRPr>
        </a:p>
      </xdr:txBody>
    </xdr:sp>
    <xdr:clientData/>
  </xdr:twoCellAnchor>
  <xdr:twoCellAnchor editAs="oneCell">
    <xdr:from>
      <xdr:col>2</xdr:col>
      <xdr:colOff>3429000</xdr:colOff>
      <xdr:row>31</xdr:row>
      <xdr:rowOff>47625</xdr:rowOff>
    </xdr:from>
    <xdr:to>
      <xdr:col>2</xdr:col>
      <xdr:colOff>3681000</xdr:colOff>
      <xdr:row>31</xdr:row>
      <xdr:rowOff>299625</xdr:rowOff>
    </xdr:to>
    <xdr:sp macro="" textlink="$AA32">
      <xdr:nvSpPr>
        <xdr:cNvPr id="123" name="ZoneTexte 122"/>
        <xdr:cNvSpPr txBox="1">
          <a:spLocks/>
        </xdr:cNvSpPr>
      </xdr:nvSpPr>
      <xdr:spPr>
        <a:xfrm>
          <a:off x="3543300" y="7134225"/>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895232CA-EF6D-4564-80C3-B6611A9EC746}" type="TxLink">
            <a:rPr lang="en-US" sz="1600" b="0" i="0" u="none" strike="noStrike">
              <a:solidFill>
                <a:srgbClr val="00B050"/>
              </a:solidFill>
              <a:latin typeface="Wingdings"/>
              <a:cs typeface="Calibri"/>
            </a:rPr>
            <a:pPr algn="ctr">
              <a:lnSpc>
                <a:spcPts val="3400"/>
              </a:lnSpc>
            </a:pPr>
            <a:t> </a:t>
          </a:fld>
          <a:endParaRPr lang="fr-FR" sz="1600" b="0" i="0" u="none" strike="noStrike">
            <a:solidFill>
              <a:srgbClr val="00B050"/>
            </a:solidFill>
            <a:latin typeface="Wingdings" panose="05000000000000000000" pitchFamily="2" charset="2"/>
          </a:endParaRPr>
        </a:p>
      </xdr:txBody>
    </xdr:sp>
    <xdr:clientData/>
  </xdr:twoCellAnchor>
  <xdr:twoCellAnchor editAs="oneCell">
    <xdr:from>
      <xdr:col>2</xdr:col>
      <xdr:colOff>3429000</xdr:colOff>
      <xdr:row>32</xdr:row>
      <xdr:rowOff>47625</xdr:rowOff>
    </xdr:from>
    <xdr:to>
      <xdr:col>2</xdr:col>
      <xdr:colOff>3681000</xdr:colOff>
      <xdr:row>32</xdr:row>
      <xdr:rowOff>299625</xdr:rowOff>
    </xdr:to>
    <xdr:sp macro="" textlink="$AA33">
      <xdr:nvSpPr>
        <xdr:cNvPr id="124" name="ZoneTexte 123"/>
        <xdr:cNvSpPr txBox="1">
          <a:spLocks/>
        </xdr:cNvSpPr>
      </xdr:nvSpPr>
      <xdr:spPr>
        <a:xfrm>
          <a:off x="3543300" y="7762875"/>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9EAD5599-9FFA-4C64-8B3C-3E91BA4C8F83}" type="TxLink">
            <a:rPr lang="en-US" sz="1600" b="0" i="0" u="none" strike="noStrike">
              <a:solidFill>
                <a:srgbClr val="00B050"/>
              </a:solidFill>
              <a:latin typeface="Wingdings"/>
              <a:cs typeface="Calibri"/>
            </a:rPr>
            <a:pPr algn="ctr">
              <a:lnSpc>
                <a:spcPts val="3400"/>
              </a:lnSpc>
            </a:pPr>
            <a:t> </a:t>
          </a:fld>
          <a:endParaRPr lang="fr-FR" sz="1600" b="0" i="0" u="none" strike="noStrike">
            <a:solidFill>
              <a:srgbClr val="00B050"/>
            </a:solidFill>
            <a:latin typeface="Wingdings" panose="05000000000000000000" pitchFamily="2" charset="2"/>
          </a:endParaRPr>
        </a:p>
      </xdr:txBody>
    </xdr:sp>
    <xdr:clientData/>
  </xdr:twoCellAnchor>
  <xdr:twoCellAnchor editAs="oneCell">
    <xdr:from>
      <xdr:col>2</xdr:col>
      <xdr:colOff>3429000</xdr:colOff>
      <xdr:row>33</xdr:row>
      <xdr:rowOff>47625</xdr:rowOff>
    </xdr:from>
    <xdr:to>
      <xdr:col>2</xdr:col>
      <xdr:colOff>3681000</xdr:colOff>
      <xdr:row>33</xdr:row>
      <xdr:rowOff>299625</xdr:rowOff>
    </xdr:to>
    <xdr:sp macro="" textlink="$AA34">
      <xdr:nvSpPr>
        <xdr:cNvPr id="125" name="ZoneTexte 124"/>
        <xdr:cNvSpPr txBox="1">
          <a:spLocks/>
        </xdr:cNvSpPr>
      </xdr:nvSpPr>
      <xdr:spPr>
        <a:xfrm>
          <a:off x="3543300" y="8391525"/>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38C29C67-D8FF-4907-A241-8303B18C6615}" type="TxLink">
            <a:rPr lang="en-US" sz="1600" b="0" i="0" u="none" strike="noStrike">
              <a:solidFill>
                <a:srgbClr val="00B050"/>
              </a:solidFill>
              <a:latin typeface="Wingdings"/>
              <a:cs typeface="Calibri"/>
            </a:rPr>
            <a:pPr algn="ctr">
              <a:lnSpc>
                <a:spcPts val="3400"/>
              </a:lnSpc>
            </a:pPr>
            <a:t> </a:t>
          </a:fld>
          <a:endParaRPr lang="fr-FR" sz="1600" b="0" i="0" u="none" strike="noStrike">
            <a:solidFill>
              <a:srgbClr val="00B050"/>
            </a:solidFill>
            <a:latin typeface="Wingdings" panose="05000000000000000000" pitchFamily="2" charset="2"/>
          </a:endParaRPr>
        </a:p>
      </xdr:txBody>
    </xdr:sp>
    <xdr:clientData/>
  </xdr:twoCellAnchor>
  <xdr:twoCellAnchor editAs="oneCell">
    <xdr:from>
      <xdr:col>2</xdr:col>
      <xdr:colOff>3429000</xdr:colOff>
      <xdr:row>34</xdr:row>
      <xdr:rowOff>47625</xdr:rowOff>
    </xdr:from>
    <xdr:to>
      <xdr:col>2</xdr:col>
      <xdr:colOff>3681000</xdr:colOff>
      <xdr:row>34</xdr:row>
      <xdr:rowOff>299625</xdr:rowOff>
    </xdr:to>
    <xdr:sp macro="" textlink="$AA35">
      <xdr:nvSpPr>
        <xdr:cNvPr id="126" name="ZoneTexte 125"/>
        <xdr:cNvSpPr txBox="1">
          <a:spLocks/>
        </xdr:cNvSpPr>
      </xdr:nvSpPr>
      <xdr:spPr>
        <a:xfrm>
          <a:off x="3543300" y="9020175"/>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138F6867-9BFD-4C69-AE50-ED0AA2D2C440}" type="TxLink">
            <a:rPr lang="en-US" sz="1600" b="0" i="0" u="none" strike="noStrike">
              <a:solidFill>
                <a:srgbClr val="00B050"/>
              </a:solidFill>
              <a:latin typeface="Wingdings"/>
              <a:cs typeface="Calibri"/>
            </a:rPr>
            <a:pPr algn="ctr">
              <a:lnSpc>
                <a:spcPts val="3400"/>
              </a:lnSpc>
            </a:pPr>
            <a:t> </a:t>
          </a:fld>
          <a:endParaRPr lang="fr-FR" sz="1600" b="0" i="0" u="none" strike="noStrike">
            <a:solidFill>
              <a:srgbClr val="00B050"/>
            </a:solidFill>
            <a:latin typeface="Wingdings" panose="05000000000000000000" pitchFamily="2" charset="2"/>
          </a:endParaRPr>
        </a:p>
      </xdr:txBody>
    </xdr:sp>
    <xdr:clientData/>
  </xdr:twoCellAnchor>
  <xdr:twoCellAnchor editAs="oneCell">
    <xdr:from>
      <xdr:col>2</xdr:col>
      <xdr:colOff>3429000</xdr:colOff>
      <xdr:row>35</xdr:row>
      <xdr:rowOff>47625</xdr:rowOff>
    </xdr:from>
    <xdr:to>
      <xdr:col>2</xdr:col>
      <xdr:colOff>3681000</xdr:colOff>
      <xdr:row>35</xdr:row>
      <xdr:rowOff>299625</xdr:rowOff>
    </xdr:to>
    <xdr:sp macro="" textlink="$AA36">
      <xdr:nvSpPr>
        <xdr:cNvPr id="127" name="ZoneTexte 126"/>
        <xdr:cNvSpPr txBox="1">
          <a:spLocks/>
        </xdr:cNvSpPr>
      </xdr:nvSpPr>
      <xdr:spPr>
        <a:xfrm>
          <a:off x="3543300" y="9648825"/>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2FE770E3-3D64-4300-A85E-526154ABE5E2}" type="TxLink">
            <a:rPr lang="en-US" sz="1600" b="0" i="0" u="none" strike="noStrike">
              <a:solidFill>
                <a:srgbClr val="00B050"/>
              </a:solidFill>
              <a:latin typeface="Wingdings"/>
              <a:cs typeface="Calibri"/>
            </a:rPr>
            <a:pPr algn="ctr">
              <a:lnSpc>
                <a:spcPts val="3400"/>
              </a:lnSpc>
            </a:pPr>
            <a:t> </a:t>
          </a:fld>
          <a:endParaRPr lang="fr-FR" sz="1600" b="0" i="0" u="none" strike="noStrike">
            <a:solidFill>
              <a:srgbClr val="00B050"/>
            </a:solidFill>
            <a:latin typeface="Wingdings" panose="05000000000000000000" pitchFamily="2" charset="2"/>
          </a:endParaRPr>
        </a:p>
      </xdr:txBody>
    </xdr:sp>
    <xdr:clientData/>
  </xdr:twoCellAnchor>
  <xdr:twoCellAnchor editAs="oneCell">
    <xdr:from>
      <xdr:col>2</xdr:col>
      <xdr:colOff>3429000</xdr:colOff>
      <xdr:row>36</xdr:row>
      <xdr:rowOff>47625</xdr:rowOff>
    </xdr:from>
    <xdr:to>
      <xdr:col>2</xdr:col>
      <xdr:colOff>3681000</xdr:colOff>
      <xdr:row>36</xdr:row>
      <xdr:rowOff>299625</xdr:rowOff>
    </xdr:to>
    <xdr:sp macro="" textlink="$AA37">
      <xdr:nvSpPr>
        <xdr:cNvPr id="128" name="ZoneTexte 127"/>
        <xdr:cNvSpPr txBox="1">
          <a:spLocks/>
        </xdr:cNvSpPr>
      </xdr:nvSpPr>
      <xdr:spPr>
        <a:xfrm>
          <a:off x="3543300" y="10277475"/>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D3B3BAC1-B53E-4E62-9038-5C9252CDF7CB}" type="TxLink">
            <a:rPr lang="en-US" sz="1600" b="0" i="0" u="none" strike="noStrike">
              <a:solidFill>
                <a:srgbClr val="00B050"/>
              </a:solidFill>
              <a:latin typeface="Wingdings"/>
              <a:cs typeface="Calibri"/>
            </a:rPr>
            <a:pPr algn="ctr">
              <a:lnSpc>
                <a:spcPts val="3400"/>
              </a:lnSpc>
            </a:pPr>
            <a:t> </a:t>
          </a:fld>
          <a:endParaRPr lang="fr-FR" sz="1600" b="0" i="0" u="none" strike="noStrike">
            <a:solidFill>
              <a:srgbClr val="00B050"/>
            </a:solidFill>
            <a:latin typeface="Wingdings" panose="05000000000000000000" pitchFamily="2" charset="2"/>
          </a:endParaRPr>
        </a:p>
      </xdr:txBody>
    </xdr:sp>
    <xdr:clientData/>
  </xdr:twoCellAnchor>
  <xdr:twoCellAnchor editAs="oneCell">
    <xdr:from>
      <xdr:col>2</xdr:col>
      <xdr:colOff>3429000</xdr:colOff>
      <xdr:row>37</xdr:row>
      <xdr:rowOff>47625</xdr:rowOff>
    </xdr:from>
    <xdr:to>
      <xdr:col>2</xdr:col>
      <xdr:colOff>3681000</xdr:colOff>
      <xdr:row>37</xdr:row>
      <xdr:rowOff>299625</xdr:rowOff>
    </xdr:to>
    <xdr:sp macro="" textlink="$AA38">
      <xdr:nvSpPr>
        <xdr:cNvPr id="129" name="ZoneTexte 128"/>
        <xdr:cNvSpPr txBox="1">
          <a:spLocks/>
        </xdr:cNvSpPr>
      </xdr:nvSpPr>
      <xdr:spPr>
        <a:xfrm>
          <a:off x="3543300" y="10906125"/>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142A694E-E3EA-4BA1-B6DB-5EFB8E83E044}" type="TxLink">
            <a:rPr lang="en-US" sz="1600" b="0" i="0" u="none" strike="noStrike">
              <a:solidFill>
                <a:srgbClr val="00B050"/>
              </a:solidFill>
              <a:latin typeface="Wingdings"/>
              <a:cs typeface="Calibri"/>
            </a:rPr>
            <a:pPr algn="ctr">
              <a:lnSpc>
                <a:spcPts val="3400"/>
              </a:lnSpc>
            </a:pPr>
            <a:t> </a:t>
          </a:fld>
          <a:endParaRPr lang="fr-FR" sz="1600" b="0" i="0" u="none" strike="noStrike">
            <a:solidFill>
              <a:srgbClr val="00B050"/>
            </a:solidFill>
            <a:latin typeface="Wingdings" panose="05000000000000000000" pitchFamily="2" charset="2"/>
          </a:endParaRPr>
        </a:p>
      </xdr:txBody>
    </xdr:sp>
    <xdr:clientData/>
  </xdr:twoCellAnchor>
  <xdr:twoCellAnchor editAs="oneCell">
    <xdr:from>
      <xdr:col>2</xdr:col>
      <xdr:colOff>3429000</xdr:colOff>
      <xdr:row>38</xdr:row>
      <xdr:rowOff>47625</xdr:rowOff>
    </xdr:from>
    <xdr:to>
      <xdr:col>2</xdr:col>
      <xdr:colOff>3681000</xdr:colOff>
      <xdr:row>38</xdr:row>
      <xdr:rowOff>299625</xdr:rowOff>
    </xdr:to>
    <xdr:sp macro="" textlink="$AA39">
      <xdr:nvSpPr>
        <xdr:cNvPr id="130" name="ZoneTexte 129"/>
        <xdr:cNvSpPr txBox="1">
          <a:spLocks/>
        </xdr:cNvSpPr>
      </xdr:nvSpPr>
      <xdr:spPr>
        <a:xfrm>
          <a:off x="3543300" y="11534775"/>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9DB49E55-B1B7-47A2-BA0C-523A3C46C72C}" type="TxLink">
            <a:rPr lang="en-US" sz="1600" b="0" i="0" u="none" strike="noStrike">
              <a:solidFill>
                <a:srgbClr val="00B050"/>
              </a:solidFill>
              <a:latin typeface="Wingdings"/>
              <a:cs typeface="Calibri"/>
            </a:rPr>
            <a:pPr algn="ctr">
              <a:lnSpc>
                <a:spcPts val="3400"/>
              </a:lnSpc>
            </a:pPr>
            <a:t> </a:t>
          </a:fld>
          <a:endParaRPr lang="fr-FR" sz="1600" b="0" i="0" u="none" strike="noStrike">
            <a:solidFill>
              <a:srgbClr val="00B050"/>
            </a:solidFill>
            <a:latin typeface="Wingdings" panose="05000000000000000000" pitchFamily="2" charset="2"/>
          </a:endParaRPr>
        </a:p>
      </xdr:txBody>
    </xdr:sp>
    <xdr:clientData/>
  </xdr:twoCellAnchor>
  <xdr:twoCellAnchor editAs="oneCell">
    <xdr:from>
      <xdr:col>2</xdr:col>
      <xdr:colOff>3429000</xdr:colOff>
      <xdr:row>39</xdr:row>
      <xdr:rowOff>47625</xdr:rowOff>
    </xdr:from>
    <xdr:to>
      <xdr:col>2</xdr:col>
      <xdr:colOff>3681000</xdr:colOff>
      <xdr:row>39</xdr:row>
      <xdr:rowOff>299625</xdr:rowOff>
    </xdr:to>
    <xdr:sp macro="" textlink="$AA40">
      <xdr:nvSpPr>
        <xdr:cNvPr id="131" name="ZoneTexte 130"/>
        <xdr:cNvSpPr txBox="1">
          <a:spLocks/>
        </xdr:cNvSpPr>
      </xdr:nvSpPr>
      <xdr:spPr>
        <a:xfrm>
          <a:off x="3543300" y="12163425"/>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8807A8A7-57E1-4DC5-B9BD-92999BE9C4F3}" type="TxLink">
            <a:rPr lang="en-US" sz="1600" b="0" i="0" u="none" strike="noStrike">
              <a:solidFill>
                <a:srgbClr val="00B050"/>
              </a:solidFill>
              <a:latin typeface="Wingdings"/>
              <a:cs typeface="Calibri"/>
            </a:rPr>
            <a:pPr algn="ctr">
              <a:lnSpc>
                <a:spcPts val="3400"/>
              </a:lnSpc>
            </a:pPr>
            <a:t> </a:t>
          </a:fld>
          <a:endParaRPr lang="fr-FR" sz="1600" b="0" i="0" u="none" strike="noStrike">
            <a:solidFill>
              <a:srgbClr val="00B050"/>
            </a:solidFill>
            <a:latin typeface="Wingdings" panose="05000000000000000000" pitchFamily="2" charset="2"/>
          </a:endParaRPr>
        </a:p>
      </xdr:txBody>
    </xdr:sp>
    <xdr:clientData/>
  </xdr:twoCellAnchor>
  <xdr:twoCellAnchor editAs="oneCell">
    <xdr:from>
      <xdr:col>2</xdr:col>
      <xdr:colOff>3429000</xdr:colOff>
      <xdr:row>40</xdr:row>
      <xdr:rowOff>47625</xdr:rowOff>
    </xdr:from>
    <xdr:to>
      <xdr:col>2</xdr:col>
      <xdr:colOff>3681000</xdr:colOff>
      <xdr:row>40</xdr:row>
      <xdr:rowOff>299625</xdr:rowOff>
    </xdr:to>
    <xdr:sp macro="" textlink="$AA41">
      <xdr:nvSpPr>
        <xdr:cNvPr id="132" name="ZoneTexte 131"/>
        <xdr:cNvSpPr txBox="1">
          <a:spLocks/>
        </xdr:cNvSpPr>
      </xdr:nvSpPr>
      <xdr:spPr>
        <a:xfrm>
          <a:off x="3543300" y="12792075"/>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EC759F42-97A3-4F68-8203-E47BB2B6CA76}" type="TxLink">
            <a:rPr lang="en-US" sz="1600" b="0" i="0" u="none" strike="noStrike">
              <a:solidFill>
                <a:srgbClr val="00B050"/>
              </a:solidFill>
              <a:latin typeface="Wingdings"/>
              <a:cs typeface="Calibri"/>
            </a:rPr>
            <a:pPr algn="ctr">
              <a:lnSpc>
                <a:spcPts val="3400"/>
              </a:lnSpc>
            </a:pPr>
            <a:t> </a:t>
          </a:fld>
          <a:endParaRPr lang="fr-FR" sz="1600" b="0" i="0" u="none" strike="noStrike">
            <a:solidFill>
              <a:srgbClr val="00B050"/>
            </a:solidFill>
            <a:latin typeface="Wingdings" panose="05000000000000000000" pitchFamily="2" charset="2"/>
          </a:endParaRPr>
        </a:p>
      </xdr:txBody>
    </xdr:sp>
    <xdr:clientData/>
  </xdr:twoCellAnchor>
  <xdr:twoCellAnchor editAs="oneCell">
    <xdr:from>
      <xdr:col>2</xdr:col>
      <xdr:colOff>3429000</xdr:colOff>
      <xdr:row>41</xdr:row>
      <xdr:rowOff>47625</xdr:rowOff>
    </xdr:from>
    <xdr:to>
      <xdr:col>2</xdr:col>
      <xdr:colOff>3681000</xdr:colOff>
      <xdr:row>41</xdr:row>
      <xdr:rowOff>299625</xdr:rowOff>
    </xdr:to>
    <xdr:sp macro="" textlink="$AA42">
      <xdr:nvSpPr>
        <xdr:cNvPr id="133" name="ZoneTexte 132"/>
        <xdr:cNvSpPr txBox="1">
          <a:spLocks/>
        </xdr:cNvSpPr>
      </xdr:nvSpPr>
      <xdr:spPr>
        <a:xfrm>
          <a:off x="3543300" y="13420725"/>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22985D33-C6EB-4B32-B3EE-BD65536B8575}" type="TxLink">
            <a:rPr lang="en-US" sz="1600" b="0" i="0" u="none" strike="noStrike">
              <a:solidFill>
                <a:srgbClr val="00B050"/>
              </a:solidFill>
              <a:latin typeface="Wingdings"/>
              <a:cs typeface="Calibri"/>
            </a:rPr>
            <a:pPr algn="ctr">
              <a:lnSpc>
                <a:spcPts val="3400"/>
              </a:lnSpc>
            </a:pPr>
            <a:t> </a:t>
          </a:fld>
          <a:endParaRPr lang="fr-FR" sz="1600" b="0" i="0" u="none" strike="noStrike">
            <a:solidFill>
              <a:srgbClr val="00B050"/>
            </a:solidFill>
            <a:latin typeface="Wingdings" panose="05000000000000000000" pitchFamily="2" charset="2"/>
          </a:endParaRPr>
        </a:p>
      </xdr:txBody>
    </xdr:sp>
    <xdr:clientData/>
  </xdr:twoCellAnchor>
  <xdr:twoCellAnchor editAs="oneCell">
    <xdr:from>
      <xdr:col>2</xdr:col>
      <xdr:colOff>3429000</xdr:colOff>
      <xdr:row>42</xdr:row>
      <xdr:rowOff>47625</xdr:rowOff>
    </xdr:from>
    <xdr:to>
      <xdr:col>2</xdr:col>
      <xdr:colOff>3681000</xdr:colOff>
      <xdr:row>42</xdr:row>
      <xdr:rowOff>299625</xdr:rowOff>
    </xdr:to>
    <xdr:sp macro="" textlink="$AA43">
      <xdr:nvSpPr>
        <xdr:cNvPr id="134" name="ZoneTexte 133"/>
        <xdr:cNvSpPr txBox="1">
          <a:spLocks/>
        </xdr:cNvSpPr>
      </xdr:nvSpPr>
      <xdr:spPr>
        <a:xfrm>
          <a:off x="3543300" y="14049375"/>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B8EA748A-176E-4FF1-9FE0-3CD66CA48567}" type="TxLink">
            <a:rPr lang="en-US" sz="1600" b="0" i="0" u="none" strike="noStrike">
              <a:solidFill>
                <a:srgbClr val="00B050"/>
              </a:solidFill>
              <a:latin typeface="Wingdings"/>
              <a:cs typeface="Calibri"/>
            </a:rPr>
            <a:pPr algn="ctr">
              <a:lnSpc>
                <a:spcPts val="3400"/>
              </a:lnSpc>
            </a:pPr>
            <a:t> </a:t>
          </a:fld>
          <a:endParaRPr lang="fr-FR" sz="1600" b="0" i="0" u="none" strike="noStrike">
            <a:solidFill>
              <a:srgbClr val="00B050"/>
            </a:solidFill>
            <a:latin typeface="Wingdings" panose="05000000000000000000" pitchFamily="2" charset="2"/>
          </a:endParaRPr>
        </a:p>
      </xdr:txBody>
    </xdr:sp>
    <xdr:clientData/>
  </xdr:twoCellAnchor>
  <xdr:twoCellAnchor editAs="oneCell">
    <xdr:from>
      <xdr:col>2</xdr:col>
      <xdr:colOff>3429000</xdr:colOff>
      <xdr:row>43</xdr:row>
      <xdr:rowOff>47625</xdr:rowOff>
    </xdr:from>
    <xdr:to>
      <xdr:col>2</xdr:col>
      <xdr:colOff>3681000</xdr:colOff>
      <xdr:row>43</xdr:row>
      <xdr:rowOff>299625</xdr:rowOff>
    </xdr:to>
    <xdr:sp macro="" textlink="$AA44">
      <xdr:nvSpPr>
        <xdr:cNvPr id="135" name="ZoneTexte 134"/>
        <xdr:cNvSpPr txBox="1">
          <a:spLocks/>
        </xdr:cNvSpPr>
      </xdr:nvSpPr>
      <xdr:spPr>
        <a:xfrm>
          <a:off x="3543300" y="14678025"/>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A662D440-8B57-4F2B-B6C3-B312203C392A}" type="TxLink">
            <a:rPr lang="en-US" sz="1600" b="0" i="0" u="none" strike="noStrike">
              <a:solidFill>
                <a:srgbClr val="00B050"/>
              </a:solidFill>
              <a:latin typeface="Wingdings"/>
              <a:cs typeface="Calibri"/>
            </a:rPr>
            <a:pPr algn="ctr">
              <a:lnSpc>
                <a:spcPts val="3400"/>
              </a:lnSpc>
            </a:pPr>
            <a:t> </a:t>
          </a:fld>
          <a:endParaRPr lang="fr-FR" sz="1600" b="0" i="0" u="none" strike="noStrike">
            <a:solidFill>
              <a:srgbClr val="00B050"/>
            </a:solidFill>
            <a:latin typeface="Wingdings" panose="05000000000000000000" pitchFamily="2" charset="2"/>
          </a:endParaRPr>
        </a:p>
      </xdr:txBody>
    </xdr:sp>
    <xdr:clientData/>
  </xdr:twoCellAnchor>
  <xdr:twoCellAnchor>
    <xdr:from>
      <xdr:col>2</xdr:col>
      <xdr:colOff>85725</xdr:colOff>
      <xdr:row>45</xdr:row>
      <xdr:rowOff>19072</xdr:rowOff>
    </xdr:from>
    <xdr:to>
      <xdr:col>10</xdr:col>
      <xdr:colOff>982425</xdr:colOff>
      <xdr:row>48</xdr:row>
      <xdr:rowOff>173720</xdr:rowOff>
    </xdr:to>
    <xdr:grpSp>
      <xdr:nvGrpSpPr>
        <xdr:cNvPr id="84" name="Groupe 83"/>
        <xdr:cNvGrpSpPr/>
      </xdr:nvGrpSpPr>
      <xdr:grpSpPr>
        <a:xfrm>
          <a:off x="200025" y="15468622"/>
          <a:ext cx="11945700" cy="735673"/>
          <a:chOff x="200025" y="15449572"/>
          <a:chExt cx="11945700" cy="735673"/>
        </a:xfrm>
      </xdr:grpSpPr>
      <xdr:grpSp>
        <xdr:nvGrpSpPr>
          <xdr:cNvPr id="85" name="Groupe 84"/>
          <xdr:cNvGrpSpPr/>
        </xdr:nvGrpSpPr>
        <xdr:grpSpPr>
          <a:xfrm>
            <a:off x="200033" y="15897225"/>
            <a:ext cx="2643225" cy="288020"/>
            <a:chOff x="13696950" y="15982950"/>
            <a:chExt cx="2643225" cy="288020"/>
          </a:xfrm>
        </xdr:grpSpPr>
        <xdr:grpSp>
          <xdr:nvGrpSpPr>
            <xdr:cNvPr id="136" name="Groupe 135"/>
            <xdr:cNvGrpSpPr/>
          </xdr:nvGrpSpPr>
          <xdr:grpSpPr>
            <a:xfrm>
              <a:off x="15116174" y="15982966"/>
              <a:ext cx="1224001" cy="288004"/>
              <a:chOff x="13754099" y="15992491"/>
              <a:chExt cx="1224001" cy="288004"/>
            </a:xfrm>
          </xdr:grpSpPr>
          <xdr:sp macro="" textlink="">
            <xdr:nvSpPr>
              <xdr:cNvPr id="149" name="ZoneTexte 148"/>
              <xdr:cNvSpPr txBox="1"/>
            </xdr:nvSpPr>
            <xdr:spPr>
              <a:xfrm>
                <a:off x="13754100" y="15992491"/>
                <a:ext cx="1224000" cy="2880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90000" rIns="90000" rtlCol="0" anchor="ctr"/>
              <a:lstStyle/>
              <a:p>
                <a:pPr algn="l"/>
                <a:r>
                  <a:rPr lang="fr-FR" sz="1000">
                    <a:latin typeface="+mn-lt"/>
                  </a:rPr>
                  <a:t>  </a:t>
                </a:r>
                <a:r>
                  <a:rPr lang="fr-FR" sz="1000" baseline="0">
                    <a:latin typeface="+mn-lt"/>
                  </a:rPr>
                  <a:t>       </a:t>
                </a:r>
                <a:r>
                  <a:rPr lang="fr-FR" sz="1000">
                    <a:latin typeface="+mn-lt"/>
                  </a:rPr>
                  <a:t>Phase</a:t>
                </a:r>
                <a:r>
                  <a:rPr lang="fr-FR" sz="1000" baseline="0">
                    <a:latin typeface="+mn-lt"/>
                  </a:rPr>
                  <a:t> clôturée</a:t>
                </a:r>
                <a:endParaRPr lang="fr-FR" sz="1000">
                  <a:latin typeface="+mn-lt"/>
                </a:endParaRPr>
              </a:p>
            </xdr:txBody>
          </xdr:sp>
          <xdr:sp macro="" textlink="">
            <xdr:nvSpPr>
              <xdr:cNvPr id="150" name="ZoneTexte 149"/>
              <xdr:cNvSpPr txBox="1"/>
            </xdr:nvSpPr>
            <xdr:spPr>
              <a:xfrm>
                <a:off x="13754099" y="16011525"/>
                <a:ext cx="216000" cy="25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126000" rtlCol="0" anchor="ctr"/>
              <a:lstStyle/>
              <a:p>
                <a:pPr>
                  <a:lnSpc>
                    <a:spcPts val="3400"/>
                  </a:lnSpc>
                </a:pPr>
                <a:r>
                  <a:rPr lang="fr-FR" sz="1600" b="0" i="0" u="none" strike="noStrike">
                    <a:solidFill>
                      <a:srgbClr val="FF0000"/>
                    </a:solidFill>
                    <a:latin typeface="Wingdings" panose="05000000000000000000" pitchFamily="2" charset="2"/>
                    <a:sym typeface="Wingdings" panose="05000000000000000000" pitchFamily="2" charset="2"/>
                  </a:rPr>
                  <a:t></a:t>
                </a:r>
                <a:endParaRPr lang="fr-FR" sz="1600" b="0" i="0" u="none" strike="noStrike">
                  <a:solidFill>
                    <a:srgbClr val="FF0000"/>
                  </a:solidFill>
                  <a:latin typeface="Wingdings" panose="05000000000000000000" pitchFamily="2" charset="2"/>
                </a:endParaRPr>
              </a:p>
            </xdr:txBody>
          </xdr:sp>
        </xdr:grpSp>
        <xdr:grpSp>
          <xdr:nvGrpSpPr>
            <xdr:cNvPr id="146" name="Groupe 145"/>
            <xdr:cNvGrpSpPr/>
          </xdr:nvGrpSpPr>
          <xdr:grpSpPr>
            <a:xfrm>
              <a:off x="13696950" y="15982950"/>
              <a:ext cx="1260000" cy="288004"/>
              <a:chOff x="11001375" y="16268700"/>
              <a:chExt cx="1260000" cy="288004"/>
            </a:xfrm>
          </xdr:grpSpPr>
          <xdr:sp macro="" textlink="">
            <xdr:nvSpPr>
              <xdr:cNvPr id="147" name="ZoneTexte 146"/>
              <xdr:cNvSpPr txBox="1"/>
            </xdr:nvSpPr>
            <xdr:spPr>
              <a:xfrm>
                <a:off x="11001375" y="16268700"/>
                <a:ext cx="1260000" cy="2880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90000" rIns="90000" rtlCol="0" anchor="ctr"/>
              <a:lstStyle/>
              <a:p>
                <a:pPr algn="l"/>
                <a:r>
                  <a:rPr lang="fr-FR" sz="1000">
                    <a:latin typeface="+mn-lt"/>
                  </a:rPr>
                  <a:t>          Phase</a:t>
                </a:r>
                <a:r>
                  <a:rPr lang="fr-FR" sz="1000" baseline="0">
                    <a:latin typeface="+mn-lt"/>
                  </a:rPr>
                  <a:t> en cours</a:t>
                </a:r>
                <a:endParaRPr lang="fr-FR" sz="1000">
                  <a:latin typeface="+mn-lt"/>
                </a:endParaRPr>
              </a:p>
            </xdr:txBody>
          </xdr:sp>
          <xdr:sp macro="" textlink="">
            <xdr:nvSpPr>
              <xdr:cNvPr id="148" name="ZoneTexte 147"/>
              <xdr:cNvSpPr txBox="1"/>
            </xdr:nvSpPr>
            <xdr:spPr>
              <a:xfrm>
                <a:off x="11001375" y="16287750"/>
                <a:ext cx="252000" cy="25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126000" rtlCol="0" anchor="ctr"/>
              <a:lstStyle/>
              <a:p>
                <a:pPr>
                  <a:lnSpc>
                    <a:spcPts val="3400"/>
                  </a:lnSpc>
                </a:pPr>
                <a:r>
                  <a:rPr lang="fr-FR" sz="1600" b="0" i="0" u="none" strike="noStrike">
                    <a:solidFill>
                      <a:srgbClr val="00B050"/>
                    </a:solidFill>
                    <a:latin typeface="Wingdings" panose="05000000000000000000" pitchFamily="2" charset="2"/>
                    <a:ea typeface="Yu Gothic UI Semilight" panose="020B0400000000000000" pitchFamily="34" charset="-128"/>
                  </a:rPr>
                  <a:t>♺</a:t>
                </a:r>
                <a:endParaRPr lang="fr-FR" sz="1600" b="0" i="0" u="none" strike="noStrike">
                  <a:solidFill>
                    <a:srgbClr val="00B050"/>
                  </a:solidFill>
                  <a:latin typeface="Wingdings" panose="05000000000000000000" pitchFamily="2" charset="2"/>
                </a:endParaRPr>
              </a:p>
            </xdr:txBody>
          </xdr:sp>
        </xdr:grpSp>
      </xdr:grpSp>
      <xdr:grpSp>
        <xdr:nvGrpSpPr>
          <xdr:cNvPr id="86" name="Groupe 85"/>
          <xdr:cNvGrpSpPr/>
        </xdr:nvGrpSpPr>
        <xdr:grpSpPr>
          <a:xfrm>
            <a:off x="200025" y="15449572"/>
            <a:ext cx="11945700" cy="288044"/>
            <a:chOff x="123817" y="15982972"/>
            <a:chExt cx="11945700" cy="288044"/>
          </a:xfrm>
        </xdr:grpSpPr>
        <xdr:grpSp>
          <xdr:nvGrpSpPr>
            <xdr:cNvPr id="88" name="Groupe 87"/>
            <xdr:cNvGrpSpPr/>
          </xdr:nvGrpSpPr>
          <xdr:grpSpPr>
            <a:xfrm>
              <a:off x="123817" y="15982972"/>
              <a:ext cx="5148000" cy="288000"/>
              <a:chOff x="123817" y="15992497"/>
              <a:chExt cx="5148000" cy="307050"/>
            </a:xfrm>
          </xdr:grpSpPr>
          <xdr:sp macro="" textlink="">
            <xdr:nvSpPr>
              <xdr:cNvPr id="95" name="ZoneTexte 94"/>
              <xdr:cNvSpPr txBox="1"/>
            </xdr:nvSpPr>
            <xdr:spPr>
              <a:xfrm>
                <a:off x="123817" y="15992497"/>
                <a:ext cx="5148000" cy="307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 relatives </a:t>
                </a:r>
                <a:r>
                  <a:rPr lang="fr-FR" sz="1000" baseline="0">
                    <a:latin typeface="+mn-lt"/>
                  </a:rPr>
                  <a:t>à la</a:t>
                </a:r>
                <a:r>
                  <a:rPr lang="fr-FR" sz="1000">
                    <a:latin typeface="+mn-lt"/>
                  </a:rPr>
                  <a:t> phase</a:t>
                </a:r>
                <a:r>
                  <a:rPr lang="fr-FR" sz="1000" baseline="0">
                    <a:latin typeface="+mn-lt"/>
                  </a:rPr>
                  <a:t> transmises par le référent QE / responsable Travaux</a:t>
                </a:r>
                <a:endParaRPr lang="fr-FR" sz="1000">
                  <a:latin typeface="+mn-lt"/>
                </a:endParaRPr>
              </a:p>
            </xdr:txBody>
          </xdr:sp>
          <xdr:sp macro="" textlink="">
            <xdr:nvSpPr>
              <xdr:cNvPr id="96" name="Rectangle 95"/>
              <xdr:cNvSpPr/>
            </xdr:nvSpPr>
            <xdr:spPr>
              <a:xfrm>
                <a:off x="123818" y="16043251"/>
                <a:ext cx="540000" cy="191906"/>
              </a:xfrm>
              <a:prstGeom prst="rect">
                <a:avLst/>
              </a:prstGeom>
              <a:solidFill>
                <a:schemeClr val="accent6">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nvGrpSpPr>
            <xdr:cNvPr id="89" name="Groupe 88"/>
            <xdr:cNvGrpSpPr/>
          </xdr:nvGrpSpPr>
          <xdr:grpSpPr>
            <a:xfrm>
              <a:off x="5429242" y="15982972"/>
              <a:ext cx="3564000" cy="288000"/>
              <a:chOff x="6524617" y="15992497"/>
              <a:chExt cx="3564000" cy="307050"/>
            </a:xfrm>
          </xdr:grpSpPr>
          <xdr:sp macro="" textlink="">
            <xdr:nvSpPr>
              <xdr:cNvPr id="93" name="ZoneTexte 92"/>
              <xdr:cNvSpPr txBox="1"/>
            </xdr:nvSpPr>
            <xdr:spPr>
              <a:xfrm>
                <a:off x="6524617" y="15992497"/>
                <a:ext cx="3564000" cy="307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relatives à </a:t>
                </a:r>
                <a:r>
                  <a:rPr lang="fr-FR" sz="1000">
                    <a:latin typeface="+mn-lt"/>
                  </a:rPr>
                  <a:t>la phase </a:t>
                </a:r>
                <a:r>
                  <a:rPr lang="fr-FR" sz="1000" baseline="0">
                    <a:latin typeface="+mn-lt"/>
                  </a:rPr>
                  <a:t>transmises par le CFI</a:t>
                </a:r>
                <a:endParaRPr lang="fr-FR" sz="1000">
                  <a:latin typeface="+mn-lt"/>
                </a:endParaRPr>
              </a:p>
            </xdr:txBody>
          </xdr:sp>
          <xdr:sp macro="" textlink="">
            <xdr:nvSpPr>
              <xdr:cNvPr id="94" name="Rectangle 93"/>
              <xdr:cNvSpPr/>
            </xdr:nvSpPr>
            <xdr:spPr>
              <a:xfrm>
                <a:off x="6524618" y="16043251"/>
                <a:ext cx="540000" cy="191906"/>
              </a:xfrm>
              <a:prstGeom prst="rect">
                <a:avLst/>
              </a:prstGeom>
              <a:solidFill>
                <a:schemeClr val="accent1">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nvGrpSpPr>
            <xdr:cNvPr id="90" name="Groupe 89"/>
            <xdr:cNvGrpSpPr/>
          </xdr:nvGrpSpPr>
          <xdr:grpSpPr>
            <a:xfrm>
              <a:off x="9153517" y="15983016"/>
              <a:ext cx="2916000" cy="288000"/>
              <a:chOff x="10715617" y="15992541"/>
              <a:chExt cx="2916000" cy="307050"/>
            </a:xfrm>
          </xdr:grpSpPr>
          <xdr:sp macro="" textlink="">
            <xdr:nvSpPr>
              <xdr:cNvPr id="91" name="ZoneTexte 90"/>
              <xdr:cNvSpPr txBox="1"/>
            </xdr:nvSpPr>
            <xdr:spPr>
              <a:xfrm>
                <a:off x="10715617" y="15992541"/>
                <a:ext cx="2916000" cy="307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calculées automatiquement</a:t>
                </a:r>
                <a:endParaRPr lang="fr-FR" sz="1000">
                  <a:latin typeface="+mn-lt"/>
                </a:endParaRPr>
              </a:p>
            </xdr:txBody>
          </xdr:sp>
          <xdr:sp macro="" textlink="">
            <xdr:nvSpPr>
              <xdr:cNvPr id="92" name="Rectangle 91"/>
              <xdr:cNvSpPr/>
            </xdr:nvSpPr>
            <xdr:spPr>
              <a:xfrm>
                <a:off x="10715618" y="16043229"/>
                <a:ext cx="540000" cy="191906"/>
              </a:xfrm>
              <a:prstGeom prst="rect">
                <a:avLst/>
              </a:prstGeom>
              <a:solidFill>
                <a:schemeClr val="accent2">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grpSp>
    <xdr:clientData/>
  </xdr:twoCellAnchor>
  <xdr:twoCellAnchor>
    <xdr:from>
      <xdr:col>13</xdr:col>
      <xdr:colOff>457200</xdr:colOff>
      <xdr:row>44</xdr:row>
      <xdr:rowOff>180975</xdr:rowOff>
    </xdr:from>
    <xdr:to>
      <xdr:col>20</xdr:col>
      <xdr:colOff>972675</xdr:colOff>
      <xdr:row>49</xdr:row>
      <xdr:rowOff>10963</xdr:rowOff>
    </xdr:to>
    <xdr:grpSp>
      <xdr:nvGrpSpPr>
        <xdr:cNvPr id="151" name="Groupe 150"/>
        <xdr:cNvGrpSpPr/>
      </xdr:nvGrpSpPr>
      <xdr:grpSpPr>
        <a:xfrm>
          <a:off x="14763750" y="15440025"/>
          <a:ext cx="7849725" cy="792013"/>
          <a:chOff x="15554325" y="15449550"/>
          <a:chExt cx="7849725" cy="792013"/>
        </a:xfrm>
      </xdr:grpSpPr>
      <xdr:sp macro="" textlink="">
        <xdr:nvSpPr>
          <xdr:cNvPr id="152" name="ZoneTexte 151"/>
          <xdr:cNvSpPr txBox="1"/>
        </xdr:nvSpPr>
        <xdr:spPr>
          <a:xfrm>
            <a:off x="20007278" y="15449563"/>
            <a:ext cx="3240000" cy="784544"/>
          </a:xfrm>
          <a:prstGeom prst="roundRect">
            <a:avLst/>
          </a:prstGeom>
          <a:no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00000"/>
              </a:lnSpc>
            </a:pPr>
            <a:r>
              <a:rPr lang="fr-FR" sz="1000" b="1" i="1" u="sng" strike="noStrike">
                <a:solidFill>
                  <a:srgbClr val="FF0000"/>
                </a:solidFill>
                <a:latin typeface="Calibri"/>
              </a:rPr>
              <a:t>Rappel des objectifs Phase GPA</a:t>
            </a:r>
            <a:r>
              <a:rPr lang="fr-FR" sz="1100" b="1" i="1" u="sng" strike="noStrike">
                <a:solidFill>
                  <a:srgbClr val="FF0000"/>
                </a:solidFill>
                <a:latin typeface="Calibri"/>
              </a:rPr>
              <a:t/>
            </a:r>
            <a:br>
              <a:rPr lang="fr-FR" sz="1100" b="1" i="1" u="sng" strike="noStrike">
                <a:solidFill>
                  <a:srgbClr val="FF0000"/>
                </a:solidFill>
                <a:latin typeface="Calibri"/>
              </a:rPr>
            </a:br>
            <a:r>
              <a:rPr lang="fr-FR" sz="600" b="1" i="1" u="sng" strike="noStrike">
                <a:solidFill>
                  <a:srgbClr val="FF0000"/>
                </a:solidFill>
                <a:latin typeface="Calibri"/>
              </a:rPr>
              <a:t> </a:t>
            </a:r>
            <a:r>
              <a:rPr lang="fr-FR" sz="1100" b="1" i="1" u="sng" strike="noStrike">
                <a:solidFill>
                  <a:srgbClr val="FF0000"/>
                </a:solidFill>
                <a:latin typeface="Calibri"/>
              </a:rPr>
              <a:t/>
            </a:r>
            <a:br>
              <a:rPr lang="fr-FR" sz="1100" b="1" i="1" u="sng" strike="noStrike">
                <a:solidFill>
                  <a:srgbClr val="FF0000"/>
                </a:solidFill>
                <a:latin typeface="Calibri"/>
              </a:rPr>
            </a:br>
            <a:r>
              <a:rPr lang="fr-FR" sz="1000" b="0" i="0" u="none" strike="noStrike">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a:solidFill>
                  <a:srgbClr val="FF0000"/>
                </a:solidFill>
                <a:latin typeface="Calibri"/>
              </a:rPr>
              <a:t>Délai d'intervention</a:t>
            </a:r>
            <a:r>
              <a:rPr lang="fr-FR" sz="1000" b="0" i="0" u="none" strike="noStrike" baseline="0">
                <a:solidFill>
                  <a:srgbClr val="FF0000"/>
                </a:solidFill>
                <a:latin typeface="Calibri"/>
              </a:rPr>
              <a:t> (Réactivité moyenne) &lt; 15 jours</a:t>
            </a:r>
            <a:br>
              <a:rPr lang="fr-FR" sz="1000" b="0" i="0" u="none" strike="noStrike" baseline="0">
                <a:solidFill>
                  <a:srgbClr val="FF0000"/>
                </a:solidFill>
                <a:latin typeface="Calibri"/>
              </a:rPr>
            </a:br>
            <a:r>
              <a:rPr lang="fr-FR" sz="1000" b="0" i="0" u="none" strike="noStrike" baseline="0">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baseline="0">
                <a:solidFill>
                  <a:srgbClr val="FF0000"/>
                </a:solidFill>
                <a:latin typeface="Calibri"/>
              </a:rPr>
              <a:t>Nombre de réclamations GPA &lt; 1 par logement</a:t>
            </a:r>
            <a:endParaRPr lang="fr-FR" sz="1000" b="0" i="0" u="none" strike="noStrike">
              <a:solidFill>
                <a:srgbClr val="FF0000"/>
              </a:solidFill>
              <a:latin typeface="Calibri"/>
            </a:endParaRPr>
          </a:p>
          <a:p>
            <a:pPr algn="ctr">
              <a:lnSpc>
                <a:spcPct val="100000"/>
              </a:lnSpc>
            </a:pPr>
            <a:endParaRPr lang="fr-FR" sz="1100" b="1" i="1" u="sng" strike="noStrike">
              <a:solidFill>
                <a:srgbClr val="FF6600"/>
              </a:solidFill>
              <a:latin typeface="Calibri"/>
            </a:endParaRPr>
          </a:p>
        </xdr:txBody>
      </xdr:sp>
      <xdr:sp macro="" textlink="">
        <xdr:nvSpPr>
          <xdr:cNvPr id="153" name="ZoneTexte 152"/>
          <xdr:cNvSpPr txBox="1"/>
        </xdr:nvSpPr>
        <xdr:spPr>
          <a:xfrm>
            <a:off x="15706725" y="15449563"/>
            <a:ext cx="4140000" cy="79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50000"/>
              </a:lnSpc>
            </a:pPr>
            <a:r>
              <a:rPr lang="fr-FR" sz="1200" b="1" i="0" u="none" strike="noStrike">
                <a:solidFill>
                  <a:srgbClr val="FF0000"/>
                </a:solidFill>
                <a:effectLst/>
                <a:latin typeface="+mn-lt"/>
                <a:ea typeface="+mn-ea"/>
                <a:cs typeface="+mn-cs"/>
              </a:rPr>
              <a:t>HARMONISER ET RENDRE EFFICIENTE LA GESTION DE LA GPA</a:t>
            </a:r>
            <a:br>
              <a:rPr lang="fr-FR" sz="1200" b="1" i="0" u="none" strike="noStrike">
                <a:solidFill>
                  <a:srgbClr val="FF0000"/>
                </a:solidFill>
                <a:effectLst/>
                <a:latin typeface="+mn-lt"/>
                <a:ea typeface="+mn-ea"/>
                <a:cs typeface="+mn-cs"/>
              </a:rPr>
            </a:br>
            <a:r>
              <a:rPr lang="fr-FR" sz="1200" b="1" i="0" u="none" strike="noStrike">
                <a:solidFill>
                  <a:srgbClr val="FF0000"/>
                </a:solidFill>
                <a:effectLst/>
                <a:latin typeface="+mn-lt"/>
                <a:ea typeface="+mn-ea"/>
                <a:cs typeface="+mn-cs"/>
              </a:rPr>
              <a:t>POUR UNE MEILLEURE SATISFACTION DE NOS CLIENTS</a:t>
            </a:r>
            <a:r>
              <a:rPr lang="fr-FR" sz="1200">
                <a:solidFill>
                  <a:srgbClr val="FF0000"/>
                </a:solidFill>
              </a:rPr>
              <a:t> </a:t>
            </a:r>
            <a:endParaRPr lang="fr-FR" sz="1200" b="0" i="0" u="none" strike="noStrike">
              <a:solidFill>
                <a:srgbClr val="FF0000"/>
              </a:solidFill>
              <a:latin typeface="Calibri"/>
            </a:endParaRPr>
          </a:p>
        </xdr:txBody>
      </xdr:sp>
      <xdr:sp macro="" textlink="">
        <xdr:nvSpPr>
          <xdr:cNvPr id="154" name="Rectangle 153"/>
          <xdr:cNvSpPr/>
        </xdr:nvSpPr>
        <xdr:spPr>
          <a:xfrm>
            <a:off x="155543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55" name="Rectangle 154"/>
          <xdr:cNvSpPr/>
        </xdr:nvSpPr>
        <xdr:spPr>
          <a:xfrm>
            <a:off x="198596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56" name="Rectangle 155"/>
          <xdr:cNvSpPr/>
        </xdr:nvSpPr>
        <xdr:spPr>
          <a:xfrm>
            <a:off x="23260050"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4759</xdr:colOff>
      <xdr:row>1</xdr:row>
      <xdr:rowOff>4763</xdr:rowOff>
    </xdr:from>
    <xdr:to>
      <xdr:col>16</xdr:col>
      <xdr:colOff>56284</xdr:colOff>
      <xdr:row>8</xdr:row>
      <xdr:rowOff>190463</xdr:rowOff>
    </xdr:to>
    <xdr:sp macro="" textlink="">
      <xdr:nvSpPr>
        <xdr:cNvPr id="3" name="ZoneTexte 2"/>
        <xdr:cNvSpPr txBox="1"/>
      </xdr:nvSpPr>
      <xdr:spPr>
        <a:xfrm>
          <a:off x="61909" y="61913"/>
          <a:ext cx="23511600" cy="1519200"/>
        </a:xfrm>
        <a:prstGeom prst="roundRect">
          <a:avLst/>
        </a:prstGeom>
        <a:solidFill>
          <a:schemeClr val="accent6">
            <a:lumMod val="60000"/>
            <a:lumOff val="40000"/>
          </a:schemeClr>
        </a:solidFill>
        <a:ln w="9525" cmpd="sng">
          <a:solidFill>
            <a:schemeClr val="tx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softRound"/>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4400" b="1">
              <a:solidFill>
                <a:schemeClr val="bg1"/>
              </a:solidFill>
            </a:rPr>
            <a:t>POINT BIMESTRIEL PARFAIT ACHEVEMENT</a:t>
          </a:r>
        </a:p>
      </xdr:txBody>
    </xdr:sp>
    <xdr:clientData/>
  </xdr:twoCellAnchor>
  <xdr:twoCellAnchor>
    <xdr:from>
      <xdr:col>1</xdr:col>
      <xdr:colOff>4762</xdr:colOff>
      <xdr:row>19</xdr:row>
      <xdr:rowOff>4762</xdr:rowOff>
    </xdr:from>
    <xdr:to>
      <xdr:col>16</xdr:col>
      <xdr:colOff>56062</xdr:colOff>
      <xdr:row>22</xdr:row>
      <xdr:rowOff>189262</xdr:rowOff>
    </xdr:to>
    <xdr:sp macro="" textlink="">
      <xdr:nvSpPr>
        <xdr:cNvPr id="6" name="ZoneTexte 5"/>
        <xdr:cNvSpPr txBox="1"/>
      </xdr:nvSpPr>
      <xdr:spPr>
        <a:xfrm>
          <a:off x="61912" y="3490912"/>
          <a:ext cx="22111200" cy="756000"/>
        </a:xfrm>
        <a:prstGeom prst="roundRect">
          <a:avLst/>
        </a:prstGeom>
        <a:solidFill>
          <a:schemeClr val="accent4">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solidFill>
                <a:schemeClr val="tx1"/>
              </a:solidFill>
            </a:rPr>
            <a:t>Bilan final GPA HN</a:t>
          </a:r>
        </a:p>
      </xdr:txBody>
    </xdr:sp>
    <xdr:clientData/>
  </xdr:twoCellAnchor>
  <xdr:twoCellAnchor>
    <xdr:from>
      <xdr:col>2</xdr:col>
      <xdr:colOff>85717</xdr:colOff>
      <xdr:row>46</xdr:row>
      <xdr:rowOff>38100</xdr:rowOff>
    </xdr:from>
    <xdr:to>
      <xdr:col>6</xdr:col>
      <xdr:colOff>195067</xdr:colOff>
      <xdr:row>47</xdr:row>
      <xdr:rowOff>135600</xdr:rowOff>
    </xdr:to>
    <xdr:grpSp>
      <xdr:nvGrpSpPr>
        <xdr:cNvPr id="4" name="Groupe 3"/>
        <xdr:cNvGrpSpPr/>
      </xdr:nvGrpSpPr>
      <xdr:grpSpPr>
        <a:xfrm>
          <a:off x="200017" y="15678150"/>
          <a:ext cx="6967350" cy="288000"/>
          <a:chOff x="123817" y="15973425"/>
          <a:chExt cx="6967350" cy="288000"/>
        </a:xfrm>
      </xdr:grpSpPr>
      <xdr:grpSp>
        <xdr:nvGrpSpPr>
          <xdr:cNvPr id="27" name="Groupe 26"/>
          <xdr:cNvGrpSpPr/>
        </xdr:nvGrpSpPr>
        <xdr:grpSpPr>
          <a:xfrm>
            <a:off x="123817" y="15973425"/>
            <a:ext cx="3780000" cy="288000"/>
            <a:chOff x="200025" y="15973425"/>
            <a:chExt cx="3780000" cy="288000"/>
          </a:xfrm>
        </xdr:grpSpPr>
        <xdr:sp macro="" textlink="">
          <xdr:nvSpPr>
            <xdr:cNvPr id="34" name="ZoneTexte 33"/>
            <xdr:cNvSpPr txBox="1"/>
          </xdr:nvSpPr>
          <xdr:spPr>
            <a:xfrm>
              <a:off x="200025" y="15973425"/>
              <a:ext cx="378000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transmises par le référent QE / référent PA</a:t>
              </a:r>
              <a:endParaRPr lang="fr-FR" sz="1000">
                <a:latin typeface="+mn-lt"/>
              </a:endParaRPr>
            </a:p>
          </xdr:txBody>
        </xdr:sp>
        <xdr:sp macro="" textlink="">
          <xdr:nvSpPr>
            <xdr:cNvPr id="35" name="Rectangle 34"/>
            <xdr:cNvSpPr/>
          </xdr:nvSpPr>
          <xdr:spPr>
            <a:xfrm>
              <a:off x="200026" y="16021051"/>
              <a:ext cx="540000" cy="180000"/>
            </a:xfrm>
            <a:prstGeom prst="rect">
              <a:avLst/>
            </a:prstGeom>
            <a:solidFill>
              <a:schemeClr val="accent6">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nvGrpSpPr>
          <xdr:cNvPr id="29" name="Groupe 28"/>
          <xdr:cNvGrpSpPr/>
        </xdr:nvGrpSpPr>
        <xdr:grpSpPr>
          <a:xfrm>
            <a:off x="4067167" y="15973425"/>
            <a:ext cx="3024000" cy="288000"/>
            <a:chOff x="8486774" y="15973424"/>
            <a:chExt cx="3024000" cy="288000"/>
          </a:xfrm>
        </xdr:grpSpPr>
        <xdr:sp macro="" textlink="">
          <xdr:nvSpPr>
            <xdr:cNvPr id="30" name="ZoneTexte 29"/>
            <xdr:cNvSpPr txBox="1"/>
          </xdr:nvSpPr>
          <xdr:spPr>
            <a:xfrm>
              <a:off x="8486774" y="15973424"/>
              <a:ext cx="302400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calculées automatiquement</a:t>
              </a:r>
              <a:endParaRPr lang="fr-FR" sz="1000">
                <a:latin typeface="+mn-lt"/>
              </a:endParaRPr>
            </a:p>
          </xdr:txBody>
        </xdr:sp>
        <xdr:sp macro="" textlink="">
          <xdr:nvSpPr>
            <xdr:cNvPr id="31" name="Rectangle 30"/>
            <xdr:cNvSpPr/>
          </xdr:nvSpPr>
          <xdr:spPr>
            <a:xfrm>
              <a:off x="8486775" y="16021050"/>
              <a:ext cx="540000" cy="180000"/>
            </a:xfrm>
            <a:prstGeom prst="rect">
              <a:avLst/>
            </a:prstGeom>
            <a:solidFill>
              <a:schemeClr val="accent4">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clientData/>
  </xdr:twoCellAnchor>
  <xdr:twoCellAnchor>
    <xdr:from>
      <xdr:col>1</xdr:col>
      <xdr:colOff>4767</xdr:colOff>
      <xdr:row>11</xdr:row>
      <xdr:rowOff>4763</xdr:rowOff>
    </xdr:from>
    <xdr:to>
      <xdr:col>16</xdr:col>
      <xdr:colOff>55673</xdr:colOff>
      <xdr:row>16</xdr:row>
      <xdr:rowOff>189863</xdr:rowOff>
    </xdr:to>
    <xdr:grpSp>
      <xdr:nvGrpSpPr>
        <xdr:cNvPr id="2" name="Groupe 1"/>
        <xdr:cNvGrpSpPr/>
      </xdr:nvGrpSpPr>
      <xdr:grpSpPr>
        <a:xfrm>
          <a:off x="61917" y="1966913"/>
          <a:ext cx="22444181" cy="1137600"/>
          <a:chOff x="61917" y="1966913"/>
          <a:chExt cx="23510981" cy="1137600"/>
        </a:xfrm>
      </xdr:grpSpPr>
      <xdr:sp macro="" textlink="'Feuille Saisie'!E2">
        <xdr:nvSpPr>
          <xdr:cNvPr id="39" name="ZoneTexte 38">
            <a:extLst>
              <a:ext uri="{FF2B5EF4-FFF2-40B4-BE49-F238E27FC236}">
                <a16:creationId xmlns:a16="http://schemas.microsoft.com/office/drawing/2014/main" xmlns="" id="{336C5E17-EF01-43B4-BA2F-2629C9DA112E}"/>
              </a:ext>
            </a:extLst>
          </xdr:cNvPr>
          <xdr:cNvSpPr txBox="1"/>
        </xdr:nvSpPr>
        <xdr:spPr>
          <a:xfrm>
            <a:off x="61917"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78B3FDD3-A508-404A-BE79-B55CD8F614FE}" type="TxLink">
              <a:rPr lang="en-US" sz="1400" b="1" i="0" u="none" strike="noStrike">
                <a:solidFill>
                  <a:srgbClr val="000000"/>
                </a:solidFill>
                <a:latin typeface="Calibri"/>
                <a:cs typeface="Calibri"/>
              </a:rPr>
              <a:pPr>
                <a:lnSpc>
                  <a:spcPts val="3400"/>
                </a:lnSpc>
              </a:pPr>
              <a:t>Agence : EVREUX
Date : 27/02/2019</a:t>
            </a:fld>
            <a:endParaRPr lang="fr-FR" sz="1400" b="1"/>
          </a:p>
        </xdr:txBody>
      </xdr:sp>
      <xdr:sp macro="" textlink="'Feuille Saisie'!E4">
        <xdr:nvSpPr>
          <xdr:cNvPr id="37" name="ZoneTexte 36">
            <a:extLst>
              <a:ext uri="{FF2B5EF4-FFF2-40B4-BE49-F238E27FC236}">
                <a16:creationId xmlns:a16="http://schemas.microsoft.com/office/drawing/2014/main" xmlns="" id="{336C5E17-EF01-43B4-BA2F-2629C9DA112E}"/>
              </a:ext>
            </a:extLst>
          </xdr:cNvPr>
          <xdr:cNvSpPr txBox="1"/>
        </xdr:nvSpPr>
        <xdr:spPr>
          <a:xfrm>
            <a:off x="11872898"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1EE38D43-F033-4B6A-9636-E592408209D7}" type="TxLink">
              <a:rPr lang="en-US" sz="1400" b="1" i="0" u="none" strike="noStrike">
                <a:solidFill>
                  <a:srgbClr val="000000"/>
                </a:solidFill>
                <a:latin typeface="Calibri"/>
                <a:cs typeface="Calibri"/>
              </a:rPr>
              <a:pPr>
                <a:lnSpc>
                  <a:spcPts val="3400"/>
                </a:lnSpc>
              </a:pPr>
              <a:t>Présents : XXXX
Destinataires : XXXX</a:t>
            </a:fld>
            <a:endParaRPr lang="fr-FR" sz="1400" b="1"/>
          </a:p>
        </xdr:txBody>
      </xdr:sp>
    </xdr:grpSp>
    <xdr:clientData/>
  </xdr:twoCellAnchor>
  <xdr:twoCellAnchor>
    <xdr:from>
      <xdr:col>15</xdr:col>
      <xdr:colOff>104775</xdr:colOff>
      <xdr:row>44</xdr:row>
      <xdr:rowOff>180975</xdr:rowOff>
    </xdr:from>
    <xdr:to>
      <xdr:col>15</xdr:col>
      <xdr:colOff>7954500</xdr:colOff>
      <xdr:row>49</xdr:row>
      <xdr:rowOff>20488</xdr:rowOff>
    </xdr:to>
    <xdr:grpSp>
      <xdr:nvGrpSpPr>
        <xdr:cNvPr id="17" name="Groupe 16"/>
        <xdr:cNvGrpSpPr/>
      </xdr:nvGrpSpPr>
      <xdr:grpSpPr>
        <a:xfrm>
          <a:off x="15573375" y="15440025"/>
          <a:ext cx="6878175" cy="792013"/>
          <a:chOff x="15554325" y="15449550"/>
          <a:chExt cx="7849725" cy="792013"/>
        </a:xfrm>
      </xdr:grpSpPr>
      <xdr:sp macro="" textlink="">
        <xdr:nvSpPr>
          <xdr:cNvPr id="18" name="ZoneTexte 17"/>
          <xdr:cNvSpPr txBox="1"/>
        </xdr:nvSpPr>
        <xdr:spPr>
          <a:xfrm>
            <a:off x="20007278" y="15449563"/>
            <a:ext cx="3240000" cy="784544"/>
          </a:xfrm>
          <a:prstGeom prst="roundRect">
            <a:avLst/>
          </a:prstGeom>
          <a:no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00000"/>
              </a:lnSpc>
            </a:pPr>
            <a:r>
              <a:rPr lang="fr-FR" sz="1000" b="1" i="1" u="sng" strike="noStrike">
                <a:solidFill>
                  <a:srgbClr val="FF0000"/>
                </a:solidFill>
                <a:latin typeface="Calibri"/>
              </a:rPr>
              <a:t>Rappel des objectifs Phase GPA</a:t>
            </a:r>
            <a:r>
              <a:rPr lang="fr-FR" sz="1100" b="1" i="1" u="sng" strike="noStrike">
                <a:solidFill>
                  <a:srgbClr val="FF0000"/>
                </a:solidFill>
                <a:latin typeface="Calibri"/>
              </a:rPr>
              <a:t/>
            </a:r>
            <a:br>
              <a:rPr lang="fr-FR" sz="1100" b="1" i="1" u="sng" strike="noStrike">
                <a:solidFill>
                  <a:srgbClr val="FF0000"/>
                </a:solidFill>
                <a:latin typeface="Calibri"/>
              </a:rPr>
            </a:br>
            <a:r>
              <a:rPr lang="fr-FR" sz="600" b="1" i="1" u="sng" strike="noStrike">
                <a:solidFill>
                  <a:srgbClr val="FF0000"/>
                </a:solidFill>
                <a:latin typeface="Calibri"/>
              </a:rPr>
              <a:t> </a:t>
            </a:r>
            <a:r>
              <a:rPr lang="fr-FR" sz="1100" b="1" i="1" u="sng" strike="noStrike">
                <a:solidFill>
                  <a:srgbClr val="FF0000"/>
                </a:solidFill>
                <a:latin typeface="Calibri"/>
              </a:rPr>
              <a:t/>
            </a:r>
            <a:br>
              <a:rPr lang="fr-FR" sz="1100" b="1" i="1" u="sng" strike="noStrike">
                <a:solidFill>
                  <a:srgbClr val="FF0000"/>
                </a:solidFill>
                <a:latin typeface="Calibri"/>
              </a:rPr>
            </a:br>
            <a:r>
              <a:rPr lang="fr-FR" sz="1000" b="0" i="0" u="none" strike="noStrike">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a:solidFill>
                  <a:srgbClr val="FF0000"/>
                </a:solidFill>
                <a:latin typeface="Calibri"/>
              </a:rPr>
              <a:t>Délai d'intervention</a:t>
            </a:r>
            <a:r>
              <a:rPr lang="fr-FR" sz="1000" b="0" i="0" u="none" strike="noStrike" baseline="0">
                <a:solidFill>
                  <a:srgbClr val="FF0000"/>
                </a:solidFill>
                <a:latin typeface="Calibri"/>
              </a:rPr>
              <a:t> (Réactivité moyenne) &lt; 15 jours</a:t>
            </a:r>
            <a:br>
              <a:rPr lang="fr-FR" sz="1000" b="0" i="0" u="none" strike="noStrike" baseline="0">
                <a:solidFill>
                  <a:srgbClr val="FF0000"/>
                </a:solidFill>
                <a:latin typeface="Calibri"/>
              </a:rPr>
            </a:br>
            <a:r>
              <a:rPr lang="fr-FR" sz="1000" b="0" i="0" u="none" strike="noStrike" baseline="0">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baseline="0">
                <a:solidFill>
                  <a:srgbClr val="FF0000"/>
                </a:solidFill>
                <a:latin typeface="Calibri"/>
              </a:rPr>
              <a:t>Nombre de réclamations GPA &lt; 1 par logement</a:t>
            </a:r>
            <a:endParaRPr lang="fr-FR" sz="1000" b="0" i="0" u="none" strike="noStrike">
              <a:solidFill>
                <a:srgbClr val="FF0000"/>
              </a:solidFill>
              <a:latin typeface="Calibri"/>
            </a:endParaRPr>
          </a:p>
          <a:p>
            <a:pPr algn="ctr">
              <a:lnSpc>
                <a:spcPct val="100000"/>
              </a:lnSpc>
            </a:pPr>
            <a:endParaRPr lang="fr-FR" sz="1100" b="1" i="1" u="sng" strike="noStrike">
              <a:solidFill>
                <a:srgbClr val="FF6600"/>
              </a:solidFill>
              <a:latin typeface="Calibri"/>
            </a:endParaRPr>
          </a:p>
        </xdr:txBody>
      </xdr:sp>
      <xdr:sp macro="" textlink="">
        <xdr:nvSpPr>
          <xdr:cNvPr id="19" name="ZoneTexte 18"/>
          <xdr:cNvSpPr txBox="1"/>
        </xdr:nvSpPr>
        <xdr:spPr>
          <a:xfrm>
            <a:off x="15706725" y="15449563"/>
            <a:ext cx="4140000" cy="79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50000"/>
              </a:lnSpc>
            </a:pPr>
            <a:r>
              <a:rPr lang="fr-FR" sz="1200" b="1" i="0" u="none" strike="noStrike">
                <a:solidFill>
                  <a:srgbClr val="FF0000"/>
                </a:solidFill>
                <a:effectLst/>
                <a:latin typeface="+mn-lt"/>
                <a:ea typeface="+mn-ea"/>
                <a:cs typeface="+mn-cs"/>
              </a:rPr>
              <a:t>HARMONISER ET RENDRE EFFICIENTE LA GESTION DE LA GPA</a:t>
            </a:r>
            <a:br>
              <a:rPr lang="fr-FR" sz="1200" b="1" i="0" u="none" strike="noStrike">
                <a:solidFill>
                  <a:srgbClr val="FF0000"/>
                </a:solidFill>
                <a:effectLst/>
                <a:latin typeface="+mn-lt"/>
                <a:ea typeface="+mn-ea"/>
                <a:cs typeface="+mn-cs"/>
              </a:rPr>
            </a:br>
            <a:r>
              <a:rPr lang="fr-FR" sz="1200" b="1" i="0" u="none" strike="noStrike">
                <a:solidFill>
                  <a:srgbClr val="FF0000"/>
                </a:solidFill>
                <a:effectLst/>
                <a:latin typeface="+mn-lt"/>
                <a:ea typeface="+mn-ea"/>
                <a:cs typeface="+mn-cs"/>
              </a:rPr>
              <a:t>POUR UNE MEILLEURE SATISFACTION DE NOS CLIENTS</a:t>
            </a:r>
            <a:r>
              <a:rPr lang="fr-FR" sz="1200">
                <a:solidFill>
                  <a:srgbClr val="FF0000"/>
                </a:solidFill>
              </a:rPr>
              <a:t> </a:t>
            </a:r>
            <a:endParaRPr lang="fr-FR" sz="1200" b="0" i="0" u="none" strike="noStrike">
              <a:solidFill>
                <a:srgbClr val="FF0000"/>
              </a:solidFill>
              <a:latin typeface="Calibri"/>
            </a:endParaRPr>
          </a:p>
        </xdr:txBody>
      </xdr:sp>
      <xdr:sp macro="" textlink="">
        <xdr:nvSpPr>
          <xdr:cNvPr id="20" name="Rectangle 19"/>
          <xdr:cNvSpPr/>
        </xdr:nvSpPr>
        <xdr:spPr>
          <a:xfrm>
            <a:off x="155543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21" name="Rectangle 20"/>
          <xdr:cNvSpPr/>
        </xdr:nvSpPr>
        <xdr:spPr>
          <a:xfrm>
            <a:off x="198596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25" name="Rectangle 24"/>
          <xdr:cNvSpPr/>
        </xdr:nvSpPr>
        <xdr:spPr>
          <a:xfrm>
            <a:off x="23260050"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4759</xdr:colOff>
      <xdr:row>1</xdr:row>
      <xdr:rowOff>4763</xdr:rowOff>
    </xdr:from>
    <xdr:to>
      <xdr:col>16</xdr:col>
      <xdr:colOff>56284</xdr:colOff>
      <xdr:row>8</xdr:row>
      <xdr:rowOff>190463</xdr:rowOff>
    </xdr:to>
    <xdr:sp macro="" textlink="">
      <xdr:nvSpPr>
        <xdr:cNvPr id="2" name="ZoneTexte 1"/>
        <xdr:cNvSpPr txBox="1"/>
      </xdr:nvSpPr>
      <xdr:spPr>
        <a:xfrm>
          <a:off x="61909" y="61913"/>
          <a:ext cx="22444800" cy="1519200"/>
        </a:xfrm>
        <a:prstGeom prst="roundRect">
          <a:avLst/>
        </a:prstGeom>
        <a:solidFill>
          <a:schemeClr val="accent6">
            <a:lumMod val="60000"/>
            <a:lumOff val="40000"/>
          </a:schemeClr>
        </a:solidFill>
        <a:ln w="9525" cmpd="sng">
          <a:solidFill>
            <a:schemeClr val="tx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softRound"/>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4400" b="1">
              <a:solidFill>
                <a:schemeClr val="bg1"/>
              </a:solidFill>
            </a:rPr>
            <a:t>POINT BIMESTRIEL PARFAIT ACHEVEMENT</a:t>
          </a:r>
        </a:p>
      </xdr:txBody>
    </xdr:sp>
    <xdr:clientData/>
  </xdr:twoCellAnchor>
  <xdr:twoCellAnchor>
    <xdr:from>
      <xdr:col>1</xdr:col>
      <xdr:colOff>4762</xdr:colOff>
      <xdr:row>19</xdr:row>
      <xdr:rowOff>4762</xdr:rowOff>
    </xdr:from>
    <xdr:to>
      <xdr:col>16</xdr:col>
      <xdr:colOff>56062</xdr:colOff>
      <xdr:row>22</xdr:row>
      <xdr:rowOff>189262</xdr:rowOff>
    </xdr:to>
    <xdr:sp macro="" textlink="">
      <xdr:nvSpPr>
        <xdr:cNvPr id="3" name="ZoneTexte 2"/>
        <xdr:cNvSpPr txBox="1"/>
      </xdr:nvSpPr>
      <xdr:spPr>
        <a:xfrm>
          <a:off x="61912" y="3490912"/>
          <a:ext cx="22444575" cy="756000"/>
        </a:xfrm>
        <a:prstGeom prst="roundRect">
          <a:avLst/>
        </a:prstGeom>
        <a:solidFill>
          <a:schemeClr val="accent4">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solidFill>
                <a:schemeClr val="tx1"/>
              </a:solidFill>
            </a:rPr>
            <a:t>Bilan final GPA HR</a:t>
          </a:r>
        </a:p>
      </xdr:txBody>
    </xdr:sp>
    <xdr:clientData/>
  </xdr:twoCellAnchor>
  <xdr:twoCellAnchor>
    <xdr:from>
      <xdr:col>2</xdr:col>
      <xdr:colOff>85717</xdr:colOff>
      <xdr:row>46</xdr:row>
      <xdr:rowOff>38100</xdr:rowOff>
    </xdr:from>
    <xdr:to>
      <xdr:col>6</xdr:col>
      <xdr:colOff>195067</xdr:colOff>
      <xdr:row>47</xdr:row>
      <xdr:rowOff>135600</xdr:rowOff>
    </xdr:to>
    <xdr:grpSp>
      <xdr:nvGrpSpPr>
        <xdr:cNvPr id="4" name="Groupe 3"/>
        <xdr:cNvGrpSpPr/>
      </xdr:nvGrpSpPr>
      <xdr:grpSpPr>
        <a:xfrm>
          <a:off x="200017" y="15678150"/>
          <a:ext cx="6967350" cy="288000"/>
          <a:chOff x="123817" y="15973425"/>
          <a:chExt cx="6967350" cy="288000"/>
        </a:xfrm>
      </xdr:grpSpPr>
      <xdr:grpSp>
        <xdr:nvGrpSpPr>
          <xdr:cNvPr id="5" name="Groupe 4"/>
          <xdr:cNvGrpSpPr/>
        </xdr:nvGrpSpPr>
        <xdr:grpSpPr>
          <a:xfrm>
            <a:off x="123817" y="15973425"/>
            <a:ext cx="3780000" cy="288000"/>
            <a:chOff x="200025" y="15973425"/>
            <a:chExt cx="3780000" cy="288000"/>
          </a:xfrm>
        </xdr:grpSpPr>
        <xdr:sp macro="" textlink="">
          <xdr:nvSpPr>
            <xdr:cNvPr id="9" name="ZoneTexte 8"/>
            <xdr:cNvSpPr txBox="1"/>
          </xdr:nvSpPr>
          <xdr:spPr>
            <a:xfrm>
              <a:off x="200025" y="15973425"/>
              <a:ext cx="378000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transmises par le référent QE / référent PA</a:t>
              </a:r>
              <a:endParaRPr lang="fr-FR" sz="1000">
                <a:latin typeface="+mn-lt"/>
              </a:endParaRPr>
            </a:p>
          </xdr:txBody>
        </xdr:sp>
        <xdr:sp macro="" textlink="">
          <xdr:nvSpPr>
            <xdr:cNvPr id="10" name="Rectangle 9"/>
            <xdr:cNvSpPr/>
          </xdr:nvSpPr>
          <xdr:spPr>
            <a:xfrm>
              <a:off x="200026" y="16021051"/>
              <a:ext cx="540000" cy="180000"/>
            </a:xfrm>
            <a:prstGeom prst="rect">
              <a:avLst/>
            </a:prstGeom>
            <a:solidFill>
              <a:schemeClr val="accent6">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nvGrpSpPr>
          <xdr:cNvPr id="6" name="Groupe 5"/>
          <xdr:cNvGrpSpPr/>
        </xdr:nvGrpSpPr>
        <xdr:grpSpPr>
          <a:xfrm>
            <a:off x="4067167" y="15973425"/>
            <a:ext cx="3024000" cy="288000"/>
            <a:chOff x="8486774" y="15973424"/>
            <a:chExt cx="3024000" cy="288000"/>
          </a:xfrm>
        </xdr:grpSpPr>
        <xdr:sp macro="" textlink="">
          <xdr:nvSpPr>
            <xdr:cNvPr id="7" name="ZoneTexte 6"/>
            <xdr:cNvSpPr txBox="1"/>
          </xdr:nvSpPr>
          <xdr:spPr>
            <a:xfrm>
              <a:off x="8486774" y="15973424"/>
              <a:ext cx="302400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calculées automatiquement</a:t>
              </a:r>
              <a:endParaRPr lang="fr-FR" sz="1000">
                <a:latin typeface="+mn-lt"/>
              </a:endParaRPr>
            </a:p>
          </xdr:txBody>
        </xdr:sp>
        <xdr:sp macro="" textlink="">
          <xdr:nvSpPr>
            <xdr:cNvPr id="8" name="Rectangle 7"/>
            <xdr:cNvSpPr/>
          </xdr:nvSpPr>
          <xdr:spPr>
            <a:xfrm>
              <a:off x="8486775" y="16021050"/>
              <a:ext cx="540000" cy="180000"/>
            </a:xfrm>
            <a:prstGeom prst="rect">
              <a:avLst/>
            </a:prstGeom>
            <a:solidFill>
              <a:schemeClr val="accent4">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clientData/>
  </xdr:twoCellAnchor>
  <xdr:twoCellAnchor>
    <xdr:from>
      <xdr:col>1</xdr:col>
      <xdr:colOff>4767</xdr:colOff>
      <xdr:row>11</xdr:row>
      <xdr:rowOff>4763</xdr:rowOff>
    </xdr:from>
    <xdr:to>
      <xdr:col>16</xdr:col>
      <xdr:colOff>55673</xdr:colOff>
      <xdr:row>16</xdr:row>
      <xdr:rowOff>189863</xdr:rowOff>
    </xdr:to>
    <xdr:grpSp>
      <xdr:nvGrpSpPr>
        <xdr:cNvPr id="11" name="Groupe 10"/>
        <xdr:cNvGrpSpPr/>
      </xdr:nvGrpSpPr>
      <xdr:grpSpPr>
        <a:xfrm>
          <a:off x="61917" y="1966913"/>
          <a:ext cx="22444181" cy="1137600"/>
          <a:chOff x="61917" y="1966913"/>
          <a:chExt cx="23510981" cy="1137600"/>
        </a:xfrm>
      </xdr:grpSpPr>
      <xdr:sp macro="" textlink="'Feuille Saisie'!E2">
        <xdr:nvSpPr>
          <xdr:cNvPr id="12" name="ZoneTexte 11">
            <a:extLst>
              <a:ext uri="{FF2B5EF4-FFF2-40B4-BE49-F238E27FC236}">
                <a16:creationId xmlns:a16="http://schemas.microsoft.com/office/drawing/2014/main" xmlns="" id="{336C5E17-EF01-43B4-BA2F-2629C9DA112E}"/>
              </a:ext>
            </a:extLst>
          </xdr:cNvPr>
          <xdr:cNvSpPr txBox="1"/>
        </xdr:nvSpPr>
        <xdr:spPr>
          <a:xfrm>
            <a:off x="61917"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78B3FDD3-A508-404A-BE79-B55CD8F614FE}" type="TxLink">
              <a:rPr lang="en-US" sz="1400" b="1" i="0" u="none" strike="noStrike">
                <a:solidFill>
                  <a:srgbClr val="000000"/>
                </a:solidFill>
                <a:latin typeface="Calibri"/>
                <a:cs typeface="Calibri"/>
              </a:rPr>
              <a:pPr>
                <a:lnSpc>
                  <a:spcPts val="3400"/>
                </a:lnSpc>
              </a:pPr>
              <a:t>Agence : EVREUX
Date : 27/02/2019</a:t>
            </a:fld>
            <a:endParaRPr lang="fr-FR" sz="1400" b="1"/>
          </a:p>
        </xdr:txBody>
      </xdr:sp>
      <xdr:sp macro="" textlink="'Feuille Saisie'!E4">
        <xdr:nvSpPr>
          <xdr:cNvPr id="13" name="ZoneTexte 12">
            <a:extLst>
              <a:ext uri="{FF2B5EF4-FFF2-40B4-BE49-F238E27FC236}">
                <a16:creationId xmlns:a16="http://schemas.microsoft.com/office/drawing/2014/main" xmlns="" id="{336C5E17-EF01-43B4-BA2F-2629C9DA112E}"/>
              </a:ext>
            </a:extLst>
          </xdr:cNvPr>
          <xdr:cNvSpPr txBox="1"/>
        </xdr:nvSpPr>
        <xdr:spPr>
          <a:xfrm>
            <a:off x="11872898"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1EE38D43-F033-4B6A-9636-E592408209D7}" type="TxLink">
              <a:rPr lang="en-US" sz="1400" b="1" i="0" u="none" strike="noStrike">
                <a:solidFill>
                  <a:srgbClr val="000000"/>
                </a:solidFill>
                <a:latin typeface="Calibri"/>
                <a:cs typeface="Calibri"/>
              </a:rPr>
              <a:pPr>
                <a:lnSpc>
                  <a:spcPts val="3400"/>
                </a:lnSpc>
              </a:pPr>
              <a:t>Présents : XXXX
Destinataires : XXXX</a:t>
            </a:fld>
            <a:endParaRPr lang="fr-FR" sz="1400" b="1"/>
          </a:p>
        </xdr:txBody>
      </xdr:sp>
    </xdr:grpSp>
    <xdr:clientData/>
  </xdr:twoCellAnchor>
  <xdr:twoCellAnchor>
    <xdr:from>
      <xdr:col>15</xdr:col>
      <xdr:colOff>104775</xdr:colOff>
      <xdr:row>44</xdr:row>
      <xdr:rowOff>180975</xdr:rowOff>
    </xdr:from>
    <xdr:to>
      <xdr:col>16</xdr:col>
      <xdr:colOff>1125</xdr:colOff>
      <xdr:row>49</xdr:row>
      <xdr:rowOff>20488</xdr:rowOff>
    </xdr:to>
    <xdr:grpSp>
      <xdr:nvGrpSpPr>
        <xdr:cNvPr id="14" name="Groupe 13"/>
        <xdr:cNvGrpSpPr/>
      </xdr:nvGrpSpPr>
      <xdr:grpSpPr>
        <a:xfrm>
          <a:off x="15573375" y="15440025"/>
          <a:ext cx="6878175" cy="792013"/>
          <a:chOff x="15554325" y="15449550"/>
          <a:chExt cx="7849725" cy="792013"/>
        </a:xfrm>
      </xdr:grpSpPr>
      <xdr:sp macro="" textlink="">
        <xdr:nvSpPr>
          <xdr:cNvPr id="15" name="ZoneTexte 14"/>
          <xdr:cNvSpPr txBox="1"/>
        </xdr:nvSpPr>
        <xdr:spPr>
          <a:xfrm>
            <a:off x="20007278" y="15449563"/>
            <a:ext cx="3240000" cy="784544"/>
          </a:xfrm>
          <a:prstGeom prst="roundRect">
            <a:avLst/>
          </a:prstGeom>
          <a:no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00000"/>
              </a:lnSpc>
            </a:pPr>
            <a:r>
              <a:rPr lang="fr-FR" sz="1000" b="1" i="1" u="sng" strike="noStrike">
                <a:solidFill>
                  <a:srgbClr val="FF0000"/>
                </a:solidFill>
                <a:latin typeface="Calibri"/>
              </a:rPr>
              <a:t>Rappel des objectifs Phase GPA</a:t>
            </a:r>
            <a:r>
              <a:rPr lang="fr-FR" sz="1100" b="1" i="1" u="sng" strike="noStrike">
                <a:solidFill>
                  <a:srgbClr val="FF0000"/>
                </a:solidFill>
                <a:latin typeface="Calibri"/>
              </a:rPr>
              <a:t/>
            </a:r>
            <a:br>
              <a:rPr lang="fr-FR" sz="1100" b="1" i="1" u="sng" strike="noStrike">
                <a:solidFill>
                  <a:srgbClr val="FF0000"/>
                </a:solidFill>
                <a:latin typeface="Calibri"/>
              </a:rPr>
            </a:br>
            <a:r>
              <a:rPr lang="fr-FR" sz="600" b="1" i="1" u="sng" strike="noStrike">
                <a:solidFill>
                  <a:srgbClr val="FF0000"/>
                </a:solidFill>
                <a:latin typeface="Calibri"/>
              </a:rPr>
              <a:t> </a:t>
            </a:r>
            <a:r>
              <a:rPr lang="fr-FR" sz="1100" b="1" i="1" u="sng" strike="noStrike">
                <a:solidFill>
                  <a:srgbClr val="FF0000"/>
                </a:solidFill>
                <a:latin typeface="Calibri"/>
              </a:rPr>
              <a:t/>
            </a:r>
            <a:br>
              <a:rPr lang="fr-FR" sz="1100" b="1" i="1" u="sng" strike="noStrike">
                <a:solidFill>
                  <a:srgbClr val="FF0000"/>
                </a:solidFill>
                <a:latin typeface="Calibri"/>
              </a:rPr>
            </a:br>
            <a:r>
              <a:rPr lang="fr-FR" sz="1000" b="0" i="0" u="none" strike="noStrike">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a:solidFill>
                  <a:srgbClr val="FF0000"/>
                </a:solidFill>
                <a:latin typeface="Calibri"/>
              </a:rPr>
              <a:t>Délai d'intervention</a:t>
            </a:r>
            <a:r>
              <a:rPr lang="fr-FR" sz="1000" b="0" i="0" u="none" strike="noStrike" baseline="0">
                <a:solidFill>
                  <a:srgbClr val="FF0000"/>
                </a:solidFill>
                <a:latin typeface="Calibri"/>
              </a:rPr>
              <a:t> (Réactivité moyenne) &lt; 15 jours</a:t>
            </a:r>
            <a:br>
              <a:rPr lang="fr-FR" sz="1000" b="0" i="0" u="none" strike="noStrike" baseline="0">
                <a:solidFill>
                  <a:srgbClr val="FF0000"/>
                </a:solidFill>
                <a:latin typeface="Calibri"/>
              </a:rPr>
            </a:br>
            <a:r>
              <a:rPr lang="fr-FR" sz="1000" b="0" i="0" u="none" strike="noStrike" baseline="0">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baseline="0">
                <a:solidFill>
                  <a:srgbClr val="FF0000"/>
                </a:solidFill>
                <a:latin typeface="Calibri"/>
              </a:rPr>
              <a:t>Nombre de réclamations GPA &lt; 1 par logement</a:t>
            </a:r>
            <a:endParaRPr lang="fr-FR" sz="1000" b="0" i="0" u="none" strike="noStrike">
              <a:solidFill>
                <a:srgbClr val="FF0000"/>
              </a:solidFill>
              <a:latin typeface="Calibri"/>
            </a:endParaRPr>
          </a:p>
          <a:p>
            <a:pPr algn="ctr">
              <a:lnSpc>
                <a:spcPct val="100000"/>
              </a:lnSpc>
            </a:pPr>
            <a:endParaRPr lang="fr-FR" sz="1100" b="1" i="1" u="sng" strike="noStrike">
              <a:solidFill>
                <a:srgbClr val="FF6600"/>
              </a:solidFill>
              <a:latin typeface="Calibri"/>
            </a:endParaRPr>
          </a:p>
        </xdr:txBody>
      </xdr:sp>
      <xdr:sp macro="" textlink="">
        <xdr:nvSpPr>
          <xdr:cNvPr id="16" name="ZoneTexte 15"/>
          <xdr:cNvSpPr txBox="1"/>
        </xdr:nvSpPr>
        <xdr:spPr>
          <a:xfrm>
            <a:off x="15706725" y="15449563"/>
            <a:ext cx="4140000" cy="79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50000"/>
              </a:lnSpc>
            </a:pPr>
            <a:r>
              <a:rPr lang="fr-FR" sz="1200" b="1" i="0" u="none" strike="noStrike">
                <a:solidFill>
                  <a:srgbClr val="FF0000"/>
                </a:solidFill>
                <a:effectLst/>
                <a:latin typeface="+mn-lt"/>
                <a:ea typeface="+mn-ea"/>
                <a:cs typeface="+mn-cs"/>
              </a:rPr>
              <a:t>HARMONISER ET RENDRE EFFICIENTE LA GESTION DE LA GPA</a:t>
            </a:r>
            <a:br>
              <a:rPr lang="fr-FR" sz="1200" b="1" i="0" u="none" strike="noStrike">
                <a:solidFill>
                  <a:srgbClr val="FF0000"/>
                </a:solidFill>
                <a:effectLst/>
                <a:latin typeface="+mn-lt"/>
                <a:ea typeface="+mn-ea"/>
                <a:cs typeface="+mn-cs"/>
              </a:rPr>
            </a:br>
            <a:r>
              <a:rPr lang="fr-FR" sz="1200" b="1" i="0" u="none" strike="noStrike">
                <a:solidFill>
                  <a:srgbClr val="FF0000"/>
                </a:solidFill>
                <a:effectLst/>
                <a:latin typeface="+mn-lt"/>
                <a:ea typeface="+mn-ea"/>
                <a:cs typeface="+mn-cs"/>
              </a:rPr>
              <a:t>POUR UNE MEILLEURE SATISFACTION DE NOS CLIENTS</a:t>
            </a:r>
            <a:r>
              <a:rPr lang="fr-FR" sz="1200">
                <a:solidFill>
                  <a:srgbClr val="FF0000"/>
                </a:solidFill>
              </a:rPr>
              <a:t> </a:t>
            </a:r>
            <a:endParaRPr lang="fr-FR" sz="1200" b="0" i="0" u="none" strike="noStrike">
              <a:solidFill>
                <a:srgbClr val="FF0000"/>
              </a:solidFill>
              <a:latin typeface="Calibri"/>
            </a:endParaRPr>
          </a:p>
        </xdr:txBody>
      </xdr:sp>
      <xdr:sp macro="" textlink="">
        <xdr:nvSpPr>
          <xdr:cNvPr id="17" name="Rectangle 16"/>
          <xdr:cNvSpPr/>
        </xdr:nvSpPr>
        <xdr:spPr>
          <a:xfrm>
            <a:off x="155543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8" name="Rectangle 17"/>
          <xdr:cNvSpPr/>
        </xdr:nvSpPr>
        <xdr:spPr>
          <a:xfrm>
            <a:off x="198596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9" name="Rectangle 18"/>
          <xdr:cNvSpPr/>
        </xdr:nvSpPr>
        <xdr:spPr>
          <a:xfrm>
            <a:off x="23260050"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4759</xdr:colOff>
      <xdr:row>1</xdr:row>
      <xdr:rowOff>4763</xdr:rowOff>
    </xdr:from>
    <xdr:to>
      <xdr:col>16</xdr:col>
      <xdr:colOff>56284</xdr:colOff>
      <xdr:row>8</xdr:row>
      <xdr:rowOff>190463</xdr:rowOff>
    </xdr:to>
    <xdr:sp macro="" textlink="">
      <xdr:nvSpPr>
        <xdr:cNvPr id="2" name="ZoneTexte 1"/>
        <xdr:cNvSpPr txBox="1"/>
      </xdr:nvSpPr>
      <xdr:spPr>
        <a:xfrm>
          <a:off x="61909" y="61913"/>
          <a:ext cx="22444800" cy="1519200"/>
        </a:xfrm>
        <a:prstGeom prst="roundRect">
          <a:avLst/>
        </a:prstGeom>
        <a:solidFill>
          <a:schemeClr val="accent6">
            <a:lumMod val="60000"/>
            <a:lumOff val="40000"/>
          </a:schemeClr>
        </a:solidFill>
        <a:ln w="9525" cmpd="sng">
          <a:solidFill>
            <a:schemeClr val="tx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softRound"/>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4400" b="1">
              <a:solidFill>
                <a:schemeClr val="bg1"/>
              </a:solidFill>
            </a:rPr>
            <a:t>POINT BIMESTRIEL PARFAIT ACHEVEMENT</a:t>
          </a:r>
        </a:p>
      </xdr:txBody>
    </xdr:sp>
    <xdr:clientData/>
  </xdr:twoCellAnchor>
  <xdr:twoCellAnchor>
    <xdr:from>
      <xdr:col>1</xdr:col>
      <xdr:colOff>4762</xdr:colOff>
      <xdr:row>19</xdr:row>
      <xdr:rowOff>4762</xdr:rowOff>
    </xdr:from>
    <xdr:to>
      <xdr:col>16</xdr:col>
      <xdr:colOff>56062</xdr:colOff>
      <xdr:row>22</xdr:row>
      <xdr:rowOff>189262</xdr:rowOff>
    </xdr:to>
    <xdr:sp macro="" textlink="">
      <xdr:nvSpPr>
        <xdr:cNvPr id="3" name="ZoneTexte 2"/>
        <xdr:cNvSpPr txBox="1"/>
      </xdr:nvSpPr>
      <xdr:spPr>
        <a:xfrm>
          <a:off x="61912" y="3490912"/>
          <a:ext cx="22444575" cy="756000"/>
        </a:xfrm>
        <a:prstGeom prst="roundRect">
          <a:avLst/>
        </a:prstGeom>
        <a:solidFill>
          <a:schemeClr val="accent4">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solidFill>
                <a:schemeClr val="tx1"/>
              </a:solidFill>
            </a:rPr>
            <a:t>Bilan final GPA OF</a:t>
          </a:r>
        </a:p>
      </xdr:txBody>
    </xdr:sp>
    <xdr:clientData/>
  </xdr:twoCellAnchor>
  <xdr:twoCellAnchor>
    <xdr:from>
      <xdr:col>2</xdr:col>
      <xdr:colOff>85717</xdr:colOff>
      <xdr:row>46</xdr:row>
      <xdr:rowOff>38100</xdr:rowOff>
    </xdr:from>
    <xdr:to>
      <xdr:col>6</xdr:col>
      <xdr:colOff>195067</xdr:colOff>
      <xdr:row>47</xdr:row>
      <xdr:rowOff>135600</xdr:rowOff>
    </xdr:to>
    <xdr:grpSp>
      <xdr:nvGrpSpPr>
        <xdr:cNvPr id="4" name="Groupe 3"/>
        <xdr:cNvGrpSpPr/>
      </xdr:nvGrpSpPr>
      <xdr:grpSpPr>
        <a:xfrm>
          <a:off x="200017" y="15678150"/>
          <a:ext cx="6967350" cy="288000"/>
          <a:chOff x="123817" y="15973425"/>
          <a:chExt cx="6967350" cy="288000"/>
        </a:xfrm>
      </xdr:grpSpPr>
      <xdr:grpSp>
        <xdr:nvGrpSpPr>
          <xdr:cNvPr id="5" name="Groupe 4"/>
          <xdr:cNvGrpSpPr/>
        </xdr:nvGrpSpPr>
        <xdr:grpSpPr>
          <a:xfrm>
            <a:off x="123817" y="15973425"/>
            <a:ext cx="3780000" cy="288000"/>
            <a:chOff x="200025" y="15973425"/>
            <a:chExt cx="3780000" cy="288000"/>
          </a:xfrm>
        </xdr:grpSpPr>
        <xdr:sp macro="" textlink="">
          <xdr:nvSpPr>
            <xdr:cNvPr id="9" name="ZoneTexte 8"/>
            <xdr:cNvSpPr txBox="1"/>
          </xdr:nvSpPr>
          <xdr:spPr>
            <a:xfrm>
              <a:off x="200025" y="15973425"/>
              <a:ext cx="378000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transmises par le référent QE / référent PA</a:t>
              </a:r>
              <a:endParaRPr lang="fr-FR" sz="1000">
                <a:latin typeface="+mn-lt"/>
              </a:endParaRPr>
            </a:p>
          </xdr:txBody>
        </xdr:sp>
        <xdr:sp macro="" textlink="">
          <xdr:nvSpPr>
            <xdr:cNvPr id="10" name="Rectangle 9"/>
            <xdr:cNvSpPr/>
          </xdr:nvSpPr>
          <xdr:spPr>
            <a:xfrm>
              <a:off x="200026" y="16021051"/>
              <a:ext cx="540000" cy="180000"/>
            </a:xfrm>
            <a:prstGeom prst="rect">
              <a:avLst/>
            </a:prstGeom>
            <a:solidFill>
              <a:schemeClr val="accent6">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nvGrpSpPr>
          <xdr:cNvPr id="6" name="Groupe 5"/>
          <xdr:cNvGrpSpPr/>
        </xdr:nvGrpSpPr>
        <xdr:grpSpPr>
          <a:xfrm>
            <a:off x="4067167" y="15973425"/>
            <a:ext cx="3024000" cy="288000"/>
            <a:chOff x="8486774" y="15973424"/>
            <a:chExt cx="3024000" cy="288000"/>
          </a:xfrm>
        </xdr:grpSpPr>
        <xdr:sp macro="" textlink="">
          <xdr:nvSpPr>
            <xdr:cNvPr id="7" name="ZoneTexte 6"/>
            <xdr:cNvSpPr txBox="1"/>
          </xdr:nvSpPr>
          <xdr:spPr>
            <a:xfrm>
              <a:off x="8486774" y="15973424"/>
              <a:ext cx="302400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calculées automatiquement</a:t>
              </a:r>
              <a:endParaRPr lang="fr-FR" sz="1000">
                <a:latin typeface="+mn-lt"/>
              </a:endParaRPr>
            </a:p>
          </xdr:txBody>
        </xdr:sp>
        <xdr:sp macro="" textlink="">
          <xdr:nvSpPr>
            <xdr:cNvPr id="8" name="Rectangle 7"/>
            <xdr:cNvSpPr/>
          </xdr:nvSpPr>
          <xdr:spPr>
            <a:xfrm>
              <a:off x="8486775" y="16021050"/>
              <a:ext cx="540000" cy="180000"/>
            </a:xfrm>
            <a:prstGeom prst="rect">
              <a:avLst/>
            </a:prstGeom>
            <a:solidFill>
              <a:schemeClr val="accent4">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clientData/>
  </xdr:twoCellAnchor>
  <xdr:twoCellAnchor>
    <xdr:from>
      <xdr:col>1</xdr:col>
      <xdr:colOff>4767</xdr:colOff>
      <xdr:row>11</xdr:row>
      <xdr:rowOff>4763</xdr:rowOff>
    </xdr:from>
    <xdr:to>
      <xdr:col>16</xdr:col>
      <xdr:colOff>55673</xdr:colOff>
      <xdr:row>16</xdr:row>
      <xdr:rowOff>189863</xdr:rowOff>
    </xdr:to>
    <xdr:grpSp>
      <xdr:nvGrpSpPr>
        <xdr:cNvPr id="11" name="Groupe 10"/>
        <xdr:cNvGrpSpPr/>
      </xdr:nvGrpSpPr>
      <xdr:grpSpPr>
        <a:xfrm>
          <a:off x="61917" y="1966913"/>
          <a:ext cx="22444181" cy="1137600"/>
          <a:chOff x="61917" y="1966913"/>
          <a:chExt cx="23510981" cy="1137600"/>
        </a:xfrm>
      </xdr:grpSpPr>
      <xdr:sp macro="" textlink="'Feuille Saisie'!E2">
        <xdr:nvSpPr>
          <xdr:cNvPr id="12" name="ZoneTexte 11">
            <a:extLst>
              <a:ext uri="{FF2B5EF4-FFF2-40B4-BE49-F238E27FC236}">
                <a16:creationId xmlns:a16="http://schemas.microsoft.com/office/drawing/2014/main" xmlns="" id="{336C5E17-EF01-43B4-BA2F-2629C9DA112E}"/>
              </a:ext>
            </a:extLst>
          </xdr:cNvPr>
          <xdr:cNvSpPr txBox="1"/>
        </xdr:nvSpPr>
        <xdr:spPr>
          <a:xfrm>
            <a:off x="61917"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78B3FDD3-A508-404A-BE79-B55CD8F614FE}" type="TxLink">
              <a:rPr lang="en-US" sz="1400" b="1" i="0" u="none" strike="noStrike">
                <a:solidFill>
                  <a:srgbClr val="000000"/>
                </a:solidFill>
                <a:latin typeface="Calibri"/>
                <a:cs typeface="Calibri"/>
              </a:rPr>
              <a:pPr>
                <a:lnSpc>
                  <a:spcPts val="3400"/>
                </a:lnSpc>
              </a:pPr>
              <a:t>Agence : EVREUX
Date : 27/02/2019</a:t>
            </a:fld>
            <a:endParaRPr lang="fr-FR" sz="1400" b="1"/>
          </a:p>
        </xdr:txBody>
      </xdr:sp>
      <xdr:sp macro="" textlink="'Feuille Saisie'!E4">
        <xdr:nvSpPr>
          <xdr:cNvPr id="13" name="ZoneTexte 12">
            <a:extLst>
              <a:ext uri="{FF2B5EF4-FFF2-40B4-BE49-F238E27FC236}">
                <a16:creationId xmlns:a16="http://schemas.microsoft.com/office/drawing/2014/main" xmlns="" id="{336C5E17-EF01-43B4-BA2F-2629C9DA112E}"/>
              </a:ext>
            </a:extLst>
          </xdr:cNvPr>
          <xdr:cNvSpPr txBox="1"/>
        </xdr:nvSpPr>
        <xdr:spPr>
          <a:xfrm>
            <a:off x="11872898"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1EE38D43-F033-4B6A-9636-E592408209D7}" type="TxLink">
              <a:rPr lang="en-US" sz="1400" b="1" i="0" u="none" strike="noStrike">
                <a:solidFill>
                  <a:srgbClr val="000000"/>
                </a:solidFill>
                <a:latin typeface="Calibri"/>
                <a:cs typeface="Calibri"/>
              </a:rPr>
              <a:pPr>
                <a:lnSpc>
                  <a:spcPts val="3400"/>
                </a:lnSpc>
              </a:pPr>
              <a:t>Présents : XXXX
Destinataires : XXXX</a:t>
            </a:fld>
            <a:endParaRPr lang="fr-FR" sz="1400" b="1"/>
          </a:p>
        </xdr:txBody>
      </xdr:sp>
    </xdr:grpSp>
    <xdr:clientData/>
  </xdr:twoCellAnchor>
  <xdr:twoCellAnchor>
    <xdr:from>
      <xdr:col>15</xdr:col>
      <xdr:colOff>104775</xdr:colOff>
      <xdr:row>44</xdr:row>
      <xdr:rowOff>180975</xdr:rowOff>
    </xdr:from>
    <xdr:to>
      <xdr:col>16</xdr:col>
      <xdr:colOff>1125</xdr:colOff>
      <xdr:row>49</xdr:row>
      <xdr:rowOff>20488</xdr:rowOff>
    </xdr:to>
    <xdr:grpSp>
      <xdr:nvGrpSpPr>
        <xdr:cNvPr id="14" name="Groupe 13"/>
        <xdr:cNvGrpSpPr/>
      </xdr:nvGrpSpPr>
      <xdr:grpSpPr>
        <a:xfrm>
          <a:off x="15573375" y="15440025"/>
          <a:ext cx="6878175" cy="792013"/>
          <a:chOff x="15554325" y="15449550"/>
          <a:chExt cx="7849725" cy="792013"/>
        </a:xfrm>
      </xdr:grpSpPr>
      <xdr:sp macro="" textlink="">
        <xdr:nvSpPr>
          <xdr:cNvPr id="15" name="ZoneTexte 14"/>
          <xdr:cNvSpPr txBox="1"/>
        </xdr:nvSpPr>
        <xdr:spPr>
          <a:xfrm>
            <a:off x="20007278" y="15449563"/>
            <a:ext cx="3240000" cy="784544"/>
          </a:xfrm>
          <a:prstGeom prst="roundRect">
            <a:avLst/>
          </a:prstGeom>
          <a:no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00000"/>
              </a:lnSpc>
            </a:pPr>
            <a:r>
              <a:rPr lang="fr-FR" sz="1000" b="1" i="1" u="sng" strike="noStrike">
                <a:solidFill>
                  <a:srgbClr val="FF0000"/>
                </a:solidFill>
                <a:latin typeface="Calibri"/>
              </a:rPr>
              <a:t>Rappel des objectifs Phase GPA</a:t>
            </a:r>
            <a:r>
              <a:rPr lang="fr-FR" sz="1100" b="1" i="1" u="sng" strike="noStrike">
                <a:solidFill>
                  <a:srgbClr val="FF0000"/>
                </a:solidFill>
                <a:latin typeface="Calibri"/>
              </a:rPr>
              <a:t/>
            </a:r>
            <a:br>
              <a:rPr lang="fr-FR" sz="1100" b="1" i="1" u="sng" strike="noStrike">
                <a:solidFill>
                  <a:srgbClr val="FF0000"/>
                </a:solidFill>
                <a:latin typeface="Calibri"/>
              </a:rPr>
            </a:br>
            <a:r>
              <a:rPr lang="fr-FR" sz="600" b="1" i="1" u="sng" strike="noStrike">
                <a:solidFill>
                  <a:srgbClr val="FF0000"/>
                </a:solidFill>
                <a:latin typeface="Calibri"/>
              </a:rPr>
              <a:t> </a:t>
            </a:r>
            <a:r>
              <a:rPr lang="fr-FR" sz="1100" b="1" i="1" u="sng" strike="noStrike">
                <a:solidFill>
                  <a:srgbClr val="FF0000"/>
                </a:solidFill>
                <a:latin typeface="Calibri"/>
              </a:rPr>
              <a:t/>
            </a:r>
            <a:br>
              <a:rPr lang="fr-FR" sz="1100" b="1" i="1" u="sng" strike="noStrike">
                <a:solidFill>
                  <a:srgbClr val="FF0000"/>
                </a:solidFill>
                <a:latin typeface="Calibri"/>
              </a:rPr>
            </a:br>
            <a:r>
              <a:rPr lang="fr-FR" sz="1000" b="0" i="0" u="none" strike="noStrike">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a:solidFill>
                  <a:srgbClr val="FF0000"/>
                </a:solidFill>
                <a:latin typeface="Calibri"/>
              </a:rPr>
              <a:t>Délai d'intervention</a:t>
            </a:r>
            <a:r>
              <a:rPr lang="fr-FR" sz="1000" b="0" i="0" u="none" strike="noStrike" baseline="0">
                <a:solidFill>
                  <a:srgbClr val="FF0000"/>
                </a:solidFill>
                <a:latin typeface="Calibri"/>
              </a:rPr>
              <a:t> (Réactivité moyenne) &lt; 15 jours</a:t>
            </a:r>
            <a:br>
              <a:rPr lang="fr-FR" sz="1000" b="0" i="0" u="none" strike="noStrike" baseline="0">
                <a:solidFill>
                  <a:srgbClr val="FF0000"/>
                </a:solidFill>
                <a:latin typeface="Calibri"/>
              </a:rPr>
            </a:br>
            <a:r>
              <a:rPr lang="fr-FR" sz="1000" b="0" i="0" u="none" strike="noStrike" baseline="0">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baseline="0">
                <a:solidFill>
                  <a:srgbClr val="FF0000"/>
                </a:solidFill>
                <a:latin typeface="Calibri"/>
              </a:rPr>
              <a:t>Nombre de réclamations GPA &lt; 1 par logement</a:t>
            </a:r>
            <a:endParaRPr lang="fr-FR" sz="1000" b="0" i="0" u="none" strike="noStrike">
              <a:solidFill>
                <a:srgbClr val="FF0000"/>
              </a:solidFill>
              <a:latin typeface="Calibri"/>
            </a:endParaRPr>
          </a:p>
          <a:p>
            <a:pPr algn="ctr">
              <a:lnSpc>
                <a:spcPct val="100000"/>
              </a:lnSpc>
            </a:pPr>
            <a:endParaRPr lang="fr-FR" sz="1100" b="1" i="1" u="sng" strike="noStrike">
              <a:solidFill>
                <a:srgbClr val="FF6600"/>
              </a:solidFill>
              <a:latin typeface="Calibri"/>
            </a:endParaRPr>
          </a:p>
        </xdr:txBody>
      </xdr:sp>
      <xdr:sp macro="" textlink="">
        <xdr:nvSpPr>
          <xdr:cNvPr id="16" name="ZoneTexte 15"/>
          <xdr:cNvSpPr txBox="1"/>
        </xdr:nvSpPr>
        <xdr:spPr>
          <a:xfrm>
            <a:off x="15706725" y="15449563"/>
            <a:ext cx="4140000" cy="79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50000"/>
              </a:lnSpc>
            </a:pPr>
            <a:r>
              <a:rPr lang="fr-FR" sz="1200" b="1" i="0" u="none" strike="noStrike">
                <a:solidFill>
                  <a:srgbClr val="FF0000"/>
                </a:solidFill>
                <a:effectLst/>
                <a:latin typeface="+mn-lt"/>
                <a:ea typeface="+mn-ea"/>
                <a:cs typeface="+mn-cs"/>
              </a:rPr>
              <a:t>HARMONISER ET RENDRE EFFICIENTE LA GESTION DE LA GPA</a:t>
            </a:r>
            <a:br>
              <a:rPr lang="fr-FR" sz="1200" b="1" i="0" u="none" strike="noStrike">
                <a:solidFill>
                  <a:srgbClr val="FF0000"/>
                </a:solidFill>
                <a:effectLst/>
                <a:latin typeface="+mn-lt"/>
                <a:ea typeface="+mn-ea"/>
                <a:cs typeface="+mn-cs"/>
              </a:rPr>
            </a:br>
            <a:r>
              <a:rPr lang="fr-FR" sz="1200" b="1" i="0" u="none" strike="noStrike">
                <a:solidFill>
                  <a:srgbClr val="FF0000"/>
                </a:solidFill>
                <a:effectLst/>
                <a:latin typeface="+mn-lt"/>
                <a:ea typeface="+mn-ea"/>
                <a:cs typeface="+mn-cs"/>
              </a:rPr>
              <a:t>POUR UNE MEILLEURE SATISFACTION DE NOS CLIENTS</a:t>
            </a:r>
            <a:r>
              <a:rPr lang="fr-FR" sz="1200">
                <a:solidFill>
                  <a:srgbClr val="FF0000"/>
                </a:solidFill>
              </a:rPr>
              <a:t> </a:t>
            </a:r>
            <a:endParaRPr lang="fr-FR" sz="1200" b="0" i="0" u="none" strike="noStrike">
              <a:solidFill>
                <a:srgbClr val="FF0000"/>
              </a:solidFill>
              <a:latin typeface="Calibri"/>
            </a:endParaRPr>
          </a:p>
        </xdr:txBody>
      </xdr:sp>
      <xdr:sp macro="" textlink="">
        <xdr:nvSpPr>
          <xdr:cNvPr id="17" name="Rectangle 16"/>
          <xdr:cNvSpPr/>
        </xdr:nvSpPr>
        <xdr:spPr>
          <a:xfrm>
            <a:off x="155543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8" name="Rectangle 17"/>
          <xdr:cNvSpPr/>
        </xdr:nvSpPr>
        <xdr:spPr>
          <a:xfrm>
            <a:off x="198596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9" name="Rectangle 18"/>
          <xdr:cNvSpPr/>
        </xdr:nvSpPr>
        <xdr:spPr>
          <a:xfrm>
            <a:off x="23260050"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4759</xdr:colOff>
      <xdr:row>1</xdr:row>
      <xdr:rowOff>4763</xdr:rowOff>
    </xdr:from>
    <xdr:to>
      <xdr:col>16</xdr:col>
      <xdr:colOff>56284</xdr:colOff>
      <xdr:row>8</xdr:row>
      <xdr:rowOff>190463</xdr:rowOff>
    </xdr:to>
    <xdr:sp macro="" textlink="">
      <xdr:nvSpPr>
        <xdr:cNvPr id="2" name="ZoneTexte 1"/>
        <xdr:cNvSpPr txBox="1"/>
      </xdr:nvSpPr>
      <xdr:spPr>
        <a:xfrm>
          <a:off x="61909" y="61913"/>
          <a:ext cx="22444800" cy="1519200"/>
        </a:xfrm>
        <a:prstGeom prst="roundRect">
          <a:avLst/>
        </a:prstGeom>
        <a:solidFill>
          <a:schemeClr val="accent6">
            <a:lumMod val="60000"/>
            <a:lumOff val="40000"/>
          </a:schemeClr>
        </a:solidFill>
        <a:ln w="9525" cmpd="sng">
          <a:solidFill>
            <a:schemeClr val="tx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softRound"/>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4400" b="1">
              <a:solidFill>
                <a:schemeClr val="bg1"/>
              </a:solidFill>
            </a:rPr>
            <a:t>POINT BIMESTRIEL PARFAIT ACHEVEMENT</a:t>
          </a:r>
        </a:p>
      </xdr:txBody>
    </xdr:sp>
    <xdr:clientData/>
  </xdr:twoCellAnchor>
  <xdr:twoCellAnchor>
    <xdr:from>
      <xdr:col>1</xdr:col>
      <xdr:colOff>4762</xdr:colOff>
      <xdr:row>19</xdr:row>
      <xdr:rowOff>4762</xdr:rowOff>
    </xdr:from>
    <xdr:to>
      <xdr:col>16</xdr:col>
      <xdr:colOff>56062</xdr:colOff>
      <xdr:row>22</xdr:row>
      <xdr:rowOff>189262</xdr:rowOff>
    </xdr:to>
    <xdr:sp macro="" textlink="">
      <xdr:nvSpPr>
        <xdr:cNvPr id="3" name="ZoneTexte 2"/>
        <xdr:cNvSpPr txBox="1"/>
      </xdr:nvSpPr>
      <xdr:spPr>
        <a:xfrm>
          <a:off x="61912" y="3490912"/>
          <a:ext cx="22444575" cy="756000"/>
        </a:xfrm>
        <a:prstGeom prst="roundRect">
          <a:avLst/>
        </a:prstGeom>
        <a:solidFill>
          <a:schemeClr val="accent4">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solidFill>
                <a:schemeClr val="tx1"/>
              </a:solidFill>
            </a:rPr>
            <a:t>Bilan final GPA IE</a:t>
          </a:r>
        </a:p>
      </xdr:txBody>
    </xdr:sp>
    <xdr:clientData/>
  </xdr:twoCellAnchor>
  <xdr:twoCellAnchor>
    <xdr:from>
      <xdr:col>2</xdr:col>
      <xdr:colOff>85717</xdr:colOff>
      <xdr:row>46</xdr:row>
      <xdr:rowOff>38100</xdr:rowOff>
    </xdr:from>
    <xdr:to>
      <xdr:col>6</xdr:col>
      <xdr:colOff>195067</xdr:colOff>
      <xdr:row>47</xdr:row>
      <xdr:rowOff>135600</xdr:rowOff>
    </xdr:to>
    <xdr:grpSp>
      <xdr:nvGrpSpPr>
        <xdr:cNvPr id="4" name="Groupe 3"/>
        <xdr:cNvGrpSpPr/>
      </xdr:nvGrpSpPr>
      <xdr:grpSpPr>
        <a:xfrm>
          <a:off x="200017" y="15678150"/>
          <a:ext cx="6967350" cy="288000"/>
          <a:chOff x="123817" y="15973425"/>
          <a:chExt cx="6967350" cy="288000"/>
        </a:xfrm>
      </xdr:grpSpPr>
      <xdr:grpSp>
        <xdr:nvGrpSpPr>
          <xdr:cNvPr id="5" name="Groupe 4"/>
          <xdr:cNvGrpSpPr/>
        </xdr:nvGrpSpPr>
        <xdr:grpSpPr>
          <a:xfrm>
            <a:off x="123817" y="15973425"/>
            <a:ext cx="3780000" cy="288000"/>
            <a:chOff x="200025" y="15973425"/>
            <a:chExt cx="3780000" cy="288000"/>
          </a:xfrm>
        </xdr:grpSpPr>
        <xdr:sp macro="" textlink="">
          <xdr:nvSpPr>
            <xdr:cNvPr id="9" name="ZoneTexte 8"/>
            <xdr:cNvSpPr txBox="1"/>
          </xdr:nvSpPr>
          <xdr:spPr>
            <a:xfrm>
              <a:off x="200025" y="15973425"/>
              <a:ext cx="378000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transmises par le référent QE / référent PA</a:t>
              </a:r>
              <a:endParaRPr lang="fr-FR" sz="1000">
                <a:latin typeface="+mn-lt"/>
              </a:endParaRPr>
            </a:p>
          </xdr:txBody>
        </xdr:sp>
        <xdr:sp macro="" textlink="">
          <xdr:nvSpPr>
            <xdr:cNvPr id="10" name="Rectangle 9"/>
            <xdr:cNvSpPr/>
          </xdr:nvSpPr>
          <xdr:spPr>
            <a:xfrm>
              <a:off x="200026" y="16021051"/>
              <a:ext cx="540000" cy="180000"/>
            </a:xfrm>
            <a:prstGeom prst="rect">
              <a:avLst/>
            </a:prstGeom>
            <a:solidFill>
              <a:schemeClr val="accent6">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nvGrpSpPr>
          <xdr:cNvPr id="6" name="Groupe 5"/>
          <xdr:cNvGrpSpPr/>
        </xdr:nvGrpSpPr>
        <xdr:grpSpPr>
          <a:xfrm>
            <a:off x="4067167" y="15973425"/>
            <a:ext cx="3024000" cy="288000"/>
            <a:chOff x="8486774" y="15973424"/>
            <a:chExt cx="3024000" cy="288000"/>
          </a:xfrm>
        </xdr:grpSpPr>
        <xdr:sp macro="" textlink="">
          <xdr:nvSpPr>
            <xdr:cNvPr id="7" name="ZoneTexte 6"/>
            <xdr:cNvSpPr txBox="1"/>
          </xdr:nvSpPr>
          <xdr:spPr>
            <a:xfrm>
              <a:off x="8486774" y="15973424"/>
              <a:ext cx="302400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calculées automatiquement</a:t>
              </a:r>
              <a:endParaRPr lang="fr-FR" sz="1000">
                <a:latin typeface="+mn-lt"/>
              </a:endParaRPr>
            </a:p>
          </xdr:txBody>
        </xdr:sp>
        <xdr:sp macro="" textlink="">
          <xdr:nvSpPr>
            <xdr:cNvPr id="8" name="Rectangle 7"/>
            <xdr:cNvSpPr/>
          </xdr:nvSpPr>
          <xdr:spPr>
            <a:xfrm>
              <a:off x="8486775" y="16021050"/>
              <a:ext cx="540000" cy="180000"/>
            </a:xfrm>
            <a:prstGeom prst="rect">
              <a:avLst/>
            </a:prstGeom>
            <a:solidFill>
              <a:schemeClr val="accent4">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clientData/>
  </xdr:twoCellAnchor>
  <xdr:twoCellAnchor>
    <xdr:from>
      <xdr:col>1</xdr:col>
      <xdr:colOff>4767</xdr:colOff>
      <xdr:row>11</xdr:row>
      <xdr:rowOff>4763</xdr:rowOff>
    </xdr:from>
    <xdr:to>
      <xdr:col>16</xdr:col>
      <xdr:colOff>55673</xdr:colOff>
      <xdr:row>16</xdr:row>
      <xdr:rowOff>189863</xdr:rowOff>
    </xdr:to>
    <xdr:grpSp>
      <xdr:nvGrpSpPr>
        <xdr:cNvPr id="11" name="Groupe 10"/>
        <xdr:cNvGrpSpPr/>
      </xdr:nvGrpSpPr>
      <xdr:grpSpPr>
        <a:xfrm>
          <a:off x="61917" y="1966913"/>
          <a:ext cx="22444181" cy="1137600"/>
          <a:chOff x="61917" y="1966913"/>
          <a:chExt cx="23510981" cy="1137600"/>
        </a:xfrm>
      </xdr:grpSpPr>
      <xdr:sp macro="" textlink="'Feuille Saisie'!E2">
        <xdr:nvSpPr>
          <xdr:cNvPr id="12" name="ZoneTexte 11">
            <a:extLst>
              <a:ext uri="{FF2B5EF4-FFF2-40B4-BE49-F238E27FC236}">
                <a16:creationId xmlns:a16="http://schemas.microsoft.com/office/drawing/2014/main" xmlns="" id="{336C5E17-EF01-43B4-BA2F-2629C9DA112E}"/>
              </a:ext>
            </a:extLst>
          </xdr:cNvPr>
          <xdr:cNvSpPr txBox="1"/>
        </xdr:nvSpPr>
        <xdr:spPr>
          <a:xfrm>
            <a:off x="61917"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78B3FDD3-A508-404A-BE79-B55CD8F614FE}" type="TxLink">
              <a:rPr lang="en-US" sz="1400" b="1" i="0" u="none" strike="noStrike">
                <a:solidFill>
                  <a:srgbClr val="000000"/>
                </a:solidFill>
                <a:latin typeface="Calibri"/>
                <a:cs typeface="Calibri"/>
              </a:rPr>
              <a:pPr>
                <a:lnSpc>
                  <a:spcPts val="3400"/>
                </a:lnSpc>
              </a:pPr>
              <a:t>Agence : EVREUX
Date : 27/02/2019</a:t>
            </a:fld>
            <a:endParaRPr lang="fr-FR" sz="1400" b="1"/>
          </a:p>
        </xdr:txBody>
      </xdr:sp>
      <xdr:sp macro="" textlink="'Feuille Saisie'!E4">
        <xdr:nvSpPr>
          <xdr:cNvPr id="13" name="ZoneTexte 12">
            <a:extLst>
              <a:ext uri="{FF2B5EF4-FFF2-40B4-BE49-F238E27FC236}">
                <a16:creationId xmlns:a16="http://schemas.microsoft.com/office/drawing/2014/main" xmlns="" id="{336C5E17-EF01-43B4-BA2F-2629C9DA112E}"/>
              </a:ext>
            </a:extLst>
          </xdr:cNvPr>
          <xdr:cNvSpPr txBox="1"/>
        </xdr:nvSpPr>
        <xdr:spPr>
          <a:xfrm>
            <a:off x="11872898"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1EE38D43-F033-4B6A-9636-E592408209D7}" type="TxLink">
              <a:rPr lang="en-US" sz="1400" b="1" i="0" u="none" strike="noStrike">
                <a:solidFill>
                  <a:srgbClr val="000000"/>
                </a:solidFill>
                <a:latin typeface="Calibri"/>
                <a:cs typeface="Calibri"/>
              </a:rPr>
              <a:pPr>
                <a:lnSpc>
                  <a:spcPts val="3400"/>
                </a:lnSpc>
              </a:pPr>
              <a:t>Présents : XXXX
Destinataires : XXXX</a:t>
            </a:fld>
            <a:endParaRPr lang="fr-FR" sz="1400" b="1"/>
          </a:p>
        </xdr:txBody>
      </xdr:sp>
    </xdr:grpSp>
    <xdr:clientData/>
  </xdr:twoCellAnchor>
  <xdr:twoCellAnchor>
    <xdr:from>
      <xdr:col>15</xdr:col>
      <xdr:colOff>104775</xdr:colOff>
      <xdr:row>44</xdr:row>
      <xdr:rowOff>180975</xdr:rowOff>
    </xdr:from>
    <xdr:to>
      <xdr:col>16</xdr:col>
      <xdr:colOff>1125</xdr:colOff>
      <xdr:row>49</xdr:row>
      <xdr:rowOff>20488</xdr:rowOff>
    </xdr:to>
    <xdr:grpSp>
      <xdr:nvGrpSpPr>
        <xdr:cNvPr id="14" name="Groupe 13"/>
        <xdr:cNvGrpSpPr/>
      </xdr:nvGrpSpPr>
      <xdr:grpSpPr>
        <a:xfrm>
          <a:off x="15573375" y="15440025"/>
          <a:ext cx="6878175" cy="792013"/>
          <a:chOff x="15554325" y="15449550"/>
          <a:chExt cx="7849725" cy="792013"/>
        </a:xfrm>
      </xdr:grpSpPr>
      <xdr:sp macro="" textlink="">
        <xdr:nvSpPr>
          <xdr:cNvPr id="15" name="ZoneTexte 14"/>
          <xdr:cNvSpPr txBox="1"/>
        </xdr:nvSpPr>
        <xdr:spPr>
          <a:xfrm>
            <a:off x="20007278" y="15449563"/>
            <a:ext cx="3240000" cy="784544"/>
          </a:xfrm>
          <a:prstGeom prst="roundRect">
            <a:avLst/>
          </a:prstGeom>
          <a:no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00000"/>
              </a:lnSpc>
            </a:pPr>
            <a:r>
              <a:rPr lang="fr-FR" sz="1000" b="1" i="1" u="sng" strike="noStrike">
                <a:solidFill>
                  <a:srgbClr val="FF0000"/>
                </a:solidFill>
                <a:latin typeface="Calibri"/>
              </a:rPr>
              <a:t>Rappel des objectifs Phase GPA</a:t>
            </a:r>
            <a:r>
              <a:rPr lang="fr-FR" sz="1100" b="1" i="1" u="sng" strike="noStrike">
                <a:solidFill>
                  <a:srgbClr val="FF0000"/>
                </a:solidFill>
                <a:latin typeface="Calibri"/>
              </a:rPr>
              <a:t/>
            </a:r>
            <a:br>
              <a:rPr lang="fr-FR" sz="1100" b="1" i="1" u="sng" strike="noStrike">
                <a:solidFill>
                  <a:srgbClr val="FF0000"/>
                </a:solidFill>
                <a:latin typeface="Calibri"/>
              </a:rPr>
            </a:br>
            <a:r>
              <a:rPr lang="fr-FR" sz="600" b="1" i="1" u="sng" strike="noStrike">
                <a:solidFill>
                  <a:srgbClr val="FF0000"/>
                </a:solidFill>
                <a:latin typeface="Calibri"/>
              </a:rPr>
              <a:t> </a:t>
            </a:r>
            <a:r>
              <a:rPr lang="fr-FR" sz="1100" b="1" i="1" u="sng" strike="noStrike">
                <a:solidFill>
                  <a:srgbClr val="FF0000"/>
                </a:solidFill>
                <a:latin typeface="Calibri"/>
              </a:rPr>
              <a:t/>
            </a:r>
            <a:br>
              <a:rPr lang="fr-FR" sz="1100" b="1" i="1" u="sng" strike="noStrike">
                <a:solidFill>
                  <a:srgbClr val="FF0000"/>
                </a:solidFill>
                <a:latin typeface="Calibri"/>
              </a:rPr>
            </a:br>
            <a:r>
              <a:rPr lang="fr-FR" sz="1000" b="0" i="0" u="none" strike="noStrike">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a:solidFill>
                  <a:srgbClr val="FF0000"/>
                </a:solidFill>
                <a:latin typeface="Calibri"/>
              </a:rPr>
              <a:t>Délai d'intervention</a:t>
            </a:r>
            <a:r>
              <a:rPr lang="fr-FR" sz="1000" b="0" i="0" u="none" strike="noStrike" baseline="0">
                <a:solidFill>
                  <a:srgbClr val="FF0000"/>
                </a:solidFill>
                <a:latin typeface="Calibri"/>
              </a:rPr>
              <a:t> (Réactivité moyenne) &lt; 15 jours</a:t>
            </a:r>
            <a:br>
              <a:rPr lang="fr-FR" sz="1000" b="0" i="0" u="none" strike="noStrike" baseline="0">
                <a:solidFill>
                  <a:srgbClr val="FF0000"/>
                </a:solidFill>
                <a:latin typeface="Calibri"/>
              </a:rPr>
            </a:br>
            <a:r>
              <a:rPr lang="fr-FR" sz="1000" b="0" i="0" u="none" strike="noStrike" baseline="0">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baseline="0">
                <a:solidFill>
                  <a:srgbClr val="FF0000"/>
                </a:solidFill>
                <a:latin typeface="Calibri"/>
              </a:rPr>
              <a:t>Nombre de réclamations GPA &lt; 1 par logement</a:t>
            </a:r>
            <a:endParaRPr lang="fr-FR" sz="1000" b="0" i="0" u="none" strike="noStrike">
              <a:solidFill>
                <a:srgbClr val="FF0000"/>
              </a:solidFill>
              <a:latin typeface="Calibri"/>
            </a:endParaRPr>
          </a:p>
          <a:p>
            <a:pPr algn="ctr">
              <a:lnSpc>
                <a:spcPct val="100000"/>
              </a:lnSpc>
            </a:pPr>
            <a:endParaRPr lang="fr-FR" sz="1100" b="1" i="1" u="sng" strike="noStrike">
              <a:solidFill>
                <a:srgbClr val="FF6600"/>
              </a:solidFill>
              <a:latin typeface="Calibri"/>
            </a:endParaRPr>
          </a:p>
        </xdr:txBody>
      </xdr:sp>
      <xdr:sp macro="" textlink="">
        <xdr:nvSpPr>
          <xdr:cNvPr id="16" name="ZoneTexte 15"/>
          <xdr:cNvSpPr txBox="1"/>
        </xdr:nvSpPr>
        <xdr:spPr>
          <a:xfrm>
            <a:off x="15706725" y="15449563"/>
            <a:ext cx="4140000" cy="79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50000"/>
              </a:lnSpc>
            </a:pPr>
            <a:r>
              <a:rPr lang="fr-FR" sz="1200" b="1" i="0" u="none" strike="noStrike">
                <a:solidFill>
                  <a:srgbClr val="FF0000"/>
                </a:solidFill>
                <a:effectLst/>
                <a:latin typeface="+mn-lt"/>
                <a:ea typeface="+mn-ea"/>
                <a:cs typeface="+mn-cs"/>
              </a:rPr>
              <a:t>HARMONISER ET RENDRE EFFICIENTE LA GESTION DE LA GPA</a:t>
            </a:r>
            <a:br>
              <a:rPr lang="fr-FR" sz="1200" b="1" i="0" u="none" strike="noStrike">
                <a:solidFill>
                  <a:srgbClr val="FF0000"/>
                </a:solidFill>
                <a:effectLst/>
                <a:latin typeface="+mn-lt"/>
                <a:ea typeface="+mn-ea"/>
                <a:cs typeface="+mn-cs"/>
              </a:rPr>
            </a:br>
            <a:r>
              <a:rPr lang="fr-FR" sz="1200" b="1" i="0" u="none" strike="noStrike">
                <a:solidFill>
                  <a:srgbClr val="FF0000"/>
                </a:solidFill>
                <a:effectLst/>
                <a:latin typeface="+mn-lt"/>
                <a:ea typeface="+mn-ea"/>
                <a:cs typeface="+mn-cs"/>
              </a:rPr>
              <a:t>POUR UNE MEILLEURE SATISFACTION DE NOS CLIENTS</a:t>
            </a:r>
            <a:r>
              <a:rPr lang="fr-FR" sz="1200">
                <a:solidFill>
                  <a:srgbClr val="FF0000"/>
                </a:solidFill>
              </a:rPr>
              <a:t> </a:t>
            </a:r>
            <a:endParaRPr lang="fr-FR" sz="1200" b="0" i="0" u="none" strike="noStrike">
              <a:solidFill>
                <a:srgbClr val="FF0000"/>
              </a:solidFill>
              <a:latin typeface="Calibri"/>
            </a:endParaRPr>
          </a:p>
        </xdr:txBody>
      </xdr:sp>
      <xdr:sp macro="" textlink="">
        <xdr:nvSpPr>
          <xdr:cNvPr id="17" name="Rectangle 16"/>
          <xdr:cNvSpPr/>
        </xdr:nvSpPr>
        <xdr:spPr>
          <a:xfrm>
            <a:off x="155543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8" name="Rectangle 17"/>
          <xdr:cNvSpPr/>
        </xdr:nvSpPr>
        <xdr:spPr>
          <a:xfrm>
            <a:off x="198596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9" name="Rectangle 18"/>
          <xdr:cNvSpPr/>
        </xdr:nvSpPr>
        <xdr:spPr>
          <a:xfrm>
            <a:off x="23260050"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4760</xdr:colOff>
      <xdr:row>1</xdr:row>
      <xdr:rowOff>4763</xdr:rowOff>
    </xdr:from>
    <xdr:to>
      <xdr:col>11</xdr:col>
      <xdr:colOff>260</xdr:colOff>
      <xdr:row>8</xdr:row>
      <xdr:rowOff>190463</xdr:rowOff>
    </xdr:to>
    <xdr:sp macro="" textlink="">
      <xdr:nvSpPr>
        <xdr:cNvPr id="3" name="ZoneTexte 2"/>
        <xdr:cNvSpPr txBox="1"/>
      </xdr:nvSpPr>
      <xdr:spPr>
        <a:xfrm>
          <a:off x="61910" y="61913"/>
          <a:ext cx="21833150" cy="1519200"/>
        </a:xfrm>
        <a:prstGeom prst="roundRect">
          <a:avLst/>
        </a:prstGeom>
        <a:solidFill>
          <a:schemeClr val="accent6">
            <a:lumMod val="60000"/>
            <a:lumOff val="40000"/>
          </a:schemeClr>
        </a:solidFill>
        <a:ln w="9525" cmpd="sng">
          <a:solidFill>
            <a:schemeClr val="tx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softRound"/>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4400" b="1">
              <a:solidFill>
                <a:schemeClr val="bg1"/>
              </a:solidFill>
            </a:rPr>
            <a:t>POINT BIMESTRIEL PARFAIT ACHEVEMENT - Plan d'actions</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4759</xdr:colOff>
      <xdr:row>1</xdr:row>
      <xdr:rowOff>4763</xdr:rowOff>
    </xdr:from>
    <xdr:to>
      <xdr:col>16</xdr:col>
      <xdr:colOff>56284</xdr:colOff>
      <xdr:row>8</xdr:row>
      <xdr:rowOff>190463</xdr:rowOff>
    </xdr:to>
    <xdr:sp macro="" textlink="">
      <xdr:nvSpPr>
        <xdr:cNvPr id="2" name="ZoneTexte 1"/>
        <xdr:cNvSpPr txBox="1"/>
      </xdr:nvSpPr>
      <xdr:spPr>
        <a:xfrm>
          <a:off x="61909" y="61913"/>
          <a:ext cx="22444800" cy="1519200"/>
        </a:xfrm>
        <a:prstGeom prst="roundRect">
          <a:avLst/>
        </a:prstGeom>
        <a:solidFill>
          <a:schemeClr val="accent6">
            <a:lumMod val="60000"/>
            <a:lumOff val="40000"/>
          </a:schemeClr>
        </a:solidFill>
        <a:ln w="9525" cmpd="sng">
          <a:solidFill>
            <a:schemeClr val="tx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softRound"/>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4400" b="1">
              <a:solidFill>
                <a:schemeClr val="bg1"/>
              </a:solidFill>
            </a:rPr>
            <a:t>POINT BIMESTRIEL PARFAIT ACHEVEMENT</a:t>
          </a:r>
        </a:p>
      </xdr:txBody>
    </xdr:sp>
    <xdr:clientData/>
  </xdr:twoCellAnchor>
  <xdr:twoCellAnchor>
    <xdr:from>
      <xdr:col>1</xdr:col>
      <xdr:colOff>4762</xdr:colOff>
      <xdr:row>19</xdr:row>
      <xdr:rowOff>4762</xdr:rowOff>
    </xdr:from>
    <xdr:to>
      <xdr:col>16</xdr:col>
      <xdr:colOff>56062</xdr:colOff>
      <xdr:row>22</xdr:row>
      <xdr:rowOff>189262</xdr:rowOff>
    </xdr:to>
    <xdr:sp macro="" textlink="">
      <xdr:nvSpPr>
        <xdr:cNvPr id="3" name="ZoneTexte 2"/>
        <xdr:cNvSpPr txBox="1"/>
      </xdr:nvSpPr>
      <xdr:spPr>
        <a:xfrm>
          <a:off x="61912" y="3490912"/>
          <a:ext cx="22444575" cy="756000"/>
        </a:xfrm>
        <a:prstGeom prst="roundRect">
          <a:avLst/>
        </a:prstGeom>
        <a:solidFill>
          <a:schemeClr val="accent4">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solidFill>
                <a:schemeClr val="tx1"/>
              </a:solidFill>
            </a:rPr>
            <a:t>Bilan  intermédiaire GPA</a:t>
          </a:r>
          <a:r>
            <a:rPr lang="fr-FR" sz="1400" b="1" baseline="0">
              <a:solidFill>
                <a:schemeClr val="tx1"/>
              </a:solidFill>
            </a:rPr>
            <a:t> HN</a:t>
          </a:r>
          <a:endParaRPr lang="fr-FR" sz="1400" b="1">
            <a:solidFill>
              <a:schemeClr val="tx1"/>
            </a:solidFill>
          </a:endParaRPr>
        </a:p>
      </xdr:txBody>
    </xdr:sp>
    <xdr:clientData/>
  </xdr:twoCellAnchor>
  <xdr:twoCellAnchor>
    <xdr:from>
      <xdr:col>2</xdr:col>
      <xdr:colOff>85717</xdr:colOff>
      <xdr:row>46</xdr:row>
      <xdr:rowOff>38100</xdr:rowOff>
    </xdr:from>
    <xdr:to>
      <xdr:col>6</xdr:col>
      <xdr:colOff>195067</xdr:colOff>
      <xdr:row>47</xdr:row>
      <xdr:rowOff>135600</xdr:rowOff>
    </xdr:to>
    <xdr:grpSp>
      <xdr:nvGrpSpPr>
        <xdr:cNvPr id="4" name="Groupe 3"/>
        <xdr:cNvGrpSpPr/>
      </xdr:nvGrpSpPr>
      <xdr:grpSpPr>
        <a:xfrm>
          <a:off x="200017" y="15678150"/>
          <a:ext cx="6967350" cy="288000"/>
          <a:chOff x="123817" y="15973425"/>
          <a:chExt cx="6967350" cy="288000"/>
        </a:xfrm>
      </xdr:grpSpPr>
      <xdr:grpSp>
        <xdr:nvGrpSpPr>
          <xdr:cNvPr id="5" name="Groupe 4"/>
          <xdr:cNvGrpSpPr/>
        </xdr:nvGrpSpPr>
        <xdr:grpSpPr>
          <a:xfrm>
            <a:off x="123817" y="15973425"/>
            <a:ext cx="3780000" cy="288000"/>
            <a:chOff x="200025" y="15973425"/>
            <a:chExt cx="3780000" cy="288000"/>
          </a:xfrm>
        </xdr:grpSpPr>
        <xdr:sp macro="" textlink="">
          <xdr:nvSpPr>
            <xdr:cNvPr id="9" name="ZoneTexte 8"/>
            <xdr:cNvSpPr txBox="1"/>
          </xdr:nvSpPr>
          <xdr:spPr>
            <a:xfrm>
              <a:off x="200025" y="15973425"/>
              <a:ext cx="378000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transmises par le référent QE / référent PA</a:t>
              </a:r>
              <a:endParaRPr lang="fr-FR" sz="1000">
                <a:latin typeface="+mn-lt"/>
              </a:endParaRPr>
            </a:p>
          </xdr:txBody>
        </xdr:sp>
        <xdr:sp macro="" textlink="">
          <xdr:nvSpPr>
            <xdr:cNvPr id="10" name="Rectangle 9"/>
            <xdr:cNvSpPr/>
          </xdr:nvSpPr>
          <xdr:spPr>
            <a:xfrm>
              <a:off x="200026" y="16021051"/>
              <a:ext cx="540000" cy="180000"/>
            </a:xfrm>
            <a:prstGeom prst="rect">
              <a:avLst/>
            </a:prstGeom>
            <a:solidFill>
              <a:schemeClr val="accent6">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nvGrpSpPr>
          <xdr:cNvPr id="6" name="Groupe 5"/>
          <xdr:cNvGrpSpPr/>
        </xdr:nvGrpSpPr>
        <xdr:grpSpPr>
          <a:xfrm>
            <a:off x="4067167" y="15973425"/>
            <a:ext cx="3024000" cy="288000"/>
            <a:chOff x="8486774" y="15973424"/>
            <a:chExt cx="3024000" cy="288000"/>
          </a:xfrm>
        </xdr:grpSpPr>
        <xdr:sp macro="" textlink="">
          <xdr:nvSpPr>
            <xdr:cNvPr id="7" name="ZoneTexte 6"/>
            <xdr:cNvSpPr txBox="1"/>
          </xdr:nvSpPr>
          <xdr:spPr>
            <a:xfrm>
              <a:off x="8486774" y="15973424"/>
              <a:ext cx="302400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calculées automatiquement</a:t>
              </a:r>
              <a:endParaRPr lang="fr-FR" sz="1000">
                <a:latin typeface="+mn-lt"/>
              </a:endParaRPr>
            </a:p>
          </xdr:txBody>
        </xdr:sp>
        <xdr:sp macro="" textlink="">
          <xdr:nvSpPr>
            <xdr:cNvPr id="8" name="Rectangle 7"/>
            <xdr:cNvSpPr/>
          </xdr:nvSpPr>
          <xdr:spPr>
            <a:xfrm>
              <a:off x="8486775" y="16021050"/>
              <a:ext cx="540000" cy="180000"/>
            </a:xfrm>
            <a:prstGeom prst="rect">
              <a:avLst/>
            </a:prstGeom>
            <a:solidFill>
              <a:schemeClr val="accent4">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clientData/>
  </xdr:twoCellAnchor>
  <xdr:twoCellAnchor>
    <xdr:from>
      <xdr:col>1</xdr:col>
      <xdr:colOff>4767</xdr:colOff>
      <xdr:row>11</xdr:row>
      <xdr:rowOff>4763</xdr:rowOff>
    </xdr:from>
    <xdr:to>
      <xdr:col>16</xdr:col>
      <xdr:colOff>55673</xdr:colOff>
      <xdr:row>16</xdr:row>
      <xdr:rowOff>189863</xdr:rowOff>
    </xdr:to>
    <xdr:grpSp>
      <xdr:nvGrpSpPr>
        <xdr:cNvPr id="11" name="Groupe 10"/>
        <xdr:cNvGrpSpPr/>
      </xdr:nvGrpSpPr>
      <xdr:grpSpPr>
        <a:xfrm>
          <a:off x="61917" y="1966913"/>
          <a:ext cx="22444181" cy="1137600"/>
          <a:chOff x="61917" y="1966913"/>
          <a:chExt cx="23510981" cy="1137600"/>
        </a:xfrm>
      </xdr:grpSpPr>
      <xdr:sp macro="" textlink="'Feuille Saisie'!E2">
        <xdr:nvSpPr>
          <xdr:cNvPr id="12" name="ZoneTexte 11">
            <a:extLst>
              <a:ext uri="{FF2B5EF4-FFF2-40B4-BE49-F238E27FC236}">
                <a16:creationId xmlns:a16="http://schemas.microsoft.com/office/drawing/2014/main" xmlns="" id="{336C5E17-EF01-43B4-BA2F-2629C9DA112E}"/>
              </a:ext>
            </a:extLst>
          </xdr:cNvPr>
          <xdr:cNvSpPr txBox="1"/>
        </xdr:nvSpPr>
        <xdr:spPr>
          <a:xfrm>
            <a:off x="61917"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78B3FDD3-A508-404A-BE79-B55CD8F614FE}" type="TxLink">
              <a:rPr lang="en-US" sz="1400" b="1" i="0" u="none" strike="noStrike">
                <a:solidFill>
                  <a:srgbClr val="000000"/>
                </a:solidFill>
                <a:latin typeface="Calibri"/>
                <a:cs typeface="Calibri"/>
              </a:rPr>
              <a:pPr>
                <a:lnSpc>
                  <a:spcPts val="3400"/>
                </a:lnSpc>
              </a:pPr>
              <a:t>Agence : EVREUX
Date : 27/02/2019</a:t>
            </a:fld>
            <a:endParaRPr lang="fr-FR" sz="1400" b="1"/>
          </a:p>
        </xdr:txBody>
      </xdr:sp>
      <xdr:sp macro="" textlink="'Feuille Saisie'!E4">
        <xdr:nvSpPr>
          <xdr:cNvPr id="13" name="ZoneTexte 12">
            <a:extLst>
              <a:ext uri="{FF2B5EF4-FFF2-40B4-BE49-F238E27FC236}">
                <a16:creationId xmlns:a16="http://schemas.microsoft.com/office/drawing/2014/main" xmlns="" id="{336C5E17-EF01-43B4-BA2F-2629C9DA112E}"/>
              </a:ext>
            </a:extLst>
          </xdr:cNvPr>
          <xdr:cNvSpPr txBox="1"/>
        </xdr:nvSpPr>
        <xdr:spPr>
          <a:xfrm>
            <a:off x="11872898"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1EE38D43-F033-4B6A-9636-E592408209D7}" type="TxLink">
              <a:rPr lang="en-US" sz="1400" b="1" i="0" u="none" strike="noStrike">
                <a:solidFill>
                  <a:srgbClr val="000000"/>
                </a:solidFill>
                <a:latin typeface="Calibri"/>
                <a:cs typeface="Calibri"/>
              </a:rPr>
              <a:pPr>
                <a:lnSpc>
                  <a:spcPts val="3400"/>
                </a:lnSpc>
              </a:pPr>
              <a:t>Présents : XXXX
Destinataires : XXXX</a:t>
            </a:fld>
            <a:endParaRPr lang="fr-FR" sz="1400" b="1"/>
          </a:p>
        </xdr:txBody>
      </xdr:sp>
    </xdr:grpSp>
    <xdr:clientData/>
  </xdr:twoCellAnchor>
  <xdr:twoCellAnchor>
    <xdr:from>
      <xdr:col>15</xdr:col>
      <xdr:colOff>104775</xdr:colOff>
      <xdr:row>44</xdr:row>
      <xdr:rowOff>180975</xdr:rowOff>
    </xdr:from>
    <xdr:to>
      <xdr:col>16</xdr:col>
      <xdr:colOff>1125</xdr:colOff>
      <xdr:row>49</xdr:row>
      <xdr:rowOff>20488</xdr:rowOff>
    </xdr:to>
    <xdr:grpSp>
      <xdr:nvGrpSpPr>
        <xdr:cNvPr id="14" name="Groupe 13"/>
        <xdr:cNvGrpSpPr/>
      </xdr:nvGrpSpPr>
      <xdr:grpSpPr>
        <a:xfrm>
          <a:off x="15573375" y="15440025"/>
          <a:ext cx="6878175" cy="792013"/>
          <a:chOff x="15554325" y="15449550"/>
          <a:chExt cx="7849725" cy="792013"/>
        </a:xfrm>
      </xdr:grpSpPr>
      <xdr:sp macro="" textlink="">
        <xdr:nvSpPr>
          <xdr:cNvPr id="15" name="ZoneTexte 14"/>
          <xdr:cNvSpPr txBox="1"/>
        </xdr:nvSpPr>
        <xdr:spPr>
          <a:xfrm>
            <a:off x="20007278" y="15449563"/>
            <a:ext cx="3240000" cy="784544"/>
          </a:xfrm>
          <a:prstGeom prst="roundRect">
            <a:avLst/>
          </a:prstGeom>
          <a:no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00000"/>
              </a:lnSpc>
            </a:pPr>
            <a:r>
              <a:rPr lang="fr-FR" sz="1000" b="1" i="1" u="sng" strike="noStrike">
                <a:solidFill>
                  <a:srgbClr val="FF0000"/>
                </a:solidFill>
                <a:latin typeface="Calibri"/>
              </a:rPr>
              <a:t>Rappel des objectifs Phase GPA</a:t>
            </a:r>
            <a:r>
              <a:rPr lang="fr-FR" sz="1100" b="1" i="1" u="sng" strike="noStrike">
                <a:solidFill>
                  <a:srgbClr val="FF0000"/>
                </a:solidFill>
                <a:latin typeface="Calibri"/>
              </a:rPr>
              <a:t/>
            </a:r>
            <a:br>
              <a:rPr lang="fr-FR" sz="1100" b="1" i="1" u="sng" strike="noStrike">
                <a:solidFill>
                  <a:srgbClr val="FF0000"/>
                </a:solidFill>
                <a:latin typeface="Calibri"/>
              </a:rPr>
            </a:br>
            <a:r>
              <a:rPr lang="fr-FR" sz="600" b="1" i="1" u="sng" strike="noStrike">
                <a:solidFill>
                  <a:srgbClr val="FF0000"/>
                </a:solidFill>
                <a:latin typeface="Calibri"/>
              </a:rPr>
              <a:t> </a:t>
            </a:r>
            <a:r>
              <a:rPr lang="fr-FR" sz="1100" b="1" i="1" u="sng" strike="noStrike">
                <a:solidFill>
                  <a:srgbClr val="FF0000"/>
                </a:solidFill>
                <a:latin typeface="Calibri"/>
              </a:rPr>
              <a:t/>
            </a:r>
            <a:br>
              <a:rPr lang="fr-FR" sz="1100" b="1" i="1" u="sng" strike="noStrike">
                <a:solidFill>
                  <a:srgbClr val="FF0000"/>
                </a:solidFill>
                <a:latin typeface="Calibri"/>
              </a:rPr>
            </a:br>
            <a:r>
              <a:rPr lang="fr-FR" sz="1000" b="0" i="0" u="none" strike="noStrike">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a:solidFill>
                  <a:srgbClr val="FF0000"/>
                </a:solidFill>
                <a:latin typeface="Calibri"/>
              </a:rPr>
              <a:t>Délai d'intervention</a:t>
            </a:r>
            <a:r>
              <a:rPr lang="fr-FR" sz="1000" b="0" i="0" u="none" strike="noStrike" baseline="0">
                <a:solidFill>
                  <a:srgbClr val="FF0000"/>
                </a:solidFill>
                <a:latin typeface="Calibri"/>
              </a:rPr>
              <a:t> (Réactivité moyenne) &lt; 15 jours</a:t>
            </a:r>
            <a:br>
              <a:rPr lang="fr-FR" sz="1000" b="0" i="0" u="none" strike="noStrike" baseline="0">
                <a:solidFill>
                  <a:srgbClr val="FF0000"/>
                </a:solidFill>
                <a:latin typeface="Calibri"/>
              </a:rPr>
            </a:br>
            <a:r>
              <a:rPr lang="fr-FR" sz="1000" b="0" i="0" u="none" strike="noStrike" baseline="0">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baseline="0">
                <a:solidFill>
                  <a:srgbClr val="FF0000"/>
                </a:solidFill>
                <a:latin typeface="Calibri"/>
              </a:rPr>
              <a:t>Nombre de réclamations GPA &lt; 1 par logement</a:t>
            </a:r>
            <a:endParaRPr lang="fr-FR" sz="1000" b="0" i="0" u="none" strike="noStrike">
              <a:solidFill>
                <a:srgbClr val="FF0000"/>
              </a:solidFill>
              <a:latin typeface="Calibri"/>
            </a:endParaRPr>
          </a:p>
          <a:p>
            <a:pPr algn="ctr">
              <a:lnSpc>
                <a:spcPct val="100000"/>
              </a:lnSpc>
            </a:pPr>
            <a:endParaRPr lang="fr-FR" sz="1100" b="1" i="1" u="sng" strike="noStrike">
              <a:solidFill>
                <a:srgbClr val="FF6600"/>
              </a:solidFill>
              <a:latin typeface="Calibri"/>
            </a:endParaRPr>
          </a:p>
        </xdr:txBody>
      </xdr:sp>
      <xdr:sp macro="" textlink="">
        <xdr:nvSpPr>
          <xdr:cNvPr id="16" name="ZoneTexte 15"/>
          <xdr:cNvSpPr txBox="1"/>
        </xdr:nvSpPr>
        <xdr:spPr>
          <a:xfrm>
            <a:off x="15706725" y="15449563"/>
            <a:ext cx="4140000" cy="79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50000"/>
              </a:lnSpc>
            </a:pPr>
            <a:r>
              <a:rPr lang="fr-FR" sz="1200" b="1" i="0" u="none" strike="noStrike">
                <a:solidFill>
                  <a:srgbClr val="FF0000"/>
                </a:solidFill>
                <a:effectLst/>
                <a:latin typeface="+mn-lt"/>
                <a:ea typeface="+mn-ea"/>
                <a:cs typeface="+mn-cs"/>
              </a:rPr>
              <a:t>HARMONISER ET RENDRE EFFICIENTE LA GESTION DE LA GPA</a:t>
            </a:r>
            <a:br>
              <a:rPr lang="fr-FR" sz="1200" b="1" i="0" u="none" strike="noStrike">
                <a:solidFill>
                  <a:srgbClr val="FF0000"/>
                </a:solidFill>
                <a:effectLst/>
                <a:latin typeface="+mn-lt"/>
                <a:ea typeface="+mn-ea"/>
                <a:cs typeface="+mn-cs"/>
              </a:rPr>
            </a:br>
            <a:r>
              <a:rPr lang="fr-FR" sz="1200" b="1" i="0" u="none" strike="noStrike">
                <a:solidFill>
                  <a:srgbClr val="FF0000"/>
                </a:solidFill>
                <a:effectLst/>
                <a:latin typeface="+mn-lt"/>
                <a:ea typeface="+mn-ea"/>
                <a:cs typeface="+mn-cs"/>
              </a:rPr>
              <a:t>POUR UNE MEILLEURE SATISFACTION DE NOS CLIENTS</a:t>
            </a:r>
            <a:r>
              <a:rPr lang="fr-FR" sz="1200">
                <a:solidFill>
                  <a:srgbClr val="FF0000"/>
                </a:solidFill>
              </a:rPr>
              <a:t> </a:t>
            </a:r>
            <a:endParaRPr lang="fr-FR" sz="1200" b="0" i="0" u="none" strike="noStrike">
              <a:solidFill>
                <a:srgbClr val="FF0000"/>
              </a:solidFill>
              <a:latin typeface="Calibri"/>
            </a:endParaRPr>
          </a:p>
        </xdr:txBody>
      </xdr:sp>
      <xdr:sp macro="" textlink="">
        <xdr:nvSpPr>
          <xdr:cNvPr id="17" name="Rectangle 16"/>
          <xdr:cNvSpPr/>
        </xdr:nvSpPr>
        <xdr:spPr>
          <a:xfrm>
            <a:off x="155543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8" name="Rectangle 17"/>
          <xdr:cNvSpPr/>
        </xdr:nvSpPr>
        <xdr:spPr>
          <a:xfrm>
            <a:off x="198596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9" name="Rectangle 18"/>
          <xdr:cNvSpPr/>
        </xdr:nvSpPr>
        <xdr:spPr>
          <a:xfrm>
            <a:off x="23260050"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4759</xdr:colOff>
      <xdr:row>1</xdr:row>
      <xdr:rowOff>4763</xdr:rowOff>
    </xdr:from>
    <xdr:to>
      <xdr:col>16</xdr:col>
      <xdr:colOff>56284</xdr:colOff>
      <xdr:row>8</xdr:row>
      <xdr:rowOff>190463</xdr:rowOff>
    </xdr:to>
    <xdr:sp macro="" textlink="">
      <xdr:nvSpPr>
        <xdr:cNvPr id="2" name="ZoneTexte 1"/>
        <xdr:cNvSpPr txBox="1"/>
      </xdr:nvSpPr>
      <xdr:spPr>
        <a:xfrm>
          <a:off x="61909" y="61913"/>
          <a:ext cx="22444800" cy="1519200"/>
        </a:xfrm>
        <a:prstGeom prst="roundRect">
          <a:avLst/>
        </a:prstGeom>
        <a:solidFill>
          <a:schemeClr val="accent6">
            <a:lumMod val="60000"/>
            <a:lumOff val="40000"/>
          </a:schemeClr>
        </a:solidFill>
        <a:ln w="9525" cmpd="sng">
          <a:solidFill>
            <a:schemeClr val="tx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softRound"/>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4400" b="1">
              <a:solidFill>
                <a:schemeClr val="bg1"/>
              </a:solidFill>
            </a:rPr>
            <a:t>POINT BIMESTRIEL PARFAIT ACHEVEMENT</a:t>
          </a:r>
        </a:p>
      </xdr:txBody>
    </xdr:sp>
    <xdr:clientData/>
  </xdr:twoCellAnchor>
  <xdr:twoCellAnchor>
    <xdr:from>
      <xdr:col>1</xdr:col>
      <xdr:colOff>4762</xdr:colOff>
      <xdr:row>19</xdr:row>
      <xdr:rowOff>4762</xdr:rowOff>
    </xdr:from>
    <xdr:to>
      <xdr:col>16</xdr:col>
      <xdr:colOff>56062</xdr:colOff>
      <xdr:row>22</xdr:row>
      <xdr:rowOff>189262</xdr:rowOff>
    </xdr:to>
    <xdr:sp macro="" textlink="">
      <xdr:nvSpPr>
        <xdr:cNvPr id="3" name="ZoneTexte 2"/>
        <xdr:cNvSpPr txBox="1"/>
      </xdr:nvSpPr>
      <xdr:spPr>
        <a:xfrm>
          <a:off x="61912" y="3490912"/>
          <a:ext cx="22444575" cy="756000"/>
        </a:xfrm>
        <a:prstGeom prst="roundRect">
          <a:avLst/>
        </a:prstGeom>
        <a:solidFill>
          <a:schemeClr val="accent4">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solidFill>
                <a:schemeClr val="tx1"/>
              </a:solidFill>
            </a:rPr>
            <a:t>Bilan  intermédiaire GPA</a:t>
          </a:r>
          <a:r>
            <a:rPr lang="fr-FR" sz="1400" b="1" baseline="0">
              <a:solidFill>
                <a:schemeClr val="tx1"/>
              </a:solidFill>
            </a:rPr>
            <a:t> HR</a:t>
          </a:r>
          <a:endParaRPr lang="fr-FR" sz="1400" b="1">
            <a:solidFill>
              <a:schemeClr val="tx1"/>
            </a:solidFill>
          </a:endParaRPr>
        </a:p>
      </xdr:txBody>
    </xdr:sp>
    <xdr:clientData/>
  </xdr:twoCellAnchor>
  <xdr:twoCellAnchor>
    <xdr:from>
      <xdr:col>2</xdr:col>
      <xdr:colOff>85717</xdr:colOff>
      <xdr:row>46</xdr:row>
      <xdr:rowOff>38100</xdr:rowOff>
    </xdr:from>
    <xdr:to>
      <xdr:col>6</xdr:col>
      <xdr:colOff>195067</xdr:colOff>
      <xdr:row>47</xdr:row>
      <xdr:rowOff>135600</xdr:rowOff>
    </xdr:to>
    <xdr:grpSp>
      <xdr:nvGrpSpPr>
        <xdr:cNvPr id="4" name="Groupe 3"/>
        <xdr:cNvGrpSpPr/>
      </xdr:nvGrpSpPr>
      <xdr:grpSpPr>
        <a:xfrm>
          <a:off x="200017" y="15678150"/>
          <a:ext cx="6967350" cy="288000"/>
          <a:chOff x="123817" y="15973425"/>
          <a:chExt cx="6967350" cy="288000"/>
        </a:xfrm>
      </xdr:grpSpPr>
      <xdr:grpSp>
        <xdr:nvGrpSpPr>
          <xdr:cNvPr id="5" name="Groupe 4"/>
          <xdr:cNvGrpSpPr/>
        </xdr:nvGrpSpPr>
        <xdr:grpSpPr>
          <a:xfrm>
            <a:off x="123817" y="15973425"/>
            <a:ext cx="3780000" cy="288000"/>
            <a:chOff x="200025" y="15973425"/>
            <a:chExt cx="3780000" cy="288000"/>
          </a:xfrm>
        </xdr:grpSpPr>
        <xdr:sp macro="" textlink="">
          <xdr:nvSpPr>
            <xdr:cNvPr id="9" name="ZoneTexte 8"/>
            <xdr:cNvSpPr txBox="1"/>
          </xdr:nvSpPr>
          <xdr:spPr>
            <a:xfrm>
              <a:off x="200025" y="15973425"/>
              <a:ext cx="378000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transmises par le référent QE / référent PA</a:t>
              </a:r>
              <a:endParaRPr lang="fr-FR" sz="1000">
                <a:latin typeface="+mn-lt"/>
              </a:endParaRPr>
            </a:p>
          </xdr:txBody>
        </xdr:sp>
        <xdr:sp macro="" textlink="">
          <xdr:nvSpPr>
            <xdr:cNvPr id="10" name="Rectangle 9"/>
            <xdr:cNvSpPr/>
          </xdr:nvSpPr>
          <xdr:spPr>
            <a:xfrm>
              <a:off x="200026" y="16021051"/>
              <a:ext cx="540000" cy="180000"/>
            </a:xfrm>
            <a:prstGeom prst="rect">
              <a:avLst/>
            </a:prstGeom>
            <a:solidFill>
              <a:schemeClr val="accent6">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nvGrpSpPr>
          <xdr:cNvPr id="6" name="Groupe 5"/>
          <xdr:cNvGrpSpPr/>
        </xdr:nvGrpSpPr>
        <xdr:grpSpPr>
          <a:xfrm>
            <a:off x="4067167" y="15973425"/>
            <a:ext cx="3024000" cy="288000"/>
            <a:chOff x="8486774" y="15973424"/>
            <a:chExt cx="3024000" cy="288000"/>
          </a:xfrm>
        </xdr:grpSpPr>
        <xdr:sp macro="" textlink="">
          <xdr:nvSpPr>
            <xdr:cNvPr id="7" name="ZoneTexte 6"/>
            <xdr:cNvSpPr txBox="1"/>
          </xdr:nvSpPr>
          <xdr:spPr>
            <a:xfrm>
              <a:off x="8486774" y="15973424"/>
              <a:ext cx="302400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calculées automatiquement</a:t>
              </a:r>
              <a:endParaRPr lang="fr-FR" sz="1000">
                <a:latin typeface="+mn-lt"/>
              </a:endParaRPr>
            </a:p>
          </xdr:txBody>
        </xdr:sp>
        <xdr:sp macro="" textlink="">
          <xdr:nvSpPr>
            <xdr:cNvPr id="8" name="Rectangle 7"/>
            <xdr:cNvSpPr/>
          </xdr:nvSpPr>
          <xdr:spPr>
            <a:xfrm>
              <a:off x="8486775" y="16021050"/>
              <a:ext cx="540000" cy="180000"/>
            </a:xfrm>
            <a:prstGeom prst="rect">
              <a:avLst/>
            </a:prstGeom>
            <a:solidFill>
              <a:schemeClr val="accent4">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clientData/>
  </xdr:twoCellAnchor>
  <xdr:twoCellAnchor>
    <xdr:from>
      <xdr:col>1</xdr:col>
      <xdr:colOff>4767</xdr:colOff>
      <xdr:row>11</xdr:row>
      <xdr:rowOff>4763</xdr:rowOff>
    </xdr:from>
    <xdr:to>
      <xdr:col>16</xdr:col>
      <xdr:colOff>55673</xdr:colOff>
      <xdr:row>16</xdr:row>
      <xdr:rowOff>189863</xdr:rowOff>
    </xdr:to>
    <xdr:grpSp>
      <xdr:nvGrpSpPr>
        <xdr:cNvPr id="11" name="Groupe 10"/>
        <xdr:cNvGrpSpPr/>
      </xdr:nvGrpSpPr>
      <xdr:grpSpPr>
        <a:xfrm>
          <a:off x="61917" y="1966913"/>
          <a:ext cx="22444181" cy="1137600"/>
          <a:chOff x="61917" y="1966913"/>
          <a:chExt cx="23510981" cy="1137600"/>
        </a:xfrm>
      </xdr:grpSpPr>
      <xdr:sp macro="" textlink="'Feuille Saisie'!E2">
        <xdr:nvSpPr>
          <xdr:cNvPr id="12" name="ZoneTexte 11">
            <a:extLst>
              <a:ext uri="{FF2B5EF4-FFF2-40B4-BE49-F238E27FC236}">
                <a16:creationId xmlns:a16="http://schemas.microsoft.com/office/drawing/2014/main" xmlns="" id="{336C5E17-EF01-43B4-BA2F-2629C9DA112E}"/>
              </a:ext>
            </a:extLst>
          </xdr:cNvPr>
          <xdr:cNvSpPr txBox="1"/>
        </xdr:nvSpPr>
        <xdr:spPr>
          <a:xfrm>
            <a:off x="61917"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78B3FDD3-A508-404A-BE79-B55CD8F614FE}" type="TxLink">
              <a:rPr lang="en-US" sz="1400" b="1" i="0" u="none" strike="noStrike">
                <a:solidFill>
                  <a:srgbClr val="000000"/>
                </a:solidFill>
                <a:latin typeface="Calibri"/>
                <a:cs typeface="Calibri"/>
              </a:rPr>
              <a:pPr>
                <a:lnSpc>
                  <a:spcPts val="3400"/>
                </a:lnSpc>
              </a:pPr>
              <a:t>Agence : EVREUX
Date : 27/02/2019</a:t>
            </a:fld>
            <a:endParaRPr lang="fr-FR" sz="1400" b="1"/>
          </a:p>
        </xdr:txBody>
      </xdr:sp>
      <xdr:sp macro="" textlink="'Feuille Saisie'!E4">
        <xdr:nvSpPr>
          <xdr:cNvPr id="13" name="ZoneTexte 12">
            <a:extLst>
              <a:ext uri="{FF2B5EF4-FFF2-40B4-BE49-F238E27FC236}">
                <a16:creationId xmlns:a16="http://schemas.microsoft.com/office/drawing/2014/main" xmlns="" id="{336C5E17-EF01-43B4-BA2F-2629C9DA112E}"/>
              </a:ext>
            </a:extLst>
          </xdr:cNvPr>
          <xdr:cNvSpPr txBox="1"/>
        </xdr:nvSpPr>
        <xdr:spPr>
          <a:xfrm>
            <a:off x="11872898"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1EE38D43-F033-4B6A-9636-E592408209D7}" type="TxLink">
              <a:rPr lang="en-US" sz="1400" b="1" i="0" u="none" strike="noStrike">
                <a:solidFill>
                  <a:srgbClr val="000000"/>
                </a:solidFill>
                <a:latin typeface="Calibri"/>
                <a:cs typeface="Calibri"/>
              </a:rPr>
              <a:pPr>
                <a:lnSpc>
                  <a:spcPts val="3400"/>
                </a:lnSpc>
              </a:pPr>
              <a:t>Présents : XXXX
Destinataires : XXXX</a:t>
            </a:fld>
            <a:endParaRPr lang="fr-FR" sz="1400" b="1"/>
          </a:p>
        </xdr:txBody>
      </xdr:sp>
    </xdr:grpSp>
    <xdr:clientData/>
  </xdr:twoCellAnchor>
  <xdr:twoCellAnchor>
    <xdr:from>
      <xdr:col>15</xdr:col>
      <xdr:colOff>104775</xdr:colOff>
      <xdr:row>44</xdr:row>
      <xdr:rowOff>180975</xdr:rowOff>
    </xdr:from>
    <xdr:to>
      <xdr:col>16</xdr:col>
      <xdr:colOff>1125</xdr:colOff>
      <xdr:row>49</xdr:row>
      <xdr:rowOff>20488</xdr:rowOff>
    </xdr:to>
    <xdr:grpSp>
      <xdr:nvGrpSpPr>
        <xdr:cNvPr id="14" name="Groupe 13"/>
        <xdr:cNvGrpSpPr/>
      </xdr:nvGrpSpPr>
      <xdr:grpSpPr>
        <a:xfrm>
          <a:off x="15573375" y="15440025"/>
          <a:ext cx="6878175" cy="792013"/>
          <a:chOff x="15554325" y="15449550"/>
          <a:chExt cx="7849725" cy="792013"/>
        </a:xfrm>
      </xdr:grpSpPr>
      <xdr:sp macro="" textlink="">
        <xdr:nvSpPr>
          <xdr:cNvPr id="15" name="ZoneTexte 14"/>
          <xdr:cNvSpPr txBox="1"/>
        </xdr:nvSpPr>
        <xdr:spPr>
          <a:xfrm>
            <a:off x="20007278" y="15449563"/>
            <a:ext cx="3240000" cy="784544"/>
          </a:xfrm>
          <a:prstGeom prst="roundRect">
            <a:avLst/>
          </a:prstGeom>
          <a:no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00000"/>
              </a:lnSpc>
            </a:pPr>
            <a:r>
              <a:rPr lang="fr-FR" sz="1000" b="1" i="1" u="sng" strike="noStrike">
                <a:solidFill>
                  <a:srgbClr val="FF0000"/>
                </a:solidFill>
                <a:latin typeface="Calibri"/>
              </a:rPr>
              <a:t>Rappel des objectifs Phase GPA</a:t>
            </a:r>
            <a:r>
              <a:rPr lang="fr-FR" sz="1100" b="1" i="1" u="sng" strike="noStrike">
                <a:solidFill>
                  <a:srgbClr val="FF0000"/>
                </a:solidFill>
                <a:latin typeface="Calibri"/>
              </a:rPr>
              <a:t/>
            </a:r>
            <a:br>
              <a:rPr lang="fr-FR" sz="1100" b="1" i="1" u="sng" strike="noStrike">
                <a:solidFill>
                  <a:srgbClr val="FF0000"/>
                </a:solidFill>
                <a:latin typeface="Calibri"/>
              </a:rPr>
            </a:br>
            <a:r>
              <a:rPr lang="fr-FR" sz="600" b="1" i="1" u="sng" strike="noStrike">
                <a:solidFill>
                  <a:srgbClr val="FF0000"/>
                </a:solidFill>
                <a:latin typeface="Calibri"/>
              </a:rPr>
              <a:t> </a:t>
            </a:r>
            <a:r>
              <a:rPr lang="fr-FR" sz="1100" b="1" i="1" u="sng" strike="noStrike">
                <a:solidFill>
                  <a:srgbClr val="FF0000"/>
                </a:solidFill>
                <a:latin typeface="Calibri"/>
              </a:rPr>
              <a:t/>
            </a:r>
            <a:br>
              <a:rPr lang="fr-FR" sz="1100" b="1" i="1" u="sng" strike="noStrike">
                <a:solidFill>
                  <a:srgbClr val="FF0000"/>
                </a:solidFill>
                <a:latin typeface="Calibri"/>
              </a:rPr>
            </a:br>
            <a:r>
              <a:rPr lang="fr-FR" sz="1000" b="0" i="0" u="none" strike="noStrike">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a:solidFill>
                  <a:srgbClr val="FF0000"/>
                </a:solidFill>
                <a:latin typeface="Calibri"/>
              </a:rPr>
              <a:t>Délai d'intervention</a:t>
            </a:r>
            <a:r>
              <a:rPr lang="fr-FR" sz="1000" b="0" i="0" u="none" strike="noStrike" baseline="0">
                <a:solidFill>
                  <a:srgbClr val="FF0000"/>
                </a:solidFill>
                <a:latin typeface="Calibri"/>
              </a:rPr>
              <a:t> (Réactivité moyenne) &lt; 15 jours</a:t>
            </a:r>
            <a:br>
              <a:rPr lang="fr-FR" sz="1000" b="0" i="0" u="none" strike="noStrike" baseline="0">
                <a:solidFill>
                  <a:srgbClr val="FF0000"/>
                </a:solidFill>
                <a:latin typeface="Calibri"/>
              </a:rPr>
            </a:br>
            <a:r>
              <a:rPr lang="fr-FR" sz="1000" b="0" i="0" u="none" strike="noStrike" baseline="0">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baseline="0">
                <a:solidFill>
                  <a:srgbClr val="FF0000"/>
                </a:solidFill>
                <a:latin typeface="Calibri"/>
              </a:rPr>
              <a:t>Nombre de réclamations GPA &lt; 1 par logement</a:t>
            </a:r>
            <a:endParaRPr lang="fr-FR" sz="1000" b="0" i="0" u="none" strike="noStrike">
              <a:solidFill>
                <a:srgbClr val="FF0000"/>
              </a:solidFill>
              <a:latin typeface="Calibri"/>
            </a:endParaRPr>
          </a:p>
          <a:p>
            <a:pPr algn="ctr">
              <a:lnSpc>
                <a:spcPct val="100000"/>
              </a:lnSpc>
            </a:pPr>
            <a:endParaRPr lang="fr-FR" sz="1100" b="1" i="1" u="sng" strike="noStrike">
              <a:solidFill>
                <a:srgbClr val="FF6600"/>
              </a:solidFill>
              <a:latin typeface="Calibri"/>
            </a:endParaRPr>
          </a:p>
        </xdr:txBody>
      </xdr:sp>
      <xdr:sp macro="" textlink="">
        <xdr:nvSpPr>
          <xdr:cNvPr id="16" name="ZoneTexte 15"/>
          <xdr:cNvSpPr txBox="1"/>
        </xdr:nvSpPr>
        <xdr:spPr>
          <a:xfrm>
            <a:off x="15706725" y="15449563"/>
            <a:ext cx="4140000" cy="79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50000"/>
              </a:lnSpc>
            </a:pPr>
            <a:r>
              <a:rPr lang="fr-FR" sz="1200" b="1" i="0" u="none" strike="noStrike">
                <a:solidFill>
                  <a:srgbClr val="FF0000"/>
                </a:solidFill>
                <a:effectLst/>
                <a:latin typeface="+mn-lt"/>
                <a:ea typeface="+mn-ea"/>
                <a:cs typeface="+mn-cs"/>
              </a:rPr>
              <a:t>HARMONISER ET RENDRE EFFICIENTE LA GESTION DE LA GPA</a:t>
            </a:r>
            <a:br>
              <a:rPr lang="fr-FR" sz="1200" b="1" i="0" u="none" strike="noStrike">
                <a:solidFill>
                  <a:srgbClr val="FF0000"/>
                </a:solidFill>
                <a:effectLst/>
                <a:latin typeface="+mn-lt"/>
                <a:ea typeface="+mn-ea"/>
                <a:cs typeface="+mn-cs"/>
              </a:rPr>
            </a:br>
            <a:r>
              <a:rPr lang="fr-FR" sz="1200" b="1" i="0" u="none" strike="noStrike">
                <a:solidFill>
                  <a:srgbClr val="FF0000"/>
                </a:solidFill>
                <a:effectLst/>
                <a:latin typeface="+mn-lt"/>
                <a:ea typeface="+mn-ea"/>
                <a:cs typeface="+mn-cs"/>
              </a:rPr>
              <a:t>POUR UNE MEILLEURE SATISFACTION DE NOS CLIENTS</a:t>
            </a:r>
            <a:r>
              <a:rPr lang="fr-FR" sz="1200">
                <a:solidFill>
                  <a:srgbClr val="FF0000"/>
                </a:solidFill>
              </a:rPr>
              <a:t> </a:t>
            </a:r>
            <a:endParaRPr lang="fr-FR" sz="1200" b="0" i="0" u="none" strike="noStrike">
              <a:solidFill>
                <a:srgbClr val="FF0000"/>
              </a:solidFill>
              <a:latin typeface="Calibri"/>
            </a:endParaRPr>
          </a:p>
        </xdr:txBody>
      </xdr:sp>
      <xdr:sp macro="" textlink="">
        <xdr:nvSpPr>
          <xdr:cNvPr id="17" name="Rectangle 16"/>
          <xdr:cNvSpPr/>
        </xdr:nvSpPr>
        <xdr:spPr>
          <a:xfrm>
            <a:off x="155543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8" name="Rectangle 17"/>
          <xdr:cNvSpPr/>
        </xdr:nvSpPr>
        <xdr:spPr>
          <a:xfrm>
            <a:off x="198596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9" name="Rectangle 18"/>
          <xdr:cNvSpPr/>
        </xdr:nvSpPr>
        <xdr:spPr>
          <a:xfrm>
            <a:off x="23260050"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4759</xdr:colOff>
      <xdr:row>1</xdr:row>
      <xdr:rowOff>4763</xdr:rowOff>
    </xdr:from>
    <xdr:to>
      <xdr:col>16</xdr:col>
      <xdr:colOff>56284</xdr:colOff>
      <xdr:row>8</xdr:row>
      <xdr:rowOff>190463</xdr:rowOff>
    </xdr:to>
    <xdr:sp macro="" textlink="">
      <xdr:nvSpPr>
        <xdr:cNvPr id="2" name="ZoneTexte 1"/>
        <xdr:cNvSpPr txBox="1"/>
      </xdr:nvSpPr>
      <xdr:spPr>
        <a:xfrm>
          <a:off x="61909" y="61913"/>
          <a:ext cx="22444800" cy="1519200"/>
        </a:xfrm>
        <a:prstGeom prst="roundRect">
          <a:avLst/>
        </a:prstGeom>
        <a:solidFill>
          <a:schemeClr val="accent6">
            <a:lumMod val="60000"/>
            <a:lumOff val="40000"/>
          </a:schemeClr>
        </a:solidFill>
        <a:ln w="9525" cmpd="sng">
          <a:solidFill>
            <a:schemeClr val="tx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softRound"/>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4400" b="1">
              <a:solidFill>
                <a:schemeClr val="bg1"/>
              </a:solidFill>
            </a:rPr>
            <a:t>POINT BIMESTRIEL PARFAIT ACHEVEMENT</a:t>
          </a:r>
        </a:p>
      </xdr:txBody>
    </xdr:sp>
    <xdr:clientData/>
  </xdr:twoCellAnchor>
  <xdr:twoCellAnchor>
    <xdr:from>
      <xdr:col>1</xdr:col>
      <xdr:colOff>4762</xdr:colOff>
      <xdr:row>19</xdr:row>
      <xdr:rowOff>4762</xdr:rowOff>
    </xdr:from>
    <xdr:to>
      <xdr:col>16</xdr:col>
      <xdr:colOff>56062</xdr:colOff>
      <xdr:row>22</xdr:row>
      <xdr:rowOff>189262</xdr:rowOff>
    </xdr:to>
    <xdr:sp macro="" textlink="">
      <xdr:nvSpPr>
        <xdr:cNvPr id="3" name="ZoneTexte 2"/>
        <xdr:cNvSpPr txBox="1"/>
      </xdr:nvSpPr>
      <xdr:spPr>
        <a:xfrm>
          <a:off x="61912" y="3490912"/>
          <a:ext cx="22444575" cy="756000"/>
        </a:xfrm>
        <a:prstGeom prst="roundRect">
          <a:avLst/>
        </a:prstGeom>
        <a:solidFill>
          <a:schemeClr val="accent4">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solidFill>
                <a:schemeClr val="tx1"/>
              </a:solidFill>
            </a:rPr>
            <a:t>Bilan  intermédiaire GPA</a:t>
          </a:r>
          <a:r>
            <a:rPr lang="fr-FR" sz="1400" b="1" baseline="0">
              <a:solidFill>
                <a:schemeClr val="tx1"/>
              </a:solidFill>
            </a:rPr>
            <a:t> OF</a:t>
          </a:r>
          <a:endParaRPr lang="fr-FR" sz="1400" b="1">
            <a:solidFill>
              <a:schemeClr val="tx1"/>
            </a:solidFill>
          </a:endParaRPr>
        </a:p>
      </xdr:txBody>
    </xdr:sp>
    <xdr:clientData/>
  </xdr:twoCellAnchor>
  <xdr:twoCellAnchor>
    <xdr:from>
      <xdr:col>2</xdr:col>
      <xdr:colOff>85717</xdr:colOff>
      <xdr:row>46</xdr:row>
      <xdr:rowOff>38100</xdr:rowOff>
    </xdr:from>
    <xdr:to>
      <xdr:col>6</xdr:col>
      <xdr:colOff>195067</xdr:colOff>
      <xdr:row>47</xdr:row>
      <xdr:rowOff>135600</xdr:rowOff>
    </xdr:to>
    <xdr:grpSp>
      <xdr:nvGrpSpPr>
        <xdr:cNvPr id="4" name="Groupe 3"/>
        <xdr:cNvGrpSpPr/>
      </xdr:nvGrpSpPr>
      <xdr:grpSpPr>
        <a:xfrm>
          <a:off x="200017" y="15678150"/>
          <a:ext cx="6967350" cy="288000"/>
          <a:chOff x="123817" y="15973425"/>
          <a:chExt cx="6967350" cy="288000"/>
        </a:xfrm>
      </xdr:grpSpPr>
      <xdr:grpSp>
        <xdr:nvGrpSpPr>
          <xdr:cNvPr id="5" name="Groupe 4"/>
          <xdr:cNvGrpSpPr/>
        </xdr:nvGrpSpPr>
        <xdr:grpSpPr>
          <a:xfrm>
            <a:off x="123817" y="15973425"/>
            <a:ext cx="3780000" cy="288000"/>
            <a:chOff x="200025" y="15973425"/>
            <a:chExt cx="3780000" cy="288000"/>
          </a:xfrm>
        </xdr:grpSpPr>
        <xdr:sp macro="" textlink="">
          <xdr:nvSpPr>
            <xdr:cNvPr id="9" name="ZoneTexte 8"/>
            <xdr:cNvSpPr txBox="1"/>
          </xdr:nvSpPr>
          <xdr:spPr>
            <a:xfrm>
              <a:off x="200025" y="15973425"/>
              <a:ext cx="378000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transmises par le référent QE / référent PA</a:t>
              </a:r>
              <a:endParaRPr lang="fr-FR" sz="1000">
                <a:latin typeface="+mn-lt"/>
              </a:endParaRPr>
            </a:p>
          </xdr:txBody>
        </xdr:sp>
        <xdr:sp macro="" textlink="">
          <xdr:nvSpPr>
            <xdr:cNvPr id="10" name="Rectangle 9"/>
            <xdr:cNvSpPr/>
          </xdr:nvSpPr>
          <xdr:spPr>
            <a:xfrm>
              <a:off x="200026" y="16021051"/>
              <a:ext cx="540000" cy="180000"/>
            </a:xfrm>
            <a:prstGeom prst="rect">
              <a:avLst/>
            </a:prstGeom>
            <a:solidFill>
              <a:schemeClr val="accent6">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nvGrpSpPr>
          <xdr:cNvPr id="6" name="Groupe 5"/>
          <xdr:cNvGrpSpPr/>
        </xdr:nvGrpSpPr>
        <xdr:grpSpPr>
          <a:xfrm>
            <a:off x="4067167" y="15973425"/>
            <a:ext cx="3024000" cy="288000"/>
            <a:chOff x="8486774" y="15973424"/>
            <a:chExt cx="3024000" cy="288000"/>
          </a:xfrm>
        </xdr:grpSpPr>
        <xdr:sp macro="" textlink="">
          <xdr:nvSpPr>
            <xdr:cNvPr id="7" name="ZoneTexte 6"/>
            <xdr:cNvSpPr txBox="1"/>
          </xdr:nvSpPr>
          <xdr:spPr>
            <a:xfrm>
              <a:off x="8486774" y="15973424"/>
              <a:ext cx="302400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calculées automatiquement</a:t>
              </a:r>
              <a:endParaRPr lang="fr-FR" sz="1000">
                <a:latin typeface="+mn-lt"/>
              </a:endParaRPr>
            </a:p>
          </xdr:txBody>
        </xdr:sp>
        <xdr:sp macro="" textlink="">
          <xdr:nvSpPr>
            <xdr:cNvPr id="8" name="Rectangle 7"/>
            <xdr:cNvSpPr/>
          </xdr:nvSpPr>
          <xdr:spPr>
            <a:xfrm>
              <a:off x="8486775" y="16021050"/>
              <a:ext cx="540000" cy="180000"/>
            </a:xfrm>
            <a:prstGeom prst="rect">
              <a:avLst/>
            </a:prstGeom>
            <a:solidFill>
              <a:schemeClr val="accent4">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clientData/>
  </xdr:twoCellAnchor>
  <xdr:twoCellAnchor>
    <xdr:from>
      <xdr:col>1</xdr:col>
      <xdr:colOff>4767</xdr:colOff>
      <xdr:row>11</xdr:row>
      <xdr:rowOff>4763</xdr:rowOff>
    </xdr:from>
    <xdr:to>
      <xdr:col>16</xdr:col>
      <xdr:colOff>55673</xdr:colOff>
      <xdr:row>16</xdr:row>
      <xdr:rowOff>189863</xdr:rowOff>
    </xdr:to>
    <xdr:grpSp>
      <xdr:nvGrpSpPr>
        <xdr:cNvPr id="11" name="Groupe 10"/>
        <xdr:cNvGrpSpPr/>
      </xdr:nvGrpSpPr>
      <xdr:grpSpPr>
        <a:xfrm>
          <a:off x="61917" y="1966913"/>
          <a:ext cx="22444181" cy="1137600"/>
          <a:chOff x="61917" y="1966913"/>
          <a:chExt cx="23510981" cy="1137600"/>
        </a:xfrm>
      </xdr:grpSpPr>
      <xdr:sp macro="" textlink="'Feuille Saisie'!E2">
        <xdr:nvSpPr>
          <xdr:cNvPr id="12" name="ZoneTexte 11">
            <a:extLst>
              <a:ext uri="{FF2B5EF4-FFF2-40B4-BE49-F238E27FC236}">
                <a16:creationId xmlns:a16="http://schemas.microsoft.com/office/drawing/2014/main" xmlns="" id="{336C5E17-EF01-43B4-BA2F-2629C9DA112E}"/>
              </a:ext>
            </a:extLst>
          </xdr:cNvPr>
          <xdr:cNvSpPr txBox="1"/>
        </xdr:nvSpPr>
        <xdr:spPr>
          <a:xfrm>
            <a:off x="61917"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78B3FDD3-A508-404A-BE79-B55CD8F614FE}" type="TxLink">
              <a:rPr lang="en-US" sz="1400" b="1" i="0" u="none" strike="noStrike">
                <a:solidFill>
                  <a:srgbClr val="000000"/>
                </a:solidFill>
                <a:latin typeface="Calibri"/>
                <a:cs typeface="Calibri"/>
              </a:rPr>
              <a:pPr>
                <a:lnSpc>
                  <a:spcPts val="3400"/>
                </a:lnSpc>
              </a:pPr>
              <a:t>Agence : EVREUX
Date : 27/02/2019</a:t>
            </a:fld>
            <a:endParaRPr lang="fr-FR" sz="1400" b="1"/>
          </a:p>
        </xdr:txBody>
      </xdr:sp>
      <xdr:sp macro="" textlink="'Feuille Saisie'!E4">
        <xdr:nvSpPr>
          <xdr:cNvPr id="13" name="ZoneTexte 12">
            <a:extLst>
              <a:ext uri="{FF2B5EF4-FFF2-40B4-BE49-F238E27FC236}">
                <a16:creationId xmlns:a16="http://schemas.microsoft.com/office/drawing/2014/main" xmlns="" id="{336C5E17-EF01-43B4-BA2F-2629C9DA112E}"/>
              </a:ext>
            </a:extLst>
          </xdr:cNvPr>
          <xdr:cNvSpPr txBox="1"/>
        </xdr:nvSpPr>
        <xdr:spPr>
          <a:xfrm>
            <a:off x="11872898"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1EE38D43-F033-4B6A-9636-E592408209D7}" type="TxLink">
              <a:rPr lang="en-US" sz="1400" b="1" i="0" u="none" strike="noStrike">
                <a:solidFill>
                  <a:srgbClr val="000000"/>
                </a:solidFill>
                <a:latin typeface="Calibri"/>
                <a:cs typeface="Calibri"/>
              </a:rPr>
              <a:pPr>
                <a:lnSpc>
                  <a:spcPts val="3400"/>
                </a:lnSpc>
              </a:pPr>
              <a:t>Présents : XXXX
Destinataires : XXXX</a:t>
            </a:fld>
            <a:endParaRPr lang="fr-FR" sz="1400" b="1"/>
          </a:p>
        </xdr:txBody>
      </xdr:sp>
    </xdr:grpSp>
    <xdr:clientData/>
  </xdr:twoCellAnchor>
  <xdr:twoCellAnchor>
    <xdr:from>
      <xdr:col>15</xdr:col>
      <xdr:colOff>104775</xdr:colOff>
      <xdr:row>44</xdr:row>
      <xdr:rowOff>180975</xdr:rowOff>
    </xdr:from>
    <xdr:to>
      <xdr:col>16</xdr:col>
      <xdr:colOff>1125</xdr:colOff>
      <xdr:row>49</xdr:row>
      <xdr:rowOff>20488</xdr:rowOff>
    </xdr:to>
    <xdr:grpSp>
      <xdr:nvGrpSpPr>
        <xdr:cNvPr id="14" name="Groupe 13"/>
        <xdr:cNvGrpSpPr/>
      </xdr:nvGrpSpPr>
      <xdr:grpSpPr>
        <a:xfrm>
          <a:off x="15573375" y="15440025"/>
          <a:ext cx="6878175" cy="792013"/>
          <a:chOff x="15554325" y="15449550"/>
          <a:chExt cx="7849725" cy="792013"/>
        </a:xfrm>
      </xdr:grpSpPr>
      <xdr:sp macro="" textlink="">
        <xdr:nvSpPr>
          <xdr:cNvPr id="15" name="ZoneTexte 14"/>
          <xdr:cNvSpPr txBox="1"/>
        </xdr:nvSpPr>
        <xdr:spPr>
          <a:xfrm>
            <a:off x="20007278" y="15449563"/>
            <a:ext cx="3240000" cy="784544"/>
          </a:xfrm>
          <a:prstGeom prst="roundRect">
            <a:avLst/>
          </a:prstGeom>
          <a:no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00000"/>
              </a:lnSpc>
            </a:pPr>
            <a:r>
              <a:rPr lang="fr-FR" sz="1000" b="1" i="1" u="sng" strike="noStrike">
                <a:solidFill>
                  <a:srgbClr val="FF0000"/>
                </a:solidFill>
                <a:latin typeface="Calibri"/>
              </a:rPr>
              <a:t>Rappel des objectifs Phase GPA</a:t>
            </a:r>
            <a:r>
              <a:rPr lang="fr-FR" sz="1100" b="1" i="1" u="sng" strike="noStrike">
                <a:solidFill>
                  <a:srgbClr val="FF0000"/>
                </a:solidFill>
                <a:latin typeface="Calibri"/>
              </a:rPr>
              <a:t/>
            </a:r>
            <a:br>
              <a:rPr lang="fr-FR" sz="1100" b="1" i="1" u="sng" strike="noStrike">
                <a:solidFill>
                  <a:srgbClr val="FF0000"/>
                </a:solidFill>
                <a:latin typeface="Calibri"/>
              </a:rPr>
            </a:br>
            <a:r>
              <a:rPr lang="fr-FR" sz="600" b="1" i="1" u="sng" strike="noStrike">
                <a:solidFill>
                  <a:srgbClr val="FF0000"/>
                </a:solidFill>
                <a:latin typeface="Calibri"/>
              </a:rPr>
              <a:t> </a:t>
            </a:r>
            <a:r>
              <a:rPr lang="fr-FR" sz="1100" b="1" i="1" u="sng" strike="noStrike">
                <a:solidFill>
                  <a:srgbClr val="FF0000"/>
                </a:solidFill>
                <a:latin typeface="Calibri"/>
              </a:rPr>
              <a:t/>
            </a:r>
            <a:br>
              <a:rPr lang="fr-FR" sz="1100" b="1" i="1" u="sng" strike="noStrike">
                <a:solidFill>
                  <a:srgbClr val="FF0000"/>
                </a:solidFill>
                <a:latin typeface="Calibri"/>
              </a:rPr>
            </a:br>
            <a:r>
              <a:rPr lang="fr-FR" sz="1000" b="0" i="0" u="none" strike="noStrike">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a:solidFill>
                  <a:srgbClr val="FF0000"/>
                </a:solidFill>
                <a:latin typeface="Calibri"/>
              </a:rPr>
              <a:t>Délai d'intervention</a:t>
            </a:r>
            <a:r>
              <a:rPr lang="fr-FR" sz="1000" b="0" i="0" u="none" strike="noStrike" baseline="0">
                <a:solidFill>
                  <a:srgbClr val="FF0000"/>
                </a:solidFill>
                <a:latin typeface="Calibri"/>
              </a:rPr>
              <a:t> (Réactivité moyenne) &lt; 15 jours</a:t>
            </a:r>
            <a:br>
              <a:rPr lang="fr-FR" sz="1000" b="0" i="0" u="none" strike="noStrike" baseline="0">
                <a:solidFill>
                  <a:srgbClr val="FF0000"/>
                </a:solidFill>
                <a:latin typeface="Calibri"/>
              </a:rPr>
            </a:br>
            <a:r>
              <a:rPr lang="fr-FR" sz="1000" b="0" i="0" u="none" strike="noStrike" baseline="0">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baseline="0">
                <a:solidFill>
                  <a:srgbClr val="FF0000"/>
                </a:solidFill>
                <a:latin typeface="Calibri"/>
              </a:rPr>
              <a:t>Nombre de réclamations GPA &lt; 1 par logement</a:t>
            </a:r>
            <a:endParaRPr lang="fr-FR" sz="1000" b="0" i="0" u="none" strike="noStrike">
              <a:solidFill>
                <a:srgbClr val="FF0000"/>
              </a:solidFill>
              <a:latin typeface="Calibri"/>
            </a:endParaRPr>
          </a:p>
          <a:p>
            <a:pPr algn="ctr">
              <a:lnSpc>
                <a:spcPct val="100000"/>
              </a:lnSpc>
            </a:pPr>
            <a:endParaRPr lang="fr-FR" sz="1100" b="1" i="1" u="sng" strike="noStrike">
              <a:solidFill>
                <a:srgbClr val="FF6600"/>
              </a:solidFill>
              <a:latin typeface="Calibri"/>
            </a:endParaRPr>
          </a:p>
        </xdr:txBody>
      </xdr:sp>
      <xdr:sp macro="" textlink="">
        <xdr:nvSpPr>
          <xdr:cNvPr id="16" name="ZoneTexte 15"/>
          <xdr:cNvSpPr txBox="1"/>
        </xdr:nvSpPr>
        <xdr:spPr>
          <a:xfrm>
            <a:off x="15706725" y="15449563"/>
            <a:ext cx="4140000" cy="79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50000"/>
              </a:lnSpc>
            </a:pPr>
            <a:r>
              <a:rPr lang="fr-FR" sz="1200" b="1" i="0" u="none" strike="noStrike">
                <a:solidFill>
                  <a:srgbClr val="FF0000"/>
                </a:solidFill>
                <a:effectLst/>
                <a:latin typeface="+mn-lt"/>
                <a:ea typeface="+mn-ea"/>
                <a:cs typeface="+mn-cs"/>
              </a:rPr>
              <a:t>HARMONISER ET RENDRE EFFICIENTE LA GESTION DE LA GPA</a:t>
            </a:r>
            <a:br>
              <a:rPr lang="fr-FR" sz="1200" b="1" i="0" u="none" strike="noStrike">
                <a:solidFill>
                  <a:srgbClr val="FF0000"/>
                </a:solidFill>
                <a:effectLst/>
                <a:latin typeface="+mn-lt"/>
                <a:ea typeface="+mn-ea"/>
                <a:cs typeface="+mn-cs"/>
              </a:rPr>
            </a:br>
            <a:r>
              <a:rPr lang="fr-FR" sz="1200" b="1" i="0" u="none" strike="noStrike">
                <a:solidFill>
                  <a:srgbClr val="FF0000"/>
                </a:solidFill>
                <a:effectLst/>
                <a:latin typeface="+mn-lt"/>
                <a:ea typeface="+mn-ea"/>
                <a:cs typeface="+mn-cs"/>
              </a:rPr>
              <a:t>POUR UNE MEILLEURE SATISFACTION DE NOS CLIENTS</a:t>
            </a:r>
            <a:r>
              <a:rPr lang="fr-FR" sz="1200">
                <a:solidFill>
                  <a:srgbClr val="FF0000"/>
                </a:solidFill>
              </a:rPr>
              <a:t> </a:t>
            </a:r>
            <a:endParaRPr lang="fr-FR" sz="1200" b="0" i="0" u="none" strike="noStrike">
              <a:solidFill>
                <a:srgbClr val="FF0000"/>
              </a:solidFill>
              <a:latin typeface="Calibri"/>
            </a:endParaRPr>
          </a:p>
        </xdr:txBody>
      </xdr:sp>
      <xdr:sp macro="" textlink="">
        <xdr:nvSpPr>
          <xdr:cNvPr id="17" name="Rectangle 16"/>
          <xdr:cNvSpPr/>
        </xdr:nvSpPr>
        <xdr:spPr>
          <a:xfrm>
            <a:off x="155543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8" name="Rectangle 17"/>
          <xdr:cNvSpPr/>
        </xdr:nvSpPr>
        <xdr:spPr>
          <a:xfrm>
            <a:off x="198596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9" name="Rectangle 18"/>
          <xdr:cNvSpPr/>
        </xdr:nvSpPr>
        <xdr:spPr>
          <a:xfrm>
            <a:off x="23260050"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4759</xdr:colOff>
      <xdr:row>1</xdr:row>
      <xdr:rowOff>4763</xdr:rowOff>
    </xdr:from>
    <xdr:to>
      <xdr:col>16</xdr:col>
      <xdr:colOff>56284</xdr:colOff>
      <xdr:row>8</xdr:row>
      <xdr:rowOff>190463</xdr:rowOff>
    </xdr:to>
    <xdr:sp macro="" textlink="">
      <xdr:nvSpPr>
        <xdr:cNvPr id="2" name="ZoneTexte 1"/>
        <xdr:cNvSpPr txBox="1"/>
      </xdr:nvSpPr>
      <xdr:spPr>
        <a:xfrm>
          <a:off x="61909" y="61913"/>
          <a:ext cx="22444800" cy="1519200"/>
        </a:xfrm>
        <a:prstGeom prst="roundRect">
          <a:avLst/>
        </a:prstGeom>
        <a:solidFill>
          <a:schemeClr val="accent6">
            <a:lumMod val="60000"/>
            <a:lumOff val="40000"/>
          </a:schemeClr>
        </a:solidFill>
        <a:ln w="9525" cmpd="sng">
          <a:solidFill>
            <a:schemeClr val="tx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softRound"/>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4400" b="1">
              <a:solidFill>
                <a:schemeClr val="bg1"/>
              </a:solidFill>
            </a:rPr>
            <a:t>POINT BIMESTRIEL PARFAIT ACHEVEMENT</a:t>
          </a:r>
        </a:p>
      </xdr:txBody>
    </xdr:sp>
    <xdr:clientData/>
  </xdr:twoCellAnchor>
  <xdr:twoCellAnchor>
    <xdr:from>
      <xdr:col>1</xdr:col>
      <xdr:colOff>4762</xdr:colOff>
      <xdr:row>19</xdr:row>
      <xdr:rowOff>4762</xdr:rowOff>
    </xdr:from>
    <xdr:to>
      <xdr:col>16</xdr:col>
      <xdr:colOff>56062</xdr:colOff>
      <xdr:row>22</xdr:row>
      <xdr:rowOff>189262</xdr:rowOff>
    </xdr:to>
    <xdr:sp macro="" textlink="">
      <xdr:nvSpPr>
        <xdr:cNvPr id="3" name="ZoneTexte 2"/>
        <xdr:cNvSpPr txBox="1"/>
      </xdr:nvSpPr>
      <xdr:spPr>
        <a:xfrm>
          <a:off x="61912" y="3490912"/>
          <a:ext cx="22444575" cy="756000"/>
        </a:xfrm>
        <a:prstGeom prst="roundRect">
          <a:avLst/>
        </a:prstGeom>
        <a:solidFill>
          <a:schemeClr val="accent4">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solidFill>
                <a:schemeClr val="tx1"/>
              </a:solidFill>
            </a:rPr>
            <a:t>Bilan  intermédiaire GPA</a:t>
          </a:r>
          <a:r>
            <a:rPr lang="fr-FR" sz="1400" b="1" baseline="0">
              <a:solidFill>
                <a:schemeClr val="tx1"/>
              </a:solidFill>
            </a:rPr>
            <a:t> IE</a:t>
          </a:r>
          <a:endParaRPr lang="fr-FR" sz="1400" b="1">
            <a:solidFill>
              <a:schemeClr val="tx1"/>
            </a:solidFill>
          </a:endParaRPr>
        </a:p>
      </xdr:txBody>
    </xdr:sp>
    <xdr:clientData/>
  </xdr:twoCellAnchor>
  <xdr:twoCellAnchor>
    <xdr:from>
      <xdr:col>2</xdr:col>
      <xdr:colOff>85717</xdr:colOff>
      <xdr:row>46</xdr:row>
      <xdr:rowOff>38100</xdr:rowOff>
    </xdr:from>
    <xdr:to>
      <xdr:col>6</xdr:col>
      <xdr:colOff>195067</xdr:colOff>
      <xdr:row>47</xdr:row>
      <xdr:rowOff>135600</xdr:rowOff>
    </xdr:to>
    <xdr:grpSp>
      <xdr:nvGrpSpPr>
        <xdr:cNvPr id="4" name="Groupe 3"/>
        <xdr:cNvGrpSpPr/>
      </xdr:nvGrpSpPr>
      <xdr:grpSpPr>
        <a:xfrm>
          <a:off x="200017" y="15678150"/>
          <a:ext cx="6967350" cy="288000"/>
          <a:chOff x="123817" y="15973425"/>
          <a:chExt cx="6967350" cy="288000"/>
        </a:xfrm>
      </xdr:grpSpPr>
      <xdr:grpSp>
        <xdr:nvGrpSpPr>
          <xdr:cNvPr id="5" name="Groupe 4"/>
          <xdr:cNvGrpSpPr/>
        </xdr:nvGrpSpPr>
        <xdr:grpSpPr>
          <a:xfrm>
            <a:off x="123817" y="15973425"/>
            <a:ext cx="3780000" cy="288000"/>
            <a:chOff x="200025" y="15973425"/>
            <a:chExt cx="3780000" cy="288000"/>
          </a:xfrm>
        </xdr:grpSpPr>
        <xdr:sp macro="" textlink="">
          <xdr:nvSpPr>
            <xdr:cNvPr id="9" name="ZoneTexte 8"/>
            <xdr:cNvSpPr txBox="1"/>
          </xdr:nvSpPr>
          <xdr:spPr>
            <a:xfrm>
              <a:off x="200025" y="15973425"/>
              <a:ext cx="378000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transmises par le référent QE / référent PA</a:t>
              </a:r>
              <a:endParaRPr lang="fr-FR" sz="1000">
                <a:latin typeface="+mn-lt"/>
              </a:endParaRPr>
            </a:p>
          </xdr:txBody>
        </xdr:sp>
        <xdr:sp macro="" textlink="">
          <xdr:nvSpPr>
            <xdr:cNvPr id="10" name="Rectangle 9"/>
            <xdr:cNvSpPr/>
          </xdr:nvSpPr>
          <xdr:spPr>
            <a:xfrm>
              <a:off x="200026" y="16021051"/>
              <a:ext cx="540000" cy="180000"/>
            </a:xfrm>
            <a:prstGeom prst="rect">
              <a:avLst/>
            </a:prstGeom>
            <a:solidFill>
              <a:schemeClr val="accent6">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nvGrpSpPr>
          <xdr:cNvPr id="6" name="Groupe 5"/>
          <xdr:cNvGrpSpPr/>
        </xdr:nvGrpSpPr>
        <xdr:grpSpPr>
          <a:xfrm>
            <a:off x="4067167" y="15973425"/>
            <a:ext cx="3024000" cy="288000"/>
            <a:chOff x="8486774" y="15973424"/>
            <a:chExt cx="3024000" cy="288000"/>
          </a:xfrm>
        </xdr:grpSpPr>
        <xdr:sp macro="" textlink="">
          <xdr:nvSpPr>
            <xdr:cNvPr id="7" name="ZoneTexte 6"/>
            <xdr:cNvSpPr txBox="1"/>
          </xdr:nvSpPr>
          <xdr:spPr>
            <a:xfrm>
              <a:off x="8486774" y="15973424"/>
              <a:ext cx="302400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calculées automatiquement</a:t>
              </a:r>
              <a:endParaRPr lang="fr-FR" sz="1000">
                <a:latin typeface="+mn-lt"/>
              </a:endParaRPr>
            </a:p>
          </xdr:txBody>
        </xdr:sp>
        <xdr:sp macro="" textlink="">
          <xdr:nvSpPr>
            <xdr:cNvPr id="8" name="Rectangle 7"/>
            <xdr:cNvSpPr/>
          </xdr:nvSpPr>
          <xdr:spPr>
            <a:xfrm>
              <a:off x="8486775" y="16021050"/>
              <a:ext cx="540000" cy="180000"/>
            </a:xfrm>
            <a:prstGeom prst="rect">
              <a:avLst/>
            </a:prstGeom>
            <a:solidFill>
              <a:schemeClr val="accent4">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clientData/>
  </xdr:twoCellAnchor>
  <xdr:twoCellAnchor>
    <xdr:from>
      <xdr:col>1</xdr:col>
      <xdr:colOff>4767</xdr:colOff>
      <xdr:row>11</xdr:row>
      <xdr:rowOff>4763</xdr:rowOff>
    </xdr:from>
    <xdr:to>
      <xdr:col>16</xdr:col>
      <xdr:colOff>55673</xdr:colOff>
      <xdr:row>16</xdr:row>
      <xdr:rowOff>189863</xdr:rowOff>
    </xdr:to>
    <xdr:grpSp>
      <xdr:nvGrpSpPr>
        <xdr:cNvPr id="11" name="Groupe 10"/>
        <xdr:cNvGrpSpPr/>
      </xdr:nvGrpSpPr>
      <xdr:grpSpPr>
        <a:xfrm>
          <a:off x="61917" y="1966913"/>
          <a:ext cx="22444181" cy="1137600"/>
          <a:chOff x="61917" y="1966913"/>
          <a:chExt cx="23510981" cy="1137600"/>
        </a:xfrm>
      </xdr:grpSpPr>
      <xdr:sp macro="" textlink="'Feuille Saisie'!E2">
        <xdr:nvSpPr>
          <xdr:cNvPr id="12" name="ZoneTexte 11">
            <a:extLst>
              <a:ext uri="{FF2B5EF4-FFF2-40B4-BE49-F238E27FC236}">
                <a16:creationId xmlns:a16="http://schemas.microsoft.com/office/drawing/2014/main" xmlns="" id="{336C5E17-EF01-43B4-BA2F-2629C9DA112E}"/>
              </a:ext>
            </a:extLst>
          </xdr:cNvPr>
          <xdr:cNvSpPr txBox="1"/>
        </xdr:nvSpPr>
        <xdr:spPr>
          <a:xfrm>
            <a:off x="61917"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78B3FDD3-A508-404A-BE79-B55CD8F614FE}" type="TxLink">
              <a:rPr lang="en-US" sz="1400" b="1" i="0" u="none" strike="noStrike">
                <a:solidFill>
                  <a:srgbClr val="000000"/>
                </a:solidFill>
                <a:latin typeface="Calibri"/>
                <a:cs typeface="Calibri"/>
              </a:rPr>
              <a:pPr>
                <a:lnSpc>
                  <a:spcPts val="3400"/>
                </a:lnSpc>
              </a:pPr>
              <a:t>Agence : EVREUX
Date : 27/02/2019</a:t>
            </a:fld>
            <a:endParaRPr lang="fr-FR" sz="1400" b="1"/>
          </a:p>
        </xdr:txBody>
      </xdr:sp>
      <xdr:sp macro="" textlink="'Feuille Saisie'!E4">
        <xdr:nvSpPr>
          <xdr:cNvPr id="13" name="ZoneTexte 12">
            <a:extLst>
              <a:ext uri="{FF2B5EF4-FFF2-40B4-BE49-F238E27FC236}">
                <a16:creationId xmlns:a16="http://schemas.microsoft.com/office/drawing/2014/main" xmlns="" id="{336C5E17-EF01-43B4-BA2F-2629C9DA112E}"/>
              </a:ext>
            </a:extLst>
          </xdr:cNvPr>
          <xdr:cNvSpPr txBox="1"/>
        </xdr:nvSpPr>
        <xdr:spPr>
          <a:xfrm>
            <a:off x="11872898"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1EE38D43-F033-4B6A-9636-E592408209D7}" type="TxLink">
              <a:rPr lang="en-US" sz="1400" b="1" i="0" u="none" strike="noStrike">
                <a:solidFill>
                  <a:srgbClr val="000000"/>
                </a:solidFill>
                <a:latin typeface="Calibri"/>
                <a:cs typeface="Calibri"/>
              </a:rPr>
              <a:pPr>
                <a:lnSpc>
                  <a:spcPts val="3400"/>
                </a:lnSpc>
              </a:pPr>
              <a:t>Présents : XXXX
Destinataires : XXXX</a:t>
            </a:fld>
            <a:endParaRPr lang="fr-FR" sz="1400" b="1"/>
          </a:p>
        </xdr:txBody>
      </xdr:sp>
    </xdr:grpSp>
    <xdr:clientData/>
  </xdr:twoCellAnchor>
  <xdr:twoCellAnchor>
    <xdr:from>
      <xdr:col>15</xdr:col>
      <xdr:colOff>104775</xdr:colOff>
      <xdr:row>44</xdr:row>
      <xdr:rowOff>180975</xdr:rowOff>
    </xdr:from>
    <xdr:to>
      <xdr:col>16</xdr:col>
      <xdr:colOff>1125</xdr:colOff>
      <xdr:row>49</xdr:row>
      <xdr:rowOff>20488</xdr:rowOff>
    </xdr:to>
    <xdr:grpSp>
      <xdr:nvGrpSpPr>
        <xdr:cNvPr id="14" name="Groupe 13"/>
        <xdr:cNvGrpSpPr/>
      </xdr:nvGrpSpPr>
      <xdr:grpSpPr>
        <a:xfrm>
          <a:off x="15573375" y="15440025"/>
          <a:ext cx="6878175" cy="792013"/>
          <a:chOff x="15554325" y="15449550"/>
          <a:chExt cx="7849725" cy="792013"/>
        </a:xfrm>
      </xdr:grpSpPr>
      <xdr:sp macro="" textlink="">
        <xdr:nvSpPr>
          <xdr:cNvPr id="15" name="ZoneTexte 14"/>
          <xdr:cNvSpPr txBox="1"/>
        </xdr:nvSpPr>
        <xdr:spPr>
          <a:xfrm>
            <a:off x="20007278" y="15449563"/>
            <a:ext cx="3240000" cy="784544"/>
          </a:xfrm>
          <a:prstGeom prst="roundRect">
            <a:avLst/>
          </a:prstGeom>
          <a:no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00000"/>
              </a:lnSpc>
            </a:pPr>
            <a:r>
              <a:rPr lang="fr-FR" sz="1000" b="1" i="1" u="sng" strike="noStrike">
                <a:solidFill>
                  <a:srgbClr val="FF0000"/>
                </a:solidFill>
                <a:latin typeface="Calibri"/>
              </a:rPr>
              <a:t>Rappel des objectifs Phase GPA</a:t>
            </a:r>
            <a:r>
              <a:rPr lang="fr-FR" sz="1100" b="1" i="1" u="sng" strike="noStrike">
                <a:solidFill>
                  <a:srgbClr val="FF0000"/>
                </a:solidFill>
                <a:latin typeface="Calibri"/>
              </a:rPr>
              <a:t/>
            </a:r>
            <a:br>
              <a:rPr lang="fr-FR" sz="1100" b="1" i="1" u="sng" strike="noStrike">
                <a:solidFill>
                  <a:srgbClr val="FF0000"/>
                </a:solidFill>
                <a:latin typeface="Calibri"/>
              </a:rPr>
            </a:br>
            <a:r>
              <a:rPr lang="fr-FR" sz="600" b="1" i="1" u="sng" strike="noStrike">
                <a:solidFill>
                  <a:srgbClr val="FF0000"/>
                </a:solidFill>
                <a:latin typeface="Calibri"/>
              </a:rPr>
              <a:t> </a:t>
            </a:r>
            <a:r>
              <a:rPr lang="fr-FR" sz="1100" b="1" i="1" u="sng" strike="noStrike">
                <a:solidFill>
                  <a:srgbClr val="FF0000"/>
                </a:solidFill>
                <a:latin typeface="Calibri"/>
              </a:rPr>
              <a:t/>
            </a:r>
            <a:br>
              <a:rPr lang="fr-FR" sz="1100" b="1" i="1" u="sng" strike="noStrike">
                <a:solidFill>
                  <a:srgbClr val="FF0000"/>
                </a:solidFill>
                <a:latin typeface="Calibri"/>
              </a:rPr>
            </a:br>
            <a:r>
              <a:rPr lang="fr-FR" sz="1000" b="0" i="0" u="none" strike="noStrike">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a:solidFill>
                  <a:srgbClr val="FF0000"/>
                </a:solidFill>
                <a:latin typeface="Calibri"/>
              </a:rPr>
              <a:t>Délai d'intervention</a:t>
            </a:r>
            <a:r>
              <a:rPr lang="fr-FR" sz="1000" b="0" i="0" u="none" strike="noStrike" baseline="0">
                <a:solidFill>
                  <a:srgbClr val="FF0000"/>
                </a:solidFill>
                <a:latin typeface="Calibri"/>
              </a:rPr>
              <a:t> (Réactivité moyenne) &lt; 15 jours</a:t>
            </a:r>
            <a:br>
              <a:rPr lang="fr-FR" sz="1000" b="0" i="0" u="none" strike="noStrike" baseline="0">
                <a:solidFill>
                  <a:srgbClr val="FF0000"/>
                </a:solidFill>
                <a:latin typeface="Calibri"/>
              </a:rPr>
            </a:br>
            <a:r>
              <a:rPr lang="fr-FR" sz="1000" b="0" i="0" u="none" strike="noStrike" baseline="0">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baseline="0">
                <a:solidFill>
                  <a:srgbClr val="FF0000"/>
                </a:solidFill>
                <a:latin typeface="Calibri"/>
              </a:rPr>
              <a:t>Nombre de réclamations GPA &lt; 1 par logement</a:t>
            </a:r>
            <a:endParaRPr lang="fr-FR" sz="1000" b="0" i="0" u="none" strike="noStrike">
              <a:solidFill>
                <a:srgbClr val="FF0000"/>
              </a:solidFill>
              <a:latin typeface="Calibri"/>
            </a:endParaRPr>
          </a:p>
          <a:p>
            <a:pPr algn="ctr">
              <a:lnSpc>
                <a:spcPct val="100000"/>
              </a:lnSpc>
            </a:pPr>
            <a:endParaRPr lang="fr-FR" sz="1100" b="1" i="1" u="sng" strike="noStrike">
              <a:solidFill>
                <a:srgbClr val="FF6600"/>
              </a:solidFill>
              <a:latin typeface="Calibri"/>
            </a:endParaRPr>
          </a:p>
        </xdr:txBody>
      </xdr:sp>
      <xdr:sp macro="" textlink="">
        <xdr:nvSpPr>
          <xdr:cNvPr id="16" name="ZoneTexte 15"/>
          <xdr:cNvSpPr txBox="1"/>
        </xdr:nvSpPr>
        <xdr:spPr>
          <a:xfrm>
            <a:off x="15706725" y="15449563"/>
            <a:ext cx="4140000" cy="79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50000"/>
              </a:lnSpc>
            </a:pPr>
            <a:r>
              <a:rPr lang="fr-FR" sz="1200" b="1" i="0" u="none" strike="noStrike">
                <a:solidFill>
                  <a:srgbClr val="FF0000"/>
                </a:solidFill>
                <a:effectLst/>
                <a:latin typeface="+mn-lt"/>
                <a:ea typeface="+mn-ea"/>
                <a:cs typeface="+mn-cs"/>
              </a:rPr>
              <a:t>HARMONISER ET RENDRE EFFICIENTE LA GESTION DE LA GPA</a:t>
            </a:r>
            <a:br>
              <a:rPr lang="fr-FR" sz="1200" b="1" i="0" u="none" strike="noStrike">
                <a:solidFill>
                  <a:srgbClr val="FF0000"/>
                </a:solidFill>
                <a:effectLst/>
                <a:latin typeface="+mn-lt"/>
                <a:ea typeface="+mn-ea"/>
                <a:cs typeface="+mn-cs"/>
              </a:rPr>
            </a:br>
            <a:r>
              <a:rPr lang="fr-FR" sz="1200" b="1" i="0" u="none" strike="noStrike">
                <a:solidFill>
                  <a:srgbClr val="FF0000"/>
                </a:solidFill>
                <a:effectLst/>
                <a:latin typeface="+mn-lt"/>
                <a:ea typeface="+mn-ea"/>
                <a:cs typeface="+mn-cs"/>
              </a:rPr>
              <a:t>POUR UNE MEILLEURE SATISFACTION DE NOS CLIENTS</a:t>
            </a:r>
            <a:r>
              <a:rPr lang="fr-FR" sz="1200">
                <a:solidFill>
                  <a:srgbClr val="FF0000"/>
                </a:solidFill>
              </a:rPr>
              <a:t> </a:t>
            </a:r>
            <a:endParaRPr lang="fr-FR" sz="1200" b="0" i="0" u="none" strike="noStrike">
              <a:solidFill>
                <a:srgbClr val="FF0000"/>
              </a:solidFill>
              <a:latin typeface="Calibri"/>
            </a:endParaRPr>
          </a:p>
        </xdr:txBody>
      </xdr:sp>
      <xdr:sp macro="" textlink="">
        <xdr:nvSpPr>
          <xdr:cNvPr id="17" name="Rectangle 16"/>
          <xdr:cNvSpPr/>
        </xdr:nvSpPr>
        <xdr:spPr>
          <a:xfrm>
            <a:off x="155543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8" name="Rectangle 17"/>
          <xdr:cNvSpPr/>
        </xdr:nvSpPr>
        <xdr:spPr>
          <a:xfrm>
            <a:off x="198596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9" name="Rectangle 18"/>
          <xdr:cNvSpPr/>
        </xdr:nvSpPr>
        <xdr:spPr>
          <a:xfrm>
            <a:off x="23260050"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xDef>
      <a:spPr>
        <a:solidFill>
          <a:schemeClr val="accent4">
            <a:lumMod val="40000"/>
            <a:lumOff val="60000"/>
          </a:schemeClr>
        </a:solidFill>
        <a:ln w="9525" cmpd="sng">
          <a:solidFill>
            <a:schemeClr val="tx1"/>
          </a:solidFill>
        </a:ln>
      </a:spPr>
      <a:bodyPr vertOverflow="clip" horzOverflow="clip" wrap="square" lIns="792000" tIns="0" rIns="0" bIns="126000" rtlCol="0" anchor="ctr"/>
      <a:lstStyle>
        <a:defPPr>
          <a:lnSpc>
            <a:spcPts val="3400"/>
          </a:lnSpc>
          <a:defRPr sz="1100" b="0" i="0" u="none" strike="noStrike">
            <a:solidFill>
              <a:srgbClr val="000000"/>
            </a:solidFill>
            <a:latin typeface="Calibri"/>
          </a:defRPr>
        </a:defPPr>
      </a:lstStyle>
      <a:style>
        <a:lnRef idx="0">
          <a:scrgbClr r="0" g="0" b="0"/>
        </a:lnRef>
        <a:fillRef idx="0">
          <a:scrgbClr r="0" g="0" b="0"/>
        </a:fillRef>
        <a:effectRef idx="0">
          <a:scrgbClr r="0" g="0" b="0"/>
        </a:effectRef>
        <a:fontRef idx="minor">
          <a:schemeClr val="dk1"/>
        </a:fontRef>
      </a:style>
    </a:tx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2.xml"/><Relationship Id="rId117" Type="http://schemas.openxmlformats.org/officeDocument/2006/relationships/ctrlProp" Target="../ctrlProps/ctrlProp113.xml"/><Relationship Id="rId21" Type="http://schemas.openxmlformats.org/officeDocument/2006/relationships/ctrlProp" Target="../ctrlProps/ctrlProp17.xml"/><Relationship Id="rId42" Type="http://schemas.openxmlformats.org/officeDocument/2006/relationships/ctrlProp" Target="../ctrlProps/ctrlProp38.xml"/><Relationship Id="rId47" Type="http://schemas.openxmlformats.org/officeDocument/2006/relationships/ctrlProp" Target="../ctrlProps/ctrlProp43.xml"/><Relationship Id="rId63" Type="http://schemas.openxmlformats.org/officeDocument/2006/relationships/ctrlProp" Target="../ctrlProps/ctrlProp59.xml"/><Relationship Id="rId68" Type="http://schemas.openxmlformats.org/officeDocument/2006/relationships/ctrlProp" Target="../ctrlProps/ctrlProp64.xml"/><Relationship Id="rId84" Type="http://schemas.openxmlformats.org/officeDocument/2006/relationships/ctrlProp" Target="../ctrlProps/ctrlProp80.xml"/><Relationship Id="rId89" Type="http://schemas.openxmlformats.org/officeDocument/2006/relationships/ctrlProp" Target="../ctrlProps/ctrlProp85.xml"/><Relationship Id="rId112" Type="http://schemas.openxmlformats.org/officeDocument/2006/relationships/ctrlProp" Target="../ctrlProps/ctrlProp108.xml"/><Relationship Id="rId133" Type="http://schemas.openxmlformats.org/officeDocument/2006/relationships/ctrlProp" Target="../ctrlProps/ctrlProp129.xml"/><Relationship Id="rId138" Type="http://schemas.openxmlformats.org/officeDocument/2006/relationships/ctrlProp" Target="../ctrlProps/ctrlProp134.xml"/><Relationship Id="rId154" Type="http://schemas.openxmlformats.org/officeDocument/2006/relationships/ctrlProp" Target="../ctrlProps/ctrlProp150.xml"/><Relationship Id="rId159" Type="http://schemas.openxmlformats.org/officeDocument/2006/relationships/ctrlProp" Target="../ctrlProps/ctrlProp155.xml"/><Relationship Id="rId16" Type="http://schemas.openxmlformats.org/officeDocument/2006/relationships/ctrlProp" Target="../ctrlProps/ctrlProp12.xml"/><Relationship Id="rId107" Type="http://schemas.openxmlformats.org/officeDocument/2006/relationships/ctrlProp" Target="../ctrlProps/ctrlProp103.xml"/><Relationship Id="rId11" Type="http://schemas.openxmlformats.org/officeDocument/2006/relationships/ctrlProp" Target="../ctrlProps/ctrlProp7.xml"/><Relationship Id="rId32" Type="http://schemas.openxmlformats.org/officeDocument/2006/relationships/ctrlProp" Target="../ctrlProps/ctrlProp28.xml"/><Relationship Id="rId37" Type="http://schemas.openxmlformats.org/officeDocument/2006/relationships/ctrlProp" Target="../ctrlProps/ctrlProp33.xml"/><Relationship Id="rId53" Type="http://schemas.openxmlformats.org/officeDocument/2006/relationships/ctrlProp" Target="../ctrlProps/ctrlProp49.xml"/><Relationship Id="rId58" Type="http://schemas.openxmlformats.org/officeDocument/2006/relationships/ctrlProp" Target="../ctrlProps/ctrlProp54.xml"/><Relationship Id="rId74" Type="http://schemas.openxmlformats.org/officeDocument/2006/relationships/ctrlProp" Target="../ctrlProps/ctrlProp70.xml"/><Relationship Id="rId79" Type="http://schemas.openxmlformats.org/officeDocument/2006/relationships/ctrlProp" Target="../ctrlProps/ctrlProp75.xml"/><Relationship Id="rId102" Type="http://schemas.openxmlformats.org/officeDocument/2006/relationships/ctrlProp" Target="../ctrlProps/ctrlProp98.xml"/><Relationship Id="rId123" Type="http://schemas.openxmlformats.org/officeDocument/2006/relationships/ctrlProp" Target="../ctrlProps/ctrlProp119.xml"/><Relationship Id="rId128" Type="http://schemas.openxmlformats.org/officeDocument/2006/relationships/ctrlProp" Target="../ctrlProps/ctrlProp124.xml"/><Relationship Id="rId144" Type="http://schemas.openxmlformats.org/officeDocument/2006/relationships/ctrlProp" Target="../ctrlProps/ctrlProp140.xml"/><Relationship Id="rId149" Type="http://schemas.openxmlformats.org/officeDocument/2006/relationships/ctrlProp" Target="../ctrlProps/ctrlProp145.xml"/><Relationship Id="rId5" Type="http://schemas.openxmlformats.org/officeDocument/2006/relationships/ctrlProp" Target="../ctrlProps/ctrlProp1.xml"/><Relationship Id="rId90" Type="http://schemas.openxmlformats.org/officeDocument/2006/relationships/ctrlProp" Target="../ctrlProps/ctrlProp86.xml"/><Relationship Id="rId95" Type="http://schemas.openxmlformats.org/officeDocument/2006/relationships/ctrlProp" Target="../ctrlProps/ctrlProp91.xml"/><Relationship Id="rId160" Type="http://schemas.openxmlformats.org/officeDocument/2006/relationships/ctrlProp" Target="../ctrlProps/ctrlProp156.xml"/><Relationship Id="rId165" Type="http://schemas.openxmlformats.org/officeDocument/2006/relationships/ctrlProp" Target="../ctrlProps/ctrlProp161.xml"/><Relationship Id="rId22" Type="http://schemas.openxmlformats.org/officeDocument/2006/relationships/ctrlProp" Target="../ctrlProps/ctrlProp18.xml"/><Relationship Id="rId27" Type="http://schemas.openxmlformats.org/officeDocument/2006/relationships/ctrlProp" Target="../ctrlProps/ctrlProp23.xml"/><Relationship Id="rId43" Type="http://schemas.openxmlformats.org/officeDocument/2006/relationships/ctrlProp" Target="../ctrlProps/ctrlProp39.xml"/><Relationship Id="rId48" Type="http://schemas.openxmlformats.org/officeDocument/2006/relationships/ctrlProp" Target="../ctrlProps/ctrlProp44.xml"/><Relationship Id="rId64" Type="http://schemas.openxmlformats.org/officeDocument/2006/relationships/ctrlProp" Target="../ctrlProps/ctrlProp60.xml"/><Relationship Id="rId69" Type="http://schemas.openxmlformats.org/officeDocument/2006/relationships/ctrlProp" Target="../ctrlProps/ctrlProp65.xml"/><Relationship Id="rId113" Type="http://schemas.openxmlformats.org/officeDocument/2006/relationships/ctrlProp" Target="../ctrlProps/ctrlProp109.xml"/><Relationship Id="rId118" Type="http://schemas.openxmlformats.org/officeDocument/2006/relationships/ctrlProp" Target="../ctrlProps/ctrlProp114.xml"/><Relationship Id="rId134" Type="http://schemas.openxmlformats.org/officeDocument/2006/relationships/ctrlProp" Target="../ctrlProps/ctrlProp130.xml"/><Relationship Id="rId139" Type="http://schemas.openxmlformats.org/officeDocument/2006/relationships/ctrlProp" Target="../ctrlProps/ctrlProp135.xml"/><Relationship Id="rId80" Type="http://schemas.openxmlformats.org/officeDocument/2006/relationships/ctrlProp" Target="../ctrlProps/ctrlProp76.xml"/><Relationship Id="rId85" Type="http://schemas.openxmlformats.org/officeDocument/2006/relationships/ctrlProp" Target="../ctrlProps/ctrlProp81.xml"/><Relationship Id="rId150" Type="http://schemas.openxmlformats.org/officeDocument/2006/relationships/ctrlProp" Target="../ctrlProps/ctrlProp146.xml"/><Relationship Id="rId155" Type="http://schemas.openxmlformats.org/officeDocument/2006/relationships/ctrlProp" Target="../ctrlProps/ctrlProp151.xml"/><Relationship Id="rId12" Type="http://schemas.openxmlformats.org/officeDocument/2006/relationships/ctrlProp" Target="../ctrlProps/ctrlProp8.xml"/><Relationship Id="rId17" Type="http://schemas.openxmlformats.org/officeDocument/2006/relationships/ctrlProp" Target="../ctrlProps/ctrlProp13.xml"/><Relationship Id="rId33" Type="http://schemas.openxmlformats.org/officeDocument/2006/relationships/ctrlProp" Target="../ctrlProps/ctrlProp29.xml"/><Relationship Id="rId38" Type="http://schemas.openxmlformats.org/officeDocument/2006/relationships/ctrlProp" Target="../ctrlProps/ctrlProp34.xml"/><Relationship Id="rId59" Type="http://schemas.openxmlformats.org/officeDocument/2006/relationships/ctrlProp" Target="../ctrlProps/ctrlProp55.xml"/><Relationship Id="rId103" Type="http://schemas.openxmlformats.org/officeDocument/2006/relationships/ctrlProp" Target="../ctrlProps/ctrlProp99.xml"/><Relationship Id="rId108" Type="http://schemas.openxmlformats.org/officeDocument/2006/relationships/ctrlProp" Target="../ctrlProps/ctrlProp104.xml"/><Relationship Id="rId124" Type="http://schemas.openxmlformats.org/officeDocument/2006/relationships/ctrlProp" Target="../ctrlProps/ctrlProp120.xml"/><Relationship Id="rId129" Type="http://schemas.openxmlformats.org/officeDocument/2006/relationships/ctrlProp" Target="../ctrlProps/ctrlProp125.xml"/><Relationship Id="rId54" Type="http://schemas.openxmlformats.org/officeDocument/2006/relationships/ctrlProp" Target="../ctrlProps/ctrlProp50.xml"/><Relationship Id="rId70" Type="http://schemas.openxmlformats.org/officeDocument/2006/relationships/ctrlProp" Target="../ctrlProps/ctrlProp66.xml"/><Relationship Id="rId75" Type="http://schemas.openxmlformats.org/officeDocument/2006/relationships/ctrlProp" Target="../ctrlProps/ctrlProp71.xml"/><Relationship Id="rId91" Type="http://schemas.openxmlformats.org/officeDocument/2006/relationships/ctrlProp" Target="../ctrlProps/ctrlProp87.xml"/><Relationship Id="rId96" Type="http://schemas.openxmlformats.org/officeDocument/2006/relationships/ctrlProp" Target="../ctrlProps/ctrlProp92.xml"/><Relationship Id="rId140" Type="http://schemas.openxmlformats.org/officeDocument/2006/relationships/ctrlProp" Target="../ctrlProps/ctrlProp136.xml"/><Relationship Id="rId145" Type="http://schemas.openxmlformats.org/officeDocument/2006/relationships/ctrlProp" Target="../ctrlProps/ctrlProp141.xml"/><Relationship Id="rId161" Type="http://schemas.openxmlformats.org/officeDocument/2006/relationships/ctrlProp" Target="../ctrlProps/ctrlProp157.xml"/><Relationship Id="rId166" Type="http://schemas.openxmlformats.org/officeDocument/2006/relationships/ctrlProp" Target="../ctrlProps/ctrlProp162.xml"/><Relationship Id="rId1" Type="http://schemas.openxmlformats.org/officeDocument/2006/relationships/printerSettings" Target="../printerSettings/printerSettings1.bin"/><Relationship Id="rId6" Type="http://schemas.openxmlformats.org/officeDocument/2006/relationships/ctrlProp" Target="../ctrlProps/ctrlProp2.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36" Type="http://schemas.openxmlformats.org/officeDocument/2006/relationships/ctrlProp" Target="../ctrlProps/ctrlProp32.xml"/><Relationship Id="rId49" Type="http://schemas.openxmlformats.org/officeDocument/2006/relationships/ctrlProp" Target="../ctrlProps/ctrlProp45.xml"/><Relationship Id="rId57" Type="http://schemas.openxmlformats.org/officeDocument/2006/relationships/ctrlProp" Target="../ctrlProps/ctrlProp53.xml"/><Relationship Id="rId106" Type="http://schemas.openxmlformats.org/officeDocument/2006/relationships/ctrlProp" Target="../ctrlProps/ctrlProp102.xml"/><Relationship Id="rId114" Type="http://schemas.openxmlformats.org/officeDocument/2006/relationships/ctrlProp" Target="../ctrlProps/ctrlProp110.xml"/><Relationship Id="rId119" Type="http://schemas.openxmlformats.org/officeDocument/2006/relationships/ctrlProp" Target="../ctrlProps/ctrlProp115.xml"/><Relationship Id="rId127" Type="http://schemas.openxmlformats.org/officeDocument/2006/relationships/ctrlProp" Target="../ctrlProps/ctrlProp123.xml"/><Relationship Id="rId10" Type="http://schemas.openxmlformats.org/officeDocument/2006/relationships/ctrlProp" Target="../ctrlProps/ctrlProp6.xml"/><Relationship Id="rId31" Type="http://schemas.openxmlformats.org/officeDocument/2006/relationships/ctrlProp" Target="../ctrlProps/ctrlProp27.xml"/><Relationship Id="rId44" Type="http://schemas.openxmlformats.org/officeDocument/2006/relationships/ctrlProp" Target="../ctrlProps/ctrlProp40.xml"/><Relationship Id="rId52" Type="http://schemas.openxmlformats.org/officeDocument/2006/relationships/ctrlProp" Target="../ctrlProps/ctrlProp48.xml"/><Relationship Id="rId60" Type="http://schemas.openxmlformats.org/officeDocument/2006/relationships/ctrlProp" Target="../ctrlProps/ctrlProp56.xml"/><Relationship Id="rId65" Type="http://schemas.openxmlformats.org/officeDocument/2006/relationships/ctrlProp" Target="../ctrlProps/ctrlProp61.xml"/><Relationship Id="rId73" Type="http://schemas.openxmlformats.org/officeDocument/2006/relationships/ctrlProp" Target="../ctrlProps/ctrlProp69.xml"/><Relationship Id="rId78" Type="http://schemas.openxmlformats.org/officeDocument/2006/relationships/ctrlProp" Target="../ctrlProps/ctrlProp74.xml"/><Relationship Id="rId81" Type="http://schemas.openxmlformats.org/officeDocument/2006/relationships/ctrlProp" Target="../ctrlProps/ctrlProp77.xml"/><Relationship Id="rId86" Type="http://schemas.openxmlformats.org/officeDocument/2006/relationships/ctrlProp" Target="../ctrlProps/ctrlProp82.xml"/><Relationship Id="rId94" Type="http://schemas.openxmlformats.org/officeDocument/2006/relationships/ctrlProp" Target="../ctrlProps/ctrlProp90.xml"/><Relationship Id="rId99" Type="http://schemas.openxmlformats.org/officeDocument/2006/relationships/ctrlProp" Target="../ctrlProps/ctrlProp95.xml"/><Relationship Id="rId101" Type="http://schemas.openxmlformats.org/officeDocument/2006/relationships/ctrlProp" Target="../ctrlProps/ctrlProp97.xml"/><Relationship Id="rId122" Type="http://schemas.openxmlformats.org/officeDocument/2006/relationships/ctrlProp" Target="../ctrlProps/ctrlProp118.xml"/><Relationship Id="rId130" Type="http://schemas.openxmlformats.org/officeDocument/2006/relationships/ctrlProp" Target="../ctrlProps/ctrlProp126.xml"/><Relationship Id="rId135" Type="http://schemas.openxmlformats.org/officeDocument/2006/relationships/ctrlProp" Target="../ctrlProps/ctrlProp131.xml"/><Relationship Id="rId143" Type="http://schemas.openxmlformats.org/officeDocument/2006/relationships/ctrlProp" Target="../ctrlProps/ctrlProp139.xml"/><Relationship Id="rId148" Type="http://schemas.openxmlformats.org/officeDocument/2006/relationships/ctrlProp" Target="../ctrlProps/ctrlProp144.xml"/><Relationship Id="rId151" Type="http://schemas.openxmlformats.org/officeDocument/2006/relationships/ctrlProp" Target="../ctrlProps/ctrlProp147.xml"/><Relationship Id="rId156" Type="http://schemas.openxmlformats.org/officeDocument/2006/relationships/ctrlProp" Target="../ctrlProps/ctrlProp152.xml"/><Relationship Id="rId164" Type="http://schemas.openxmlformats.org/officeDocument/2006/relationships/ctrlProp" Target="../ctrlProps/ctrlProp160.xml"/><Relationship Id="rId4" Type="http://schemas.openxmlformats.org/officeDocument/2006/relationships/vmlDrawing" Target="../drawings/vmlDrawing2.vml"/><Relationship Id="rId9" Type="http://schemas.openxmlformats.org/officeDocument/2006/relationships/ctrlProp" Target="../ctrlProps/ctrlProp5.xml"/><Relationship Id="rId13" Type="http://schemas.openxmlformats.org/officeDocument/2006/relationships/ctrlProp" Target="../ctrlProps/ctrlProp9.xml"/><Relationship Id="rId18" Type="http://schemas.openxmlformats.org/officeDocument/2006/relationships/ctrlProp" Target="../ctrlProps/ctrlProp14.xml"/><Relationship Id="rId39" Type="http://schemas.openxmlformats.org/officeDocument/2006/relationships/ctrlProp" Target="../ctrlProps/ctrlProp35.xml"/><Relationship Id="rId109" Type="http://schemas.openxmlformats.org/officeDocument/2006/relationships/ctrlProp" Target="../ctrlProps/ctrlProp105.xml"/><Relationship Id="rId34" Type="http://schemas.openxmlformats.org/officeDocument/2006/relationships/ctrlProp" Target="../ctrlProps/ctrlProp30.xml"/><Relationship Id="rId50" Type="http://schemas.openxmlformats.org/officeDocument/2006/relationships/ctrlProp" Target="../ctrlProps/ctrlProp46.xml"/><Relationship Id="rId55" Type="http://schemas.openxmlformats.org/officeDocument/2006/relationships/ctrlProp" Target="../ctrlProps/ctrlProp51.xml"/><Relationship Id="rId76" Type="http://schemas.openxmlformats.org/officeDocument/2006/relationships/ctrlProp" Target="../ctrlProps/ctrlProp72.xml"/><Relationship Id="rId97" Type="http://schemas.openxmlformats.org/officeDocument/2006/relationships/ctrlProp" Target="../ctrlProps/ctrlProp93.xml"/><Relationship Id="rId104" Type="http://schemas.openxmlformats.org/officeDocument/2006/relationships/ctrlProp" Target="../ctrlProps/ctrlProp100.xml"/><Relationship Id="rId120" Type="http://schemas.openxmlformats.org/officeDocument/2006/relationships/ctrlProp" Target="../ctrlProps/ctrlProp116.xml"/><Relationship Id="rId125" Type="http://schemas.openxmlformats.org/officeDocument/2006/relationships/ctrlProp" Target="../ctrlProps/ctrlProp121.xml"/><Relationship Id="rId141" Type="http://schemas.openxmlformats.org/officeDocument/2006/relationships/ctrlProp" Target="../ctrlProps/ctrlProp137.xml"/><Relationship Id="rId146" Type="http://schemas.openxmlformats.org/officeDocument/2006/relationships/ctrlProp" Target="../ctrlProps/ctrlProp142.xml"/><Relationship Id="rId7" Type="http://schemas.openxmlformats.org/officeDocument/2006/relationships/ctrlProp" Target="../ctrlProps/ctrlProp3.xml"/><Relationship Id="rId71" Type="http://schemas.openxmlformats.org/officeDocument/2006/relationships/ctrlProp" Target="../ctrlProps/ctrlProp67.xml"/><Relationship Id="rId92" Type="http://schemas.openxmlformats.org/officeDocument/2006/relationships/ctrlProp" Target="../ctrlProps/ctrlProp88.xml"/><Relationship Id="rId162" Type="http://schemas.openxmlformats.org/officeDocument/2006/relationships/ctrlProp" Target="../ctrlProps/ctrlProp158.xml"/><Relationship Id="rId2" Type="http://schemas.openxmlformats.org/officeDocument/2006/relationships/drawing" Target="../drawings/drawing1.xml"/><Relationship Id="rId29" Type="http://schemas.openxmlformats.org/officeDocument/2006/relationships/ctrlProp" Target="../ctrlProps/ctrlProp25.xml"/><Relationship Id="rId24" Type="http://schemas.openxmlformats.org/officeDocument/2006/relationships/ctrlProp" Target="../ctrlProps/ctrlProp20.xml"/><Relationship Id="rId40" Type="http://schemas.openxmlformats.org/officeDocument/2006/relationships/ctrlProp" Target="../ctrlProps/ctrlProp36.xml"/><Relationship Id="rId45" Type="http://schemas.openxmlformats.org/officeDocument/2006/relationships/ctrlProp" Target="../ctrlProps/ctrlProp41.xml"/><Relationship Id="rId66" Type="http://schemas.openxmlformats.org/officeDocument/2006/relationships/ctrlProp" Target="../ctrlProps/ctrlProp62.xml"/><Relationship Id="rId87" Type="http://schemas.openxmlformats.org/officeDocument/2006/relationships/ctrlProp" Target="../ctrlProps/ctrlProp83.xml"/><Relationship Id="rId110" Type="http://schemas.openxmlformats.org/officeDocument/2006/relationships/ctrlProp" Target="../ctrlProps/ctrlProp106.xml"/><Relationship Id="rId115" Type="http://schemas.openxmlformats.org/officeDocument/2006/relationships/ctrlProp" Target="../ctrlProps/ctrlProp111.xml"/><Relationship Id="rId131" Type="http://schemas.openxmlformats.org/officeDocument/2006/relationships/ctrlProp" Target="../ctrlProps/ctrlProp127.xml"/><Relationship Id="rId136" Type="http://schemas.openxmlformats.org/officeDocument/2006/relationships/ctrlProp" Target="../ctrlProps/ctrlProp132.xml"/><Relationship Id="rId157" Type="http://schemas.openxmlformats.org/officeDocument/2006/relationships/ctrlProp" Target="../ctrlProps/ctrlProp153.xml"/><Relationship Id="rId61" Type="http://schemas.openxmlformats.org/officeDocument/2006/relationships/ctrlProp" Target="../ctrlProps/ctrlProp57.xml"/><Relationship Id="rId82" Type="http://schemas.openxmlformats.org/officeDocument/2006/relationships/ctrlProp" Target="../ctrlProps/ctrlProp78.xml"/><Relationship Id="rId152" Type="http://schemas.openxmlformats.org/officeDocument/2006/relationships/ctrlProp" Target="../ctrlProps/ctrlProp148.xml"/><Relationship Id="rId19" Type="http://schemas.openxmlformats.org/officeDocument/2006/relationships/ctrlProp" Target="../ctrlProps/ctrlProp15.xml"/><Relationship Id="rId14" Type="http://schemas.openxmlformats.org/officeDocument/2006/relationships/ctrlProp" Target="../ctrlProps/ctrlProp10.xml"/><Relationship Id="rId30" Type="http://schemas.openxmlformats.org/officeDocument/2006/relationships/ctrlProp" Target="../ctrlProps/ctrlProp26.xml"/><Relationship Id="rId35" Type="http://schemas.openxmlformats.org/officeDocument/2006/relationships/ctrlProp" Target="../ctrlProps/ctrlProp31.xml"/><Relationship Id="rId56" Type="http://schemas.openxmlformats.org/officeDocument/2006/relationships/ctrlProp" Target="../ctrlProps/ctrlProp52.xml"/><Relationship Id="rId77" Type="http://schemas.openxmlformats.org/officeDocument/2006/relationships/ctrlProp" Target="../ctrlProps/ctrlProp73.xml"/><Relationship Id="rId100" Type="http://schemas.openxmlformats.org/officeDocument/2006/relationships/ctrlProp" Target="../ctrlProps/ctrlProp96.xml"/><Relationship Id="rId105" Type="http://schemas.openxmlformats.org/officeDocument/2006/relationships/ctrlProp" Target="../ctrlProps/ctrlProp101.xml"/><Relationship Id="rId126" Type="http://schemas.openxmlformats.org/officeDocument/2006/relationships/ctrlProp" Target="../ctrlProps/ctrlProp122.xml"/><Relationship Id="rId147" Type="http://schemas.openxmlformats.org/officeDocument/2006/relationships/ctrlProp" Target="../ctrlProps/ctrlProp143.xml"/><Relationship Id="rId8" Type="http://schemas.openxmlformats.org/officeDocument/2006/relationships/ctrlProp" Target="../ctrlProps/ctrlProp4.xml"/><Relationship Id="rId51" Type="http://schemas.openxmlformats.org/officeDocument/2006/relationships/ctrlProp" Target="../ctrlProps/ctrlProp47.xml"/><Relationship Id="rId72" Type="http://schemas.openxmlformats.org/officeDocument/2006/relationships/ctrlProp" Target="../ctrlProps/ctrlProp68.xml"/><Relationship Id="rId93" Type="http://schemas.openxmlformats.org/officeDocument/2006/relationships/ctrlProp" Target="../ctrlProps/ctrlProp89.xml"/><Relationship Id="rId98" Type="http://schemas.openxmlformats.org/officeDocument/2006/relationships/ctrlProp" Target="../ctrlProps/ctrlProp94.xml"/><Relationship Id="rId121" Type="http://schemas.openxmlformats.org/officeDocument/2006/relationships/ctrlProp" Target="../ctrlProps/ctrlProp117.xml"/><Relationship Id="rId142" Type="http://schemas.openxmlformats.org/officeDocument/2006/relationships/ctrlProp" Target="../ctrlProps/ctrlProp138.xml"/><Relationship Id="rId163" Type="http://schemas.openxmlformats.org/officeDocument/2006/relationships/ctrlProp" Target="../ctrlProps/ctrlProp159.xml"/><Relationship Id="rId3" Type="http://schemas.openxmlformats.org/officeDocument/2006/relationships/vmlDrawing" Target="../drawings/vmlDrawing1.vml"/><Relationship Id="rId25" Type="http://schemas.openxmlformats.org/officeDocument/2006/relationships/ctrlProp" Target="../ctrlProps/ctrlProp21.xml"/><Relationship Id="rId46" Type="http://schemas.openxmlformats.org/officeDocument/2006/relationships/ctrlProp" Target="../ctrlProps/ctrlProp42.xml"/><Relationship Id="rId67" Type="http://schemas.openxmlformats.org/officeDocument/2006/relationships/ctrlProp" Target="../ctrlProps/ctrlProp63.xml"/><Relationship Id="rId116" Type="http://schemas.openxmlformats.org/officeDocument/2006/relationships/ctrlProp" Target="../ctrlProps/ctrlProp112.xml"/><Relationship Id="rId137" Type="http://schemas.openxmlformats.org/officeDocument/2006/relationships/ctrlProp" Target="../ctrlProps/ctrlProp133.xml"/><Relationship Id="rId158" Type="http://schemas.openxmlformats.org/officeDocument/2006/relationships/ctrlProp" Target="../ctrlProps/ctrlProp154.xml"/><Relationship Id="rId20" Type="http://schemas.openxmlformats.org/officeDocument/2006/relationships/ctrlProp" Target="../ctrlProps/ctrlProp16.xml"/><Relationship Id="rId41" Type="http://schemas.openxmlformats.org/officeDocument/2006/relationships/ctrlProp" Target="../ctrlProps/ctrlProp37.xml"/><Relationship Id="rId62" Type="http://schemas.openxmlformats.org/officeDocument/2006/relationships/ctrlProp" Target="../ctrlProps/ctrlProp58.xml"/><Relationship Id="rId83" Type="http://schemas.openxmlformats.org/officeDocument/2006/relationships/ctrlProp" Target="../ctrlProps/ctrlProp79.xml"/><Relationship Id="rId88" Type="http://schemas.openxmlformats.org/officeDocument/2006/relationships/ctrlProp" Target="../ctrlProps/ctrlProp84.xml"/><Relationship Id="rId111" Type="http://schemas.openxmlformats.org/officeDocument/2006/relationships/ctrlProp" Target="../ctrlProps/ctrlProp107.xml"/><Relationship Id="rId132" Type="http://schemas.openxmlformats.org/officeDocument/2006/relationships/ctrlProp" Target="../ctrlProps/ctrlProp128.xml"/><Relationship Id="rId153" Type="http://schemas.openxmlformats.org/officeDocument/2006/relationships/ctrlProp" Target="../ctrlProps/ctrlProp149.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4.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omments" Target="../comments2.xml"/><Relationship Id="rId4" Type="http://schemas.openxmlformats.org/officeDocument/2006/relationships/vmlDrawing" Target="../drawings/vmlDrawing6.v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comments" Target="../comments3.xml"/><Relationship Id="rId4" Type="http://schemas.openxmlformats.org/officeDocument/2006/relationships/vmlDrawing" Target="../drawings/vmlDrawing8.v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openxmlformats.org/officeDocument/2006/relationships/comments" Target="../comments4.xml"/><Relationship Id="rId4" Type="http://schemas.openxmlformats.org/officeDocument/2006/relationships/vmlDrawing" Target="../drawings/vmlDrawing10.v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6.xml"/><Relationship Id="rId1" Type="http://schemas.openxmlformats.org/officeDocument/2006/relationships/printerSettings" Target="../printerSettings/printerSettings6.bin"/><Relationship Id="rId5" Type="http://schemas.openxmlformats.org/officeDocument/2006/relationships/comments" Target="../comments5.xml"/><Relationship Id="rId4" Type="http://schemas.openxmlformats.org/officeDocument/2006/relationships/vmlDrawing" Target="../drawings/vmlDrawing12.v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8.xml"/><Relationship Id="rId1" Type="http://schemas.openxmlformats.org/officeDocument/2006/relationships/printerSettings" Target="../printerSettings/printerSettings10.bin"/><Relationship Id="rId5" Type="http://schemas.openxmlformats.org/officeDocument/2006/relationships/comments" Target="../comments6.xml"/><Relationship Id="rId4" Type="http://schemas.openxmlformats.org/officeDocument/2006/relationships/vmlDrawing" Target="../drawings/vmlDrawing15.v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9.xml"/><Relationship Id="rId1" Type="http://schemas.openxmlformats.org/officeDocument/2006/relationships/printerSettings" Target="../printerSettings/printerSettings11.bin"/><Relationship Id="rId5" Type="http://schemas.openxmlformats.org/officeDocument/2006/relationships/comments" Target="../comments7.xml"/><Relationship Id="rId4" Type="http://schemas.openxmlformats.org/officeDocument/2006/relationships/vmlDrawing" Target="../drawings/vmlDrawing17.v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0.xml"/><Relationship Id="rId1" Type="http://schemas.openxmlformats.org/officeDocument/2006/relationships/printerSettings" Target="../printerSettings/printerSettings12.bin"/><Relationship Id="rId5" Type="http://schemas.openxmlformats.org/officeDocument/2006/relationships/comments" Target="../comments8.xml"/><Relationship Id="rId4" Type="http://schemas.openxmlformats.org/officeDocument/2006/relationships/vmlDrawing" Target="../drawings/vmlDrawing19.v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11.xml"/><Relationship Id="rId1" Type="http://schemas.openxmlformats.org/officeDocument/2006/relationships/printerSettings" Target="../printerSettings/printerSettings13.bin"/><Relationship Id="rId5" Type="http://schemas.openxmlformats.org/officeDocument/2006/relationships/comments" Target="../comments9.xml"/><Relationship Id="rId4" Type="http://schemas.openxmlformats.org/officeDocument/2006/relationships/vmlDrawing" Target="../drawings/vmlDrawing21.v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C1:U47"/>
  <sheetViews>
    <sheetView showGridLines="0" tabSelected="1" topLeftCell="A20" zoomScaleNormal="100" workbookViewId="0">
      <selection activeCell="C24" sqref="C24"/>
    </sheetView>
  </sheetViews>
  <sheetFormatPr baseColWidth="10" defaultColWidth="11.42578125" defaultRowHeight="15" x14ac:dyDescent="0.25"/>
  <cols>
    <col min="1" max="2" width="0.85546875" customWidth="1"/>
    <col min="3" max="3" width="55.7109375" customWidth="1"/>
    <col min="4" max="10" width="15.7109375" customWidth="1"/>
    <col min="11" max="11" width="64.7109375" customWidth="1"/>
    <col min="12" max="12" width="1.7109375" customWidth="1"/>
    <col min="13" max="13" width="140.7109375" customWidth="1"/>
    <col min="14" max="15" width="0.85546875" customWidth="1"/>
  </cols>
  <sheetData>
    <row r="1" spans="3:20" ht="5.0999999999999996" customHeight="1" x14ac:dyDescent="0.25"/>
    <row r="12" spans="3:20" x14ac:dyDescent="0.25">
      <c r="C12" s="21"/>
      <c r="D12" s="21"/>
      <c r="E12" s="21"/>
      <c r="F12" s="21"/>
      <c r="G12" s="21"/>
      <c r="H12" s="21"/>
      <c r="I12" s="21"/>
      <c r="J12" s="21"/>
      <c r="K12" s="21"/>
      <c r="L12" s="21"/>
      <c r="M12" s="21"/>
    </row>
    <row r="13" spans="3:20" x14ac:dyDescent="0.25">
      <c r="C13" s="21"/>
      <c r="D13" s="21"/>
      <c r="E13" s="21"/>
      <c r="F13" s="21"/>
      <c r="G13" s="21"/>
      <c r="H13" s="21"/>
      <c r="I13" s="21"/>
      <c r="J13" s="21"/>
      <c r="K13" s="21"/>
      <c r="L13" s="21"/>
      <c r="M13" s="21"/>
    </row>
    <row r="14" spans="3:20" x14ac:dyDescent="0.25">
      <c r="C14" s="20"/>
      <c r="D14" s="20"/>
      <c r="E14" s="20"/>
      <c r="F14" s="20"/>
      <c r="G14" s="20"/>
      <c r="H14" s="20"/>
      <c r="I14" s="20"/>
      <c r="J14" s="20"/>
      <c r="K14" s="20"/>
      <c r="L14" s="20"/>
      <c r="M14" s="20"/>
    </row>
    <row r="15" spans="3:20" ht="15" customHeight="1" x14ac:dyDescent="0.25">
      <c r="C15" s="125" t="s">
        <v>7</v>
      </c>
      <c r="D15" s="125" t="s">
        <v>2</v>
      </c>
      <c r="E15" s="125" t="s">
        <v>70</v>
      </c>
      <c r="F15" s="128" t="s">
        <v>1</v>
      </c>
      <c r="G15" s="128" t="s">
        <v>18</v>
      </c>
      <c r="H15" s="125" t="s">
        <v>24</v>
      </c>
      <c r="I15" s="125" t="s">
        <v>75</v>
      </c>
      <c r="J15" s="125" t="s">
        <v>41</v>
      </c>
      <c r="K15" s="125" t="s">
        <v>42</v>
      </c>
      <c r="M15" s="125" t="s">
        <v>43</v>
      </c>
      <c r="P15" s="73"/>
      <c r="Q15" s="74" t="s">
        <v>25</v>
      </c>
      <c r="R15" s="73"/>
      <c r="S15" s="73"/>
      <c r="T15" s="73"/>
    </row>
    <row r="16" spans="3:20" ht="15" customHeight="1" x14ac:dyDescent="0.25">
      <c r="C16" s="126"/>
      <c r="D16" s="126"/>
      <c r="E16" s="126"/>
      <c r="F16" s="129"/>
      <c r="G16" s="129"/>
      <c r="H16" s="126"/>
      <c r="I16" s="126"/>
      <c r="J16" s="126"/>
      <c r="K16" s="126"/>
      <c r="M16" s="126"/>
      <c r="P16" s="73"/>
      <c r="Q16" s="74" t="s">
        <v>26</v>
      </c>
      <c r="R16" s="73"/>
      <c r="S16" s="73"/>
      <c r="T16" s="73"/>
    </row>
    <row r="17" spans="3:21" ht="15" customHeight="1" x14ac:dyDescent="0.25">
      <c r="C17" s="126"/>
      <c r="D17" s="126"/>
      <c r="E17" s="126"/>
      <c r="F17" s="129"/>
      <c r="G17" s="129"/>
      <c r="H17" s="126"/>
      <c r="I17" s="126"/>
      <c r="J17" s="126"/>
      <c r="K17" s="126"/>
      <c r="M17" s="126"/>
      <c r="P17" s="73"/>
      <c r="Q17" s="74" t="s">
        <v>27</v>
      </c>
      <c r="R17" s="73"/>
      <c r="S17" s="73"/>
      <c r="T17" s="73"/>
    </row>
    <row r="18" spans="3:21" ht="15" customHeight="1" x14ac:dyDescent="0.25">
      <c r="C18" s="127"/>
      <c r="D18" s="127"/>
      <c r="E18" s="127"/>
      <c r="F18" s="130"/>
      <c r="G18" s="130"/>
      <c r="H18" s="127"/>
      <c r="I18" s="127"/>
      <c r="J18" s="127"/>
      <c r="K18" s="127"/>
      <c r="M18" s="127"/>
      <c r="P18" s="73"/>
      <c r="Q18" s="74" t="s">
        <v>71</v>
      </c>
      <c r="R18" s="73"/>
      <c r="S18" s="73"/>
      <c r="T18" s="73"/>
    </row>
    <row r="19" spans="3:21" ht="50.1" customHeight="1" x14ac:dyDescent="0.25">
      <c r="C19" s="34" t="s">
        <v>88</v>
      </c>
      <c r="D19" s="34" t="s">
        <v>89</v>
      </c>
      <c r="E19" s="34" t="s">
        <v>26</v>
      </c>
      <c r="F19" s="35">
        <v>43091</v>
      </c>
      <c r="G19" s="36">
        <v>15248000</v>
      </c>
      <c r="H19" s="37">
        <v>862</v>
      </c>
      <c r="I19" s="36"/>
      <c r="J19" s="38" t="s">
        <v>29</v>
      </c>
      <c r="K19" s="40"/>
      <c r="M19" s="36"/>
      <c r="O19" s="17"/>
      <c r="P19" s="50"/>
      <c r="Q19" s="50" t="s">
        <v>28</v>
      </c>
      <c r="R19" s="50">
        <f>IF($E19="HN",1,0)</f>
        <v>0</v>
      </c>
      <c r="S19" s="50">
        <f>IF($E19="HR",1,0)</f>
        <v>1</v>
      </c>
      <c r="T19" s="50">
        <f>IF($E19="OF",1,0)</f>
        <v>0</v>
      </c>
      <c r="U19" s="39">
        <f>IF($E19="IE",1,0)</f>
        <v>0</v>
      </c>
    </row>
    <row r="20" spans="3:21" ht="50.1" customHeight="1" x14ac:dyDescent="0.25">
      <c r="C20" s="34" t="s">
        <v>90</v>
      </c>
      <c r="D20" s="34" t="s">
        <v>91</v>
      </c>
      <c r="E20" s="34" t="s">
        <v>25</v>
      </c>
      <c r="F20" s="35">
        <v>43362</v>
      </c>
      <c r="G20" s="36">
        <v>4685000</v>
      </c>
      <c r="H20" s="37">
        <v>33</v>
      </c>
      <c r="I20" s="36"/>
      <c r="J20" s="38" t="s">
        <v>29</v>
      </c>
      <c r="K20" s="40"/>
      <c r="M20" s="36"/>
      <c r="P20" s="50"/>
      <c r="Q20" s="50" t="s">
        <v>29</v>
      </c>
      <c r="R20" s="50">
        <f t="shared" ref="R20:R38" si="0">IF($E20="HN",1,0)</f>
        <v>1</v>
      </c>
      <c r="S20" s="50">
        <f t="shared" ref="S20:S38" si="1">IF($E20="HR",1,0)</f>
        <v>0</v>
      </c>
      <c r="T20" s="50">
        <f t="shared" ref="T20:T38" si="2">IF($E20="OF",1,0)</f>
        <v>0</v>
      </c>
      <c r="U20" s="39">
        <f t="shared" ref="U20:U38" si="3">IF($E20="IE",1,0)</f>
        <v>0</v>
      </c>
    </row>
    <row r="21" spans="3:21" ht="50.1" customHeight="1" x14ac:dyDescent="0.25">
      <c r="C21" s="34" t="s">
        <v>92</v>
      </c>
      <c r="D21" s="34" t="s">
        <v>93</v>
      </c>
      <c r="E21" s="34" t="s">
        <v>25</v>
      </c>
      <c r="F21" s="35">
        <v>42724</v>
      </c>
      <c r="G21" s="36">
        <v>16279000</v>
      </c>
      <c r="H21" s="37">
        <v>98</v>
      </c>
      <c r="I21" s="36"/>
      <c r="J21" s="38" t="s">
        <v>29</v>
      </c>
      <c r="K21" s="36"/>
      <c r="M21" s="36"/>
      <c r="P21" s="50"/>
      <c r="Q21" s="50"/>
      <c r="R21" s="50">
        <f t="shared" si="0"/>
        <v>1</v>
      </c>
      <c r="S21" s="50">
        <f t="shared" si="1"/>
        <v>0</v>
      </c>
      <c r="T21" s="50">
        <f t="shared" si="2"/>
        <v>0</v>
      </c>
      <c r="U21" s="39">
        <f t="shared" si="3"/>
        <v>0</v>
      </c>
    </row>
    <row r="22" spans="3:21" ht="50.1" customHeight="1" x14ac:dyDescent="0.25">
      <c r="C22" s="121" t="s">
        <v>108</v>
      </c>
      <c r="D22" s="121" t="s">
        <v>109</v>
      </c>
      <c r="E22" s="121" t="s">
        <v>26</v>
      </c>
      <c r="F22" s="122">
        <v>43326</v>
      </c>
      <c r="G22" s="96"/>
      <c r="H22" s="37"/>
      <c r="I22" s="36"/>
      <c r="J22" s="38"/>
      <c r="K22" s="36"/>
      <c r="M22" s="36"/>
      <c r="P22" s="50"/>
      <c r="Q22" s="50"/>
      <c r="R22" s="50">
        <f t="shared" si="0"/>
        <v>0</v>
      </c>
      <c r="S22" s="50">
        <f t="shared" si="1"/>
        <v>1</v>
      </c>
      <c r="T22" s="50">
        <f t="shared" si="2"/>
        <v>0</v>
      </c>
      <c r="U22" s="39">
        <f t="shared" si="3"/>
        <v>0</v>
      </c>
    </row>
    <row r="23" spans="3:21" ht="50.1" customHeight="1" x14ac:dyDescent="0.25">
      <c r="C23" s="121" t="s">
        <v>111</v>
      </c>
      <c r="D23" s="121" t="s">
        <v>110</v>
      </c>
      <c r="E23" s="121" t="s">
        <v>25</v>
      </c>
      <c r="F23" s="122">
        <v>43312</v>
      </c>
      <c r="G23" s="96"/>
      <c r="H23" s="37">
        <v>40</v>
      </c>
      <c r="I23" s="36"/>
      <c r="J23" s="38"/>
      <c r="K23" s="36"/>
      <c r="M23" s="36" t="s">
        <v>112</v>
      </c>
      <c r="P23" s="50"/>
      <c r="Q23" s="50"/>
      <c r="R23" s="50">
        <f t="shared" si="0"/>
        <v>1</v>
      </c>
      <c r="S23" s="50">
        <f t="shared" si="1"/>
        <v>0</v>
      </c>
      <c r="T23" s="50">
        <f t="shared" si="2"/>
        <v>0</v>
      </c>
      <c r="U23" s="39">
        <f t="shared" si="3"/>
        <v>0</v>
      </c>
    </row>
    <row r="24" spans="3:21" ht="50.1" customHeight="1" x14ac:dyDescent="0.25">
      <c r="C24" s="121" t="s">
        <v>119</v>
      </c>
      <c r="D24" s="121" t="s">
        <v>113</v>
      </c>
      <c r="E24" s="121" t="s">
        <v>25</v>
      </c>
      <c r="F24" s="122">
        <v>43403</v>
      </c>
      <c r="G24" s="96"/>
      <c r="H24" s="37"/>
      <c r="I24" s="36"/>
      <c r="J24" s="38"/>
      <c r="K24" s="36"/>
      <c r="M24" s="36"/>
      <c r="P24" s="50"/>
      <c r="Q24" s="50"/>
      <c r="R24" s="50">
        <f t="shared" si="0"/>
        <v>1</v>
      </c>
      <c r="S24" s="50">
        <f t="shared" si="1"/>
        <v>0</v>
      </c>
      <c r="T24" s="50">
        <f t="shared" si="2"/>
        <v>0</v>
      </c>
      <c r="U24" s="39">
        <f t="shared" si="3"/>
        <v>0</v>
      </c>
    </row>
    <row r="25" spans="3:21" ht="50.1" customHeight="1" x14ac:dyDescent="0.25">
      <c r="C25" s="34"/>
      <c r="D25" s="34"/>
      <c r="E25" s="34"/>
      <c r="F25" s="35"/>
      <c r="G25" s="96"/>
      <c r="H25" s="37"/>
      <c r="I25" s="36"/>
      <c r="J25" s="38"/>
      <c r="K25" s="36"/>
      <c r="M25" s="18"/>
      <c r="P25" s="50"/>
      <c r="Q25" s="50"/>
      <c r="R25" s="50">
        <f t="shared" si="0"/>
        <v>0</v>
      </c>
      <c r="S25" s="50">
        <f t="shared" si="1"/>
        <v>0</v>
      </c>
      <c r="T25" s="50">
        <f t="shared" si="2"/>
        <v>0</v>
      </c>
      <c r="U25" s="39">
        <f t="shared" si="3"/>
        <v>0</v>
      </c>
    </row>
    <row r="26" spans="3:21" ht="50.1" customHeight="1" x14ac:dyDescent="0.25">
      <c r="C26" s="34"/>
      <c r="D26" s="34"/>
      <c r="E26" s="34"/>
      <c r="F26" s="35"/>
      <c r="G26" s="96"/>
      <c r="H26" s="37"/>
      <c r="I26" s="18"/>
      <c r="J26" s="16"/>
      <c r="K26" s="18"/>
      <c r="M26" s="18"/>
      <c r="P26" s="50"/>
      <c r="Q26" s="50"/>
      <c r="R26" s="50">
        <f t="shared" si="0"/>
        <v>0</v>
      </c>
      <c r="S26" s="50">
        <f t="shared" si="1"/>
        <v>0</v>
      </c>
      <c r="T26" s="50">
        <f t="shared" si="2"/>
        <v>0</v>
      </c>
      <c r="U26" s="39">
        <f t="shared" si="3"/>
        <v>0</v>
      </c>
    </row>
    <row r="27" spans="3:21" ht="50.1" customHeight="1" x14ac:dyDescent="0.25">
      <c r="C27" s="34"/>
      <c r="D27" s="34"/>
      <c r="E27" s="34"/>
      <c r="F27" s="35"/>
      <c r="G27" s="96"/>
      <c r="H27" s="37"/>
      <c r="I27" s="36"/>
      <c r="J27" s="38"/>
      <c r="K27" s="18"/>
      <c r="M27" s="18"/>
      <c r="P27" s="50"/>
      <c r="Q27" s="50"/>
      <c r="R27" s="50">
        <f t="shared" si="0"/>
        <v>0</v>
      </c>
      <c r="S27" s="50">
        <f t="shared" si="1"/>
        <v>0</v>
      </c>
      <c r="T27" s="50">
        <f t="shared" si="2"/>
        <v>0</v>
      </c>
      <c r="U27" s="39">
        <f t="shared" si="3"/>
        <v>0</v>
      </c>
    </row>
    <row r="28" spans="3:21" ht="50.1" customHeight="1" x14ac:dyDescent="0.25">
      <c r="C28" s="34"/>
      <c r="D28" s="34"/>
      <c r="E28" s="34"/>
      <c r="F28" s="35"/>
      <c r="G28" s="96"/>
      <c r="H28" s="37"/>
      <c r="I28" s="18"/>
      <c r="J28" s="16"/>
      <c r="K28" s="18"/>
      <c r="M28" s="18"/>
      <c r="P28" s="50"/>
      <c r="Q28" s="50"/>
      <c r="R28" s="50">
        <f t="shared" si="0"/>
        <v>0</v>
      </c>
      <c r="S28" s="50">
        <f t="shared" si="1"/>
        <v>0</v>
      </c>
      <c r="T28" s="50">
        <f t="shared" si="2"/>
        <v>0</v>
      </c>
      <c r="U28" s="39">
        <f t="shared" si="3"/>
        <v>0</v>
      </c>
    </row>
    <row r="29" spans="3:21" ht="50.1" customHeight="1" x14ac:dyDescent="0.25">
      <c r="C29" s="34"/>
      <c r="D29" s="34"/>
      <c r="E29" s="34"/>
      <c r="F29" s="35"/>
      <c r="G29" s="96"/>
      <c r="H29" s="37"/>
      <c r="I29" s="18"/>
      <c r="J29" s="16"/>
      <c r="K29" s="18"/>
      <c r="M29" s="18"/>
      <c r="P29" s="50"/>
      <c r="Q29" s="50"/>
      <c r="R29" s="50">
        <f t="shared" si="0"/>
        <v>0</v>
      </c>
      <c r="S29" s="50">
        <f t="shared" si="1"/>
        <v>0</v>
      </c>
      <c r="T29" s="50">
        <f t="shared" si="2"/>
        <v>0</v>
      </c>
      <c r="U29" s="39">
        <f t="shared" si="3"/>
        <v>0</v>
      </c>
    </row>
    <row r="30" spans="3:21" ht="50.1" customHeight="1" x14ac:dyDescent="0.25">
      <c r="C30" s="12"/>
      <c r="D30" s="12"/>
      <c r="E30" s="12"/>
      <c r="F30" s="13"/>
      <c r="G30" s="97"/>
      <c r="H30" s="23"/>
      <c r="I30" s="18"/>
      <c r="J30" s="16"/>
      <c r="K30" s="18"/>
      <c r="M30" s="18"/>
      <c r="P30" s="50"/>
      <c r="Q30" s="50"/>
      <c r="R30" s="50">
        <f t="shared" si="0"/>
        <v>0</v>
      </c>
      <c r="S30" s="50">
        <f t="shared" si="1"/>
        <v>0</v>
      </c>
      <c r="T30" s="50">
        <f t="shared" si="2"/>
        <v>0</v>
      </c>
      <c r="U30" s="39">
        <f t="shared" si="3"/>
        <v>0</v>
      </c>
    </row>
    <row r="31" spans="3:21" ht="50.1" customHeight="1" x14ac:dyDescent="0.25">
      <c r="C31" s="12"/>
      <c r="D31" s="12"/>
      <c r="E31" s="12"/>
      <c r="F31" s="13"/>
      <c r="G31" s="97"/>
      <c r="H31" s="23"/>
      <c r="I31" s="18"/>
      <c r="J31" s="16"/>
      <c r="K31" s="18"/>
      <c r="M31" s="18"/>
      <c r="P31" s="50"/>
      <c r="Q31" s="50"/>
      <c r="R31" s="50">
        <f t="shared" si="0"/>
        <v>0</v>
      </c>
      <c r="S31" s="50">
        <f t="shared" si="1"/>
        <v>0</v>
      </c>
      <c r="T31" s="50">
        <f t="shared" si="2"/>
        <v>0</v>
      </c>
      <c r="U31" s="39">
        <f t="shared" si="3"/>
        <v>0</v>
      </c>
    </row>
    <row r="32" spans="3:21" ht="50.1" customHeight="1" x14ac:dyDescent="0.25">
      <c r="C32" s="12"/>
      <c r="D32" s="12"/>
      <c r="E32" s="12"/>
      <c r="F32" s="13"/>
      <c r="G32" s="97"/>
      <c r="H32" s="23"/>
      <c r="I32" s="18"/>
      <c r="J32" s="16"/>
      <c r="K32" s="18"/>
      <c r="M32" s="18"/>
      <c r="P32" s="50"/>
      <c r="Q32" s="50"/>
      <c r="R32" s="50">
        <f t="shared" si="0"/>
        <v>0</v>
      </c>
      <c r="S32" s="50">
        <f t="shared" si="1"/>
        <v>0</v>
      </c>
      <c r="T32" s="50">
        <f t="shared" si="2"/>
        <v>0</v>
      </c>
      <c r="U32" s="39">
        <f t="shared" si="3"/>
        <v>0</v>
      </c>
    </row>
    <row r="33" spans="3:21" ht="50.1" customHeight="1" x14ac:dyDescent="0.25">
      <c r="C33" s="12"/>
      <c r="D33" s="12"/>
      <c r="E33" s="12"/>
      <c r="F33" s="13"/>
      <c r="G33" s="97"/>
      <c r="H33" s="23"/>
      <c r="I33" s="18"/>
      <c r="J33" s="16"/>
      <c r="K33" s="18"/>
      <c r="M33" s="18"/>
      <c r="P33" s="50"/>
      <c r="Q33" s="50"/>
      <c r="R33" s="50">
        <f t="shared" si="0"/>
        <v>0</v>
      </c>
      <c r="S33" s="50">
        <f t="shared" si="1"/>
        <v>0</v>
      </c>
      <c r="T33" s="50">
        <f t="shared" si="2"/>
        <v>0</v>
      </c>
      <c r="U33" s="39">
        <f t="shared" si="3"/>
        <v>0</v>
      </c>
    </row>
    <row r="34" spans="3:21" ht="50.1" customHeight="1" x14ac:dyDescent="0.25">
      <c r="C34" s="12"/>
      <c r="D34" s="12"/>
      <c r="E34" s="12"/>
      <c r="F34" s="13"/>
      <c r="G34" s="97"/>
      <c r="H34" s="23"/>
      <c r="I34" s="18"/>
      <c r="J34" s="16"/>
      <c r="K34" s="18"/>
      <c r="M34" s="18"/>
      <c r="P34" s="50"/>
      <c r="Q34" s="50"/>
      <c r="R34" s="50">
        <f t="shared" si="0"/>
        <v>0</v>
      </c>
      <c r="S34" s="50">
        <f t="shared" si="1"/>
        <v>0</v>
      </c>
      <c r="T34" s="50">
        <f t="shared" si="2"/>
        <v>0</v>
      </c>
      <c r="U34" s="39">
        <f t="shared" si="3"/>
        <v>0</v>
      </c>
    </row>
    <row r="35" spans="3:21" ht="50.1" customHeight="1" x14ac:dyDescent="0.25">
      <c r="C35" s="12"/>
      <c r="D35" s="12"/>
      <c r="E35" s="12"/>
      <c r="F35" s="13"/>
      <c r="G35" s="97"/>
      <c r="H35" s="23"/>
      <c r="I35" s="18"/>
      <c r="J35" s="16"/>
      <c r="K35" s="18"/>
      <c r="M35" s="18"/>
      <c r="P35" s="50"/>
      <c r="Q35" s="50"/>
      <c r="R35" s="50">
        <f t="shared" si="0"/>
        <v>0</v>
      </c>
      <c r="S35" s="50">
        <f t="shared" si="1"/>
        <v>0</v>
      </c>
      <c r="T35" s="50">
        <f t="shared" si="2"/>
        <v>0</v>
      </c>
      <c r="U35" s="39">
        <f t="shared" si="3"/>
        <v>0</v>
      </c>
    </row>
    <row r="36" spans="3:21" ht="50.1" customHeight="1" x14ac:dyDescent="0.25">
      <c r="C36" s="12"/>
      <c r="D36" s="12"/>
      <c r="E36" s="12"/>
      <c r="F36" s="13"/>
      <c r="G36" s="97"/>
      <c r="H36" s="23"/>
      <c r="I36" s="18"/>
      <c r="J36" s="16"/>
      <c r="K36" s="18"/>
      <c r="M36" s="18"/>
      <c r="P36" s="50"/>
      <c r="Q36" s="50"/>
      <c r="R36" s="50">
        <f t="shared" si="0"/>
        <v>0</v>
      </c>
      <c r="S36" s="50">
        <f t="shared" si="1"/>
        <v>0</v>
      </c>
      <c r="T36" s="50">
        <f t="shared" si="2"/>
        <v>0</v>
      </c>
      <c r="U36" s="39">
        <f t="shared" si="3"/>
        <v>0</v>
      </c>
    </row>
    <row r="37" spans="3:21" ht="50.1" customHeight="1" x14ac:dyDescent="0.25">
      <c r="C37" s="12"/>
      <c r="D37" s="12"/>
      <c r="E37" s="12"/>
      <c r="F37" s="13"/>
      <c r="G37" s="97"/>
      <c r="H37" s="23"/>
      <c r="I37" s="18"/>
      <c r="J37" s="16"/>
      <c r="K37" s="18"/>
      <c r="M37" s="18"/>
      <c r="P37" s="50"/>
      <c r="Q37" s="50"/>
      <c r="R37" s="50">
        <f t="shared" si="0"/>
        <v>0</v>
      </c>
      <c r="S37" s="50">
        <f t="shared" si="1"/>
        <v>0</v>
      </c>
      <c r="T37" s="50">
        <f t="shared" si="2"/>
        <v>0</v>
      </c>
      <c r="U37" s="39">
        <f t="shared" si="3"/>
        <v>0</v>
      </c>
    </row>
    <row r="38" spans="3:21" ht="50.1" customHeight="1" x14ac:dyDescent="0.25">
      <c r="C38" s="12"/>
      <c r="D38" s="12"/>
      <c r="E38" s="12"/>
      <c r="F38" s="13"/>
      <c r="G38" s="97"/>
      <c r="H38" s="23"/>
      <c r="I38" s="18"/>
      <c r="J38" s="16"/>
      <c r="K38" s="18"/>
      <c r="M38" s="18"/>
      <c r="P38" s="50"/>
      <c r="Q38" s="50"/>
      <c r="R38" s="50">
        <f t="shared" si="0"/>
        <v>0</v>
      </c>
      <c r="S38" s="50">
        <f t="shared" si="1"/>
        <v>0</v>
      </c>
      <c r="T38" s="50">
        <f t="shared" si="2"/>
        <v>0</v>
      </c>
      <c r="U38" s="39">
        <f t="shared" si="3"/>
        <v>0</v>
      </c>
    </row>
    <row r="39" spans="3:21" x14ac:dyDescent="0.25">
      <c r="P39" s="39"/>
      <c r="Q39" s="39"/>
      <c r="R39" s="39">
        <f>SUM(R19:R38)</f>
        <v>4</v>
      </c>
      <c r="S39" s="39">
        <f>SUM(S19:S38)</f>
        <v>2</v>
      </c>
      <c r="T39" s="39">
        <f>SUM(T19:T38)</f>
        <v>0</v>
      </c>
      <c r="U39" s="39">
        <f>SUM(U19:U38)</f>
        <v>0</v>
      </c>
    </row>
    <row r="42" spans="3:21" x14ac:dyDescent="0.25">
      <c r="C42" s="41"/>
    </row>
    <row r="43" spans="3:21" x14ac:dyDescent="0.25">
      <c r="C43" s="41"/>
    </row>
    <row r="44" spans="3:21" x14ac:dyDescent="0.25">
      <c r="C44" s="41"/>
    </row>
    <row r="45" spans="3:21" x14ac:dyDescent="0.25">
      <c r="C45" s="124" t="str">
        <f ca="1">MID(CELL("filename",A1),FIND("[",CELL("filename",A1))+1,FIND("]",CELL("filename",A1))-FIND("[",CELL("filename",A1))-6)</f>
        <v>CR Point bimestriel PA Version 22.4 20190227 EVREUX</v>
      </c>
      <c r="D45" s="124"/>
      <c r="E45" s="124"/>
      <c r="F45" s="124"/>
      <c r="G45" s="124"/>
      <c r="H45" s="124"/>
      <c r="I45" s="124"/>
      <c r="J45" s="124"/>
      <c r="K45" s="124"/>
      <c r="L45" s="124"/>
      <c r="M45" s="124"/>
    </row>
    <row r="46" spans="3:21" x14ac:dyDescent="0.25">
      <c r="C46" s="24"/>
    </row>
    <row r="47" spans="3:21" ht="5.0999999999999996" customHeight="1" x14ac:dyDescent="0.25"/>
  </sheetData>
  <sheetProtection algorithmName="SHA-512" hashValue="bbZGZevTf9EZ2DgXp5LnFRvWd2L4g8rk8y7fQQqDBmhw1COeVi/gzYmaZXGvhGTX/YHOCkSmzoYknzT8Z3w3kA==" saltValue="lVM0C0lk/wFenOfuSZMeAA==" spinCount="100000" sheet="1" objects="1" scenarios="1"/>
  <protectedRanges>
    <protectedRange sqref="C19:I38" name="Plage1"/>
    <protectedRange sqref="J19:J38" name="Plage3"/>
    <protectedRange sqref="K19:K38" name="Plage1_1"/>
    <protectedRange sqref="M19:M38" name="Plage1_2"/>
  </protectedRanges>
  <mergeCells count="11">
    <mergeCell ref="C45:M45"/>
    <mergeCell ref="J15:J18"/>
    <mergeCell ref="K15:K18"/>
    <mergeCell ref="M15:M18"/>
    <mergeCell ref="I15:I18"/>
    <mergeCell ref="C15:C18"/>
    <mergeCell ref="D15:D18"/>
    <mergeCell ref="E15:E18"/>
    <mergeCell ref="F15:F18"/>
    <mergeCell ref="G15:G18"/>
    <mergeCell ref="H15:H18"/>
  </mergeCells>
  <dataValidations count="6">
    <dataValidation type="list" allowBlank="1" showInputMessage="1" showErrorMessage="1" sqref="O19">
      <formula1>$C$19:$C$38</formula1>
    </dataValidation>
    <dataValidation type="list" allowBlank="1" showInputMessage="1" showErrorMessage="1" sqref="E19:E38">
      <formula1>$Q$15:$Q$18</formula1>
    </dataValidation>
    <dataValidation type="custom" allowBlank="1" showInputMessage="1" showErrorMessage="1" error="Vérifier le type d'ouvrage" sqref="H19:H38">
      <formula1>OR($E19="HN",$E19="HR")</formula1>
    </dataValidation>
    <dataValidation type="custom" allowBlank="1" showInputMessage="1" showErrorMessage="1" error="Vérifier le type d'ouvrage" sqref="I19:I38">
      <formula1>OR($E19="OF",$E19="IE")</formula1>
    </dataValidation>
    <dataValidation type="custom" allowBlank="1" showInputMessage="1" showErrorMessage="1" error="Nom d'opération déjà saisi" sqref="C19:C38">
      <formula1>COUNTIF(C$19:C$38,C19)=1</formula1>
    </dataValidation>
    <dataValidation type="list" allowBlank="1" showInputMessage="1" showErrorMessage="1" sqref="J19:J38">
      <formula1>$Q$19:$Q$20</formula1>
    </dataValidation>
  </dataValidations>
  <printOptions horizontalCentered="1"/>
  <pageMargins left="0" right="0" top="0" bottom="1.3779527559055118" header="0.31496062992125984" footer="0.31496062992125984"/>
  <pageSetup paperSize="8" scale="54" orientation="landscape" r:id="rId1"/>
  <headerFooter>
    <oddFooter>&amp;C&amp;G</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028" r:id="rId5" name="Check Box 4">
              <controlPr defaultSize="0" autoFill="0" autoLine="0" autoPict="0">
                <anchor moveWithCells="1">
                  <from>
                    <xdr:col>10</xdr:col>
                    <xdr:colOff>76200</xdr:colOff>
                    <xdr:row>18</xdr:row>
                    <xdr:rowOff>85725</xdr:rowOff>
                  </from>
                  <to>
                    <xdr:col>10</xdr:col>
                    <xdr:colOff>1123950</xdr:colOff>
                    <xdr:row>18</xdr:row>
                    <xdr:rowOff>266700</xdr:rowOff>
                  </to>
                </anchor>
              </controlPr>
            </control>
          </mc:Choice>
        </mc:AlternateContent>
        <mc:AlternateContent xmlns:mc="http://schemas.openxmlformats.org/markup-compatibility/2006">
          <mc:Choice Requires="x14">
            <control shapeId="1025" r:id="rId6" name="Button 1">
              <controlPr defaultSize="0" print="0" autoFill="0" autoPict="0" macro="[0]!Saisie1">
                <anchor moveWithCells="1" sizeWithCells="1">
                  <from>
                    <xdr:col>9</xdr:col>
                    <xdr:colOff>133350</xdr:colOff>
                    <xdr:row>1</xdr:row>
                    <xdr:rowOff>152400</xdr:rowOff>
                  </from>
                  <to>
                    <xdr:col>10</xdr:col>
                    <xdr:colOff>933450</xdr:colOff>
                    <xdr:row>6</xdr:row>
                    <xdr:rowOff>38100</xdr:rowOff>
                  </to>
                </anchor>
              </controlPr>
            </control>
          </mc:Choice>
        </mc:AlternateContent>
        <mc:AlternateContent xmlns:mc="http://schemas.openxmlformats.org/markup-compatibility/2006">
          <mc:Choice Requires="x14">
            <control shapeId="1026" r:id="rId7" name="Button 2">
              <controlPr defaultSize="0" print="0" autoFill="0" autoPict="0" macro="[0]!Saisie2">
                <anchor moveWithCells="1" sizeWithCells="1">
                  <from>
                    <xdr:col>12</xdr:col>
                    <xdr:colOff>7210425</xdr:colOff>
                    <xdr:row>1</xdr:row>
                    <xdr:rowOff>152400</xdr:rowOff>
                  </from>
                  <to>
                    <xdr:col>12</xdr:col>
                    <xdr:colOff>9058275</xdr:colOff>
                    <xdr:row>6</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10</xdr:col>
                    <xdr:colOff>1133475</xdr:colOff>
                    <xdr:row>18</xdr:row>
                    <xdr:rowOff>85725</xdr:rowOff>
                  </from>
                  <to>
                    <xdr:col>10</xdr:col>
                    <xdr:colOff>2181225</xdr:colOff>
                    <xdr:row>18</xdr:row>
                    <xdr:rowOff>266700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10</xdr:col>
                    <xdr:colOff>76200</xdr:colOff>
                    <xdr:row>18</xdr:row>
                    <xdr:rowOff>371475</xdr:rowOff>
                  </from>
                  <to>
                    <xdr:col>10</xdr:col>
                    <xdr:colOff>828675</xdr:colOff>
                    <xdr:row>18</xdr:row>
                    <xdr:rowOff>552450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10</xdr:col>
                    <xdr:colOff>2190750</xdr:colOff>
                    <xdr:row>18</xdr:row>
                    <xdr:rowOff>85725</xdr:rowOff>
                  </from>
                  <to>
                    <xdr:col>10</xdr:col>
                    <xdr:colOff>2943225</xdr:colOff>
                    <xdr:row>18</xdr:row>
                    <xdr:rowOff>266700</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10</xdr:col>
                    <xdr:colOff>838200</xdr:colOff>
                    <xdr:row>18</xdr:row>
                    <xdr:rowOff>371475</xdr:rowOff>
                  </from>
                  <to>
                    <xdr:col>10</xdr:col>
                    <xdr:colOff>1771650</xdr:colOff>
                    <xdr:row>18</xdr:row>
                    <xdr:rowOff>552450</xdr:rowOff>
                  </to>
                </anchor>
              </controlPr>
            </control>
          </mc:Choice>
        </mc:AlternateContent>
        <mc:AlternateContent xmlns:mc="http://schemas.openxmlformats.org/markup-compatibility/2006">
          <mc:Choice Requires="x14">
            <control shapeId="1033" r:id="rId12" name="Check Box 9">
              <controlPr defaultSize="0" autoFill="0" autoLine="0" autoPict="0">
                <anchor moveWithCells="1">
                  <from>
                    <xdr:col>10</xdr:col>
                    <xdr:colOff>3714750</xdr:colOff>
                    <xdr:row>18</xdr:row>
                    <xdr:rowOff>85725</xdr:rowOff>
                  </from>
                  <to>
                    <xdr:col>10</xdr:col>
                    <xdr:colOff>4257675</xdr:colOff>
                    <xdr:row>18</xdr:row>
                    <xdr:rowOff>266700</xdr:rowOff>
                  </to>
                </anchor>
              </controlPr>
            </control>
          </mc:Choice>
        </mc:AlternateContent>
        <mc:AlternateContent xmlns:mc="http://schemas.openxmlformats.org/markup-compatibility/2006">
          <mc:Choice Requires="x14">
            <control shapeId="1034" r:id="rId13" name="Check Box 10">
              <controlPr defaultSize="0" autoFill="0" autoLine="0" autoPict="0">
                <anchor moveWithCells="1">
                  <from>
                    <xdr:col>10</xdr:col>
                    <xdr:colOff>2952750</xdr:colOff>
                    <xdr:row>18</xdr:row>
                    <xdr:rowOff>85725</xdr:rowOff>
                  </from>
                  <to>
                    <xdr:col>10</xdr:col>
                    <xdr:colOff>3705225</xdr:colOff>
                    <xdr:row>18</xdr:row>
                    <xdr:rowOff>266700</xdr:rowOff>
                  </to>
                </anchor>
              </controlPr>
            </control>
          </mc:Choice>
        </mc:AlternateContent>
        <mc:AlternateContent xmlns:mc="http://schemas.openxmlformats.org/markup-compatibility/2006">
          <mc:Choice Requires="x14">
            <control shapeId="1035" r:id="rId14" name="Check Box 11">
              <controlPr defaultSize="0" autoFill="0" autoLine="0" autoPict="0">
                <anchor moveWithCells="1">
                  <from>
                    <xdr:col>10</xdr:col>
                    <xdr:colOff>1781175</xdr:colOff>
                    <xdr:row>18</xdr:row>
                    <xdr:rowOff>371475</xdr:rowOff>
                  </from>
                  <to>
                    <xdr:col>10</xdr:col>
                    <xdr:colOff>3981450</xdr:colOff>
                    <xdr:row>18</xdr:row>
                    <xdr:rowOff>552450</xdr:rowOff>
                  </to>
                </anchor>
              </controlPr>
            </control>
          </mc:Choice>
        </mc:AlternateContent>
        <mc:AlternateContent xmlns:mc="http://schemas.openxmlformats.org/markup-compatibility/2006">
          <mc:Choice Requires="x14">
            <control shapeId="1724" r:id="rId15" name="Check Box 700">
              <controlPr defaultSize="0" autoFill="0" autoLine="0" autoPict="0">
                <anchor moveWithCells="1">
                  <from>
                    <xdr:col>10</xdr:col>
                    <xdr:colOff>76200</xdr:colOff>
                    <xdr:row>19</xdr:row>
                    <xdr:rowOff>85725</xdr:rowOff>
                  </from>
                  <to>
                    <xdr:col>10</xdr:col>
                    <xdr:colOff>1123950</xdr:colOff>
                    <xdr:row>19</xdr:row>
                    <xdr:rowOff>266700</xdr:rowOff>
                  </to>
                </anchor>
              </controlPr>
            </control>
          </mc:Choice>
        </mc:AlternateContent>
        <mc:AlternateContent xmlns:mc="http://schemas.openxmlformats.org/markup-compatibility/2006">
          <mc:Choice Requires="x14">
            <control shapeId="1725" r:id="rId16" name="Check Box 701">
              <controlPr defaultSize="0" autoFill="0" autoLine="0" autoPict="0">
                <anchor moveWithCells="1">
                  <from>
                    <xdr:col>10</xdr:col>
                    <xdr:colOff>1133475</xdr:colOff>
                    <xdr:row>19</xdr:row>
                    <xdr:rowOff>85725</xdr:rowOff>
                  </from>
                  <to>
                    <xdr:col>10</xdr:col>
                    <xdr:colOff>2181225</xdr:colOff>
                    <xdr:row>19</xdr:row>
                    <xdr:rowOff>266700</xdr:rowOff>
                  </to>
                </anchor>
              </controlPr>
            </control>
          </mc:Choice>
        </mc:AlternateContent>
        <mc:AlternateContent xmlns:mc="http://schemas.openxmlformats.org/markup-compatibility/2006">
          <mc:Choice Requires="x14">
            <control shapeId="1726" r:id="rId17" name="Check Box 702">
              <controlPr defaultSize="0" autoFill="0" autoLine="0" autoPict="0">
                <anchor moveWithCells="1">
                  <from>
                    <xdr:col>10</xdr:col>
                    <xdr:colOff>76200</xdr:colOff>
                    <xdr:row>19</xdr:row>
                    <xdr:rowOff>371475</xdr:rowOff>
                  </from>
                  <to>
                    <xdr:col>10</xdr:col>
                    <xdr:colOff>828675</xdr:colOff>
                    <xdr:row>19</xdr:row>
                    <xdr:rowOff>552450</xdr:rowOff>
                  </to>
                </anchor>
              </controlPr>
            </control>
          </mc:Choice>
        </mc:AlternateContent>
        <mc:AlternateContent xmlns:mc="http://schemas.openxmlformats.org/markup-compatibility/2006">
          <mc:Choice Requires="x14">
            <control shapeId="1727" r:id="rId18" name="Check Box 703">
              <controlPr defaultSize="0" autoFill="0" autoLine="0" autoPict="0">
                <anchor moveWithCells="1">
                  <from>
                    <xdr:col>10</xdr:col>
                    <xdr:colOff>2190750</xdr:colOff>
                    <xdr:row>19</xdr:row>
                    <xdr:rowOff>85725</xdr:rowOff>
                  </from>
                  <to>
                    <xdr:col>10</xdr:col>
                    <xdr:colOff>2943225</xdr:colOff>
                    <xdr:row>19</xdr:row>
                    <xdr:rowOff>266700</xdr:rowOff>
                  </to>
                </anchor>
              </controlPr>
            </control>
          </mc:Choice>
        </mc:AlternateContent>
        <mc:AlternateContent xmlns:mc="http://schemas.openxmlformats.org/markup-compatibility/2006">
          <mc:Choice Requires="x14">
            <control shapeId="1728" r:id="rId19" name="Check Box 704">
              <controlPr defaultSize="0" autoFill="0" autoLine="0" autoPict="0">
                <anchor moveWithCells="1">
                  <from>
                    <xdr:col>10</xdr:col>
                    <xdr:colOff>838200</xdr:colOff>
                    <xdr:row>19</xdr:row>
                    <xdr:rowOff>371475</xdr:rowOff>
                  </from>
                  <to>
                    <xdr:col>10</xdr:col>
                    <xdr:colOff>1771650</xdr:colOff>
                    <xdr:row>19</xdr:row>
                    <xdr:rowOff>552450</xdr:rowOff>
                  </to>
                </anchor>
              </controlPr>
            </control>
          </mc:Choice>
        </mc:AlternateContent>
        <mc:AlternateContent xmlns:mc="http://schemas.openxmlformats.org/markup-compatibility/2006">
          <mc:Choice Requires="x14">
            <control shapeId="1729" r:id="rId20" name="Check Box 705">
              <controlPr defaultSize="0" autoFill="0" autoLine="0" autoPict="0">
                <anchor moveWithCells="1">
                  <from>
                    <xdr:col>10</xdr:col>
                    <xdr:colOff>3714750</xdr:colOff>
                    <xdr:row>19</xdr:row>
                    <xdr:rowOff>85725</xdr:rowOff>
                  </from>
                  <to>
                    <xdr:col>10</xdr:col>
                    <xdr:colOff>4257675</xdr:colOff>
                    <xdr:row>19</xdr:row>
                    <xdr:rowOff>266700</xdr:rowOff>
                  </to>
                </anchor>
              </controlPr>
            </control>
          </mc:Choice>
        </mc:AlternateContent>
        <mc:AlternateContent xmlns:mc="http://schemas.openxmlformats.org/markup-compatibility/2006">
          <mc:Choice Requires="x14">
            <control shapeId="1730" r:id="rId21" name="Check Box 706">
              <controlPr defaultSize="0" autoFill="0" autoLine="0" autoPict="0">
                <anchor moveWithCells="1">
                  <from>
                    <xdr:col>10</xdr:col>
                    <xdr:colOff>2952750</xdr:colOff>
                    <xdr:row>19</xdr:row>
                    <xdr:rowOff>85725</xdr:rowOff>
                  </from>
                  <to>
                    <xdr:col>10</xdr:col>
                    <xdr:colOff>3705225</xdr:colOff>
                    <xdr:row>19</xdr:row>
                    <xdr:rowOff>266700</xdr:rowOff>
                  </to>
                </anchor>
              </controlPr>
            </control>
          </mc:Choice>
        </mc:AlternateContent>
        <mc:AlternateContent xmlns:mc="http://schemas.openxmlformats.org/markup-compatibility/2006">
          <mc:Choice Requires="x14">
            <control shapeId="1731" r:id="rId22" name="Check Box 707">
              <controlPr defaultSize="0" autoFill="0" autoLine="0" autoPict="0">
                <anchor moveWithCells="1">
                  <from>
                    <xdr:col>10</xdr:col>
                    <xdr:colOff>1781175</xdr:colOff>
                    <xdr:row>19</xdr:row>
                    <xdr:rowOff>371475</xdr:rowOff>
                  </from>
                  <to>
                    <xdr:col>10</xdr:col>
                    <xdr:colOff>3981450</xdr:colOff>
                    <xdr:row>19</xdr:row>
                    <xdr:rowOff>552450</xdr:rowOff>
                  </to>
                </anchor>
              </controlPr>
            </control>
          </mc:Choice>
        </mc:AlternateContent>
        <mc:AlternateContent xmlns:mc="http://schemas.openxmlformats.org/markup-compatibility/2006">
          <mc:Choice Requires="x14">
            <control shapeId="1732" r:id="rId23" name="Check Box 708">
              <controlPr defaultSize="0" autoFill="0" autoLine="0" autoPict="0">
                <anchor moveWithCells="1">
                  <from>
                    <xdr:col>10</xdr:col>
                    <xdr:colOff>76200</xdr:colOff>
                    <xdr:row>20</xdr:row>
                    <xdr:rowOff>104775</xdr:rowOff>
                  </from>
                  <to>
                    <xdr:col>10</xdr:col>
                    <xdr:colOff>1123950</xdr:colOff>
                    <xdr:row>20</xdr:row>
                    <xdr:rowOff>285750</xdr:rowOff>
                  </to>
                </anchor>
              </controlPr>
            </control>
          </mc:Choice>
        </mc:AlternateContent>
        <mc:AlternateContent xmlns:mc="http://schemas.openxmlformats.org/markup-compatibility/2006">
          <mc:Choice Requires="x14">
            <control shapeId="1733" r:id="rId24" name="Check Box 709">
              <controlPr defaultSize="0" autoFill="0" autoLine="0" autoPict="0">
                <anchor moveWithCells="1">
                  <from>
                    <xdr:col>10</xdr:col>
                    <xdr:colOff>1133475</xdr:colOff>
                    <xdr:row>20</xdr:row>
                    <xdr:rowOff>85725</xdr:rowOff>
                  </from>
                  <to>
                    <xdr:col>10</xdr:col>
                    <xdr:colOff>2181225</xdr:colOff>
                    <xdr:row>20</xdr:row>
                    <xdr:rowOff>266700</xdr:rowOff>
                  </to>
                </anchor>
              </controlPr>
            </control>
          </mc:Choice>
        </mc:AlternateContent>
        <mc:AlternateContent xmlns:mc="http://schemas.openxmlformats.org/markup-compatibility/2006">
          <mc:Choice Requires="x14">
            <control shapeId="1734" r:id="rId25" name="Check Box 710">
              <controlPr defaultSize="0" autoFill="0" autoLine="0" autoPict="0">
                <anchor moveWithCells="1">
                  <from>
                    <xdr:col>10</xdr:col>
                    <xdr:colOff>76200</xdr:colOff>
                    <xdr:row>20</xdr:row>
                    <xdr:rowOff>371475</xdr:rowOff>
                  </from>
                  <to>
                    <xdr:col>10</xdr:col>
                    <xdr:colOff>828675</xdr:colOff>
                    <xdr:row>20</xdr:row>
                    <xdr:rowOff>552450</xdr:rowOff>
                  </to>
                </anchor>
              </controlPr>
            </control>
          </mc:Choice>
        </mc:AlternateContent>
        <mc:AlternateContent xmlns:mc="http://schemas.openxmlformats.org/markup-compatibility/2006">
          <mc:Choice Requires="x14">
            <control shapeId="1735" r:id="rId26" name="Check Box 711">
              <controlPr defaultSize="0" autoFill="0" autoLine="0" autoPict="0">
                <anchor moveWithCells="1">
                  <from>
                    <xdr:col>10</xdr:col>
                    <xdr:colOff>2190750</xdr:colOff>
                    <xdr:row>20</xdr:row>
                    <xdr:rowOff>85725</xdr:rowOff>
                  </from>
                  <to>
                    <xdr:col>10</xdr:col>
                    <xdr:colOff>2943225</xdr:colOff>
                    <xdr:row>20</xdr:row>
                    <xdr:rowOff>266700</xdr:rowOff>
                  </to>
                </anchor>
              </controlPr>
            </control>
          </mc:Choice>
        </mc:AlternateContent>
        <mc:AlternateContent xmlns:mc="http://schemas.openxmlformats.org/markup-compatibility/2006">
          <mc:Choice Requires="x14">
            <control shapeId="1736" r:id="rId27" name="Check Box 712">
              <controlPr defaultSize="0" autoFill="0" autoLine="0" autoPict="0">
                <anchor moveWithCells="1">
                  <from>
                    <xdr:col>10</xdr:col>
                    <xdr:colOff>838200</xdr:colOff>
                    <xdr:row>20</xdr:row>
                    <xdr:rowOff>371475</xdr:rowOff>
                  </from>
                  <to>
                    <xdr:col>10</xdr:col>
                    <xdr:colOff>1771650</xdr:colOff>
                    <xdr:row>20</xdr:row>
                    <xdr:rowOff>552450</xdr:rowOff>
                  </to>
                </anchor>
              </controlPr>
            </control>
          </mc:Choice>
        </mc:AlternateContent>
        <mc:AlternateContent xmlns:mc="http://schemas.openxmlformats.org/markup-compatibility/2006">
          <mc:Choice Requires="x14">
            <control shapeId="1737" r:id="rId28" name="Check Box 713">
              <controlPr defaultSize="0" autoFill="0" autoLine="0" autoPict="0">
                <anchor moveWithCells="1">
                  <from>
                    <xdr:col>10</xdr:col>
                    <xdr:colOff>3714750</xdr:colOff>
                    <xdr:row>20</xdr:row>
                    <xdr:rowOff>85725</xdr:rowOff>
                  </from>
                  <to>
                    <xdr:col>10</xdr:col>
                    <xdr:colOff>4257675</xdr:colOff>
                    <xdr:row>20</xdr:row>
                    <xdr:rowOff>266700</xdr:rowOff>
                  </to>
                </anchor>
              </controlPr>
            </control>
          </mc:Choice>
        </mc:AlternateContent>
        <mc:AlternateContent xmlns:mc="http://schemas.openxmlformats.org/markup-compatibility/2006">
          <mc:Choice Requires="x14">
            <control shapeId="1738" r:id="rId29" name="Check Box 714">
              <controlPr defaultSize="0" autoFill="0" autoLine="0" autoPict="0">
                <anchor moveWithCells="1">
                  <from>
                    <xdr:col>10</xdr:col>
                    <xdr:colOff>2952750</xdr:colOff>
                    <xdr:row>20</xdr:row>
                    <xdr:rowOff>85725</xdr:rowOff>
                  </from>
                  <to>
                    <xdr:col>10</xdr:col>
                    <xdr:colOff>3705225</xdr:colOff>
                    <xdr:row>20</xdr:row>
                    <xdr:rowOff>266700</xdr:rowOff>
                  </to>
                </anchor>
              </controlPr>
            </control>
          </mc:Choice>
        </mc:AlternateContent>
        <mc:AlternateContent xmlns:mc="http://schemas.openxmlformats.org/markup-compatibility/2006">
          <mc:Choice Requires="x14">
            <control shapeId="1739" r:id="rId30" name="Check Box 715">
              <controlPr defaultSize="0" autoFill="0" autoLine="0" autoPict="0">
                <anchor moveWithCells="1">
                  <from>
                    <xdr:col>10</xdr:col>
                    <xdr:colOff>1781175</xdr:colOff>
                    <xdr:row>20</xdr:row>
                    <xdr:rowOff>371475</xdr:rowOff>
                  </from>
                  <to>
                    <xdr:col>10</xdr:col>
                    <xdr:colOff>3981450</xdr:colOff>
                    <xdr:row>20</xdr:row>
                    <xdr:rowOff>552450</xdr:rowOff>
                  </to>
                </anchor>
              </controlPr>
            </control>
          </mc:Choice>
        </mc:AlternateContent>
        <mc:AlternateContent xmlns:mc="http://schemas.openxmlformats.org/markup-compatibility/2006">
          <mc:Choice Requires="x14">
            <control shapeId="1740" r:id="rId31" name="Check Box 716">
              <controlPr defaultSize="0" autoFill="0" autoLine="0" autoPict="0">
                <anchor moveWithCells="1">
                  <from>
                    <xdr:col>10</xdr:col>
                    <xdr:colOff>76200</xdr:colOff>
                    <xdr:row>21</xdr:row>
                    <xdr:rowOff>85725</xdr:rowOff>
                  </from>
                  <to>
                    <xdr:col>10</xdr:col>
                    <xdr:colOff>1123950</xdr:colOff>
                    <xdr:row>21</xdr:row>
                    <xdr:rowOff>266700</xdr:rowOff>
                  </to>
                </anchor>
              </controlPr>
            </control>
          </mc:Choice>
        </mc:AlternateContent>
        <mc:AlternateContent xmlns:mc="http://schemas.openxmlformats.org/markup-compatibility/2006">
          <mc:Choice Requires="x14">
            <control shapeId="1741" r:id="rId32" name="Check Box 717">
              <controlPr defaultSize="0" autoFill="0" autoLine="0" autoPict="0">
                <anchor moveWithCells="1">
                  <from>
                    <xdr:col>10</xdr:col>
                    <xdr:colOff>1133475</xdr:colOff>
                    <xdr:row>21</xdr:row>
                    <xdr:rowOff>85725</xdr:rowOff>
                  </from>
                  <to>
                    <xdr:col>10</xdr:col>
                    <xdr:colOff>2181225</xdr:colOff>
                    <xdr:row>21</xdr:row>
                    <xdr:rowOff>266700</xdr:rowOff>
                  </to>
                </anchor>
              </controlPr>
            </control>
          </mc:Choice>
        </mc:AlternateContent>
        <mc:AlternateContent xmlns:mc="http://schemas.openxmlformats.org/markup-compatibility/2006">
          <mc:Choice Requires="x14">
            <control shapeId="1742" r:id="rId33" name="Check Box 718">
              <controlPr defaultSize="0" autoFill="0" autoLine="0" autoPict="0">
                <anchor moveWithCells="1">
                  <from>
                    <xdr:col>10</xdr:col>
                    <xdr:colOff>76200</xdr:colOff>
                    <xdr:row>21</xdr:row>
                    <xdr:rowOff>371475</xdr:rowOff>
                  </from>
                  <to>
                    <xdr:col>10</xdr:col>
                    <xdr:colOff>828675</xdr:colOff>
                    <xdr:row>21</xdr:row>
                    <xdr:rowOff>552450</xdr:rowOff>
                  </to>
                </anchor>
              </controlPr>
            </control>
          </mc:Choice>
        </mc:AlternateContent>
        <mc:AlternateContent xmlns:mc="http://schemas.openxmlformats.org/markup-compatibility/2006">
          <mc:Choice Requires="x14">
            <control shapeId="1743" r:id="rId34" name="Check Box 719">
              <controlPr defaultSize="0" autoFill="0" autoLine="0" autoPict="0">
                <anchor moveWithCells="1">
                  <from>
                    <xdr:col>10</xdr:col>
                    <xdr:colOff>2190750</xdr:colOff>
                    <xdr:row>21</xdr:row>
                    <xdr:rowOff>85725</xdr:rowOff>
                  </from>
                  <to>
                    <xdr:col>10</xdr:col>
                    <xdr:colOff>2943225</xdr:colOff>
                    <xdr:row>21</xdr:row>
                    <xdr:rowOff>266700</xdr:rowOff>
                  </to>
                </anchor>
              </controlPr>
            </control>
          </mc:Choice>
        </mc:AlternateContent>
        <mc:AlternateContent xmlns:mc="http://schemas.openxmlformats.org/markup-compatibility/2006">
          <mc:Choice Requires="x14">
            <control shapeId="1744" r:id="rId35" name="Check Box 720">
              <controlPr defaultSize="0" autoFill="0" autoLine="0" autoPict="0">
                <anchor moveWithCells="1">
                  <from>
                    <xdr:col>10</xdr:col>
                    <xdr:colOff>838200</xdr:colOff>
                    <xdr:row>21</xdr:row>
                    <xdr:rowOff>371475</xdr:rowOff>
                  </from>
                  <to>
                    <xdr:col>10</xdr:col>
                    <xdr:colOff>1771650</xdr:colOff>
                    <xdr:row>21</xdr:row>
                    <xdr:rowOff>552450</xdr:rowOff>
                  </to>
                </anchor>
              </controlPr>
            </control>
          </mc:Choice>
        </mc:AlternateContent>
        <mc:AlternateContent xmlns:mc="http://schemas.openxmlformats.org/markup-compatibility/2006">
          <mc:Choice Requires="x14">
            <control shapeId="1745" r:id="rId36" name="Check Box 721">
              <controlPr defaultSize="0" autoFill="0" autoLine="0" autoPict="0">
                <anchor moveWithCells="1">
                  <from>
                    <xdr:col>10</xdr:col>
                    <xdr:colOff>3714750</xdr:colOff>
                    <xdr:row>21</xdr:row>
                    <xdr:rowOff>85725</xdr:rowOff>
                  </from>
                  <to>
                    <xdr:col>10</xdr:col>
                    <xdr:colOff>4257675</xdr:colOff>
                    <xdr:row>21</xdr:row>
                    <xdr:rowOff>266700</xdr:rowOff>
                  </to>
                </anchor>
              </controlPr>
            </control>
          </mc:Choice>
        </mc:AlternateContent>
        <mc:AlternateContent xmlns:mc="http://schemas.openxmlformats.org/markup-compatibility/2006">
          <mc:Choice Requires="x14">
            <control shapeId="1746" r:id="rId37" name="Check Box 722">
              <controlPr defaultSize="0" autoFill="0" autoLine="0" autoPict="0">
                <anchor moveWithCells="1">
                  <from>
                    <xdr:col>10</xdr:col>
                    <xdr:colOff>2952750</xdr:colOff>
                    <xdr:row>21</xdr:row>
                    <xdr:rowOff>85725</xdr:rowOff>
                  </from>
                  <to>
                    <xdr:col>10</xdr:col>
                    <xdr:colOff>3705225</xdr:colOff>
                    <xdr:row>21</xdr:row>
                    <xdr:rowOff>266700</xdr:rowOff>
                  </to>
                </anchor>
              </controlPr>
            </control>
          </mc:Choice>
        </mc:AlternateContent>
        <mc:AlternateContent xmlns:mc="http://schemas.openxmlformats.org/markup-compatibility/2006">
          <mc:Choice Requires="x14">
            <control shapeId="1747" r:id="rId38" name="Check Box 723">
              <controlPr defaultSize="0" autoFill="0" autoLine="0" autoPict="0">
                <anchor moveWithCells="1">
                  <from>
                    <xdr:col>10</xdr:col>
                    <xdr:colOff>1781175</xdr:colOff>
                    <xdr:row>21</xdr:row>
                    <xdr:rowOff>371475</xdr:rowOff>
                  </from>
                  <to>
                    <xdr:col>10</xdr:col>
                    <xdr:colOff>3981450</xdr:colOff>
                    <xdr:row>21</xdr:row>
                    <xdr:rowOff>552450</xdr:rowOff>
                  </to>
                </anchor>
              </controlPr>
            </control>
          </mc:Choice>
        </mc:AlternateContent>
        <mc:AlternateContent xmlns:mc="http://schemas.openxmlformats.org/markup-compatibility/2006">
          <mc:Choice Requires="x14">
            <control shapeId="1748" r:id="rId39" name="Check Box 724">
              <controlPr defaultSize="0" autoFill="0" autoLine="0" autoPict="0">
                <anchor moveWithCells="1">
                  <from>
                    <xdr:col>10</xdr:col>
                    <xdr:colOff>76200</xdr:colOff>
                    <xdr:row>22</xdr:row>
                    <xdr:rowOff>85725</xdr:rowOff>
                  </from>
                  <to>
                    <xdr:col>10</xdr:col>
                    <xdr:colOff>1123950</xdr:colOff>
                    <xdr:row>22</xdr:row>
                    <xdr:rowOff>266700</xdr:rowOff>
                  </to>
                </anchor>
              </controlPr>
            </control>
          </mc:Choice>
        </mc:AlternateContent>
        <mc:AlternateContent xmlns:mc="http://schemas.openxmlformats.org/markup-compatibility/2006">
          <mc:Choice Requires="x14">
            <control shapeId="1749" r:id="rId40" name="Check Box 725">
              <controlPr defaultSize="0" autoFill="0" autoLine="0" autoPict="0">
                <anchor moveWithCells="1">
                  <from>
                    <xdr:col>10</xdr:col>
                    <xdr:colOff>1133475</xdr:colOff>
                    <xdr:row>22</xdr:row>
                    <xdr:rowOff>85725</xdr:rowOff>
                  </from>
                  <to>
                    <xdr:col>10</xdr:col>
                    <xdr:colOff>2181225</xdr:colOff>
                    <xdr:row>22</xdr:row>
                    <xdr:rowOff>266700</xdr:rowOff>
                  </to>
                </anchor>
              </controlPr>
            </control>
          </mc:Choice>
        </mc:AlternateContent>
        <mc:AlternateContent xmlns:mc="http://schemas.openxmlformats.org/markup-compatibility/2006">
          <mc:Choice Requires="x14">
            <control shapeId="1750" r:id="rId41" name="Check Box 726">
              <controlPr defaultSize="0" autoFill="0" autoLine="0" autoPict="0">
                <anchor moveWithCells="1">
                  <from>
                    <xdr:col>10</xdr:col>
                    <xdr:colOff>76200</xdr:colOff>
                    <xdr:row>22</xdr:row>
                    <xdr:rowOff>371475</xdr:rowOff>
                  </from>
                  <to>
                    <xdr:col>10</xdr:col>
                    <xdr:colOff>828675</xdr:colOff>
                    <xdr:row>22</xdr:row>
                    <xdr:rowOff>552450</xdr:rowOff>
                  </to>
                </anchor>
              </controlPr>
            </control>
          </mc:Choice>
        </mc:AlternateContent>
        <mc:AlternateContent xmlns:mc="http://schemas.openxmlformats.org/markup-compatibility/2006">
          <mc:Choice Requires="x14">
            <control shapeId="1751" r:id="rId42" name="Check Box 727">
              <controlPr defaultSize="0" autoFill="0" autoLine="0" autoPict="0">
                <anchor moveWithCells="1">
                  <from>
                    <xdr:col>10</xdr:col>
                    <xdr:colOff>2190750</xdr:colOff>
                    <xdr:row>22</xdr:row>
                    <xdr:rowOff>85725</xdr:rowOff>
                  </from>
                  <to>
                    <xdr:col>10</xdr:col>
                    <xdr:colOff>2943225</xdr:colOff>
                    <xdr:row>22</xdr:row>
                    <xdr:rowOff>266700</xdr:rowOff>
                  </to>
                </anchor>
              </controlPr>
            </control>
          </mc:Choice>
        </mc:AlternateContent>
        <mc:AlternateContent xmlns:mc="http://schemas.openxmlformats.org/markup-compatibility/2006">
          <mc:Choice Requires="x14">
            <control shapeId="1752" r:id="rId43" name="Check Box 728">
              <controlPr defaultSize="0" autoFill="0" autoLine="0" autoPict="0">
                <anchor moveWithCells="1">
                  <from>
                    <xdr:col>10</xdr:col>
                    <xdr:colOff>838200</xdr:colOff>
                    <xdr:row>22</xdr:row>
                    <xdr:rowOff>371475</xdr:rowOff>
                  </from>
                  <to>
                    <xdr:col>10</xdr:col>
                    <xdr:colOff>1771650</xdr:colOff>
                    <xdr:row>22</xdr:row>
                    <xdr:rowOff>552450</xdr:rowOff>
                  </to>
                </anchor>
              </controlPr>
            </control>
          </mc:Choice>
        </mc:AlternateContent>
        <mc:AlternateContent xmlns:mc="http://schemas.openxmlformats.org/markup-compatibility/2006">
          <mc:Choice Requires="x14">
            <control shapeId="1753" r:id="rId44" name="Check Box 729">
              <controlPr defaultSize="0" autoFill="0" autoLine="0" autoPict="0">
                <anchor moveWithCells="1">
                  <from>
                    <xdr:col>10</xdr:col>
                    <xdr:colOff>3714750</xdr:colOff>
                    <xdr:row>22</xdr:row>
                    <xdr:rowOff>85725</xdr:rowOff>
                  </from>
                  <to>
                    <xdr:col>10</xdr:col>
                    <xdr:colOff>4257675</xdr:colOff>
                    <xdr:row>22</xdr:row>
                    <xdr:rowOff>266700</xdr:rowOff>
                  </to>
                </anchor>
              </controlPr>
            </control>
          </mc:Choice>
        </mc:AlternateContent>
        <mc:AlternateContent xmlns:mc="http://schemas.openxmlformats.org/markup-compatibility/2006">
          <mc:Choice Requires="x14">
            <control shapeId="1754" r:id="rId45" name="Check Box 730">
              <controlPr defaultSize="0" autoFill="0" autoLine="0" autoPict="0">
                <anchor moveWithCells="1">
                  <from>
                    <xdr:col>10</xdr:col>
                    <xdr:colOff>2952750</xdr:colOff>
                    <xdr:row>22</xdr:row>
                    <xdr:rowOff>85725</xdr:rowOff>
                  </from>
                  <to>
                    <xdr:col>10</xdr:col>
                    <xdr:colOff>3705225</xdr:colOff>
                    <xdr:row>22</xdr:row>
                    <xdr:rowOff>266700</xdr:rowOff>
                  </to>
                </anchor>
              </controlPr>
            </control>
          </mc:Choice>
        </mc:AlternateContent>
        <mc:AlternateContent xmlns:mc="http://schemas.openxmlformats.org/markup-compatibility/2006">
          <mc:Choice Requires="x14">
            <control shapeId="1755" r:id="rId46" name="Check Box 731">
              <controlPr defaultSize="0" autoFill="0" autoLine="0" autoPict="0">
                <anchor moveWithCells="1">
                  <from>
                    <xdr:col>10</xdr:col>
                    <xdr:colOff>1781175</xdr:colOff>
                    <xdr:row>22</xdr:row>
                    <xdr:rowOff>371475</xdr:rowOff>
                  </from>
                  <to>
                    <xdr:col>10</xdr:col>
                    <xdr:colOff>3981450</xdr:colOff>
                    <xdr:row>22</xdr:row>
                    <xdr:rowOff>552450</xdr:rowOff>
                  </to>
                </anchor>
              </controlPr>
            </control>
          </mc:Choice>
        </mc:AlternateContent>
        <mc:AlternateContent xmlns:mc="http://schemas.openxmlformats.org/markup-compatibility/2006">
          <mc:Choice Requires="x14">
            <control shapeId="1756" r:id="rId47" name="Check Box 732">
              <controlPr defaultSize="0" autoFill="0" autoLine="0" autoPict="0">
                <anchor moveWithCells="1">
                  <from>
                    <xdr:col>10</xdr:col>
                    <xdr:colOff>76200</xdr:colOff>
                    <xdr:row>23</xdr:row>
                    <xdr:rowOff>85725</xdr:rowOff>
                  </from>
                  <to>
                    <xdr:col>10</xdr:col>
                    <xdr:colOff>1123950</xdr:colOff>
                    <xdr:row>23</xdr:row>
                    <xdr:rowOff>266700</xdr:rowOff>
                  </to>
                </anchor>
              </controlPr>
            </control>
          </mc:Choice>
        </mc:AlternateContent>
        <mc:AlternateContent xmlns:mc="http://schemas.openxmlformats.org/markup-compatibility/2006">
          <mc:Choice Requires="x14">
            <control shapeId="1757" r:id="rId48" name="Check Box 733">
              <controlPr defaultSize="0" autoFill="0" autoLine="0" autoPict="0">
                <anchor moveWithCells="1">
                  <from>
                    <xdr:col>10</xdr:col>
                    <xdr:colOff>1133475</xdr:colOff>
                    <xdr:row>23</xdr:row>
                    <xdr:rowOff>85725</xdr:rowOff>
                  </from>
                  <to>
                    <xdr:col>10</xdr:col>
                    <xdr:colOff>2181225</xdr:colOff>
                    <xdr:row>23</xdr:row>
                    <xdr:rowOff>266700</xdr:rowOff>
                  </to>
                </anchor>
              </controlPr>
            </control>
          </mc:Choice>
        </mc:AlternateContent>
        <mc:AlternateContent xmlns:mc="http://schemas.openxmlformats.org/markup-compatibility/2006">
          <mc:Choice Requires="x14">
            <control shapeId="1758" r:id="rId49" name="Check Box 734">
              <controlPr defaultSize="0" autoFill="0" autoLine="0" autoPict="0">
                <anchor moveWithCells="1">
                  <from>
                    <xdr:col>10</xdr:col>
                    <xdr:colOff>76200</xdr:colOff>
                    <xdr:row>23</xdr:row>
                    <xdr:rowOff>371475</xdr:rowOff>
                  </from>
                  <to>
                    <xdr:col>10</xdr:col>
                    <xdr:colOff>828675</xdr:colOff>
                    <xdr:row>23</xdr:row>
                    <xdr:rowOff>552450</xdr:rowOff>
                  </to>
                </anchor>
              </controlPr>
            </control>
          </mc:Choice>
        </mc:AlternateContent>
        <mc:AlternateContent xmlns:mc="http://schemas.openxmlformats.org/markup-compatibility/2006">
          <mc:Choice Requires="x14">
            <control shapeId="1759" r:id="rId50" name="Check Box 735">
              <controlPr defaultSize="0" autoFill="0" autoLine="0" autoPict="0">
                <anchor moveWithCells="1">
                  <from>
                    <xdr:col>10</xdr:col>
                    <xdr:colOff>2190750</xdr:colOff>
                    <xdr:row>23</xdr:row>
                    <xdr:rowOff>85725</xdr:rowOff>
                  </from>
                  <to>
                    <xdr:col>10</xdr:col>
                    <xdr:colOff>2943225</xdr:colOff>
                    <xdr:row>23</xdr:row>
                    <xdr:rowOff>266700</xdr:rowOff>
                  </to>
                </anchor>
              </controlPr>
            </control>
          </mc:Choice>
        </mc:AlternateContent>
        <mc:AlternateContent xmlns:mc="http://schemas.openxmlformats.org/markup-compatibility/2006">
          <mc:Choice Requires="x14">
            <control shapeId="1760" r:id="rId51" name="Check Box 736">
              <controlPr defaultSize="0" autoFill="0" autoLine="0" autoPict="0">
                <anchor moveWithCells="1">
                  <from>
                    <xdr:col>10</xdr:col>
                    <xdr:colOff>838200</xdr:colOff>
                    <xdr:row>23</xdr:row>
                    <xdr:rowOff>371475</xdr:rowOff>
                  </from>
                  <to>
                    <xdr:col>10</xdr:col>
                    <xdr:colOff>1771650</xdr:colOff>
                    <xdr:row>23</xdr:row>
                    <xdr:rowOff>552450</xdr:rowOff>
                  </to>
                </anchor>
              </controlPr>
            </control>
          </mc:Choice>
        </mc:AlternateContent>
        <mc:AlternateContent xmlns:mc="http://schemas.openxmlformats.org/markup-compatibility/2006">
          <mc:Choice Requires="x14">
            <control shapeId="1761" r:id="rId52" name="Check Box 737">
              <controlPr defaultSize="0" autoFill="0" autoLine="0" autoPict="0">
                <anchor moveWithCells="1">
                  <from>
                    <xdr:col>10</xdr:col>
                    <xdr:colOff>3714750</xdr:colOff>
                    <xdr:row>23</xdr:row>
                    <xdr:rowOff>85725</xdr:rowOff>
                  </from>
                  <to>
                    <xdr:col>10</xdr:col>
                    <xdr:colOff>4257675</xdr:colOff>
                    <xdr:row>23</xdr:row>
                    <xdr:rowOff>266700</xdr:rowOff>
                  </to>
                </anchor>
              </controlPr>
            </control>
          </mc:Choice>
        </mc:AlternateContent>
        <mc:AlternateContent xmlns:mc="http://schemas.openxmlformats.org/markup-compatibility/2006">
          <mc:Choice Requires="x14">
            <control shapeId="1762" r:id="rId53" name="Check Box 738">
              <controlPr defaultSize="0" autoFill="0" autoLine="0" autoPict="0">
                <anchor moveWithCells="1">
                  <from>
                    <xdr:col>10</xdr:col>
                    <xdr:colOff>2952750</xdr:colOff>
                    <xdr:row>23</xdr:row>
                    <xdr:rowOff>85725</xdr:rowOff>
                  </from>
                  <to>
                    <xdr:col>10</xdr:col>
                    <xdr:colOff>3705225</xdr:colOff>
                    <xdr:row>23</xdr:row>
                    <xdr:rowOff>266700</xdr:rowOff>
                  </to>
                </anchor>
              </controlPr>
            </control>
          </mc:Choice>
        </mc:AlternateContent>
        <mc:AlternateContent xmlns:mc="http://schemas.openxmlformats.org/markup-compatibility/2006">
          <mc:Choice Requires="x14">
            <control shapeId="1763" r:id="rId54" name="Check Box 739">
              <controlPr defaultSize="0" autoFill="0" autoLine="0" autoPict="0">
                <anchor moveWithCells="1">
                  <from>
                    <xdr:col>10</xdr:col>
                    <xdr:colOff>1781175</xdr:colOff>
                    <xdr:row>23</xdr:row>
                    <xdr:rowOff>371475</xdr:rowOff>
                  </from>
                  <to>
                    <xdr:col>10</xdr:col>
                    <xdr:colOff>3981450</xdr:colOff>
                    <xdr:row>23</xdr:row>
                    <xdr:rowOff>552450</xdr:rowOff>
                  </to>
                </anchor>
              </controlPr>
            </control>
          </mc:Choice>
        </mc:AlternateContent>
        <mc:AlternateContent xmlns:mc="http://schemas.openxmlformats.org/markup-compatibility/2006">
          <mc:Choice Requires="x14">
            <control shapeId="1764" r:id="rId55" name="Check Box 740">
              <controlPr defaultSize="0" autoFill="0" autoLine="0" autoPict="0">
                <anchor moveWithCells="1">
                  <from>
                    <xdr:col>10</xdr:col>
                    <xdr:colOff>76200</xdr:colOff>
                    <xdr:row>24</xdr:row>
                    <xdr:rowOff>85725</xdr:rowOff>
                  </from>
                  <to>
                    <xdr:col>10</xdr:col>
                    <xdr:colOff>1123950</xdr:colOff>
                    <xdr:row>24</xdr:row>
                    <xdr:rowOff>266700</xdr:rowOff>
                  </to>
                </anchor>
              </controlPr>
            </control>
          </mc:Choice>
        </mc:AlternateContent>
        <mc:AlternateContent xmlns:mc="http://schemas.openxmlformats.org/markup-compatibility/2006">
          <mc:Choice Requires="x14">
            <control shapeId="1765" r:id="rId56" name="Check Box 741">
              <controlPr defaultSize="0" autoFill="0" autoLine="0" autoPict="0">
                <anchor moveWithCells="1">
                  <from>
                    <xdr:col>10</xdr:col>
                    <xdr:colOff>1133475</xdr:colOff>
                    <xdr:row>24</xdr:row>
                    <xdr:rowOff>85725</xdr:rowOff>
                  </from>
                  <to>
                    <xdr:col>10</xdr:col>
                    <xdr:colOff>2181225</xdr:colOff>
                    <xdr:row>24</xdr:row>
                    <xdr:rowOff>266700</xdr:rowOff>
                  </to>
                </anchor>
              </controlPr>
            </control>
          </mc:Choice>
        </mc:AlternateContent>
        <mc:AlternateContent xmlns:mc="http://schemas.openxmlformats.org/markup-compatibility/2006">
          <mc:Choice Requires="x14">
            <control shapeId="1766" r:id="rId57" name="Check Box 742">
              <controlPr defaultSize="0" autoFill="0" autoLine="0" autoPict="0">
                <anchor moveWithCells="1">
                  <from>
                    <xdr:col>10</xdr:col>
                    <xdr:colOff>76200</xdr:colOff>
                    <xdr:row>24</xdr:row>
                    <xdr:rowOff>371475</xdr:rowOff>
                  </from>
                  <to>
                    <xdr:col>10</xdr:col>
                    <xdr:colOff>828675</xdr:colOff>
                    <xdr:row>24</xdr:row>
                    <xdr:rowOff>552450</xdr:rowOff>
                  </to>
                </anchor>
              </controlPr>
            </control>
          </mc:Choice>
        </mc:AlternateContent>
        <mc:AlternateContent xmlns:mc="http://schemas.openxmlformats.org/markup-compatibility/2006">
          <mc:Choice Requires="x14">
            <control shapeId="1767" r:id="rId58" name="Check Box 743">
              <controlPr defaultSize="0" autoFill="0" autoLine="0" autoPict="0">
                <anchor moveWithCells="1">
                  <from>
                    <xdr:col>10</xdr:col>
                    <xdr:colOff>2190750</xdr:colOff>
                    <xdr:row>24</xdr:row>
                    <xdr:rowOff>85725</xdr:rowOff>
                  </from>
                  <to>
                    <xdr:col>10</xdr:col>
                    <xdr:colOff>2943225</xdr:colOff>
                    <xdr:row>24</xdr:row>
                    <xdr:rowOff>266700</xdr:rowOff>
                  </to>
                </anchor>
              </controlPr>
            </control>
          </mc:Choice>
        </mc:AlternateContent>
        <mc:AlternateContent xmlns:mc="http://schemas.openxmlformats.org/markup-compatibility/2006">
          <mc:Choice Requires="x14">
            <control shapeId="1768" r:id="rId59" name="Check Box 744">
              <controlPr defaultSize="0" autoFill="0" autoLine="0" autoPict="0">
                <anchor moveWithCells="1">
                  <from>
                    <xdr:col>10</xdr:col>
                    <xdr:colOff>838200</xdr:colOff>
                    <xdr:row>24</xdr:row>
                    <xdr:rowOff>371475</xdr:rowOff>
                  </from>
                  <to>
                    <xdr:col>10</xdr:col>
                    <xdr:colOff>1771650</xdr:colOff>
                    <xdr:row>24</xdr:row>
                    <xdr:rowOff>552450</xdr:rowOff>
                  </to>
                </anchor>
              </controlPr>
            </control>
          </mc:Choice>
        </mc:AlternateContent>
        <mc:AlternateContent xmlns:mc="http://schemas.openxmlformats.org/markup-compatibility/2006">
          <mc:Choice Requires="x14">
            <control shapeId="1769" r:id="rId60" name="Check Box 745">
              <controlPr defaultSize="0" autoFill="0" autoLine="0" autoPict="0">
                <anchor moveWithCells="1">
                  <from>
                    <xdr:col>10</xdr:col>
                    <xdr:colOff>3714750</xdr:colOff>
                    <xdr:row>24</xdr:row>
                    <xdr:rowOff>85725</xdr:rowOff>
                  </from>
                  <to>
                    <xdr:col>10</xdr:col>
                    <xdr:colOff>4257675</xdr:colOff>
                    <xdr:row>24</xdr:row>
                    <xdr:rowOff>266700</xdr:rowOff>
                  </to>
                </anchor>
              </controlPr>
            </control>
          </mc:Choice>
        </mc:AlternateContent>
        <mc:AlternateContent xmlns:mc="http://schemas.openxmlformats.org/markup-compatibility/2006">
          <mc:Choice Requires="x14">
            <control shapeId="1770" r:id="rId61" name="Check Box 746">
              <controlPr defaultSize="0" autoFill="0" autoLine="0" autoPict="0">
                <anchor moveWithCells="1">
                  <from>
                    <xdr:col>10</xdr:col>
                    <xdr:colOff>2952750</xdr:colOff>
                    <xdr:row>24</xdr:row>
                    <xdr:rowOff>85725</xdr:rowOff>
                  </from>
                  <to>
                    <xdr:col>10</xdr:col>
                    <xdr:colOff>3705225</xdr:colOff>
                    <xdr:row>24</xdr:row>
                    <xdr:rowOff>266700</xdr:rowOff>
                  </to>
                </anchor>
              </controlPr>
            </control>
          </mc:Choice>
        </mc:AlternateContent>
        <mc:AlternateContent xmlns:mc="http://schemas.openxmlformats.org/markup-compatibility/2006">
          <mc:Choice Requires="x14">
            <control shapeId="1771" r:id="rId62" name="Check Box 747">
              <controlPr defaultSize="0" autoFill="0" autoLine="0" autoPict="0">
                <anchor moveWithCells="1">
                  <from>
                    <xdr:col>10</xdr:col>
                    <xdr:colOff>1781175</xdr:colOff>
                    <xdr:row>24</xdr:row>
                    <xdr:rowOff>371475</xdr:rowOff>
                  </from>
                  <to>
                    <xdr:col>10</xdr:col>
                    <xdr:colOff>3981450</xdr:colOff>
                    <xdr:row>24</xdr:row>
                    <xdr:rowOff>552450</xdr:rowOff>
                  </to>
                </anchor>
              </controlPr>
            </control>
          </mc:Choice>
        </mc:AlternateContent>
        <mc:AlternateContent xmlns:mc="http://schemas.openxmlformats.org/markup-compatibility/2006">
          <mc:Choice Requires="x14">
            <control shapeId="1772" r:id="rId63" name="Check Box 748">
              <controlPr defaultSize="0" autoFill="0" autoLine="0" autoPict="0">
                <anchor moveWithCells="1">
                  <from>
                    <xdr:col>10</xdr:col>
                    <xdr:colOff>76200</xdr:colOff>
                    <xdr:row>25</xdr:row>
                    <xdr:rowOff>85725</xdr:rowOff>
                  </from>
                  <to>
                    <xdr:col>10</xdr:col>
                    <xdr:colOff>1123950</xdr:colOff>
                    <xdr:row>25</xdr:row>
                    <xdr:rowOff>266700</xdr:rowOff>
                  </to>
                </anchor>
              </controlPr>
            </control>
          </mc:Choice>
        </mc:AlternateContent>
        <mc:AlternateContent xmlns:mc="http://schemas.openxmlformats.org/markup-compatibility/2006">
          <mc:Choice Requires="x14">
            <control shapeId="1773" r:id="rId64" name="Check Box 749">
              <controlPr defaultSize="0" autoFill="0" autoLine="0" autoPict="0">
                <anchor moveWithCells="1">
                  <from>
                    <xdr:col>10</xdr:col>
                    <xdr:colOff>1133475</xdr:colOff>
                    <xdr:row>25</xdr:row>
                    <xdr:rowOff>85725</xdr:rowOff>
                  </from>
                  <to>
                    <xdr:col>10</xdr:col>
                    <xdr:colOff>2181225</xdr:colOff>
                    <xdr:row>25</xdr:row>
                    <xdr:rowOff>266700</xdr:rowOff>
                  </to>
                </anchor>
              </controlPr>
            </control>
          </mc:Choice>
        </mc:AlternateContent>
        <mc:AlternateContent xmlns:mc="http://schemas.openxmlformats.org/markup-compatibility/2006">
          <mc:Choice Requires="x14">
            <control shapeId="1774" r:id="rId65" name="Check Box 750">
              <controlPr defaultSize="0" autoFill="0" autoLine="0" autoPict="0">
                <anchor moveWithCells="1">
                  <from>
                    <xdr:col>10</xdr:col>
                    <xdr:colOff>76200</xdr:colOff>
                    <xdr:row>25</xdr:row>
                    <xdr:rowOff>371475</xdr:rowOff>
                  </from>
                  <to>
                    <xdr:col>10</xdr:col>
                    <xdr:colOff>828675</xdr:colOff>
                    <xdr:row>25</xdr:row>
                    <xdr:rowOff>552450</xdr:rowOff>
                  </to>
                </anchor>
              </controlPr>
            </control>
          </mc:Choice>
        </mc:AlternateContent>
        <mc:AlternateContent xmlns:mc="http://schemas.openxmlformats.org/markup-compatibility/2006">
          <mc:Choice Requires="x14">
            <control shapeId="1775" r:id="rId66" name="Check Box 751">
              <controlPr defaultSize="0" autoFill="0" autoLine="0" autoPict="0">
                <anchor moveWithCells="1">
                  <from>
                    <xdr:col>10</xdr:col>
                    <xdr:colOff>2190750</xdr:colOff>
                    <xdr:row>25</xdr:row>
                    <xdr:rowOff>85725</xdr:rowOff>
                  </from>
                  <to>
                    <xdr:col>10</xdr:col>
                    <xdr:colOff>2943225</xdr:colOff>
                    <xdr:row>25</xdr:row>
                    <xdr:rowOff>266700</xdr:rowOff>
                  </to>
                </anchor>
              </controlPr>
            </control>
          </mc:Choice>
        </mc:AlternateContent>
        <mc:AlternateContent xmlns:mc="http://schemas.openxmlformats.org/markup-compatibility/2006">
          <mc:Choice Requires="x14">
            <control shapeId="1776" r:id="rId67" name="Check Box 752">
              <controlPr defaultSize="0" autoFill="0" autoLine="0" autoPict="0">
                <anchor moveWithCells="1">
                  <from>
                    <xdr:col>10</xdr:col>
                    <xdr:colOff>838200</xdr:colOff>
                    <xdr:row>25</xdr:row>
                    <xdr:rowOff>371475</xdr:rowOff>
                  </from>
                  <to>
                    <xdr:col>10</xdr:col>
                    <xdr:colOff>1771650</xdr:colOff>
                    <xdr:row>25</xdr:row>
                    <xdr:rowOff>552450</xdr:rowOff>
                  </to>
                </anchor>
              </controlPr>
            </control>
          </mc:Choice>
        </mc:AlternateContent>
        <mc:AlternateContent xmlns:mc="http://schemas.openxmlformats.org/markup-compatibility/2006">
          <mc:Choice Requires="x14">
            <control shapeId="1777" r:id="rId68" name="Check Box 753">
              <controlPr defaultSize="0" autoFill="0" autoLine="0" autoPict="0">
                <anchor moveWithCells="1">
                  <from>
                    <xdr:col>10</xdr:col>
                    <xdr:colOff>3714750</xdr:colOff>
                    <xdr:row>25</xdr:row>
                    <xdr:rowOff>85725</xdr:rowOff>
                  </from>
                  <to>
                    <xdr:col>10</xdr:col>
                    <xdr:colOff>4257675</xdr:colOff>
                    <xdr:row>25</xdr:row>
                    <xdr:rowOff>266700</xdr:rowOff>
                  </to>
                </anchor>
              </controlPr>
            </control>
          </mc:Choice>
        </mc:AlternateContent>
        <mc:AlternateContent xmlns:mc="http://schemas.openxmlformats.org/markup-compatibility/2006">
          <mc:Choice Requires="x14">
            <control shapeId="1778" r:id="rId69" name="Check Box 754">
              <controlPr defaultSize="0" autoFill="0" autoLine="0" autoPict="0">
                <anchor moveWithCells="1">
                  <from>
                    <xdr:col>10</xdr:col>
                    <xdr:colOff>2952750</xdr:colOff>
                    <xdr:row>25</xdr:row>
                    <xdr:rowOff>85725</xdr:rowOff>
                  </from>
                  <to>
                    <xdr:col>10</xdr:col>
                    <xdr:colOff>3705225</xdr:colOff>
                    <xdr:row>25</xdr:row>
                    <xdr:rowOff>266700</xdr:rowOff>
                  </to>
                </anchor>
              </controlPr>
            </control>
          </mc:Choice>
        </mc:AlternateContent>
        <mc:AlternateContent xmlns:mc="http://schemas.openxmlformats.org/markup-compatibility/2006">
          <mc:Choice Requires="x14">
            <control shapeId="1779" r:id="rId70" name="Check Box 755">
              <controlPr defaultSize="0" autoFill="0" autoLine="0" autoPict="0">
                <anchor moveWithCells="1">
                  <from>
                    <xdr:col>10</xdr:col>
                    <xdr:colOff>1781175</xdr:colOff>
                    <xdr:row>25</xdr:row>
                    <xdr:rowOff>371475</xdr:rowOff>
                  </from>
                  <to>
                    <xdr:col>10</xdr:col>
                    <xdr:colOff>3981450</xdr:colOff>
                    <xdr:row>25</xdr:row>
                    <xdr:rowOff>552450</xdr:rowOff>
                  </to>
                </anchor>
              </controlPr>
            </control>
          </mc:Choice>
        </mc:AlternateContent>
        <mc:AlternateContent xmlns:mc="http://schemas.openxmlformats.org/markup-compatibility/2006">
          <mc:Choice Requires="x14">
            <control shapeId="1780" r:id="rId71" name="Check Box 756">
              <controlPr defaultSize="0" autoFill="0" autoLine="0" autoPict="0">
                <anchor moveWithCells="1">
                  <from>
                    <xdr:col>10</xdr:col>
                    <xdr:colOff>76200</xdr:colOff>
                    <xdr:row>26</xdr:row>
                    <xdr:rowOff>85725</xdr:rowOff>
                  </from>
                  <to>
                    <xdr:col>10</xdr:col>
                    <xdr:colOff>1123950</xdr:colOff>
                    <xdr:row>26</xdr:row>
                    <xdr:rowOff>266700</xdr:rowOff>
                  </to>
                </anchor>
              </controlPr>
            </control>
          </mc:Choice>
        </mc:AlternateContent>
        <mc:AlternateContent xmlns:mc="http://schemas.openxmlformats.org/markup-compatibility/2006">
          <mc:Choice Requires="x14">
            <control shapeId="1781" r:id="rId72" name="Check Box 757">
              <controlPr defaultSize="0" autoFill="0" autoLine="0" autoPict="0">
                <anchor moveWithCells="1">
                  <from>
                    <xdr:col>10</xdr:col>
                    <xdr:colOff>1133475</xdr:colOff>
                    <xdr:row>26</xdr:row>
                    <xdr:rowOff>85725</xdr:rowOff>
                  </from>
                  <to>
                    <xdr:col>10</xdr:col>
                    <xdr:colOff>2181225</xdr:colOff>
                    <xdr:row>26</xdr:row>
                    <xdr:rowOff>266700</xdr:rowOff>
                  </to>
                </anchor>
              </controlPr>
            </control>
          </mc:Choice>
        </mc:AlternateContent>
        <mc:AlternateContent xmlns:mc="http://schemas.openxmlformats.org/markup-compatibility/2006">
          <mc:Choice Requires="x14">
            <control shapeId="1782" r:id="rId73" name="Check Box 758">
              <controlPr defaultSize="0" autoFill="0" autoLine="0" autoPict="0">
                <anchor moveWithCells="1">
                  <from>
                    <xdr:col>10</xdr:col>
                    <xdr:colOff>76200</xdr:colOff>
                    <xdr:row>26</xdr:row>
                    <xdr:rowOff>371475</xdr:rowOff>
                  </from>
                  <to>
                    <xdr:col>10</xdr:col>
                    <xdr:colOff>828675</xdr:colOff>
                    <xdr:row>26</xdr:row>
                    <xdr:rowOff>552450</xdr:rowOff>
                  </to>
                </anchor>
              </controlPr>
            </control>
          </mc:Choice>
        </mc:AlternateContent>
        <mc:AlternateContent xmlns:mc="http://schemas.openxmlformats.org/markup-compatibility/2006">
          <mc:Choice Requires="x14">
            <control shapeId="1783" r:id="rId74" name="Check Box 759">
              <controlPr defaultSize="0" autoFill="0" autoLine="0" autoPict="0">
                <anchor moveWithCells="1">
                  <from>
                    <xdr:col>10</xdr:col>
                    <xdr:colOff>2190750</xdr:colOff>
                    <xdr:row>26</xdr:row>
                    <xdr:rowOff>85725</xdr:rowOff>
                  </from>
                  <to>
                    <xdr:col>10</xdr:col>
                    <xdr:colOff>2943225</xdr:colOff>
                    <xdr:row>26</xdr:row>
                    <xdr:rowOff>266700</xdr:rowOff>
                  </to>
                </anchor>
              </controlPr>
            </control>
          </mc:Choice>
        </mc:AlternateContent>
        <mc:AlternateContent xmlns:mc="http://schemas.openxmlformats.org/markup-compatibility/2006">
          <mc:Choice Requires="x14">
            <control shapeId="1784" r:id="rId75" name="Check Box 760">
              <controlPr defaultSize="0" autoFill="0" autoLine="0" autoPict="0">
                <anchor moveWithCells="1">
                  <from>
                    <xdr:col>10</xdr:col>
                    <xdr:colOff>838200</xdr:colOff>
                    <xdr:row>26</xdr:row>
                    <xdr:rowOff>371475</xdr:rowOff>
                  </from>
                  <to>
                    <xdr:col>10</xdr:col>
                    <xdr:colOff>1771650</xdr:colOff>
                    <xdr:row>26</xdr:row>
                    <xdr:rowOff>552450</xdr:rowOff>
                  </to>
                </anchor>
              </controlPr>
            </control>
          </mc:Choice>
        </mc:AlternateContent>
        <mc:AlternateContent xmlns:mc="http://schemas.openxmlformats.org/markup-compatibility/2006">
          <mc:Choice Requires="x14">
            <control shapeId="1785" r:id="rId76" name="Check Box 761">
              <controlPr defaultSize="0" autoFill="0" autoLine="0" autoPict="0">
                <anchor moveWithCells="1">
                  <from>
                    <xdr:col>10</xdr:col>
                    <xdr:colOff>3714750</xdr:colOff>
                    <xdr:row>26</xdr:row>
                    <xdr:rowOff>85725</xdr:rowOff>
                  </from>
                  <to>
                    <xdr:col>10</xdr:col>
                    <xdr:colOff>4257675</xdr:colOff>
                    <xdr:row>26</xdr:row>
                    <xdr:rowOff>266700</xdr:rowOff>
                  </to>
                </anchor>
              </controlPr>
            </control>
          </mc:Choice>
        </mc:AlternateContent>
        <mc:AlternateContent xmlns:mc="http://schemas.openxmlformats.org/markup-compatibility/2006">
          <mc:Choice Requires="x14">
            <control shapeId="1786" r:id="rId77" name="Check Box 762">
              <controlPr defaultSize="0" autoFill="0" autoLine="0" autoPict="0">
                <anchor moveWithCells="1">
                  <from>
                    <xdr:col>10</xdr:col>
                    <xdr:colOff>2952750</xdr:colOff>
                    <xdr:row>26</xdr:row>
                    <xdr:rowOff>85725</xdr:rowOff>
                  </from>
                  <to>
                    <xdr:col>10</xdr:col>
                    <xdr:colOff>3705225</xdr:colOff>
                    <xdr:row>26</xdr:row>
                    <xdr:rowOff>266700</xdr:rowOff>
                  </to>
                </anchor>
              </controlPr>
            </control>
          </mc:Choice>
        </mc:AlternateContent>
        <mc:AlternateContent xmlns:mc="http://schemas.openxmlformats.org/markup-compatibility/2006">
          <mc:Choice Requires="x14">
            <control shapeId="1787" r:id="rId78" name="Check Box 763">
              <controlPr defaultSize="0" autoFill="0" autoLine="0" autoPict="0">
                <anchor moveWithCells="1">
                  <from>
                    <xdr:col>10</xdr:col>
                    <xdr:colOff>1781175</xdr:colOff>
                    <xdr:row>26</xdr:row>
                    <xdr:rowOff>371475</xdr:rowOff>
                  </from>
                  <to>
                    <xdr:col>10</xdr:col>
                    <xdr:colOff>3981450</xdr:colOff>
                    <xdr:row>26</xdr:row>
                    <xdr:rowOff>552450</xdr:rowOff>
                  </to>
                </anchor>
              </controlPr>
            </control>
          </mc:Choice>
        </mc:AlternateContent>
        <mc:AlternateContent xmlns:mc="http://schemas.openxmlformats.org/markup-compatibility/2006">
          <mc:Choice Requires="x14">
            <control shapeId="1788" r:id="rId79" name="Check Box 764">
              <controlPr defaultSize="0" autoFill="0" autoLine="0" autoPict="0">
                <anchor moveWithCells="1">
                  <from>
                    <xdr:col>10</xdr:col>
                    <xdr:colOff>76200</xdr:colOff>
                    <xdr:row>27</xdr:row>
                    <xdr:rowOff>85725</xdr:rowOff>
                  </from>
                  <to>
                    <xdr:col>10</xdr:col>
                    <xdr:colOff>1123950</xdr:colOff>
                    <xdr:row>27</xdr:row>
                    <xdr:rowOff>266700</xdr:rowOff>
                  </to>
                </anchor>
              </controlPr>
            </control>
          </mc:Choice>
        </mc:AlternateContent>
        <mc:AlternateContent xmlns:mc="http://schemas.openxmlformats.org/markup-compatibility/2006">
          <mc:Choice Requires="x14">
            <control shapeId="1789" r:id="rId80" name="Check Box 765">
              <controlPr defaultSize="0" autoFill="0" autoLine="0" autoPict="0">
                <anchor moveWithCells="1">
                  <from>
                    <xdr:col>10</xdr:col>
                    <xdr:colOff>1133475</xdr:colOff>
                    <xdr:row>27</xdr:row>
                    <xdr:rowOff>85725</xdr:rowOff>
                  </from>
                  <to>
                    <xdr:col>10</xdr:col>
                    <xdr:colOff>2181225</xdr:colOff>
                    <xdr:row>27</xdr:row>
                    <xdr:rowOff>266700</xdr:rowOff>
                  </to>
                </anchor>
              </controlPr>
            </control>
          </mc:Choice>
        </mc:AlternateContent>
        <mc:AlternateContent xmlns:mc="http://schemas.openxmlformats.org/markup-compatibility/2006">
          <mc:Choice Requires="x14">
            <control shapeId="1790" r:id="rId81" name="Check Box 766">
              <controlPr defaultSize="0" autoFill="0" autoLine="0" autoPict="0">
                <anchor moveWithCells="1">
                  <from>
                    <xdr:col>10</xdr:col>
                    <xdr:colOff>76200</xdr:colOff>
                    <xdr:row>27</xdr:row>
                    <xdr:rowOff>371475</xdr:rowOff>
                  </from>
                  <to>
                    <xdr:col>10</xdr:col>
                    <xdr:colOff>828675</xdr:colOff>
                    <xdr:row>27</xdr:row>
                    <xdr:rowOff>552450</xdr:rowOff>
                  </to>
                </anchor>
              </controlPr>
            </control>
          </mc:Choice>
        </mc:AlternateContent>
        <mc:AlternateContent xmlns:mc="http://schemas.openxmlformats.org/markup-compatibility/2006">
          <mc:Choice Requires="x14">
            <control shapeId="1791" r:id="rId82" name="Check Box 767">
              <controlPr defaultSize="0" autoFill="0" autoLine="0" autoPict="0">
                <anchor moveWithCells="1">
                  <from>
                    <xdr:col>10</xdr:col>
                    <xdr:colOff>2190750</xdr:colOff>
                    <xdr:row>27</xdr:row>
                    <xdr:rowOff>85725</xdr:rowOff>
                  </from>
                  <to>
                    <xdr:col>10</xdr:col>
                    <xdr:colOff>2943225</xdr:colOff>
                    <xdr:row>27</xdr:row>
                    <xdr:rowOff>266700</xdr:rowOff>
                  </to>
                </anchor>
              </controlPr>
            </control>
          </mc:Choice>
        </mc:AlternateContent>
        <mc:AlternateContent xmlns:mc="http://schemas.openxmlformats.org/markup-compatibility/2006">
          <mc:Choice Requires="x14">
            <control shapeId="1792" r:id="rId83" name="Check Box 768">
              <controlPr defaultSize="0" autoFill="0" autoLine="0" autoPict="0">
                <anchor moveWithCells="1">
                  <from>
                    <xdr:col>10</xdr:col>
                    <xdr:colOff>838200</xdr:colOff>
                    <xdr:row>27</xdr:row>
                    <xdr:rowOff>371475</xdr:rowOff>
                  </from>
                  <to>
                    <xdr:col>10</xdr:col>
                    <xdr:colOff>1771650</xdr:colOff>
                    <xdr:row>27</xdr:row>
                    <xdr:rowOff>552450</xdr:rowOff>
                  </to>
                </anchor>
              </controlPr>
            </control>
          </mc:Choice>
        </mc:AlternateContent>
        <mc:AlternateContent xmlns:mc="http://schemas.openxmlformats.org/markup-compatibility/2006">
          <mc:Choice Requires="x14">
            <control shapeId="1793" r:id="rId84" name="Check Box 769">
              <controlPr defaultSize="0" autoFill="0" autoLine="0" autoPict="0">
                <anchor moveWithCells="1">
                  <from>
                    <xdr:col>10</xdr:col>
                    <xdr:colOff>3714750</xdr:colOff>
                    <xdr:row>27</xdr:row>
                    <xdr:rowOff>85725</xdr:rowOff>
                  </from>
                  <to>
                    <xdr:col>10</xdr:col>
                    <xdr:colOff>4257675</xdr:colOff>
                    <xdr:row>27</xdr:row>
                    <xdr:rowOff>266700</xdr:rowOff>
                  </to>
                </anchor>
              </controlPr>
            </control>
          </mc:Choice>
        </mc:AlternateContent>
        <mc:AlternateContent xmlns:mc="http://schemas.openxmlformats.org/markup-compatibility/2006">
          <mc:Choice Requires="x14">
            <control shapeId="1794" r:id="rId85" name="Check Box 770">
              <controlPr defaultSize="0" autoFill="0" autoLine="0" autoPict="0">
                <anchor moveWithCells="1">
                  <from>
                    <xdr:col>10</xdr:col>
                    <xdr:colOff>2952750</xdr:colOff>
                    <xdr:row>27</xdr:row>
                    <xdr:rowOff>85725</xdr:rowOff>
                  </from>
                  <to>
                    <xdr:col>10</xdr:col>
                    <xdr:colOff>3705225</xdr:colOff>
                    <xdr:row>27</xdr:row>
                    <xdr:rowOff>266700</xdr:rowOff>
                  </to>
                </anchor>
              </controlPr>
            </control>
          </mc:Choice>
        </mc:AlternateContent>
        <mc:AlternateContent xmlns:mc="http://schemas.openxmlformats.org/markup-compatibility/2006">
          <mc:Choice Requires="x14">
            <control shapeId="1795" r:id="rId86" name="Check Box 771">
              <controlPr defaultSize="0" autoFill="0" autoLine="0" autoPict="0">
                <anchor moveWithCells="1">
                  <from>
                    <xdr:col>10</xdr:col>
                    <xdr:colOff>1781175</xdr:colOff>
                    <xdr:row>27</xdr:row>
                    <xdr:rowOff>371475</xdr:rowOff>
                  </from>
                  <to>
                    <xdr:col>10</xdr:col>
                    <xdr:colOff>3981450</xdr:colOff>
                    <xdr:row>27</xdr:row>
                    <xdr:rowOff>552450</xdr:rowOff>
                  </to>
                </anchor>
              </controlPr>
            </control>
          </mc:Choice>
        </mc:AlternateContent>
        <mc:AlternateContent xmlns:mc="http://schemas.openxmlformats.org/markup-compatibility/2006">
          <mc:Choice Requires="x14">
            <control shapeId="1796" r:id="rId87" name="Check Box 772">
              <controlPr defaultSize="0" autoFill="0" autoLine="0" autoPict="0">
                <anchor moveWithCells="1">
                  <from>
                    <xdr:col>10</xdr:col>
                    <xdr:colOff>76200</xdr:colOff>
                    <xdr:row>28</xdr:row>
                    <xdr:rowOff>85725</xdr:rowOff>
                  </from>
                  <to>
                    <xdr:col>10</xdr:col>
                    <xdr:colOff>1123950</xdr:colOff>
                    <xdr:row>28</xdr:row>
                    <xdr:rowOff>266700</xdr:rowOff>
                  </to>
                </anchor>
              </controlPr>
            </control>
          </mc:Choice>
        </mc:AlternateContent>
        <mc:AlternateContent xmlns:mc="http://schemas.openxmlformats.org/markup-compatibility/2006">
          <mc:Choice Requires="x14">
            <control shapeId="1797" r:id="rId88" name="Check Box 773">
              <controlPr defaultSize="0" autoFill="0" autoLine="0" autoPict="0">
                <anchor moveWithCells="1">
                  <from>
                    <xdr:col>10</xdr:col>
                    <xdr:colOff>1133475</xdr:colOff>
                    <xdr:row>28</xdr:row>
                    <xdr:rowOff>85725</xdr:rowOff>
                  </from>
                  <to>
                    <xdr:col>10</xdr:col>
                    <xdr:colOff>2181225</xdr:colOff>
                    <xdr:row>28</xdr:row>
                    <xdr:rowOff>266700</xdr:rowOff>
                  </to>
                </anchor>
              </controlPr>
            </control>
          </mc:Choice>
        </mc:AlternateContent>
        <mc:AlternateContent xmlns:mc="http://schemas.openxmlformats.org/markup-compatibility/2006">
          <mc:Choice Requires="x14">
            <control shapeId="1798" r:id="rId89" name="Check Box 774">
              <controlPr defaultSize="0" autoFill="0" autoLine="0" autoPict="0">
                <anchor moveWithCells="1">
                  <from>
                    <xdr:col>10</xdr:col>
                    <xdr:colOff>76200</xdr:colOff>
                    <xdr:row>28</xdr:row>
                    <xdr:rowOff>371475</xdr:rowOff>
                  </from>
                  <to>
                    <xdr:col>10</xdr:col>
                    <xdr:colOff>828675</xdr:colOff>
                    <xdr:row>28</xdr:row>
                    <xdr:rowOff>552450</xdr:rowOff>
                  </to>
                </anchor>
              </controlPr>
            </control>
          </mc:Choice>
        </mc:AlternateContent>
        <mc:AlternateContent xmlns:mc="http://schemas.openxmlformats.org/markup-compatibility/2006">
          <mc:Choice Requires="x14">
            <control shapeId="1799" r:id="rId90" name="Check Box 775">
              <controlPr defaultSize="0" autoFill="0" autoLine="0" autoPict="0">
                <anchor moveWithCells="1">
                  <from>
                    <xdr:col>10</xdr:col>
                    <xdr:colOff>2190750</xdr:colOff>
                    <xdr:row>28</xdr:row>
                    <xdr:rowOff>85725</xdr:rowOff>
                  </from>
                  <to>
                    <xdr:col>10</xdr:col>
                    <xdr:colOff>2943225</xdr:colOff>
                    <xdr:row>28</xdr:row>
                    <xdr:rowOff>266700</xdr:rowOff>
                  </to>
                </anchor>
              </controlPr>
            </control>
          </mc:Choice>
        </mc:AlternateContent>
        <mc:AlternateContent xmlns:mc="http://schemas.openxmlformats.org/markup-compatibility/2006">
          <mc:Choice Requires="x14">
            <control shapeId="1800" r:id="rId91" name="Check Box 776">
              <controlPr defaultSize="0" autoFill="0" autoLine="0" autoPict="0">
                <anchor moveWithCells="1">
                  <from>
                    <xdr:col>10</xdr:col>
                    <xdr:colOff>838200</xdr:colOff>
                    <xdr:row>28</xdr:row>
                    <xdr:rowOff>371475</xdr:rowOff>
                  </from>
                  <to>
                    <xdr:col>10</xdr:col>
                    <xdr:colOff>1771650</xdr:colOff>
                    <xdr:row>28</xdr:row>
                    <xdr:rowOff>552450</xdr:rowOff>
                  </to>
                </anchor>
              </controlPr>
            </control>
          </mc:Choice>
        </mc:AlternateContent>
        <mc:AlternateContent xmlns:mc="http://schemas.openxmlformats.org/markup-compatibility/2006">
          <mc:Choice Requires="x14">
            <control shapeId="1801" r:id="rId92" name="Check Box 777">
              <controlPr defaultSize="0" autoFill="0" autoLine="0" autoPict="0">
                <anchor moveWithCells="1">
                  <from>
                    <xdr:col>10</xdr:col>
                    <xdr:colOff>3714750</xdr:colOff>
                    <xdr:row>28</xdr:row>
                    <xdr:rowOff>85725</xdr:rowOff>
                  </from>
                  <to>
                    <xdr:col>10</xdr:col>
                    <xdr:colOff>4257675</xdr:colOff>
                    <xdr:row>28</xdr:row>
                    <xdr:rowOff>266700</xdr:rowOff>
                  </to>
                </anchor>
              </controlPr>
            </control>
          </mc:Choice>
        </mc:AlternateContent>
        <mc:AlternateContent xmlns:mc="http://schemas.openxmlformats.org/markup-compatibility/2006">
          <mc:Choice Requires="x14">
            <control shapeId="1802" r:id="rId93" name="Check Box 778">
              <controlPr defaultSize="0" autoFill="0" autoLine="0" autoPict="0">
                <anchor moveWithCells="1">
                  <from>
                    <xdr:col>10</xdr:col>
                    <xdr:colOff>2952750</xdr:colOff>
                    <xdr:row>28</xdr:row>
                    <xdr:rowOff>85725</xdr:rowOff>
                  </from>
                  <to>
                    <xdr:col>10</xdr:col>
                    <xdr:colOff>3705225</xdr:colOff>
                    <xdr:row>28</xdr:row>
                    <xdr:rowOff>266700</xdr:rowOff>
                  </to>
                </anchor>
              </controlPr>
            </control>
          </mc:Choice>
        </mc:AlternateContent>
        <mc:AlternateContent xmlns:mc="http://schemas.openxmlformats.org/markup-compatibility/2006">
          <mc:Choice Requires="x14">
            <control shapeId="1803" r:id="rId94" name="Check Box 779">
              <controlPr defaultSize="0" autoFill="0" autoLine="0" autoPict="0">
                <anchor moveWithCells="1">
                  <from>
                    <xdr:col>10</xdr:col>
                    <xdr:colOff>1781175</xdr:colOff>
                    <xdr:row>28</xdr:row>
                    <xdr:rowOff>371475</xdr:rowOff>
                  </from>
                  <to>
                    <xdr:col>10</xdr:col>
                    <xdr:colOff>3981450</xdr:colOff>
                    <xdr:row>28</xdr:row>
                    <xdr:rowOff>552450</xdr:rowOff>
                  </to>
                </anchor>
              </controlPr>
            </control>
          </mc:Choice>
        </mc:AlternateContent>
        <mc:AlternateContent xmlns:mc="http://schemas.openxmlformats.org/markup-compatibility/2006">
          <mc:Choice Requires="x14">
            <control shapeId="1804" r:id="rId95" name="Check Box 780">
              <controlPr defaultSize="0" autoFill="0" autoLine="0" autoPict="0">
                <anchor moveWithCells="1">
                  <from>
                    <xdr:col>10</xdr:col>
                    <xdr:colOff>76200</xdr:colOff>
                    <xdr:row>29</xdr:row>
                    <xdr:rowOff>85725</xdr:rowOff>
                  </from>
                  <to>
                    <xdr:col>10</xdr:col>
                    <xdr:colOff>1123950</xdr:colOff>
                    <xdr:row>29</xdr:row>
                    <xdr:rowOff>266700</xdr:rowOff>
                  </to>
                </anchor>
              </controlPr>
            </control>
          </mc:Choice>
        </mc:AlternateContent>
        <mc:AlternateContent xmlns:mc="http://schemas.openxmlformats.org/markup-compatibility/2006">
          <mc:Choice Requires="x14">
            <control shapeId="1805" r:id="rId96" name="Check Box 781">
              <controlPr defaultSize="0" autoFill="0" autoLine="0" autoPict="0">
                <anchor moveWithCells="1">
                  <from>
                    <xdr:col>10</xdr:col>
                    <xdr:colOff>1133475</xdr:colOff>
                    <xdr:row>29</xdr:row>
                    <xdr:rowOff>85725</xdr:rowOff>
                  </from>
                  <to>
                    <xdr:col>10</xdr:col>
                    <xdr:colOff>2181225</xdr:colOff>
                    <xdr:row>29</xdr:row>
                    <xdr:rowOff>266700</xdr:rowOff>
                  </to>
                </anchor>
              </controlPr>
            </control>
          </mc:Choice>
        </mc:AlternateContent>
        <mc:AlternateContent xmlns:mc="http://schemas.openxmlformats.org/markup-compatibility/2006">
          <mc:Choice Requires="x14">
            <control shapeId="1806" r:id="rId97" name="Check Box 782">
              <controlPr defaultSize="0" autoFill="0" autoLine="0" autoPict="0">
                <anchor moveWithCells="1">
                  <from>
                    <xdr:col>10</xdr:col>
                    <xdr:colOff>76200</xdr:colOff>
                    <xdr:row>29</xdr:row>
                    <xdr:rowOff>371475</xdr:rowOff>
                  </from>
                  <to>
                    <xdr:col>10</xdr:col>
                    <xdr:colOff>828675</xdr:colOff>
                    <xdr:row>29</xdr:row>
                    <xdr:rowOff>552450</xdr:rowOff>
                  </to>
                </anchor>
              </controlPr>
            </control>
          </mc:Choice>
        </mc:AlternateContent>
        <mc:AlternateContent xmlns:mc="http://schemas.openxmlformats.org/markup-compatibility/2006">
          <mc:Choice Requires="x14">
            <control shapeId="1807" r:id="rId98" name="Check Box 783">
              <controlPr defaultSize="0" autoFill="0" autoLine="0" autoPict="0">
                <anchor moveWithCells="1">
                  <from>
                    <xdr:col>10</xdr:col>
                    <xdr:colOff>2190750</xdr:colOff>
                    <xdr:row>29</xdr:row>
                    <xdr:rowOff>85725</xdr:rowOff>
                  </from>
                  <to>
                    <xdr:col>10</xdr:col>
                    <xdr:colOff>2943225</xdr:colOff>
                    <xdr:row>29</xdr:row>
                    <xdr:rowOff>266700</xdr:rowOff>
                  </to>
                </anchor>
              </controlPr>
            </control>
          </mc:Choice>
        </mc:AlternateContent>
        <mc:AlternateContent xmlns:mc="http://schemas.openxmlformats.org/markup-compatibility/2006">
          <mc:Choice Requires="x14">
            <control shapeId="1808" r:id="rId99" name="Check Box 784">
              <controlPr defaultSize="0" autoFill="0" autoLine="0" autoPict="0">
                <anchor moveWithCells="1">
                  <from>
                    <xdr:col>10</xdr:col>
                    <xdr:colOff>838200</xdr:colOff>
                    <xdr:row>29</xdr:row>
                    <xdr:rowOff>371475</xdr:rowOff>
                  </from>
                  <to>
                    <xdr:col>10</xdr:col>
                    <xdr:colOff>1771650</xdr:colOff>
                    <xdr:row>29</xdr:row>
                    <xdr:rowOff>552450</xdr:rowOff>
                  </to>
                </anchor>
              </controlPr>
            </control>
          </mc:Choice>
        </mc:AlternateContent>
        <mc:AlternateContent xmlns:mc="http://schemas.openxmlformats.org/markup-compatibility/2006">
          <mc:Choice Requires="x14">
            <control shapeId="1809" r:id="rId100" name="Check Box 785">
              <controlPr defaultSize="0" autoFill="0" autoLine="0" autoPict="0">
                <anchor moveWithCells="1">
                  <from>
                    <xdr:col>10</xdr:col>
                    <xdr:colOff>3714750</xdr:colOff>
                    <xdr:row>29</xdr:row>
                    <xdr:rowOff>85725</xdr:rowOff>
                  </from>
                  <to>
                    <xdr:col>10</xdr:col>
                    <xdr:colOff>4257675</xdr:colOff>
                    <xdr:row>29</xdr:row>
                    <xdr:rowOff>266700</xdr:rowOff>
                  </to>
                </anchor>
              </controlPr>
            </control>
          </mc:Choice>
        </mc:AlternateContent>
        <mc:AlternateContent xmlns:mc="http://schemas.openxmlformats.org/markup-compatibility/2006">
          <mc:Choice Requires="x14">
            <control shapeId="1810" r:id="rId101" name="Check Box 786">
              <controlPr defaultSize="0" autoFill="0" autoLine="0" autoPict="0">
                <anchor moveWithCells="1">
                  <from>
                    <xdr:col>10</xdr:col>
                    <xdr:colOff>2952750</xdr:colOff>
                    <xdr:row>29</xdr:row>
                    <xdr:rowOff>85725</xdr:rowOff>
                  </from>
                  <to>
                    <xdr:col>10</xdr:col>
                    <xdr:colOff>3705225</xdr:colOff>
                    <xdr:row>29</xdr:row>
                    <xdr:rowOff>266700</xdr:rowOff>
                  </to>
                </anchor>
              </controlPr>
            </control>
          </mc:Choice>
        </mc:AlternateContent>
        <mc:AlternateContent xmlns:mc="http://schemas.openxmlformats.org/markup-compatibility/2006">
          <mc:Choice Requires="x14">
            <control shapeId="1811" r:id="rId102" name="Check Box 787">
              <controlPr defaultSize="0" autoFill="0" autoLine="0" autoPict="0">
                <anchor moveWithCells="1">
                  <from>
                    <xdr:col>10</xdr:col>
                    <xdr:colOff>1781175</xdr:colOff>
                    <xdr:row>29</xdr:row>
                    <xdr:rowOff>371475</xdr:rowOff>
                  </from>
                  <to>
                    <xdr:col>10</xdr:col>
                    <xdr:colOff>3981450</xdr:colOff>
                    <xdr:row>29</xdr:row>
                    <xdr:rowOff>552450</xdr:rowOff>
                  </to>
                </anchor>
              </controlPr>
            </control>
          </mc:Choice>
        </mc:AlternateContent>
        <mc:AlternateContent xmlns:mc="http://schemas.openxmlformats.org/markup-compatibility/2006">
          <mc:Choice Requires="x14">
            <control shapeId="1812" r:id="rId103" name="Check Box 788">
              <controlPr defaultSize="0" autoFill="0" autoLine="0" autoPict="0">
                <anchor moveWithCells="1">
                  <from>
                    <xdr:col>10</xdr:col>
                    <xdr:colOff>76200</xdr:colOff>
                    <xdr:row>30</xdr:row>
                    <xdr:rowOff>85725</xdr:rowOff>
                  </from>
                  <to>
                    <xdr:col>10</xdr:col>
                    <xdr:colOff>1123950</xdr:colOff>
                    <xdr:row>30</xdr:row>
                    <xdr:rowOff>266700</xdr:rowOff>
                  </to>
                </anchor>
              </controlPr>
            </control>
          </mc:Choice>
        </mc:AlternateContent>
        <mc:AlternateContent xmlns:mc="http://schemas.openxmlformats.org/markup-compatibility/2006">
          <mc:Choice Requires="x14">
            <control shapeId="1813" r:id="rId104" name="Check Box 789">
              <controlPr defaultSize="0" autoFill="0" autoLine="0" autoPict="0">
                <anchor moveWithCells="1">
                  <from>
                    <xdr:col>10</xdr:col>
                    <xdr:colOff>1133475</xdr:colOff>
                    <xdr:row>30</xdr:row>
                    <xdr:rowOff>85725</xdr:rowOff>
                  </from>
                  <to>
                    <xdr:col>10</xdr:col>
                    <xdr:colOff>2181225</xdr:colOff>
                    <xdr:row>30</xdr:row>
                    <xdr:rowOff>266700</xdr:rowOff>
                  </to>
                </anchor>
              </controlPr>
            </control>
          </mc:Choice>
        </mc:AlternateContent>
        <mc:AlternateContent xmlns:mc="http://schemas.openxmlformats.org/markup-compatibility/2006">
          <mc:Choice Requires="x14">
            <control shapeId="1814" r:id="rId105" name="Check Box 790">
              <controlPr defaultSize="0" autoFill="0" autoLine="0" autoPict="0">
                <anchor moveWithCells="1">
                  <from>
                    <xdr:col>10</xdr:col>
                    <xdr:colOff>76200</xdr:colOff>
                    <xdr:row>30</xdr:row>
                    <xdr:rowOff>371475</xdr:rowOff>
                  </from>
                  <to>
                    <xdr:col>10</xdr:col>
                    <xdr:colOff>828675</xdr:colOff>
                    <xdr:row>30</xdr:row>
                    <xdr:rowOff>552450</xdr:rowOff>
                  </to>
                </anchor>
              </controlPr>
            </control>
          </mc:Choice>
        </mc:AlternateContent>
        <mc:AlternateContent xmlns:mc="http://schemas.openxmlformats.org/markup-compatibility/2006">
          <mc:Choice Requires="x14">
            <control shapeId="1815" r:id="rId106" name="Check Box 791">
              <controlPr defaultSize="0" autoFill="0" autoLine="0" autoPict="0">
                <anchor moveWithCells="1">
                  <from>
                    <xdr:col>10</xdr:col>
                    <xdr:colOff>2190750</xdr:colOff>
                    <xdr:row>30</xdr:row>
                    <xdr:rowOff>85725</xdr:rowOff>
                  </from>
                  <to>
                    <xdr:col>10</xdr:col>
                    <xdr:colOff>2943225</xdr:colOff>
                    <xdr:row>30</xdr:row>
                    <xdr:rowOff>266700</xdr:rowOff>
                  </to>
                </anchor>
              </controlPr>
            </control>
          </mc:Choice>
        </mc:AlternateContent>
        <mc:AlternateContent xmlns:mc="http://schemas.openxmlformats.org/markup-compatibility/2006">
          <mc:Choice Requires="x14">
            <control shapeId="1816" r:id="rId107" name="Check Box 792">
              <controlPr defaultSize="0" autoFill="0" autoLine="0" autoPict="0">
                <anchor moveWithCells="1">
                  <from>
                    <xdr:col>10</xdr:col>
                    <xdr:colOff>838200</xdr:colOff>
                    <xdr:row>30</xdr:row>
                    <xdr:rowOff>371475</xdr:rowOff>
                  </from>
                  <to>
                    <xdr:col>10</xdr:col>
                    <xdr:colOff>1771650</xdr:colOff>
                    <xdr:row>30</xdr:row>
                    <xdr:rowOff>552450</xdr:rowOff>
                  </to>
                </anchor>
              </controlPr>
            </control>
          </mc:Choice>
        </mc:AlternateContent>
        <mc:AlternateContent xmlns:mc="http://schemas.openxmlformats.org/markup-compatibility/2006">
          <mc:Choice Requires="x14">
            <control shapeId="1817" r:id="rId108" name="Check Box 793">
              <controlPr defaultSize="0" autoFill="0" autoLine="0" autoPict="0">
                <anchor moveWithCells="1">
                  <from>
                    <xdr:col>10</xdr:col>
                    <xdr:colOff>3714750</xdr:colOff>
                    <xdr:row>30</xdr:row>
                    <xdr:rowOff>85725</xdr:rowOff>
                  </from>
                  <to>
                    <xdr:col>10</xdr:col>
                    <xdr:colOff>4257675</xdr:colOff>
                    <xdr:row>30</xdr:row>
                    <xdr:rowOff>266700</xdr:rowOff>
                  </to>
                </anchor>
              </controlPr>
            </control>
          </mc:Choice>
        </mc:AlternateContent>
        <mc:AlternateContent xmlns:mc="http://schemas.openxmlformats.org/markup-compatibility/2006">
          <mc:Choice Requires="x14">
            <control shapeId="1818" r:id="rId109" name="Check Box 794">
              <controlPr defaultSize="0" autoFill="0" autoLine="0" autoPict="0">
                <anchor moveWithCells="1">
                  <from>
                    <xdr:col>10</xdr:col>
                    <xdr:colOff>2952750</xdr:colOff>
                    <xdr:row>30</xdr:row>
                    <xdr:rowOff>85725</xdr:rowOff>
                  </from>
                  <to>
                    <xdr:col>10</xdr:col>
                    <xdr:colOff>3705225</xdr:colOff>
                    <xdr:row>30</xdr:row>
                    <xdr:rowOff>266700</xdr:rowOff>
                  </to>
                </anchor>
              </controlPr>
            </control>
          </mc:Choice>
        </mc:AlternateContent>
        <mc:AlternateContent xmlns:mc="http://schemas.openxmlformats.org/markup-compatibility/2006">
          <mc:Choice Requires="x14">
            <control shapeId="1819" r:id="rId110" name="Check Box 795">
              <controlPr defaultSize="0" autoFill="0" autoLine="0" autoPict="0">
                <anchor moveWithCells="1">
                  <from>
                    <xdr:col>10</xdr:col>
                    <xdr:colOff>1781175</xdr:colOff>
                    <xdr:row>30</xdr:row>
                    <xdr:rowOff>371475</xdr:rowOff>
                  </from>
                  <to>
                    <xdr:col>10</xdr:col>
                    <xdr:colOff>3981450</xdr:colOff>
                    <xdr:row>30</xdr:row>
                    <xdr:rowOff>552450</xdr:rowOff>
                  </to>
                </anchor>
              </controlPr>
            </control>
          </mc:Choice>
        </mc:AlternateContent>
        <mc:AlternateContent xmlns:mc="http://schemas.openxmlformats.org/markup-compatibility/2006">
          <mc:Choice Requires="x14">
            <control shapeId="1820" r:id="rId111" name="Check Box 796">
              <controlPr defaultSize="0" autoFill="0" autoLine="0" autoPict="0">
                <anchor moveWithCells="1">
                  <from>
                    <xdr:col>10</xdr:col>
                    <xdr:colOff>76200</xdr:colOff>
                    <xdr:row>31</xdr:row>
                    <xdr:rowOff>85725</xdr:rowOff>
                  </from>
                  <to>
                    <xdr:col>10</xdr:col>
                    <xdr:colOff>1123950</xdr:colOff>
                    <xdr:row>31</xdr:row>
                    <xdr:rowOff>266700</xdr:rowOff>
                  </to>
                </anchor>
              </controlPr>
            </control>
          </mc:Choice>
        </mc:AlternateContent>
        <mc:AlternateContent xmlns:mc="http://schemas.openxmlformats.org/markup-compatibility/2006">
          <mc:Choice Requires="x14">
            <control shapeId="1821" r:id="rId112" name="Check Box 797">
              <controlPr defaultSize="0" autoFill="0" autoLine="0" autoPict="0">
                <anchor moveWithCells="1">
                  <from>
                    <xdr:col>10</xdr:col>
                    <xdr:colOff>1133475</xdr:colOff>
                    <xdr:row>31</xdr:row>
                    <xdr:rowOff>85725</xdr:rowOff>
                  </from>
                  <to>
                    <xdr:col>10</xdr:col>
                    <xdr:colOff>2181225</xdr:colOff>
                    <xdr:row>31</xdr:row>
                    <xdr:rowOff>266700</xdr:rowOff>
                  </to>
                </anchor>
              </controlPr>
            </control>
          </mc:Choice>
        </mc:AlternateContent>
        <mc:AlternateContent xmlns:mc="http://schemas.openxmlformats.org/markup-compatibility/2006">
          <mc:Choice Requires="x14">
            <control shapeId="1822" r:id="rId113" name="Check Box 798">
              <controlPr defaultSize="0" autoFill="0" autoLine="0" autoPict="0">
                <anchor moveWithCells="1">
                  <from>
                    <xdr:col>10</xdr:col>
                    <xdr:colOff>76200</xdr:colOff>
                    <xdr:row>31</xdr:row>
                    <xdr:rowOff>371475</xdr:rowOff>
                  </from>
                  <to>
                    <xdr:col>10</xdr:col>
                    <xdr:colOff>828675</xdr:colOff>
                    <xdr:row>31</xdr:row>
                    <xdr:rowOff>552450</xdr:rowOff>
                  </to>
                </anchor>
              </controlPr>
            </control>
          </mc:Choice>
        </mc:AlternateContent>
        <mc:AlternateContent xmlns:mc="http://schemas.openxmlformats.org/markup-compatibility/2006">
          <mc:Choice Requires="x14">
            <control shapeId="1823" r:id="rId114" name="Check Box 799">
              <controlPr defaultSize="0" autoFill="0" autoLine="0" autoPict="0">
                <anchor moveWithCells="1">
                  <from>
                    <xdr:col>10</xdr:col>
                    <xdr:colOff>2190750</xdr:colOff>
                    <xdr:row>31</xdr:row>
                    <xdr:rowOff>85725</xdr:rowOff>
                  </from>
                  <to>
                    <xdr:col>10</xdr:col>
                    <xdr:colOff>2943225</xdr:colOff>
                    <xdr:row>31</xdr:row>
                    <xdr:rowOff>266700</xdr:rowOff>
                  </to>
                </anchor>
              </controlPr>
            </control>
          </mc:Choice>
        </mc:AlternateContent>
        <mc:AlternateContent xmlns:mc="http://schemas.openxmlformats.org/markup-compatibility/2006">
          <mc:Choice Requires="x14">
            <control shapeId="1824" r:id="rId115" name="Check Box 800">
              <controlPr defaultSize="0" autoFill="0" autoLine="0" autoPict="0">
                <anchor moveWithCells="1">
                  <from>
                    <xdr:col>10</xdr:col>
                    <xdr:colOff>838200</xdr:colOff>
                    <xdr:row>31</xdr:row>
                    <xdr:rowOff>371475</xdr:rowOff>
                  </from>
                  <to>
                    <xdr:col>10</xdr:col>
                    <xdr:colOff>1771650</xdr:colOff>
                    <xdr:row>31</xdr:row>
                    <xdr:rowOff>552450</xdr:rowOff>
                  </to>
                </anchor>
              </controlPr>
            </control>
          </mc:Choice>
        </mc:AlternateContent>
        <mc:AlternateContent xmlns:mc="http://schemas.openxmlformats.org/markup-compatibility/2006">
          <mc:Choice Requires="x14">
            <control shapeId="1825" r:id="rId116" name="Check Box 801">
              <controlPr defaultSize="0" autoFill="0" autoLine="0" autoPict="0">
                <anchor moveWithCells="1">
                  <from>
                    <xdr:col>10</xdr:col>
                    <xdr:colOff>3714750</xdr:colOff>
                    <xdr:row>31</xdr:row>
                    <xdr:rowOff>85725</xdr:rowOff>
                  </from>
                  <to>
                    <xdr:col>10</xdr:col>
                    <xdr:colOff>4257675</xdr:colOff>
                    <xdr:row>31</xdr:row>
                    <xdr:rowOff>266700</xdr:rowOff>
                  </to>
                </anchor>
              </controlPr>
            </control>
          </mc:Choice>
        </mc:AlternateContent>
        <mc:AlternateContent xmlns:mc="http://schemas.openxmlformats.org/markup-compatibility/2006">
          <mc:Choice Requires="x14">
            <control shapeId="1826" r:id="rId117" name="Check Box 802">
              <controlPr defaultSize="0" autoFill="0" autoLine="0" autoPict="0">
                <anchor moveWithCells="1">
                  <from>
                    <xdr:col>10</xdr:col>
                    <xdr:colOff>2952750</xdr:colOff>
                    <xdr:row>31</xdr:row>
                    <xdr:rowOff>85725</xdr:rowOff>
                  </from>
                  <to>
                    <xdr:col>10</xdr:col>
                    <xdr:colOff>3705225</xdr:colOff>
                    <xdr:row>31</xdr:row>
                    <xdr:rowOff>266700</xdr:rowOff>
                  </to>
                </anchor>
              </controlPr>
            </control>
          </mc:Choice>
        </mc:AlternateContent>
        <mc:AlternateContent xmlns:mc="http://schemas.openxmlformats.org/markup-compatibility/2006">
          <mc:Choice Requires="x14">
            <control shapeId="1827" r:id="rId118" name="Check Box 803">
              <controlPr defaultSize="0" autoFill="0" autoLine="0" autoPict="0">
                <anchor moveWithCells="1">
                  <from>
                    <xdr:col>10</xdr:col>
                    <xdr:colOff>1781175</xdr:colOff>
                    <xdr:row>31</xdr:row>
                    <xdr:rowOff>371475</xdr:rowOff>
                  </from>
                  <to>
                    <xdr:col>10</xdr:col>
                    <xdr:colOff>3981450</xdr:colOff>
                    <xdr:row>31</xdr:row>
                    <xdr:rowOff>552450</xdr:rowOff>
                  </to>
                </anchor>
              </controlPr>
            </control>
          </mc:Choice>
        </mc:AlternateContent>
        <mc:AlternateContent xmlns:mc="http://schemas.openxmlformats.org/markup-compatibility/2006">
          <mc:Choice Requires="x14">
            <control shapeId="1828" r:id="rId119" name="Check Box 804">
              <controlPr defaultSize="0" autoFill="0" autoLine="0" autoPict="0">
                <anchor moveWithCells="1">
                  <from>
                    <xdr:col>10</xdr:col>
                    <xdr:colOff>76200</xdr:colOff>
                    <xdr:row>32</xdr:row>
                    <xdr:rowOff>85725</xdr:rowOff>
                  </from>
                  <to>
                    <xdr:col>10</xdr:col>
                    <xdr:colOff>1123950</xdr:colOff>
                    <xdr:row>32</xdr:row>
                    <xdr:rowOff>266700</xdr:rowOff>
                  </to>
                </anchor>
              </controlPr>
            </control>
          </mc:Choice>
        </mc:AlternateContent>
        <mc:AlternateContent xmlns:mc="http://schemas.openxmlformats.org/markup-compatibility/2006">
          <mc:Choice Requires="x14">
            <control shapeId="1829" r:id="rId120" name="Check Box 805">
              <controlPr defaultSize="0" autoFill="0" autoLine="0" autoPict="0">
                <anchor moveWithCells="1">
                  <from>
                    <xdr:col>10</xdr:col>
                    <xdr:colOff>1133475</xdr:colOff>
                    <xdr:row>32</xdr:row>
                    <xdr:rowOff>85725</xdr:rowOff>
                  </from>
                  <to>
                    <xdr:col>10</xdr:col>
                    <xdr:colOff>2181225</xdr:colOff>
                    <xdr:row>32</xdr:row>
                    <xdr:rowOff>266700</xdr:rowOff>
                  </to>
                </anchor>
              </controlPr>
            </control>
          </mc:Choice>
        </mc:AlternateContent>
        <mc:AlternateContent xmlns:mc="http://schemas.openxmlformats.org/markup-compatibility/2006">
          <mc:Choice Requires="x14">
            <control shapeId="1830" r:id="rId121" name="Check Box 806">
              <controlPr defaultSize="0" autoFill="0" autoLine="0" autoPict="0">
                <anchor moveWithCells="1">
                  <from>
                    <xdr:col>10</xdr:col>
                    <xdr:colOff>76200</xdr:colOff>
                    <xdr:row>32</xdr:row>
                    <xdr:rowOff>371475</xdr:rowOff>
                  </from>
                  <to>
                    <xdr:col>10</xdr:col>
                    <xdr:colOff>828675</xdr:colOff>
                    <xdr:row>32</xdr:row>
                    <xdr:rowOff>552450</xdr:rowOff>
                  </to>
                </anchor>
              </controlPr>
            </control>
          </mc:Choice>
        </mc:AlternateContent>
        <mc:AlternateContent xmlns:mc="http://schemas.openxmlformats.org/markup-compatibility/2006">
          <mc:Choice Requires="x14">
            <control shapeId="1831" r:id="rId122" name="Check Box 807">
              <controlPr defaultSize="0" autoFill="0" autoLine="0" autoPict="0">
                <anchor moveWithCells="1">
                  <from>
                    <xdr:col>10</xdr:col>
                    <xdr:colOff>2190750</xdr:colOff>
                    <xdr:row>32</xdr:row>
                    <xdr:rowOff>85725</xdr:rowOff>
                  </from>
                  <to>
                    <xdr:col>10</xdr:col>
                    <xdr:colOff>2943225</xdr:colOff>
                    <xdr:row>32</xdr:row>
                    <xdr:rowOff>266700</xdr:rowOff>
                  </to>
                </anchor>
              </controlPr>
            </control>
          </mc:Choice>
        </mc:AlternateContent>
        <mc:AlternateContent xmlns:mc="http://schemas.openxmlformats.org/markup-compatibility/2006">
          <mc:Choice Requires="x14">
            <control shapeId="1832" r:id="rId123" name="Check Box 808">
              <controlPr defaultSize="0" autoFill="0" autoLine="0" autoPict="0">
                <anchor moveWithCells="1">
                  <from>
                    <xdr:col>10</xdr:col>
                    <xdr:colOff>838200</xdr:colOff>
                    <xdr:row>32</xdr:row>
                    <xdr:rowOff>371475</xdr:rowOff>
                  </from>
                  <to>
                    <xdr:col>10</xdr:col>
                    <xdr:colOff>1771650</xdr:colOff>
                    <xdr:row>32</xdr:row>
                    <xdr:rowOff>552450</xdr:rowOff>
                  </to>
                </anchor>
              </controlPr>
            </control>
          </mc:Choice>
        </mc:AlternateContent>
        <mc:AlternateContent xmlns:mc="http://schemas.openxmlformats.org/markup-compatibility/2006">
          <mc:Choice Requires="x14">
            <control shapeId="1833" r:id="rId124" name="Check Box 809">
              <controlPr defaultSize="0" autoFill="0" autoLine="0" autoPict="0">
                <anchor moveWithCells="1">
                  <from>
                    <xdr:col>10</xdr:col>
                    <xdr:colOff>3714750</xdr:colOff>
                    <xdr:row>32</xdr:row>
                    <xdr:rowOff>85725</xdr:rowOff>
                  </from>
                  <to>
                    <xdr:col>10</xdr:col>
                    <xdr:colOff>4257675</xdr:colOff>
                    <xdr:row>32</xdr:row>
                    <xdr:rowOff>266700</xdr:rowOff>
                  </to>
                </anchor>
              </controlPr>
            </control>
          </mc:Choice>
        </mc:AlternateContent>
        <mc:AlternateContent xmlns:mc="http://schemas.openxmlformats.org/markup-compatibility/2006">
          <mc:Choice Requires="x14">
            <control shapeId="1834" r:id="rId125" name="Check Box 810">
              <controlPr defaultSize="0" autoFill="0" autoLine="0" autoPict="0">
                <anchor moveWithCells="1">
                  <from>
                    <xdr:col>10</xdr:col>
                    <xdr:colOff>2952750</xdr:colOff>
                    <xdr:row>32</xdr:row>
                    <xdr:rowOff>85725</xdr:rowOff>
                  </from>
                  <to>
                    <xdr:col>10</xdr:col>
                    <xdr:colOff>3705225</xdr:colOff>
                    <xdr:row>32</xdr:row>
                    <xdr:rowOff>266700</xdr:rowOff>
                  </to>
                </anchor>
              </controlPr>
            </control>
          </mc:Choice>
        </mc:AlternateContent>
        <mc:AlternateContent xmlns:mc="http://schemas.openxmlformats.org/markup-compatibility/2006">
          <mc:Choice Requires="x14">
            <control shapeId="1835" r:id="rId126" name="Check Box 811">
              <controlPr defaultSize="0" autoFill="0" autoLine="0" autoPict="0">
                <anchor moveWithCells="1">
                  <from>
                    <xdr:col>10</xdr:col>
                    <xdr:colOff>1781175</xdr:colOff>
                    <xdr:row>32</xdr:row>
                    <xdr:rowOff>371475</xdr:rowOff>
                  </from>
                  <to>
                    <xdr:col>10</xdr:col>
                    <xdr:colOff>3981450</xdr:colOff>
                    <xdr:row>32</xdr:row>
                    <xdr:rowOff>552450</xdr:rowOff>
                  </to>
                </anchor>
              </controlPr>
            </control>
          </mc:Choice>
        </mc:AlternateContent>
        <mc:AlternateContent xmlns:mc="http://schemas.openxmlformats.org/markup-compatibility/2006">
          <mc:Choice Requires="x14">
            <control shapeId="1836" r:id="rId127" name="Check Box 812">
              <controlPr defaultSize="0" autoFill="0" autoLine="0" autoPict="0">
                <anchor moveWithCells="1">
                  <from>
                    <xdr:col>10</xdr:col>
                    <xdr:colOff>76200</xdr:colOff>
                    <xdr:row>33</xdr:row>
                    <xdr:rowOff>85725</xdr:rowOff>
                  </from>
                  <to>
                    <xdr:col>10</xdr:col>
                    <xdr:colOff>1123950</xdr:colOff>
                    <xdr:row>33</xdr:row>
                    <xdr:rowOff>266700</xdr:rowOff>
                  </to>
                </anchor>
              </controlPr>
            </control>
          </mc:Choice>
        </mc:AlternateContent>
        <mc:AlternateContent xmlns:mc="http://schemas.openxmlformats.org/markup-compatibility/2006">
          <mc:Choice Requires="x14">
            <control shapeId="1837" r:id="rId128" name="Check Box 813">
              <controlPr defaultSize="0" autoFill="0" autoLine="0" autoPict="0">
                <anchor moveWithCells="1">
                  <from>
                    <xdr:col>10</xdr:col>
                    <xdr:colOff>1133475</xdr:colOff>
                    <xdr:row>33</xdr:row>
                    <xdr:rowOff>85725</xdr:rowOff>
                  </from>
                  <to>
                    <xdr:col>10</xdr:col>
                    <xdr:colOff>2181225</xdr:colOff>
                    <xdr:row>33</xdr:row>
                    <xdr:rowOff>266700</xdr:rowOff>
                  </to>
                </anchor>
              </controlPr>
            </control>
          </mc:Choice>
        </mc:AlternateContent>
        <mc:AlternateContent xmlns:mc="http://schemas.openxmlformats.org/markup-compatibility/2006">
          <mc:Choice Requires="x14">
            <control shapeId="1838" r:id="rId129" name="Check Box 814">
              <controlPr defaultSize="0" autoFill="0" autoLine="0" autoPict="0">
                <anchor moveWithCells="1">
                  <from>
                    <xdr:col>10</xdr:col>
                    <xdr:colOff>76200</xdr:colOff>
                    <xdr:row>33</xdr:row>
                    <xdr:rowOff>371475</xdr:rowOff>
                  </from>
                  <to>
                    <xdr:col>10</xdr:col>
                    <xdr:colOff>828675</xdr:colOff>
                    <xdr:row>33</xdr:row>
                    <xdr:rowOff>552450</xdr:rowOff>
                  </to>
                </anchor>
              </controlPr>
            </control>
          </mc:Choice>
        </mc:AlternateContent>
        <mc:AlternateContent xmlns:mc="http://schemas.openxmlformats.org/markup-compatibility/2006">
          <mc:Choice Requires="x14">
            <control shapeId="1839" r:id="rId130" name="Check Box 815">
              <controlPr defaultSize="0" autoFill="0" autoLine="0" autoPict="0">
                <anchor moveWithCells="1">
                  <from>
                    <xdr:col>10</xdr:col>
                    <xdr:colOff>2190750</xdr:colOff>
                    <xdr:row>33</xdr:row>
                    <xdr:rowOff>85725</xdr:rowOff>
                  </from>
                  <to>
                    <xdr:col>10</xdr:col>
                    <xdr:colOff>2943225</xdr:colOff>
                    <xdr:row>33</xdr:row>
                    <xdr:rowOff>266700</xdr:rowOff>
                  </to>
                </anchor>
              </controlPr>
            </control>
          </mc:Choice>
        </mc:AlternateContent>
        <mc:AlternateContent xmlns:mc="http://schemas.openxmlformats.org/markup-compatibility/2006">
          <mc:Choice Requires="x14">
            <control shapeId="1840" r:id="rId131" name="Check Box 816">
              <controlPr defaultSize="0" autoFill="0" autoLine="0" autoPict="0">
                <anchor moveWithCells="1">
                  <from>
                    <xdr:col>10</xdr:col>
                    <xdr:colOff>838200</xdr:colOff>
                    <xdr:row>33</xdr:row>
                    <xdr:rowOff>371475</xdr:rowOff>
                  </from>
                  <to>
                    <xdr:col>10</xdr:col>
                    <xdr:colOff>1771650</xdr:colOff>
                    <xdr:row>33</xdr:row>
                    <xdr:rowOff>552450</xdr:rowOff>
                  </to>
                </anchor>
              </controlPr>
            </control>
          </mc:Choice>
        </mc:AlternateContent>
        <mc:AlternateContent xmlns:mc="http://schemas.openxmlformats.org/markup-compatibility/2006">
          <mc:Choice Requires="x14">
            <control shapeId="1841" r:id="rId132" name="Check Box 817">
              <controlPr defaultSize="0" autoFill="0" autoLine="0" autoPict="0">
                <anchor moveWithCells="1">
                  <from>
                    <xdr:col>10</xdr:col>
                    <xdr:colOff>3714750</xdr:colOff>
                    <xdr:row>33</xdr:row>
                    <xdr:rowOff>85725</xdr:rowOff>
                  </from>
                  <to>
                    <xdr:col>10</xdr:col>
                    <xdr:colOff>4257675</xdr:colOff>
                    <xdr:row>33</xdr:row>
                    <xdr:rowOff>266700</xdr:rowOff>
                  </to>
                </anchor>
              </controlPr>
            </control>
          </mc:Choice>
        </mc:AlternateContent>
        <mc:AlternateContent xmlns:mc="http://schemas.openxmlformats.org/markup-compatibility/2006">
          <mc:Choice Requires="x14">
            <control shapeId="1842" r:id="rId133" name="Check Box 818">
              <controlPr defaultSize="0" autoFill="0" autoLine="0" autoPict="0">
                <anchor moveWithCells="1">
                  <from>
                    <xdr:col>10</xdr:col>
                    <xdr:colOff>2952750</xdr:colOff>
                    <xdr:row>33</xdr:row>
                    <xdr:rowOff>85725</xdr:rowOff>
                  </from>
                  <to>
                    <xdr:col>10</xdr:col>
                    <xdr:colOff>3705225</xdr:colOff>
                    <xdr:row>33</xdr:row>
                    <xdr:rowOff>266700</xdr:rowOff>
                  </to>
                </anchor>
              </controlPr>
            </control>
          </mc:Choice>
        </mc:AlternateContent>
        <mc:AlternateContent xmlns:mc="http://schemas.openxmlformats.org/markup-compatibility/2006">
          <mc:Choice Requires="x14">
            <control shapeId="1843" r:id="rId134" name="Check Box 819">
              <controlPr defaultSize="0" autoFill="0" autoLine="0" autoPict="0">
                <anchor moveWithCells="1">
                  <from>
                    <xdr:col>10</xdr:col>
                    <xdr:colOff>1781175</xdr:colOff>
                    <xdr:row>33</xdr:row>
                    <xdr:rowOff>371475</xdr:rowOff>
                  </from>
                  <to>
                    <xdr:col>10</xdr:col>
                    <xdr:colOff>3981450</xdr:colOff>
                    <xdr:row>33</xdr:row>
                    <xdr:rowOff>552450</xdr:rowOff>
                  </to>
                </anchor>
              </controlPr>
            </control>
          </mc:Choice>
        </mc:AlternateContent>
        <mc:AlternateContent xmlns:mc="http://schemas.openxmlformats.org/markup-compatibility/2006">
          <mc:Choice Requires="x14">
            <control shapeId="1844" r:id="rId135" name="Check Box 820">
              <controlPr defaultSize="0" autoFill="0" autoLine="0" autoPict="0">
                <anchor moveWithCells="1">
                  <from>
                    <xdr:col>10</xdr:col>
                    <xdr:colOff>76200</xdr:colOff>
                    <xdr:row>34</xdr:row>
                    <xdr:rowOff>85725</xdr:rowOff>
                  </from>
                  <to>
                    <xdr:col>10</xdr:col>
                    <xdr:colOff>1123950</xdr:colOff>
                    <xdr:row>34</xdr:row>
                    <xdr:rowOff>266700</xdr:rowOff>
                  </to>
                </anchor>
              </controlPr>
            </control>
          </mc:Choice>
        </mc:AlternateContent>
        <mc:AlternateContent xmlns:mc="http://schemas.openxmlformats.org/markup-compatibility/2006">
          <mc:Choice Requires="x14">
            <control shapeId="1845" r:id="rId136" name="Check Box 821">
              <controlPr defaultSize="0" autoFill="0" autoLine="0" autoPict="0">
                <anchor moveWithCells="1">
                  <from>
                    <xdr:col>10</xdr:col>
                    <xdr:colOff>1133475</xdr:colOff>
                    <xdr:row>34</xdr:row>
                    <xdr:rowOff>85725</xdr:rowOff>
                  </from>
                  <to>
                    <xdr:col>10</xdr:col>
                    <xdr:colOff>2181225</xdr:colOff>
                    <xdr:row>34</xdr:row>
                    <xdr:rowOff>266700</xdr:rowOff>
                  </to>
                </anchor>
              </controlPr>
            </control>
          </mc:Choice>
        </mc:AlternateContent>
        <mc:AlternateContent xmlns:mc="http://schemas.openxmlformats.org/markup-compatibility/2006">
          <mc:Choice Requires="x14">
            <control shapeId="1846" r:id="rId137" name="Check Box 822">
              <controlPr defaultSize="0" autoFill="0" autoLine="0" autoPict="0">
                <anchor moveWithCells="1">
                  <from>
                    <xdr:col>10</xdr:col>
                    <xdr:colOff>76200</xdr:colOff>
                    <xdr:row>34</xdr:row>
                    <xdr:rowOff>371475</xdr:rowOff>
                  </from>
                  <to>
                    <xdr:col>10</xdr:col>
                    <xdr:colOff>828675</xdr:colOff>
                    <xdr:row>34</xdr:row>
                    <xdr:rowOff>552450</xdr:rowOff>
                  </to>
                </anchor>
              </controlPr>
            </control>
          </mc:Choice>
        </mc:AlternateContent>
        <mc:AlternateContent xmlns:mc="http://schemas.openxmlformats.org/markup-compatibility/2006">
          <mc:Choice Requires="x14">
            <control shapeId="1847" r:id="rId138" name="Check Box 823">
              <controlPr defaultSize="0" autoFill="0" autoLine="0" autoPict="0">
                <anchor moveWithCells="1">
                  <from>
                    <xdr:col>10</xdr:col>
                    <xdr:colOff>2190750</xdr:colOff>
                    <xdr:row>34</xdr:row>
                    <xdr:rowOff>85725</xdr:rowOff>
                  </from>
                  <to>
                    <xdr:col>10</xdr:col>
                    <xdr:colOff>2943225</xdr:colOff>
                    <xdr:row>34</xdr:row>
                    <xdr:rowOff>266700</xdr:rowOff>
                  </to>
                </anchor>
              </controlPr>
            </control>
          </mc:Choice>
        </mc:AlternateContent>
        <mc:AlternateContent xmlns:mc="http://schemas.openxmlformats.org/markup-compatibility/2006">
          <mc:Choice Requires="x14">
            <control shapeId="1848" r:id="rId139" name="Check Box 824">
              <controlPr defaultSize="0" autoFill="0" autoLine="0" autoPict="0">
                <anchor moveWithCells="1">
                  <from>
                    <xdr:col>10</xdr:col>
                    <xdr:colOff>838200</xdr:colOff>
                    <xdr:row>34</xdr:row>
                    <xdr:rowOff>371475</xdr:rowOff>
                  </from>
                  <to>
                    <xdr:col>10</xdr:col>
                    <xdr:colOff>1771650</xdr:colOff>
                    <xdr:row>34</xdr:row>
                    <xdr:rowOff>552450</xdr:rowOff>
                  </to>
                </anchor>
              </controlPr>
            </control>
          </mc:Choice>
        </mc:AlternateContent>
        <mc:AlternateContent xmlns:mc="http://schemas.openxmlformats.org/markup-compatibility/2006">
          <mc:Choice Requires="x14">
            <control shapeId="1849" r:id="rId140" name="Check Box 825">
              <controlPr defaultSize="0" autoFill="0" autoLine="0" autoPict="0">
                <anchor moveWithCells="1">
                  <from>
                    <xdr:col>10</xdr:col>
                    <xdr:colOff>3714750</xdr:colOff>
                    <xdr:row>34</xdr:row>
                    <xdr:rowOff>85725</xdr:rowOff>
                  </from>
                  <to>
                    <xdr:col>10</xdr:col>
                    <xdr:colOff>4257675</xdr:colOff>
                    <xdr:row>34</xdr:row>
                    <xdr:rowOff>266700</xdr:rowOff>
                  </to>
                </anchor>
              </controlPr>
            </control>
          </mc:Choice>
        </mc:AlternateContent>
        <mc:AlternateContent xmlns:mc="http://schemas.openxmlformats.org/markup-compatibility/2006">
          <mc:Choice Requires="x14">
            <control shapeId="1850" r:id="rId141" name="Check Box 826">
              <controlPr defaultSize="0" autoFill="0" autoLine="0" autoPict="0">
                <anchor moveWithCells="1">
                  <from>
                    <xdr:col>10</xdr:col>
                    <xdr:colOff>2952750</xdr:colOff>
                    <xdr:row>34</xdr:row>
                    <xdr:rowOff>85725</xdr:rowOff>
                  </from>
                  <to>
                    <xdr:col>10</xdr:col>
                    <xdr:colOff>3705225</xdr:colOff>
                    <xdr:row>34</xdr:row>
                    <xdr:rowOff>266700</xdr:rowOff>
                  </to>
                </anchor>
              </controlPr>
            </control>
          </mc:Choice>
        </mc:AlternateContent>
        <mc:AlternateContent xmlns:mc="http://schemas.openxmlformats.org/markup-compatibility/2006">
          <mc:Choice Requires="x14">
            <control shapeId="1851" r:id="rId142" name="Check Box 827">
              <controlPr defaultSize="0" autoFill="0" autoLine="0" autoPict="0">
                <anchor moveWithCells="1">
                  <from>
                    <xdr:col>10</xdr:col>
                    <xdr:colOff>1781175</xdr:colOff>
                    <xdr:row>34</xdr:row>
                    <xdr:rowOff>371475</xdr:rowOff>
                  </from>
                  <to>
                    <xdr:col>10</xdr:col>
                    <xdr:colOff>3981450</xdr:colOff>
                    <xdr:row>34</xdr:row>
                    <xdr:rowOff>552450</xdr:rowOff>
                  </to>
                </anchor>
              </controlPr>
            </control>
          </mc:Choice>
        </mc:AlternateContent>
        <mc:AlternateContent xmlns:mc="http://schemas.openxmlformats.org/markup-compatibility/2006">
          <mc:Choice Requires="x14">
            <control shapeId="1852" r:id="rId143" name="Check Box 828">
              <controlPr defaultSize="0" autoFill="0" autoLine="0" autoPict="0">
                <anchor moveWithCells="1">
                  <from>
                    <xdr:col>10</xdr:col>
                    <xdr:colOff>76200</xdr:colOff>
                    <xdr:row>35</xdr:row>
                    <xdr:rowOff>85725</xdr:rowOff>
                  </from>
                  <to>
                    <xdr:col>10</xdr:col>
                    <xdr:colOff>1123950</xdr:colOff>
                    <xdr:row>35</xdr:row>
                    <xdr:rowOff>266700</xdr:rowOff>
                  </to>
                </anchor>
              </controlPr>
            </control>
          </mc:Choice>
        </mc:AlternateContent>
        <mc:AlternateContent xmlns:mc="http://schemas.openxmlformats.org/markup-compatibility/2006">
          <mc:Choice Requires="x14">
            <control shapeId="1853" r:id="rId144" name="Check Box 829">
              <controlPr defaultSize="0" autoFill="0" autoLine="0" autoPict="0">
                <anchor moveWithCells="1">
                  <from>
                    <xdr:col>10</xdr:col>
                    <xdr:colOff>1133475</xdr:colOff>
                    <xdr:row>35</xdr:row>
                    <xdr:rowOff>85725</xdr:rowOff>
                  </from>
                  <to>
                    <xdr:col>10</xdr:col>
                    <xdr:colOff>2181225</xdr:colOff>
                    <xdr:row>35</xdr:row>
                    <xdr:rowOff>266700</xdr:rowOff>
                  </to>
                </anchor>
              </controlPr>
            </control>
          </mc:Choice>
        </mc:AlternateContent>
        <mc:AlternateContent xmlns:mc="http://schemas.openxmlformats.org/markup-compatibility/2006">
          <mc:Choice Requires="x14">
            <control shapeId="1854" r:id="rId145" name="Check Box 830">
              <controlPr defaultSize="0" autoFill="0" autoLine="0" autoPict="0">
                <anchor moveWithCells="1">
                  <from>
                    <xdr:col>10</xdr:col>
                    <xdr:colOff>76200</xdr:colOff>
                    <xdr:row>35</xdr:row>
                    <xdr:rowOff>371475</xdr:rowOff>
                  </from>
                  <to>
                    <xdr:col>10</xdr:col>
                    <xdr:colOff>828675</xdr:colOff>
                    <xdr:row>35</xdr:row>
                    <xdr:rowOff>552450</xdr:rowOff>
                  </to>
                </anchor>
              </controlPr>
            </control>
          </mc:Choice>
        </mc:AlternateContent>
        <mc:AlternateContent xmlns:mc="http://schemas.openxmlformats.org/markup-compatibility/2006">
          <mc:Choice Requires="x14">
            <control shapeId="1855" r:id="rId146" name="Check Box 831">
              <controlPr defaultSize="0" autoFill="0" autoLine="0" autoPict="0">
                <anchor moveWithCells="1">
                  <from>
                    <xdr:col>10</xdr:col>
                    <xdr:colOff>2190750</xdr:colOff>
                    <xdr:row>35</xdr:row>
                    <xdr:rowOff>85725</xdr:rowOff>
                  </from>
                  <to>
                    <xdr:col>10</xdr:col>
                    <xdr:colOff>2943225</xdr:colOff>
                    <xdr:row>35</xdr:row>
                    <xdr:rowOff>266700</xdr:rowOff>
                  </to>
                </anchor>
              </controlPr>
            </control>
          </mc:Choice>
        </mc:AlternateContent>
        <mc:AlternateContent xmlns:mc="http://schemas.openxmlformats.org/markup-compatibility/2006">
          <mc:Choice Requires="x14">
            <control shapeId="1856" r:id="rId147" name="Check Box 832">
              <controlPr defaultSize="0" autoFill="0" autoLine="0" autoPict="0">
                <anchor moveWithCells="1">
                  <from>
                    <xdr:col>10</xdr:col>
                    <xdr:colOff>838200</xdr:colOff>
                    <xdr:row>35</xdr:row>
                    <xdr:rowOff>371475</xdr:rowOff>
                  </from>
                  <to>
                    <xdr:col>10</xdr:col>
                    <xdr:colOff>1771650</xdr:colOff>
                    <xdr:row>35</xdr:row>
                    <xdr:rowOff>552450</xdr:rowOff>
                  </to>
                </anchor>
              </controlPr>
            </control>
          </mc:Choice>
        </mc:AlternateContent>
        <mc:AlternateContent xmlns:mc="http://schemas.openxmlformats.org/markup-compatibility/2006">
          <mc:Choice Requires="x14">
            <control shapeId="1857" r:id="rId148" name="Check Box 833">
              <controlPr defaultSize="0" autoFill="0" autoLine="0" autoPict="0">
                <anchor moveWithCells="1">
                  <from>
                    <xdr:col>10</xdr:col>
                    <xdr:colOff>3714750</xdr:colOff>
                    <xdr:row>35</xdr:row>
                    <xdr:rowOff>85725</xdr:rowOff>
                  </from>
                  <to>
                    <xdr:col>10</xdr:col>
                    <xdr:colOff>4257675</xdr:colOff>
                    <xdr:row>35</xdr:row>
                    <xdr:rowOff>266700</xdr:rowOff>
                  </to>
                </anchor>
              </controlPr>
            </control>
          </mc:Choice>
        </mc:AlternateContent>
        <mc:AlternateContent xmlns:mc="http://schemas.openxmlformats.org/markup-compatibility/2006">
          <mc:Choice Requires="x14">
            <control shapeId="1858" r:id="rId149" name="Check Box 834">
              <controlPr defaultSize="0" autoFill="0" autoLine="0" autoPict="0">
                <anchor moveWithCells="1">
                  <from>
                    <xdr:col>10</xdr:col>
                    <xdr:colOff>2952750</xdr:colOff>
                    <xdr:row>35</xdr:row>
                    <xdr:rowOff>85725</xdr:rowOff>
                  </from>
                  <to>
                    <xdr:col>10</xdr:col>
                    <xdr:colOff>3705225</xdr:colOff>
                    <xdr:row>35</xdr:row>
                    <xdr:rowOff>266700</xdr:rowOff>
                  </to>
                </anchor>
              </controlPr>
            </control>
          </mc:Choice>
        </mc:AlternateContent>
        <mc:AlternateContent xmlns:mc="http://schemas.openxmlformats.org/markup-compatibility/2006">
          <mc:Choice Requires="x14">
            <control shapeId="1859" r:id="rId150" name="Check Box 835">
              <controlPr defaultSize="0" autoFill="0" autoLine="0" autoPict="0">
                <anchor moveWithCells="1">
                  <from>
                    <xdr:col>10</xdr:col>
                    <xdr:colOff>1781175</xdr:colOff>
                    <xdr:row>35</xdr:row>
                    <xdr:rowOff>371475</xdr:rowOff>
                  </from>
                  <to>
                    <xdr:col>10</xdr:col>
                    <xdr:colOff>3981450</xdr:colOff>
                    <xdr:row>35</xdr:row>
                    <xdr:rowOff>552450</xdr:rowOff>
                  </to>
                </anchor>
              </controlPr>
            </control>
          </mc:Choice>
        </mc:AlternateContent>
        <mc:AlternateContent xmlns:mc="http://schemas.openxmlformats.org/markup-compatibility/2006">
          <mc:Choice Requires="x14">
            <control shapeId="1860" r:id="rId151" name="Check Box 836">
              <controlPr defaultSize="0" autoFill="0" autoLine="0" autoPict="0">
                <anchor moveWithCells="1">
                  <from>
                    <xdr:col>10</xdr:col>
                    <xdr:colOff>76200</xdr:colOff>
                    <xdr:row>36</xdr:row>
                    <xdr:rowOff>85725</xdr:rowOff>
                  </from>
                  <to>
                    <xdr:col>10</xdr:col>
                    <xdr:colOff>1123950</xdr:colOff>
                    <xdr:row>36</xdr:row>
                    <xdr:rowOff>266700</xdr:rowOff>
                  </to>
                </anchor>
              </controlPr>
            </control>
          </mc:Choice>
        </mc:AlternateContent>
        <mc:AlternateContent xmlns:mc="http://schemas.openxmlformats.org/markup-compatibility/2006">
          <mc:Choice Requires="x14">
            <control shapeId="1861" r:id="rId152" name="Check Box 837">
              <controlPr defaultSize="0" autoFill="0" autoLine="0" autoPict="0">
                <anchor moveWithCells="1">
                  <from>
                    <xdr:col>10</xdr:col>
                    <xdr:colOff>1133475</xdr:colOff>
                    <xdr:row>36</xdr:row>
                    <xdr:rowOff>85725</xdr:rowOff>
                  </from>
                  <to>
                    <xdr:col>10</xdr:col>
                    <xdr:colOff>2181225</xdr:colOff>
                    <xdr:row>36</xdr:row>
                    <xdr:rowOff>266700</xdr:rowOff>
                  </to>
                </anchor>
              </controlPr>
            </control>
          </mc:Choice>
        </mc:AlternateContent>
        <mc:AlternateContent xmlns:mc="http://schemas.openxmlformats.org/markup-compatibility/2006">
          <mc:Choice Requires="x14">
            <control shapeId="1862" r:id="rId153" name="Check Box 838">
              <controlPr defaultSize="0" autoFill="0" autoLine="0" autoPict="0">
                <anchor moveWithCells="1">
                  <from>
                    <xdr:col>10</xdr:col>
                    <xdr:colOff>76200</xdr:colOff>
                    <xdr:row>36</xdr:row>
                    <xdr:rowOff>371475</xdr:rowOff>
                  </from>
                  <to>
                    <xdr:col>10</xdr:col>
                    <xdr:colOff>828675</xdr:colOff>
                    <xdr:row>36</xdr:row>
                    <xdr:rowOff>552450</xdr:rowOff>
                  </to>
                </anchor>
              </controlPr>
            </control>
          </mc:Choice>
        </mc:AlternateContent>
        <mc:AlternateContent xmlns:mc="http://schemas.openxmlformats.org/markup-compatibility/2006">
          <mc:Choice Requires="x14">
            <control shapeId="1863" r:id="rId154" name="Check Box 839">
              <controlPr defaultSize="0" autoFill="0" autoLine="0" autoPict="0">
                <anchor moveWithCells="1">
                  <from>
                    <xdr:col>10</xdr:col>
                    <xdr:colOff>2190750</xdr:colOff>
                    <xdr:row>36</xdr:row>
                    <xdr:rowOff>85725</xdr:rowOff>
                  </from>
                  <to>
                    <xdr:col>10</xdr:col>
                    <xdr:colOff>2943225</xdr:colOff>
                    <xdr:row>36</xdr:row>
                    <xdr:rowOff>266700</xdr:rowOff>
                  </to>
                </anchor>
              </controlPr>
            </control>
          </mc:Choice>
        </mc:AlternateContent>
        <mc:AlternateContent xmlns:mc="http://schemas.openxmlformats.org/markup-compatibility/2006">
          <mc:Choice Requires="x14">
            <control shapeId="1864" r:id="rId155" name="Check Box 840">
              <controlPr defaultSize="0" autoFill="0" autoLine="0" autoPict="0">
                <anchor moveWithCells="1">
                  <from>
                    <xdr:col>10</xdr:col>
                    <xdr:colOff>838200</xdr:colOff>
                    <xdr:row>36</xdr:row>
                    <xdr:rowOff>371475</xdr:rowOff>
                  </from>
                  <to>
                    <xdr:col>10</xdr:col>
                    <xdr:colOff>1771650</xdr:colOff>
                    <xdr:row>36</xdr:row>
                    <xdr:rowOff>552450</xdr:rowOff>
                  </to>
                </anchor>
              </controlPr>
            </control>
          </mc:Choice>
        </mc:AlternateContent>
        <mc:AlternateContent xmlns:mc="http://schemas.openxmlformats.org/markup-compatibility/2006">
          <mc:Choice Requires="x14">
            <control shapeId="1865" r:id="rId156" name="Check Box 841">
              <controlPr defaultSize="0" autoFill="0" autoLine="0" autoPict="0">
                <anchor moveWithCells="1">
                  <from>
                    <xdr:col>10</xdr:col>
                    <xdr:colOff>3714750</xdr:colOff>
                    <xdr:row>36</xdr:row>
                    <xdr:rowOff>85725</xdr:rowOff>
                  </from>
                  <to>
                    <xdr:col>10</xdr:col>
                    <xdr:colOff>4257675</xdr:colOff>
                    <xdr:row>36</xdr:row>
                    <xdr:rowOff>266700</xdr:rowOff>
                  </to>
                </anchor>
              </controlPr>
            </control>
          </mc:Choice>
        </mc:AlternateContent>
        <mc:AlternateContent xmlns:mc="http://schemas.openxmlformats.org/markup-compatibility/2006">
          <mc:Choice Requires="x14">
            <control shapeId="1866" r:id="rId157" name="Check Box 842">
              <controlPr defaultSize="0" autoFill="0" autoLine="0" autoPict="0">
                <anchor moveWithCells="1">
                  <from>
                    <xdr:col>10</xdr:col>
                    <xdr:colOff>2952750</xdr:colOff>
                    <xdr:row>36</xdr:row>
                    <xdr:rowOff>85725</xdr:rowOff>
                  </from>
                  <to>
                    <xdr:col>10</xdr:col>
                    <xdr:colOff>3705225</xdr:colOff>
                    <xdr:row>36</xdr:row>
                    <xdr:rowOff>266700</xdr:rowOff>
                  </to>
                </anchor>
              </controlPr>
            </control>
          </mc:Choice>
        </mc:AlternateContent>
        <mc:AlternateContent xmlns:mc="http://schemas.openxmlformats.org/markup-compatibility/2006">
          <mc:Choice Requires="x14">
            <control shapeId="1867" r:id="rId158" name="Check Box 843">
              <controlPr defaultSize="0" autoFill="0" autoLine="0" autoPict="0">
                <anchor moveWithCells="1">
                  <from>
                    <xdr:col>10</xdr:col>
                    <xdr:colOff>1781175</xdr:colOff>
                    <xdr:row>36</xdr:row>
                    <xdr:rowOff>371475</xdr:rowOff>
                  </from>
                  <to>
                    <xdr:col>10</xdr:col>
                    <xdr:colOff>3981450</xdr:colOff>
                    <xdr:row>36</xdr:row>
                    <xdr:rowOff>552450</xdr:rowOff>
                  </to>
                </anchor>
              </controlPr>
            </control>
          </mc:Choice>
        </mc:AlternateContent>
        <mc:AlternateContent xmlns:mc="http://schemas.openxmlformats.org/markup-compatibility/2006">
          <mc:Choice Requires="x14">
            <control shapeId="1868" r:id="rId159" name="Check Box 844">
              <controlPr defaultSize="0" autoFill="0" autoLine="0" autoPict="0">
                <anchor moveWithCells="1">
                  <from>
                    <xdr:col>10</xdr:col>
                    <xdr:colOff>76200</xdr:colOff>
                    <xdr:row>37</xdr:row>
                    <xdr:rowOff>85725</xdr:rowOff>
                  </from>
                  <to>
                    <xdr:col>10</xdr:col>
                    <xdr:colOff>1123950</xdr:colOff>
                    <xdr:row>37</xdr:row>
                    <xdr:rowOff>266700</xdr:rowOff>
                  </to>
                </anchor>
              </controlPr>
            </control>
          </mc:Choice>
        </mc:AlternateContent>
        <mc:AlternateContent xmlns:mc="http://schemas.openxmlformats.org/markup-compatibility/2006">
          <mc:Choice Requires="x14">
            <control shapeId="1869" r:id="rId160" name="Check Box 845">
              <controlPr defaultSize="0" autoFill="0" autoLine="0" autoPict="0">
                <anchor moveWithCells="1">
                  <from>
                    <xdr:col>10</xdr:col>
                    <xdr:colOff>1133475</xdr:colOff>
                    <xdr:row>37</xdr:row>
                    <xdr:rowOff>85725</xdr:rowOff>
                  </from>
                  <to>
                    <xdr:col>10</xdr:col>
                    <xdr:colOff>2181225</xdr:colOff>
                    <xdr:row>37</xdr:row>
                    <xdr:rowOff>266700</xdr:rowOff>
                  </to>
                </anchor>
              </controlPr>
            </control>
          </mc:Choice>
        </mc:AlternateContent>
        <mc:AlternateContent xmlns:mc="http://schemas.openxmlformats.org/markup-compatibility/2006">
          <mc:Choice Requires="x14">
            <control shapeId="1870" r:id="rId161" name="Check Box 846">
              <controlPr defaultSize="0" autoFill="0" autoLine="0" autoPict="0">
                <anchor moveWithCells="1">
                  <from>
                    <xdr:col>10</xdr:col>
                    <xdr:colOff>76200</xdr:colOff>
                    <xdr:row>37</xdr:row>
                    <xdr:rowOff>371475</xdr:rowOff>
                  </from>
                  <to>
                    <xdr:col>10</xdr:col>
                    <xdr:colOff>828675</xdr:colOff>
                    <xdr:row>37</xdr:row>
                    <xdr:rowOff>552450</xdr:rowOff>
                  </to>
                </anchor>
              </controlPr>
            </control>
          </mc:Choice>
        </mc:AlternateContent>
        <mc:AlternateContent xmlns:mc="http://schemas.openxmlformats.org/markup-compatibility/2006">
          <mc:Choice Requires="x14">
            <control shapeId="1871" r:id="rId162" name="Check Box 847">
              <controlPr defaultSize="0" autoFill="0" autoLine="0" autoPict="0">
                <anchor moveWithCells="1">
                  <from>
                    <xdr:col>10</xdr:col>
                    <xdr:colOff>2190750</xdr:colOff>
                    <xdr:row>37</xdr:row>
                    <xdr:rowOff>85725</xdr:rowOff>
                  </from>
                  <to>
                    <xdr:col>10</xdr:col>
                    <xdr:colOff>2943225</xdr:colOff>
                    <xdr:row>37</xdr:row>
                    <xdr:rowOff>266700</xdr:rowOff>
                  </to>
                </anchor>
              </controlPr>
            </control>
          </mc:Choice>
        </mc:AlternateContent>
        <mc:AlternateContent xmlns:mc="http://schemas.openxmlformats.org/markup-compatibility/2006">
          <mc:Choice Requires="x14">
            <control shapeId="1872" r:id="rId163" name="Check Box 848">
              <controlPr defaultSize="0" autoFill="0" autoLine="0" autoPict="0">
                <anchor moveWithCells="1">
                  <from>
                    <xdr:col>10</xdr:col>
                    <xdr:colOff>838200</xdr:colOff>
                    <xdr:row>37</xdr:row>
                    <xdr:rowOff>371475</xdr:rowOff>
                  </from>
                  <to>
                    <xdr:col>10</xdr:col>
                    <xdr:colOff>1771650</xdr:colOff>
                    <xdr:row>37</xdr:row>
                    <xdr:rowOff>552450</xdr:rowOff>
                  </to>
                </anchor>
              </controlPr>
            </control>
          </mc:Choice>
        </mc:AlternateContent>
        <mc:AlternateContent xmlns:mc="http://schemas.openxmlformats.org/markup-compatibility/2006">
          <mc:Choice Requires="x14">
            <control shapeId="1873" r:id="rId164" name="Check Box 849">
              <controlPr defaultSize="0" autoFill="0" autoLine="0" autoPict="0">
                <anchor moveWithCells="1">
                  <from>
                    <xdr:col>10</xdr:col>
                    <xdr:colOff>3714750</xdr:colOff>
                    <xdr:row>37</xdr:row>
                    <xdr:rowOff>85725</xdr:rowOff>
                  </from>
                  <to>
                    <xdr:col>10</xdr:col>
                    <xdr:colOff>4257675</xdr:colOff>
                    <xdr:row>37</xdr:row>
                    <xdr:rowOff>266700</xdr:rowOff>
                  </to>
                </anchor>
              </controlPr>
            </control>
          </mc:Choice>
        </mc:AlternateContent>
        <mc:AlternateContent xmlns:mc="http://schemas.openxmlformats.org/markup-compatibility/2006">
          <mc:Choice Requires="x14">
            <control shapeId="1874" r:id="rId165" name="Check Box 850">
              <controlPr defaultSize="0" autoFill="0" autoLine="0" autoPict="0">
                <anchor moveWithCells="1">
                  <from>
                    <xdr:col>10</xdr:col>
                    <xdr:colOff>2952750</xdr:colOff>
                    <xdr:row>37</xdr:row>
                    <xdr:rowOff>85725</xdr:rowOff>
                  </from>
                  <to>
                    <xdr:col>10</xdr:col>
                    <xdr:colOff>3705225</xdr:colOff>
                    <xdr:row>37</xdr:row>
                    <xdr:rowOff>266700</xdr:rowOff>
                  </to>
                </anchor>
              </controlPr>
            </control>
          </mc:Choice>
        </mc:AlternateContent>
        <mc:AlternateContent xmlns:mc="http://schemas.openxmlformats.org/markup-compatibility/2006">
          <mc:Choice Requires="x14">
            <control shapeId="1875" r:id="rId166" name="Check Box 851">
              <controlPr defaultSize="0" autoFill="0" autoLine="0" autoPict="0">
                <anchor moveWithCells="1">
                  <from>
                    <xdr:col>10</xdr:col>
                    <xdr:colOff>1781175</xdr:colOff>
                    <xdr:row>37</xdr:row>
                    <xdr:rowOff>371475</xdr:rowOff>
                  </from>
                  <to>
                    <xdr:col>10</xdr:col>
                    <xdr:colOff>3981450</xdr:colOff>
                    <xdr:row>37</xdr:row>
                    <xdr:rowOff>552450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A1:EF53"/>
  <sheetViews>
    <sheetView showGridLines="0" topLeftCell="A24" zoomScaleNormal="100" workbookViewId="0">
      <selection activeCell="C31" sqref="C31"/>
    </sheetView>
  </sheetViews>
  <sheetFormatPr baseColWidth="10" defaultColWidth="11.42578125" defaultRowHeight="15" x14ac:dyDescent="0.25"/>
  <cols>
    <col min="1" max="2" width="0.85546875" customWidth="1"/>
    <col min="3" max="3" width="55.7109375" customWidth="1"/>
    <col min="4" max="21" width="15.7109375" customWidth="1"/>
    <col min="22" max="23" width="0.85546875" customWidth="1"/>
    <col min="36" max="36" width="12" bestFit="1" customWidth="1"/>
  </cols>
  <sheetData>
    <row r="1" spans="1:23" ht="5.0999999999999996" customHeight="1" x14ac:dyDescent="0.25">
      <c r="A1" s="1"/>
      <c r="B1" s="1"/>
      <c r="C1" s="1"/>
      <c r="D1" s="1"/>
      <c r="E1" s="1"/>
      <c r="F1" s="1"/>
      <c r="G1" s="1"/>
      <c r="H1" s="1"/>
      <c r="I1" s="1"/>
      <c r="J1" s="1"/>
      <c r="K1" s="1"/>
      <c r="L1" s="1"/>
      <c r="M1" s="1"/>
      <c r="N1" s="1"/>
      <c r="O1" s="1"/>
      <c r="P1" s="1"/>
      <c r="Q1" s="1"/>
      <c r="R1" s="1"/>
      <c r="S1" s="1"/>
      <c r="T1" s="1"/>
      <c r="U1" s="1"/>
      <c r="V1" s="1"/>
      <c r="W1" s="1"/>
    </row>
    <row r="2" spans="1:23" x14ac:dyDescent="0.25">
      <c r="A2" s="1"/>
      <c r="B2" s="1"/>
      <c r="C2" s="7"/>
      <c r="D2" s="7"/>
      <c r="E2" s="7"/>
      <c r="F2" s="7"/>
      <c r="G2" s="7"/>
      <c r="H2" s="7"/>
      <c r="I2" s="7"/>
      <c r="J2" s="7"/>
      <c r="K2" s="7"/>
      <c r="L2" s="7"/>
      <c r="M2" s="7"/>
      <c r="N2" s="7"/>
      <c r="O2" s="7"/>
      <c r="P2" s="7"/>
      <c r="Q2" s="7"/>
      <c r="R2" s="7"/>
      <c r="S2" s="7"/>
      <c r="T2" s="7"/>
      <c r="U2" s="7"/>
      <c r="V2" s="7"/>
      <c r="W2" s="7"/>
    </row>
    <row r="3" spans="1:23" x14ac:dyDescent="0.25">
      <c r="A3" s="1"/>
      <c r="B3" s="1"/>
      <c r="C3" s="7"/>
      <c r="D3" s="7"/>
      <c r="E3" s="7"/>
      <c r="F3" s="7"/>
      <c r="G3" s="7"/>
      <c r="H3" s="7"/>
      <c r="I3" s="7"/>
      <c r="J3" s="7"/>
      <c r="K3" s="7"/>
      <c r="L3" s="7"/>
      <c r="M3" s="7"/>
      <c r="N3" s="7"/>
      <c r="O3" s="7"/>
      <c r="P3" s="7"/>
      <c r="Q3" s="7"/>
      <c r="R3" s="7"/>
      <c r="S3" s="7"/>
      <c r="T3" s="7"/>
      <c r="U3" s="7"/>
      <c r="V3" s="7"/>
      <c r="W3" s="7"/>
    </row>
    <row r="4" spans="1:23" x14ac:dyDescent="0.25">
      <c r="A4" s="1"/>
      <c r="B4" s="1"/>
      <c r="C4" s="7"/>
      <c r="D4" s="7"/>
      <c r="E4" s="7"/>
      <c r="F4" s="7"/>
      <c r="G4" s="7"/>
      <c r="H4" s="7"/>
      <c r="I4" s="7"/>
      <c r="J4" s="7"/>
      <c r="K4" s="7"/>
      <c r="L4" s="7"/>
      <c r="M4" s="7"/>
      <c r="N4" s="7"/>
      <c r="O4" s="7"/>
      <c r="P4" s="7"/>
      <c r="Q4" s="7"/>
      <c r="R4" s="7"/>
      <c r="S4" s="7"/>
      <c r="T4" s="7"/>
      <c r="U4" s="7"/>
      <c r="V4" s="7"/>
      <c r="W4" s="7"/>
    </row>
    <row r="5" spans="1:23" x14ac:dyDescent="0.25">
      <c r="A5" s="1"/>
      <c r="B5" s="1"/>
      <c r="C5" s="7"/>
      <c r="D5" s="7"/>
      <c r="E5" s="7"/>
      <c r="F5" s="7"/>
      <c r="G5" s="7"/>
      <c r="H5" s="7"/>
      <c r="I5" s="7"/>
      <c r="J5" s="7"/>
      <c r="K5" s="7"/>
      <c r="L5" s="7"/>
      <c r="M5" s="7"/>
      <c r="N5" s="7"/>
      <c r="O5" s="7"/>
      <c r="P5" s="7"/>
      <c r="Q5" s="7"/>
      <c r="R5" s="7"/>
      <c r="S5" s="7"/>
      <c r="T5" s="7"/>
      <c r="U5" s="7"/>
      <c r="V5" s="7"/>
      <c r="W5" s="7"/>
    </row>
    <row r="6" spans="1:23" x14ac:dyDescent="0.25">
      <c r="A6" s="1"/>
      <c r="B6" s="1"/>
      <c r="C6" s="7"/>
      <c r="D6" s="7"/>
      <c r="E6" s="7"/>
      <c r="F6" s="7"/>
      <c r="G6" s="7"/>
      <c r="H6" s="7"/>
      <c r="I6" s="7"/>
      <c r="J6" s="7"/>
      <c r="K6" s="7"/>
      <c r="L6" s="7"/>
      <c r="M6" s="7"/>
      <c r="N6" s="7"/>
      <c r="O6" s="7"/>
      <c r="P6" s="7"/>
      <c r="Q6" s="7"/>
      <c r="R6" s="7"/>
      <c r="S6" s="7"/>
      <c r="T6" s="7"/>
      <c r="U6" s="7"/>
      <c r="V6" s="7"/>
      <c r="W6" s="7"/>
    </row>
    <row r="7" spans="1:23" x14ac:dyDescent="0.25">
      <c r="A7" s="1"/>
      <c r="B7" s="1"/>
      <c r="C7" s="7"/>
      <c r="D7" s="7"/>
      <c r="E7" s="7"/>
      <c r="F7" s="7"/>
      <c r="G7" s="7"/>
      <c r="H7" s="7"/>
      <c r="I7" s="7"/>
      <c r="J7" s="7"/>
      <c r="K7" s="7"/>
      <c r="L7" s="7"/>
      <c r="M7" s="7"/>
      <c r="N7" s="7"/>
      <c r="O7" s="7"/>
      <c r="P7" s="7"/>
      <c r="Q7" s="7"/>
      <c r="R7" s="7"/>
      <c r="S7" s="7"/>
      <c r="T7" s="7"/>
      <c r="U7" s="7"/>
      <c r="V7" s="7"/>
      <c r="W7" s="7"/>
    </row>
    <row r="8" spans="1:23" x14ac:dyDescent="0.25">
      <c r="A8" s="1"/>
      <c r="B8" s="1"/>
      <c r="C8" s="7"/>
      <c r="D8" s="7"/>
      <c r="E8" s="7"/>
      <c r="F8" s="7"/>
      <c r="G8" s="7"/>
      <c r="H8" s="7"/>
      <c r="I8" s="7"/>
      <c r="J8" s="7"/>
      <c r="K8" s="7"/>
      <c r="L8" s="7"/>
      <c r="M8" s="7"/>
      <c r="N8" s="7"/>
      <c r="O8" s="7"/>
      <c r="P8" s="7"/>
      <c r="Q8" s="7"/>
      <c r="R8" s="7"/>
      <c r="S8" s="7"/>
      <c r="T8" s="7"/>
      <c r="U8" s="7"/>
      <c r="V8" s="7"/>
      <c r="W8" s="7"/>
    </row>
    <row r="9" spans="1:23" x14ac:dyDescent="0.25">
      <c r="A9" s="1"/>
      <c r="B9" s="1"/>
      <c r="C9" s="7"/>
      <c r="D9" s="7"/>
      <c r="E9" s="7"/>
      <c r="F9" s="7"/>
      <c r="G9" s="7"/>
      <c r="H9" s="7"/>
      <c r="I9" s="7"/>
      <c r="J9" s="7"/>
      <c r="K9" s="7"/>
      <c r="L9" s="7"/>
      <c r="M9" s="7"/>
      <c r="N9" s="7"/>
      <c r="O9" s="7"/>
      <c r="P9" s="7"/>
      <c r="Q9" s="7"/>
      <c r="R9" s="7"/>
      <c r="S9" s="7"/>
      <c r="T9" s="7"/>
      <c r="U9" s="7"/>
      <c r="V9" s="7"/>
      <c r="W9" s="7"/>
    </row>
    <row r="10" spans="1:23" x14ac:dyDescent="0.25">
      <c r="A10" s="1"/>
      <c r="B10" s="1"/>
      <c r="C10" s="7"/>
      <c r="D10" s="7"/>
      <c r="E10" s="7"/>
      <c r="F10" s="7"/>
      <c r="G10" s="7"/>
      <c r="H10" s="7"/>
      <c r="I10" s="7"/>
      <c r="J10" s="7"/>
      <c r="K10" s="7"/>
      <c r="L10" s="7"/>
      <c r="M10" s="7"/>
      <c r="N10" s="7"/>
      <c r="O10" s="7"/>
      <c r="P10" s="7"/>
      <c r="Q10" s="7"/>
      <c r="R10" s="7"/>
      <c r="S10" s="7"/>
      <c r="T10" s="7"/>
      <c r="U10" s="7"/>
      <c r="V10" s="7"/>
      <c r="W10" s="7"/>
    </row>
    <row r="20" spans="1:136" x14ac:dyDescent="0.25">
      <c r="A20" s="1"/>
      <c r="B20" s="1"/>
      <c r="C20" s="6"/>
      <c r="D20" s="6"/>
      <c r="E20" s="6"/>
      <c r="F20" s="6"/>
      <c r="G20" s="6"/>
      <c r="H20" s="6"/>
      <c r="I20" s="6"/>
      <c r="J20" s="6"/>
      <c r="K20" s="6"/>
      <c r="L20" s="4"/>
      <c r="M20" s="4"/>
      <c r="N20" s="4"/>
      <c r="O20" s="4"/>
      <c r="P20" s="4"/>
      <c r="Q20" s="4"/>
      <c r="R20" s="4"/>
      <c r="S20" s="4"/>
      <c r="T20" s="4"/>
      <c r="U20" s="4"/>
      <c r="V20" s="1"/>
      <c r="W20" s="1"/>
    </row>
    <row r="21" spans="1:136" x14ac:dyDescent="0.25">
      <c r="A21" s="1"/>
      <c r="B21" s="1"/>
      <c r="C21" s="6"/>
      <c r="D21" s="6"/>
      <c r="E21" s="6"/>
      <c r="F21" s="6"/>
      <c r="G21" s="6"/>
      <c r="H21" s="6"/>
      <c r="I21" s="6"/>
      <c r="J21" s="6"/>
      <c r="K21" s="6"/>
      <c r="L21" s="4"/>
      <c r="M21" s="4"/>
      <c r="N21" s="4"/>
      <c r="O21" s="4"/>
      <c r="P21" s="4"/>
      <c r="Q21" s="4"/>
      <c r="R21" s="4"/>
      <c r="S21" s="4"/>
      <c r="T21" s="4"/>
      <c r="U21" s="4"/>
      <c r="V21" s="1"/>
      <c r="W21" s="1"/>
    </row>
    <row r="22" spans="1:136" x14ac:dyDescent="0.25">
      <c r="A22" s="1"/>
      <c r="B22" s="1"/>
      <c r="C22" s="6"/>
      <c r="D22" s="6"/>
      <c r="E22" s="6"/>
      <c r="F22" s="6"/>
      <c r="G22" s="6"/>
      <c r="H22" s="6"/>
      <c r="I22" s="6"/>
      <c r="J22" s="6"/>
      <c r="K22" s="6"/>
      <c r="L22" s="4"/>
      <c r="M22" s="4"/>
      <c r="N22" s="4"/>
      <c r="O22" s="4"/>
      <c r="P22" s="4"/>
      <c r="Q22" s="4"/>
      <c r="R22" s="4"/>
      <c r="S22" s="4"/>
      <c r="T22" s="4"/>
      <c r="U22" s="4"/>
      <c r="V22" s="1"/>
      <c r="W22" s="1"/>
    </row>
    <row r="23" spans="1:136" x14ac:dyDescent="0.25">
      <c r="A23" s="1"/>
      <c r="B23" s="1"/>
      <c r="C23" s="6"/>
      <c r="D23" s="6"/>
      <c r="E23" s="6"/>
      <c r="F23" s="6"/>
      <c r="G23" s="6"/>
      <c r="H23" s="6"/>
      <c r="I23" s="6"/>
      <c r="J23" s="6"/>
      <c r="K23" s="6"/>
      <c r="L23" s="4"/>
      <c r="M23" s="4"/>
      <c r="N23" s="4"/>
      <c r="O23" s="4"/>
      <c r="P23" s="4"/>
      <c r="Q23" s="4"/>
      <c r="R23" s="4"/>
      <c r="S23" s="4"/>
      <c r="T23" s="4"/>
      <c r="U23" s="4"/>
      <c r="V23" s="1"/>
      <c r="W23" s="1"/>
    </row>
    <row r="24" spans="1:136" x14ac:dyDescent="0.25">
      <c r="A24" s="1"/>
      <c r="B24" s="1"/>
      <c r="C24" s="4"/>
      <c r="D24" s="4"/>
      <c r="E24" s="4"/>
      <c r="F24" s="4"/>
      <c r="G24" s="4"/>
      <c r="H24" s="4"/>
      <c r="I24" s="4"/>
      <c r="J24" s="4"/>
      <c r="K24" s="4"/>
      <c r="L24" s="4"/>
      <c r="M24" s="4"/>
      <c r="N24" s="4"/>
      <c r="O24" s="4"/>
      <c r="P24" s="4"/>
      <c r="Q24" s="4"/>
      <c r="R24" s="4"/>
      <c r="S24" s="4"/>
      <c r="T24" s="4"/>
      <c r="U24" s="4"/>
      <c r="V24" s="1"/>
      <c r="W24" s="1"/>
    </row>
    <row r="25" spans="1:136" ht="15" customHeight="1" x14ac:dyDescent="0.25">
      <c r="A25" s="1"/>
      <c r="B25" s="1"/>
      <c r="C25" s="125" t="s">
        <v>7</v>
      </c>
      <c r="D25" s="131" t="s">
        <v>12</v>
      </c>
      <c r="E25" s="125" t="s">
        <v>30</v>
      </c>
      <c r="F25" s="131" t="s">
        <v>21</v>
      </c>
      <c r="G25" s="131" t="s">
        <v>72</v>
      </c>
      <c r="H25" s="136" t="s">
        <v>44</v>
      </c>
      <c r="I25" s="137"/>
      <c r="J25" s="147" t="s">
        <v>45</v>
      </c>
      <c r="K25" s="148"/>
      <c r="L25" s="125" t="s">
        <v>47</v>
      </c>
      <c r="M25" s="125" t="s">
        <v>31</v>
      </c>
      <c r="N25" s="144" t="s">
        <v>14</v>
      </c>
      <c r="O25" s="136" t="s">
        <v>48</v>
      </c>
      <c r="P25" s="137"/>
      <c r="Q25" s="136" t="s">
        <v>80</v>
      </c>
      <c r="R25" s="137"/>
      <c r="S25" s="125" t="s">
        <v>17</v>
      </c>
      <c r="T25" s="147" t="s">
        <v>46</v>
      </c>
      <c r="U25" s="148"/>
      <c r="V25" s="1"/>
      <c r="W25" s="1"/>
      <c r="Y25" s="22" t="s">
        <v>28</v>
      </c>
    </row>
    <row r="26" spans="1:136" x14ac:dyDescent="0.25">
      <c r="A26" s="1"/>
      <c r="B26" s="1"/>
      <c r="C26" s="126"/>
      <c r="D26" s="132"/>
      <c r="E26" s="126"/>
      <c r="F26" s="132"/>
      <c r="G26" s="132"/>
      <c r="H26" s="138"/>
      <c r="I26" s="139"/>
      <c r="J26" s="149"/>
      <c r="K26" s="135"/>
      <c r="L26" s="126"/>
      <c r="M26" s="126"/>
      <c r="N26" s="145"/>
      <c r="O26" s="138"/>
      <c r="P26" s="139"/>
      <c r="Q26" s="138"/>
      <c r="R26" s="139"/>
      <c r="S26" s="126"/>
      <c r="T26" s="149"/>
      <c r="U26" s="135"/>
      <c r="V26" s="1"/>
      <c r="W26" s="1"/>
      <c r="Y26" s="22" t="s">
        <v>29</v>
      </c>
    </row>
    <row r="27" spans="1:136" ht="15" customHeight="1" x14ac:dyDescent="0.25">
      <c r="A27" s="1"/>
      <c r="B27" s="1"/>
      <c r="C27" s="126"/>
      <c r="D27" s="132"/>
      <c r="E27" s="126"/>
      <c r="F27" s="132"/>
      <c r="G27" s="132"/>
      <c r="H27" s="140" t="s">
        <v>3</v>
      </c>
      <c r="I27" s="141" t="s">
        <v>19</v>
      </c>
      <c r="J27" s="128" t="s">
        <v>3</v>
      </c>
      <c r="K27" s="150" t="s">
        <v>4</v>
      </c>
      <c r="L27" s="126"/>
      <c r="M27" s="126"/>
      <c r="N27" s="145"/>
      <c r="O27" s="128" t="s">
        <v>5</v>
      </c>
      <c r="P27" s="134" t="s">
        <v>6</v>
      </c>
      <c r="Q27" s="126" t="s">
        <v>3</v>
      </c>
      <c r="R27" s="151" t="s">
        <v>4</v>
      </c>
      <c r="S27" s="126"/>
      <c r="T27" s="128" t="s">
        <v>3</v>
      </c>
      <c r="U27" s="153" t="s">
        <v>4</v>
      </c>
      <c r="V27" s="1"/>
      <c r="W27" s="1"/>
    </row>
    <row r="28" spans="1:136" x14ac:dyDescent="0.25">
      <c r="A28" s="1"/>
      <c r="B28" s="1"/>
      <c r="C28" s="127"/>
      <c r="D28" s="133"/>
      <c r="E28" s="127"/>
      <c r="F28" s="133"/>
      <c r="G28" s="133"/>
      <c r="H28" s="139"/>
      <c r="I28" s="142"/>
      <c r="J28" s="130"/>
      <c r="K28" s="142"/>
      <c r="L28" s="127"/>
      <c r="M28" s="127"/>
      <c r="N28" s="146"/>
      <c r="O28" s="130"/>
      <c r="P28" s="135"/>
      <c r="Q28" s="127"/>
      <c r="R28" s="152"/>
      <c r="S28" s="127"/>
      <c r="T28" s="130"/>
      <c r="U28" s="152"/>
      <c r="V28" s="1"/>
      <c r="W28" s="1"/>
    </row>
    <row r="29" spans="1:136" ht="50.1" customHeight="1" x14ac:dyDescent="0.3">
      <c r="A29" s="1"/>
      <c r="C29" s="90" t="s">
        <v>88</v>
      </c>
      <c r="D29" s="42">
        <f>IF(IF(ISNA(('Feuille Saisie'!$B$4-VLOOKUP($C29,Données!$C$19:'Données'!$I$38,4,0)))/365.24*100, ,('Feuille Saisie'!$B$4-VLOOKUP($C29,Données!$C$19:'Données'!$I$38,4,0))/365.24*100)&lt;100,IF(ISNA(('Feuille Saisie'!$B$4-VLOOKUP($C29,Données!$C$19:'Données'!$I$38,4,0)))/365.24*100, ,('Feuille Saisie'!$B$4-VLOOKUP($C29,Données!$C$19:'Données'!$I$38,4,0))/365.24*100),100)</f>
        <v>100</v>
      </c>
      <c r="E29" s="19">
        <v>627</v>
      </c>
      <c r="F29" s="43">
        <f>IF(ISNA(IF(AND($E29=0,VLOOKUP($C29,Données!$C$19:'Données'!$I$38,6,0)&lt;&gt;""),"0,00",IFERROR(IF(ISNA($E29/VLOOKUP($C29,Données!$C$19:'Données'!$I$38,6,0)), ,$E29/VLOOKUP($C29,Données!$C$19:'Données'!$I$38,6,0)),"/"))),"",IF(AND($E29=0,VLOOKUP($C29,Données!$C$19:'Données'!$I$38,6,0)&lt;&gt;""),"0,00",IFERROR(IF(ISNA($E29/VLOOKUP($C29,Données!$C$19:'Données'!$I$38,6,0)), ,$E29/VLOOKUP($C29,Données!$C$19:'Données'!$I$38,6,0)),"/")))</f>
        <v>0.72737819025522044</v>
      </c>
      <c r="G29" s="43" t="str">
        <f>IF(ISNA(IF(AND($E29=0,VLOOKUP($C29,Données!$C$19:'Données'!$I$38,7,0)&lt;&gt;""),"0,00",IFERROR(IF(ISNA($E29/VLOOKUP($C29,Données!$C$19:'Données'!$I$38,7,0)*100),,$E29/VLOOKUP($C29,Données!$C$19:'Données'!$I$38,7,0)*100),"/"))),"",IF(AND($E29=0,VLOOKUP($C29,Données!$C$19:'Données'!$I$38,7,0)&lt;&gt;""),"0,00",IFERROR(IF(ISNA($E29/VLOOKUP($C29,Données!$C$19:'Données'!$I$38,7,0)*100),,$E29/VLOOKUP($C29,Données!$C$19:'Données'!$I$38,7,0)*100),"/")))</f>
        <v>/</v>
      </c>
      <c r="H29" s="33">
        <v>43427</v>
      </c>
      <c r="I29" s="44">
        <f>IF($C29&lt;&gt;"",IF($E29=0,"/",IF(ISNA($H29-VLOOKUP($C29,Données!$C$19:'Données'!$I$38,4,0)), ,$H29-VLOOKUP($C29,Données!$C$19:'Données'!$I$38,4,0))),"")</f>
        <v>336</v>
      </c>
      <c r="J29" s="33"/>
      <c r="K29" s="44">
        <f>IF($C29&lt;&gt;"",IF(ISNA($J29-VLOOKUP($C29,Données!$C$19:'Données'!$I$38,4,0)), ,$J29-VLOOKUP($C29,Données!$C$19:'Données'!$I$38,4,0)),"")</f>
        <v>-43091</v>
      </c>
      <c r="L29" s="32">
        <v>20</v>
      </c>
      <c r="M29" s="19">
        <v>59</v>
      </c>
      <c r="N29" s="32">
        <v>244</v>
      </c>
      <c r="O29" s="19">
        <v>2</v>
      </c>
      <c r="P29" s="19">
        <v>0</v>
      </c>
      <c r="Q29" s="33"/>
      <c r="R29" s="44">
        <f>IF($C29&lt;&gt;"",IF($D29&lt;&gt;100,"/",IF(ISNA($Q29-VLOOKUP($C29,Données!$C$19:'Données'!$I$38,4,0)), ,$Q29-VLOOKUP($C29,Données!$C$19:'Données'!$I$38,4,0))),"")</f>
        <v>-43091</v>
      </c>
      <c r="S29" s="33"/>
      <c r="T29" s="33"/>
      <c r="U29" s="44" t="str">
        <f>IF($C29&lt;&gt;"",IF($J29="","/",IF(ISNA($T29-VLOOKUP($C29,Données!$C$19:'Données'!$I$38,4,0)), ,$T29-VLOOKUP($C29,Données!$C$19:'Données'!$I$38,4,0))),"")</f>
        <v>/</v>
      </c>
      <c r="V29" s="1"/>
      <c r="W29" s="1"/>
      <c r="X29" s="50"/>
      <c r="Y29" s="47" t="str">
        <f t="shared" ref="Y29:Y43" si="0">IF(AND($L29=0,$T29&lt;&gt;""),$Z29,IF(AND($Q29&lt;&gt;"",$T29&lt;&gt;""),$Z29,""))</f>
        <v/>
      </c>
      <c r="Z29" s="48" t="s">
        <v>39</v>
      </c>
      <c r="AA29" s="47" t="str">
        <f t="shared" ref="AA29:AA43" si="1">IF($Y29=$Z29,"",IF($C29&lt;&gt;"",IF(OR($L29=0,OR($Q29="",$T29="")),$AB29,""),""))</f>
        <v>♺</v>
      </c>
      <c r="AB29" s="49" t="s">
        <v>40</v>
      </c>
      <c r="AC29" s="50">
        <f>IF(OR($E29="",$E29=0),1,2)</f>
        <v>2</v>
      </c>
      <c r="AD29" s="50">
        <f>IF(OR($L29="",$L29=0),1,2)</f>
        <v>2</v>
      </c>
      <c r="AE29" s="50">
        <f>IF(OR($J29="",$J29=0),1,2)</f>
        <v>1</v>
      </c>
      <c r="AF29" s="50">
        <f>IF(OR($D29&lt;&gt;100,OR($O29&lt;&gt;0,$P29&lt;&gt;0)),1,2)</f>
        <v>1</v>
      </c>
      <c r="AG29" s="51">
        <f>$T29-$J29</f>
        <v>0</v>
      </c>
      <c r="AH29" s="55">
        <f>IF($C29="","",IFERROR(IF(ISNA(VLOOKUP($C29,Données!$C$19:'Données'!$I$38,6,0)), ,VLOOKUP($C29,Données!$C$19:'Données'!$I$38,6,0)),"/"))</f>
        <v>862</v>
      </c>
      <c r="AI29" s="55">
        <f>IF($C29="","",IFERROR(IF(ISNA(VLOOKUP($C29,Données!$C$19:'Données'!$I$38,7,0)), ,VLOOKUP($C29,Données!$C$19:'Données'!$I$38,7,0)),"/"))</f>
        <v>0</v>
      </c>
      <c r="AJ29" s="55">
        <f>IF($C29="","",IF($I29&lt;=0,0,IFERROR(IF(ISNA($E29*$I29), ,$E29*$I29),"/")))</f>
        <v>210672</v>
      </c>
      <c r="AK29" s="55">
        <f>IF($J29&lt;&gt;"",1,0)</f>
        <v>0</v>
      </c>
      <c r="AL29" s="55">
        <f>IF($T29&lt;&gt;"",1,0)</f>
        <v>0</v>
      </c>
      <c r="AM29" s="50" t="str">
        <f>IF($U29&gt;=0,$U29,0)</f>
        <v>/</v>
      </c>
      <c r="AN29" s="50">
        <f>IF($H29&lt;&gt;"",$E29,0)</f>
        <v>627</v>
      </c>
      <c r="AO29" s="50">
        <f>IF($K29&lt;=0,0,$K29)</f>
        <v>0</v>
      </c>
      <c r="AP29" s="55">
        <f>IF($C29="","",IF($M29&lt;=0,0,IFERROR(IF(ISNA($L29*$M29), ,$L29*$M29),"/")))</f>
        <v>1180</v>
      </c>
      <c r="AQ29" s="50">
        <f>IF($M29&lt;&gt;"",$L29,0)</f>
        <v>20</v>
      </c>
      <c r="AR29" s="50">
        <f>IF($Y29&lt;&gt;"",1,0)</f>
        <v>0</v>
      </c>
      <c r="AS29" s="50">
        <f>IF(AND($D29=100,OR($Q29&lt;&gt;"",OR($L29=0,$L29=""))),1,0)</f>
        <v>0</v>
      </c>
      <c r="AT29" s="50" t="str">
        <f>IFERROR(VLOOKUP($C29,Données!$C$19:'Données'!$I$38,3,0),"")</f>
        <v>HR</v>
      </c>
      <c r="AU29" s="50" t="str">
        <f>IF($Y29=$Z29,$E29,"0")</f>
        <v>0</v>
      </c>
      <c r="AV29" s="50" t="str">
        <f>IF($H29="",0,IF($Y29=$Z29,$I29,"0"))</f>
        <v>0</v>
      </c>
      <c r="AW29" s="50">
        <f>IF(AND($AK29=1,$Y29=$Z29),1,0)</f>
        <v>0</v>
      </c>
      <c r="AX29" s="50">
        <f>IF($AW29=1,$K29,0)</f>
        <v>0</v>
      </c>
      <c r="AY29" s="50">
        <f>IF(AND($AL29=1,$Y29=$Z29),1,0)</f>
        <v>0</v>
      </c>
      <c r="AZ29" s="50">
        <f>IF($AY29=1,$U29,0)</f>
        <v>0</v>
      </c>
      <c r="BA29" s="50">
        <f>$AU29*$AV29</f>
        <v>0</v>
      </c>
      <c r="BB29" s="50">
        <f>IF($C29="",0,IF(OR($E29=0,$E29=""),1,0))</f>
        <v>0</v>
      </c>
      <c r="BC29" s="50">
        <f>IF($C29&lt;&gt;"",1,0)</f>
        <v>1</v>
      </c>
      <c r="BD29" s="50">
        <f>IF($Y29=$Z29,IF($C29="",0,IF(OR($E29=0,$E29=""),1,0)),0)</f>
        <v>0</v>
      </c>
      <c r="BE29" s="50">
        <f>IF($Y29=$Z29,IF($C29&lt;&gt;"",1,0),0)</f>
        <v>0</v>
      </c>
      <c r="BF29" s="50" t="str">
        <f>TEXT('Feuille Saisie'!$B$4,"aaaa")</f>
        <v>2019</v>
      </c>
      <c r="BG29" s="50" t="str">
        <f>IF($Q29="",TEXT('Feuille Saisie'!$B$4,"aaaa"),TEXT($Q29,"aaaa"))</f>
        <v>2019</v>
      </c>
      <c r="BH29" s="50">
        <f>IF(AND($AS29=1,$BG29=$BF29),1,0)</f>
        <v>0</v>
      </c>
      <c r="BI29" s="39"/>
      <c r="BJ29" s="39"/>
      <c r="BK29" s="39"/>
      <c r="BL29" s="39"/>
      <c r="BM29" s="39"/>
      <c r="BN29" s="39"/>
      <c r="BO29" s="39"/>
      <c r="BP29" s="39"/>
      <c r="BQ29" s="39"/>
      <c r="BR29" s="39"/>
      <c r="BS29" s="39"/>
      <c r="BT29" s="39"/>
      <c r="BU29" s="39"/>
      <c r="BV29" s="104"/>
      <c r="BW29" s="104"/>
      <c r="BX29" s="104"/>
      <c r="BY29" s="104"/>
      <c r="BZ29" s="104"/>
      <c r="CA29" s="104"/>
      <c r="CB29" s="104"/>
      <c r="CC29" s="104"/>
      <c r="CD29" s="104"/>
      <c r="CE29" s="104"/>
      <c r="CF29" s="104"/>
      <c r="CG29" s="104"/>
      <c r="CH29" s="104"/>
      <c r="CI29" s="104"/>
      <c r="CJ29" s="104"/>
      <c r="CK29" s="104"/>
      <c r="CL29" s="104"/>
      <c r="CM29" s="104"/>
      <c r="CN29" s="104"/>
      <c r="CO29" s="104"/>
      <c r="CP29" s="104"/>
      <c r="CQ29" s="104"/>
      <c r="CR29" s="104"/>
      <c r="CS29" s="104"/>
      <c r="CT29" s="104"/>
      <c r="CU29" s="104"/>
      <c r="CV29" s="104"/>
      <c r="CW29" s="104"/>
      <c r="CX29" s="104"/>
      <c r="CY29" s="50" t="str">
        <f>IF($Y29=$Z29,$DA29,"0")</f>
        <v>0</v>
      </c>
      <c r="CZ29" s="50" t="str">
        <f>IF($Y29=$Z29,$DB29,"0")</f>
        <v>0</v>
      </c>
      <c r="DA29" s="50">
        <f>IF($I29&lt;=0,0,$I29)</f>
        <v>336</v>
      </c>
      <c r="DB29" s="55">
        <f>IF($H29&lt;&gt;"",1,0)</f>
        <v>1</v>
      </c>
      <c r="DC29" s="50" t="str">
        <f>TEXT('Feuille Saisie'!$B$4,"aaaa")</f>
        <v>2019</v>
      </c>
      <c r="DD29" s="50" t="str">
        <f>IF($J29="",TEXT('Feuille Saisie'!$B$4,"aaaa"),TEXT($J29,"aaaa"))</f>
        <v>2019</v>
      </c>
      <c r="DE29" s="50">
        <f>IF(AND($DF29=1,$DC29=$DD29),1,0)</f>
        <v>0</v>
      </c>
      <c r="DF29" s="50">
        <f>IF($J29&lt;&gt;"",1,0)</f>
        <v>0</v>
      </c>
      <c r="DG29" s="106" t="str">
        <f>TEXT(IFERROR(VLOOKUP($C29,Données!$C$19:'Données'!$I$38,4,0),""),"aaaa")</f>
        <v>2017</v>
      </c>
      <c r="DH29" s="50">
        <f>IF(AND($DI29=1,$DC29=$DG29),1,0)</f>
        <v>0</v>
      </c>
      <c r="DI29" s="50">
        <f>IF(OR($E29="",$E29=0),1,0)</f>
        <v>0</v>
      </c>
      <c r="DJ29" s="50">
        <f>IF($DC29=$DG29,1,0)</f>
        <v>0</v>
      </c>
      <c r="DK29" s="50">
        <f>IF($DE29=1,$K29,0)</f>
        <v>0</v>
      </c>
      <c r="DL29" s="50">
        <f>IF($T29&lt;&gt;"",1,0)</f>
        <v>0</v>
      </c>
      <c r="DM29" s="50" t="str">
        <f>IF($T29="",TEXT('Feuille Saisie'!$B$4,"aaaa"),TEXT($T29,"aaaa"))</f>
        <v>2019</v>
      </c>
      <c r="DN29" s="50">
        <f>IF(AND($DL29=1,$DC29=$DM29),1,0)</f>
        <v>0</v>
      </c>
      <c r="DO29" s="50">
        <f>IF($DN29=1,$U29,0)</f>
        <v>0</v>
      </c>
      <c r="EA29" s="50" t="str">
        <f>IFERROR(VLOOKUP($C29,Données!$C$19:'Données'!$I$38,3,0),"")</f>
        <v>HR</v>
      </c>
      <c r="EB29" s="50" t="str">
        <f>IF($EA29="HN",$EF29," ")</f>
        <v xml:space="preserve"> </v>
      </c>
      <c r="EC29" s="50" t="str">
        <f>IF($EA29="HR",$EF29," ")</f>
        <v xml:space="preserve"> </v>
      </c>
      <c r="ED29" s="50" t="str">
        <f>IF($EA29="OF",$EF29," ")</f>
        <v xml:space="preserve"> </v>
      </c>
      <c r="EE29" s="50" t="str">
        <f>IF($EA29="IE",$EF29," ")</f>
        <v xml:space="preserve"> </v>
      </c>
      <c r="EF29" s="50" t="str">
        <f>IF($Y29=$Z29,$C29," ")</f>
        <v xml:space="preserve"> </v>
      </c>
    </row>
    <row r="30" spans="1:136" ht="50.1" customHeight="1" x14ac:dyDescent="0.3">
      <c r="B30" s="1"/>
      <c r="C30" s="90" t="s">
        <v>90</v>
      </c>
      <c r="D30" s="42">
        <f>IF(IF(ISNA(('Feuille Saisie'!$B$4-VLOOKUP($C30,Données!$C$19:'Données'!$I$38,4,0)))/365.24*100, ,('Feuille Saisie'!$B$4-VLOOKUP($C30,Données!$C$19:'Données'!$I$38,4,0))/365.24*100)&lt;100,IF(ISNA(('Feuille Saisie'!$B$4-VLOOKUP($C30,Données!$C$19:'Données'!$I$38,4,0)))/365.24*100, ,('Feuille Saisie'!$B$4-VLOOKUP($C30,Données!$C$19:'Données'!$I$38,4,0))/365.24*100),100)</f>
        <v>44.080604534005033</v>
      </c>
      <c r="E30" s="19">
        <v>0</v>
      </c>
      <c r="F30" s="43" t="str">
        <f>IF(ISNA(IF(AND($E30=0,VLOOKUP($C30,Données!$C$19:'Données'!$I$38,6,0)&lt;&gt;""),"0,00",IFERROR(IF(ISNA($E30/VLOOKUP($C30,Données!$C$19:'Données'!$I$38,6,0)), ,$E30/VLOOKUP($C30,Données!$C$19:'Données'!$I$38,6,0)),"/"))),"",IF(AND($E30=0,VLOOKUP($C30,Données!$C$19:'Données'!$I$38,6,0)&lt;&gt;""),"0,00",IFERROR(IF(ISNA($E30/VLOOKUP($C30,Données!$C$19:'Données'!$I$38,6,0)), ,$E30/VLOOKUP($C30,Données!$C$19:'Données'!$I$38,6,0)),"/")))</f>
        <v>0,00</v>
      </c>
      <c r="G30" s="43" t="str">
        <f>IF(ISNA(IF(AND($E30=0,VLOOKUP($C30,Données!$C$19:'Données'!$I$38,7,0)&lt;&gt;""),"0,00",IFERROR(IF(ISNA($E30/VLOOKUP($C30,Données!$C$19:'Données'!$I$38,7,0)*100),,$E30/VLOOKUP($C30,Données!$C$19:'Données'!$I$38,7,0)*100),"/"))),"",IF(AND($E30=0,VLOOKUP($C30,Données!$C$19:'Données'!$I$38,7,0)&lt;&gt;""),"0,00",IFERROR(IF(ISNA($E30/VLOOKUP($C30,Données!$C$19:'Données'!$I$38,7,0)*100),,$E30/VLOOKUP($C30,Données!$C$19:'Données'!$I$38,7,0)*100),"/")))</f>
        <v>/</v>
      </c>
      <c r="H30" s="33"/>
      <c r="I30" s="44" t="str">
        <f>IF($C30&lt;&gt;"",IF($E30=0,"/",IF(ISNA($H30-VLOOKUP($C30,Données!$C$19:'Données'!$I$38,4,0)), ,$H30-VLOOKUP($C30,Données!$C$19:'Données'!$I$38,4,0))),"")</f>
        <v>/</v>
      </c>
      <c r="J30" s="33">
        <v>43482</v>
      </c>
      <c r="K30" s="44">
        <f>IF($C30&lt;&gt;"",IF(ISNA($J30-VLOOKUP($C30,Données!$C$19:'Données'!$I$38,4,0)), ,$J30-VLOOKUP($C30,Données!$C$19:'Données'!$I$38,4,0)),"")</f>
        <v>120</v>
      </c>
      <c r="L30" s="32">
        <v>30</v>
      </c>
      <c r="M30" s="19">
        <v>14</v>
      </c>
      <c r="N30" s="32">
        <v>6708</v>
      </c>
      <c r="O30" s="19">
        <v>9</v>
      </c>
      <c r="P30" s="19">
        <v>0</v>
      </c>
      <c r="Q30" s="33"/>
      <c r="R30" s="44" t="str">
        <f>IF($C30&lt;&gt;"",IF($D30&lt;&gt;100,"/",IF(ISNA($Q30-VLOOKUP($C30,Données!$C$19:'Données'!$I$38,4,0)), ,$Q30-VLOOKUP($C30,Données!$C$19:'Données'!$I$38,4,0))),"")</f>
        <v>/</v>
      </c>
      <c r="S30" s="38"/>
      <c r="T30" s="33"/>
      <c r="U30" s="44">
        <f>IF($C30&lt;&gt;"",IF($J30="","/",IF(ISNA($T30-VLOOKUP($C30,Données!$C$19:'Données'!$I$38,4,0)), ,$T30-VLOOKUP($C30,Données!$C$19:'Données'!$I$38,4,0))),"")</f>
        <v>-43362</v>
      </c>
      <c r="V30" s="1"/>
      <c r="W30" s="1"/>
      <c r="X30" s="50"/>
      <c r="Y30" s="47" t="str">
        <f t="shared" si="0"/>
        <v/>
      </c>
      <c r="Z30" s="48" t="s">
        <v>39</v>
      </c>
      <c r="AA30" s="47" t="str">
        <f t="shared" si="1"/>
        <v>♺</v>
      </c>
      <c r="AB30" s="49" t="s">
        <v>40</v>
      </c>
      <c r="AC30" s="50">
        <f t="shared" ref="AC30:AC43" si="2">IF(OR($E30="",$E30=0),1,2)</f>
        <v>1</v>
      </c>
      <c r="AD30" s="50">
        <f t="shared" ref="AD30:AD43" si="3">IF(OR($L30="",$L30=0),1,2)</f>
        <v>2</v>
      </c>
      <c r="AE30" s="50">
        <f t="shared" ref="AE30:AE43" si="4">IF(OR($J30="",$J30=0),1,2)</f>
        <v>2</v>
      </c>
      <c r="AF30" s="50">
        <f t="shared" ref="AF30:AF43" si="5">IF(OR($D30&lt;&gt;100,OR($O30&lt;&gt;0,$P30&lt;&gt;0)),1,2)</f>
        <v>1</v>
      </c>
      <c r="AG30" s="51">
        <f t="shared" ref="AG30:AG43" si="6">$T30-$J30</f>
        <v>-43482</v>
      </c>
      <c r="AH30" s="55">
        <f>IF($C30="","",IFERROR(IF(ISNA(VLOOKUP($C30,Données!$C$19:'Données'!$I$38,6,0)), ,VLOOKUP($C30,Données!$C$19:'Données'!$I$38,6,0)),"/"))</f>
        <v>33</v>
      </c>
      <c r="AI30" s="55">
        <f>IF($C30="","",IFERROR(IF(ISNA(VLOOKUP($C30,Données!$C$19:'Données'!$I$38,7,0)), ,VLOOKUP($C30,Données!$C$19:'Données'!$I$38,7,0)),"/"))</f>
        <v>0</v>
      </c>
      <c r="AJ30" s="55" t="str">
        <f t="shared" ref="AJ30:AJ43" si="7">IF($C30="","",IF($I30&lt;=0,0,IFERROR(IF(ISNA($E30*$I30), ,$E30*$I30),"/")))</f>
        <v>/</v>
      </c>
      <c r="AK30" s="55">
        <f t="shared" ref="AK30:AK43" si="8">IF($J30&lt;&gt;"",1,0)</f>
        <v>1</v>
      </c>
      <c r="AL30" s="55">
        <f t="shared" ref="AL30:AL43" si="9">IF($T30&lt;&gt;"",1,0)</f>
        <v>0</v>
      </c>
      <c r="AM30" s="50">
        <f t="shared" ref="AM30:AM43" si="10">IF($U30&gt;=0,$U30,0)</f>
        <v>0</v>
      </c>
      <c r="AN30" s="50">
        <f t="shared" ref="AN30:AN43" si="11">IF($H30&lt;&gt;"",$E30,0)</f>
        <v>0</v>
      </c>
      <c r="AO30" s="50">
        <f t="shared" ref="AO30:AO43" si="12">IF($K30&lt;=0,0,$K30)</f>
        <v>120</v>
      </c>
      <c r="AP30" s="55">
        <f t="shared" ref="AP30:AP43" si="13">IF($C30="","",IF($M30&lt;=0,0,IFERROR(IF(ISNA($L30*$M30), ,$L30*$M30),"/")))</f>
        <v>420</v>
      </c>
      <c r="AQ30" s="50">
        <f t="shared" ref="AQ30:AQ43" si="14">IF($M30&lt;&gt;"",$L30,0)</f>
        <v>30</v>
      </c>
      <c r="AR30" s="50">
        <f t="shared" ref="AR30:AR43" si="15">IF($Y30&lt;&gt;"",1,0)</f>
        <v>0</v>
      </c>
      <c r="AS30" s="50">
        <f t="shared" ref="AS30:AS43" si="16">IF(AND($D30=100,OR($Q30&lt;&gt;"",OR($L30=0,$L30=""))),1,0)</f>
        <v>0</v>
      </c>
      <c r="AT30" s="50" t="str">
        <f>IFERROR(VLOOKUP($C30,Données!$C$19:'Données'!$I$38,3,0),"")</f>
        <v>HN</v>
      </c>
      <c r="AU30" s="50" t="str">
        <f t="shared" ref="AU30:AU43" si="17">IF($Y30=$Z30,$E30,"0")</f>
        <v>0</v>
      </c>
      <c r="AV30" s="50">
        <f t="shared" ref="AV30:AV43" si="18">IF($H30="",0,IF($Y30=$Z30,$I30,"0"))</f>
        <v>0</v>
      </c>
      <c r="AW30" s="50">
        <f t="shared" ref="AW30:AW43" si="19">IF(AND($AK30=1,$Y30=$Z30),1,0)</f>
        <v>0</v>
      </c>
      <c r="AX30" s="50">
        <f t="shared" ref="AX30:AX43" si="20">IF($AW30=1,$K30,0)</f>
        <v>0</v>
      </c>
      <c r="AY30" s="50">
        <f t="shared" ref="AY30:AY43" si="21">IF(AND($AL30=1,$Y30=$Z30),1,0)</f>
        <v>0</v>
      </c>
      <c r="AZ30" s="50">
        <f t="shared" ref="AZ30:AZ43" si="22">IF($AY30=1,$U30,0)</f>
        <v>0</v>
      </c>
      <c r="BA30" s="50">
        <f t="shared" ref="BA30:BA43" si="23">$AU30*$AV30</f>
        <v>0</v>
      </c>
      <c r="BB30" s="50">
        <f t="shared" ref="BB30:BB43" si="24">IF($C30="",0,IF(OR($E30=0,$E30=""),1,0))</f>
        <v>1</v>
      </c>
      <c r="BC30" s="50">
        <f t="shared" ref="BC30:BC43" si="25">IF($C30&lt;&gt;"",1,0)</f>
        <v>1</v>
      </c>
      <c r="BD30" s="50">
        <f t="shared" ref="BD30:BD43" si="26">IF($Y30=$Z30,IF($C30="",0,IF(OR($E30=0,$E30=""),1,0)),0)</f>
        <v>0</v>
      </c>
      <c r="BE30" s="50">
        <f t="shared" ref="BE30:BE43" si="27">IF($Y30=$Z30,IF($C30&lt;&gt;"",1,0),0)</f>
        <v>0</v>
      </c>
      <c r="BF30" s="50" t="str">
        <f>TEXT('Feuille Saisie'!$B$4,"aaaa")</f>
        <v>2019</v>
      </c>
      <c r="BG30" s="50" t="str">
        <f>IF($Q30="",TEXT('Feuille Saisie'!$B$4,"aaaa"),TEXT($Q30,"aaaa"))</f>
        <v>2019</v>
      </c>
      <c r="BH30" s="50">
        <f t="shared" ref="BH30:BH43" si="28">IF(AND($AS30=1,$BG30=$BF30),1,0)</f>
        <v>0</v>
      </c>
      <c r="BI30" s="39"/>
      <c r="BJ30" s="39"/>
      <c r="BK30" s="39"/>
      <c r="BL30" s="39"/>
      <c r="BM30" s="39"/>
      <c r="BN30" s="39"/>
      <c r="BO30" s="39"/>
      <c r="BP30" s="39"/>
      <c r="BQ30" s="39"/>
      <c r="BR30" s="39"/>
      <c r="BS30" s="39"/>
      <c r="BT30" s="39"/>
      <c r="BU30" s="39"/>
      <c r="BV30" s="104"/>
      <c r="BW30" s="104"/>
      <c r="BX30" s="104"/>
      <c r="BY30" s="104"/>
      <c r="BZ30" s="104"/>
      <c r="CA30" s="104"/>
      <c r="CB30" s="104"/>
      <c r="CC30" s="104"/>
      <c r="CD30" s="104"/>
      <c r="CE30" s="104"/>
      <c r="CF30" s="104"/>
      <c r="CG30" s="104"/>
      <c r="CH30" s="104"/>
      <c r="CI30" s="104"/>
      <c r="CJ30" s="104"/>
      <c r="CK30" s="104"/>
      <c r="CL30" s="104"/>
      <c r="CM30" s="104"/>
      <c r="CN30" s="104"/>
      <c r="CO30" s="104"/>
      <c r="CP30" s="104"/>
      <c r="CQ30" s="104"/>
      <c r="CR30" s="104"/>
      <c r="CS30" s="104"/>
      <c r="CT30" s="104"/>
      <c r="CU30" s="104"/>
      <c r="CV30" s="104"/>
      <c r="CW30" s="104"/>
      <c r="CX30" s="104"/>
      <c r="CY30" s="50" t="str">
        <f t="shared" ref="CY30:CY43" si="29">IF($Y30=$Z30,$DA30,"0")</f>
        <v>0</v>
      </c>
      <c r="CZ30" s="50" t="str">
        <f t="shared" ref="CZ30:CZ43" si="30">IF($Y30=$Z30,$DB30,"0")</f>
        <v>0</v>
      </c>
      <c r="DA30" s="50" t="str">
        <f t="shared" ref="DA30:DA43" si="31">IF($I30&lt;=0,0,$I30)</f>
        <v>/</v>
      </c>
      <c r="DB30" s="55">
        <f t="shared" ref="DB30:DB43" si="32">IF($H30&lt;&gt;"",1,0)</f>
        <v>0</v>
      </c>
      <c r="DC30" s="50" t="str">
        <f>TEXT('Feuille Saisie'!$B$4,"aaaa")</f>
        <v>2019</v>
      </c>
      <c r="DD30" s="50" t="str">
        <f>IF($J30="",TEXT('Feuille Saisie'!$B$4,"aaaa"),TEXT($J30,"aaaa"))</f>
        <v>2019</v>
      </c>
      <c r="DE30" s="50">
        <f t="shared" ref="DE30:DE43" si="33">IF(AND($DF30=1,$DC30=$DD30),1,0)</f>
        <v>1</v>
      </c>
      <c r="DF30" s="50">
        <f t="shared" ref="DF30:DF43" si="34">IF($J30&lt;&gt;"",1,0)</f>
        <v>1</v>
      </c>
      <c r="DG30" s="106" t="str">
        <f>TEXT(IFERROR(VLOOKUP($C30,Données!$C$19:'Données'!$I$38,4,0),""),"aaaa")</f>
        <v>2018</v>
      </c>
      <c r="DH30" s="50">
        <f t="shared" ref="DH30:DH43" si="35">IF(AND($DI30=1,$DC30=$DG30),1,0)</f>
        <v>0</v>
      </c>
      <c r="DI30" s="50">
        <f t="shared" ref="DI30:DI43" si="36">IF(OR($E30="",$E30=0),1,0)</f>
        <v>1</v>
      </c>
      <c r="DJ30" s="50">
        <f t="shared" ref="DJ30:DJ43" si="37">IF($DC30=$DG30,1,0)</f>
        <v>0</v>
      </c>
      <c r="DK30" s="50">
        <f t="shared" ref="DK30:DK43" si="38">IF($DE30=1,$K30,0)</f>
        <v>120</v>
      </c>
      <c r="DL30" s="50">
        <f t="shared" ref="DL30:DL43" si="39">IF($T30&lt;&gt;"",1,0)</f>
        <v>0</v>
      </c>
      <c r="DM30" s="50" t="str">
        <f>IF($T30="",TEXT('Feuille Saisie'!$B$4,"aaaa"),TEXT($T30,"aaaa"))</f>
        <v>2019</v>
      </c>
      <c r="DN30" s="50">
        <f t="shared" ref="DN30:DN43" si="40">IF(AND($DL30=1,$DC30=$DM30),1,0)</f>
        <v>0</v>
      </c>
      <c r="DO30" s="50">
        <f t="shared" ref="DO30:DO43" si="41">IF($DN30=1,$U30,0)</f>
        <v>0</v>
      </c>
      <c r="EA30" s="50" t="str">
        <f>IFERROR(VLOOKUP($C30,Données!$C$19:'Données'!$I$38,3,0),"")</f>
        <v>HN</v>
      </c>
      <c r="EB30" s="50" t="str">
        <f t="shared" ref="EB30:EB43" si="42">IF($EA30="HN",$EF30," ")</f>
        <v xml:space="preserve"> </v>
      </c>
      <c r="EC30" s="50" t="str">
        <f t="shared" ref="EC30:EC43" si="43">IF($EA30="HR",$EF30," ")</f>
        <v xml:space="preserve"> </v>
      </c>
      <c r="ED30" s="50" t="str">
        <f t="shared" ref="ED30:ED43" si="44">IF($EA30="OF",$EF30," ")</f>
        <v xml:space="preserve"> </v>
      </c>
      <c r="EE30" s="50" t="str">
        <f t="shared" ref="EE30:EE43" si="45">IF($EA30="IE",$EF30," ")</f>
        <v xml:space="preserve"> </v>
      </c>
      <c r="EF30" s="50" t="str">
        <f t="shared" ref="EF30:EF43" si="46">IF($Y30=$Z30,$C30," ")</f>
        <v xml:space="preserve"> </v>
      </c>
    </row>
    <row r="31" spans="1:136" ht="50.1" customHeight="1" x14ac:dyDescent="0.3">
      <c r="B31" s="1"/>
      <c r="C31" s="90" t="s">
        <v>92</v>
      </c>
      <c r="D31" s="42">
        <f>IF(IF(ISNA(('Feuille Saisie'!$B$4-VLOOKUP($C31,Données!$C$19:'Données'!$I$38,4,0)))/365.24*100, ,('Feuille Saisie'!$B$4-VLOOKUP($C31,Données!$C$19:'Données'!$I$38,4,0))/365.24*100)&lt;100,IF(ISNA(('Feuille Saisie'!$B$4-VLOOKUP($C31,Données!$C$19:'Données'!$I$38,4,0)))/365.24*100, ,('Feuille Saisie'!$B$4-VLOOKUP($C31,Données!$C$19:'Données'!$I$38,4,0))/365.24*100),100)</f>
        <v>100</v>
      </c>
      <c r="E31" s="19">
        <v>9</v>
      </c>
      <c r="F31" s="43">
        <f>IF(ISNA(IF(AND($E31=0,VLOOKUP($C31,Données!$C$19:'Données'!$I$38,6,0)&lt;&gt;""),"0,00",IFERROR(IF(ISNA($E31/VLOOKUP($C31,Données!$C$19:'Données'!$I$38,6,0)), ,$E31/VLOOKUP($C31,Données!$C$19:'Données'!$I$38,6,0)),"/"))),"",IF(AND($E31=0,VLOOKUP($C31,Données!$C$19:'Données'!$I$38,6,0)&lt;&gt;""),"0,00",IFERROR(IF(ISNA($E31/VLOOKUP($C31,Données!$C$19:'Données'!$I$38,6,0)), ,$E31/VLOOKUP($C31,Données!$C$19:'Données'!$I$38,6,0)),"/")))</f>
        <v>9.1836734693877556E-2</v>
      </c>
      <c r="G31" s="43" t="str">
        <f>IF(ISNA(IF(AND($E31=0,VLOOKUP($C31,Données!$C$19:'Données'!$I$38,7,0)&lt;&gt;""),"0,00",IFERROR(IF(ISNA($E31/VLOOKUP($C31,Données!$C$19:'Données'!$I$38,7,0)*100),,$E31/VLOOKUP($C31,Données!$C$19:'Données'!$I$38,7,0)*100),"/"))),"",IF(AND($E31=0,VLOOKUP($C31,Données!$C$19:'Données'!$I$38,7,0)&lt;&gt;""),"0,00",IFERROR(IF(ISNA($E31/VLOOKUP($C31,Données!$C$19:'Données'!$I$38,7,0)*100),,$E31/VLOOKUP($C31,Données!$C$19:'Données'!$I$38,7,0)*100),"/")))</f>
        <v>/</v>
      </c>
      <c r="H31" s="33">
        <v>43479</v>
      </c>
      <c r="I31" s="44">
        <f>IF($C31&lt;&gt;"",IF($E31=0,"/",IF(ISNA($H31-VLOOKUP($C31,Données!$C$19:'Données'!$I$38,4,0)), ,$H31-VLOOKUP($C31,Données!$C$19:'Données'!$I$38,4,0))),"")</f>
        <v>755</v>
      </c>
      <c r="J31" s="33">
        <v>42869</v>
      </c>
      <c r="K31" s="44">
        <f>IF($C31&lt;&gt;"",IF(ISNA($J31-VLOOKUP($C31,Données!$C$19:'Données'!$I$38,4,0)), ,$J31-VLOOKUP($C31,Données!$C$19:'Données'!$I$38,4,0)),"")</f>
        <v>145</v>
      </c>
      <c r="L31" s="32">
        <v>233</v>
      </c>
      <c r="M31" s="19">
        <v>21</v>
      </c>
      <c r="N31" s="32">
        <v>41565</v>
      </c>
      <c r="O31" s="19">
        <v>0</v>
      </c>
      <c r="P31" s="19">
        <v>0</v>
      </c>
      <c r="Q31" s="33">
        <v>43445</v>
      </c>
      <c r="R31" s="44">
        <f>IF($C31&lt;&gt;"",IF($D31&lt;&gt;100,"/",IF(ISNA($Q31-VLOOKUP($C31,Données!$C$19:'Données'!$I$38,4,0)), ,$Q31-VLOOKUP($C31,Données!$C$19:'Données'!$I$38,4,0))),"")</f>
        <v>721</v>
      </c>
      <c r="S31" s="38" t="s">
        <v>29</v>
      </c>
      <c r="T31" s="33"/>
      <c r="U31" s="44">
        <f>IF($C31&lt;&gt;"",IF($J31="","/",IF(ISNA($T31-VLOOKUP($C31,Données!$C$19:'Données'!$I$38,4,0)), ,$T31-VLOOKUP($C31,Données!$C$19:'Données'!$I$38,4,0))),"")</f>
        <v>-42724</v>
      </c>
      <c r="V31" s="1"/>
      <c r="W31" s="1"/>
      <c r="X31" s="50"/>
      <c r="Y31" s="47" t="str">
        <f t="shared" si="0"/>
        <v/>
      </c>
      <c r="Z31" s="48" t="s">
        <v>39</v>
      </c>
      <c r="AA31" s="47" t="str">
        <f t="shared" si="1"/>
        <v>♺</v>
      </c>
      <c r="AB31" s="49" t="s">
        <v>40</v>
      </c>
      <c r="AC31" s="50">
        <f t="shared" si="2"/>
        <v>2</v>
      </c>
      <c r="AD31" s="50">
        <f t="shared" si="3"/>
        <v>2</v>
      </c>
      <c r="AE31" s="50">
        <f t="shared" si="4"/>
        <v>2</v>
      </c>
      <c r="AF31" s="50">
        <f t="shared" si="5"/>
        <v>2</v>
      </c>
      <c r="AG31" s="51">
        <f t="shared" si="6"/>
        <v>-42869</v>
      </c>
      <c r="AH31" s="55">
        <f>IF($C31="","",IFERROR(IF(ISNA(VLOOKUP($C31,Données!$C$19:'Données'!$I$38,6,0)), ,VLOOKUP($C31,Données!$C$19:'Données'!$I$38,6,0)),"/"))</f>
        <v>98</v>
      </c>
      <c r="AI31" s="55">
        <f>IF($C31="","",IFERROR(IF(ISNA(VLOOKUP($C31,Données!$C$19:'Données'!$I$38,7,0)), ,VLOOKUP($C31,Données!$C$19:'Données'!$I$38,7,0)),"/"))</f>
        <v>0</v>
      </c>
      <c r="AJ31" s="55">
        <f t="shared" si="7"/>
        <v>6795</v>
      </c>
      <c r="AK31" s="55">
        <f t="shared" si="8"/>
        <v>1</v>
      </c>
      <c r="AL31" s="55">
        <f t="shared" si="9"/>
        <v>0</v>
      </c>
      <c r="AM31" s="50">
        <f t="shared" si="10"/>
        <v>0</v>
      </c>
      <c r="AN31" s="50">
        <f t="shared" si="11"/>
        <v>9</v>
      </c>
      <c r="AO31" s="50">
        <f t="shared" si="12"/>
        <v>145</v>
      </c>
      <c r="AP31" s="55">
        <f t="shared" si="13"/>
        <v>4893</v>
      </c>
      <c r="AQ31" s="50">
        <f t="shared" si="14"/>
        <v>233</v>
      </c>
      <c r="AR31" s="50">
        <f t="shared" si="15"/>
        <v>0</v>
      </c>
      <c r="AS31" s="50">
        <f t="shared" si="16"/>
        <v>1</v>
      </c>
      <c r="AT31" s="50" t="str">
        <f>IFERROR(VLOOKUP($C31,Données!$C$19:'Données'!$I$38,3,0),"")</f>
        <v>HN</v>
      </c>
      <c r="AU31" s="50" t="str">
        <f t="shared" si="17"/>
        <v>0</v>
      </c>
      <c r="AV31" s="50" t="str">
        <f t="shared" si="18"/>
        <v>0</v>
      </c>
      <c r="AW31" s="50">
        <f t="shared" si="19"/>
        <v>0</v>
      </c>
      <c r="AX31" s="50">
        <f t="shared" si="20"/>
        <v>0</v>
      </c>
      <c r="AY31" s="50">
        <f t="shared" si="21"/>
        <v>0</v>
      </c>
      <c r="AZ31" s="50">
        <f t="shared" si="22"/>
        <v>0</v>
      </c>
      <c r="BA31" s="50">
        <f t="shared" si="23"/>
        <v>0</v>
      </c>
      <c r="BB31" s="50">
        <f t="shared" si="24"/>
        <v>0</v>
      </c>
      <c r="BC31" s="50">
        <f t="shared" si="25"/>
        <v>1</v>
      </c>
      <c r="BD31" s="50">
        <f t="shared" si="26"/>
        <v>0</v>
      </c>
      <c r="BE31" s="50">
        <f t="shared" si="27"/>
        <v>0</v>
      </c>
      <c r="BF31" s="50" t="str">
        <f>TEXT('Feuille Saisie'!$B$4,"aaaa")</f>
        <v>2019</v>
      </c>
      <c r="BG31" s="50" t="str">
        <f>IF($Q31="",TEXT('Feuille Saisie'!$B$4,"aaaa"),TEXT($Q31,"aaaa"))</f>
        <v>2018</v>
      </c>
      <c r="BH31" s="50">
        <f t="shared" si="28"/>
        <v>0</v>
      </c>
      <c r="BI31" s="39"/>
      <c r="BJ31" s="39"/>
      <c r="BK31" s="39"/>
      <c r="BL31" s="39"/>
      <c r="BM31" s="39"/>
      <c r="BN31" s="39"/>
      <c r="BO31" s="39"/>
      <c r="BP31" s="39"/>
      <c r="BQ31" s="39"/>
      <c r="BR31" s="39"/>
      <c r="BS31" s="39"/>
      <c r="BT31" s="39"/>
      <c r="BU31" s="39"/>
      <c r="BV31" s="104"/>
      <c r="BW31" s="104"/>
      <c r="BX31" s="104"/>
      <c r="BY31" s="104"/>
      <c r="BZ31" s="104"/>
      <c r="CA31" s="104"/>
      <c r="CB31" s="104"/>
      <c r="CC31" s="104"/>
      <c r="CD31" s="104"/>
      <c r="CE31" s="104"/>
      <c r="CF31" s="104"/>
      <c r="CG31" s="104"/>
      <c r="CH31" s="104"/>
      <c r="CI31" s="104"/>
      <c r="CJ31" s="104"/>
      <c r="CK31" s="104"/>
      <c r="CL31" s="104"/>
      <c r="CM31" s="104"/>
      <c r="CN31" s="104"/>
      <c r="CO31" s="104"/>
      <c r="CP31" s="104"/>
      <c r="CQ31" s="104"/>
      <c r="CR31" s="104"/>
      <c r="CS31" s="104"/>
      <c r="CT31" s="104"/>
      <c r="CU31" s="104"/>
      <c r="CV31" s="104"/>
      <c r="CW31" s="104"/>
      <c r="CX31" s="104"/>
      <c r="CY31" s="50" t="str">
        <f t="shared" si="29"/>
        <v>0</v>
      </c>
      <c r="CZ31" s="50" t="str">
        <f t="shared" si="30"/>
        <v>0</v>
      </c>
      <c r="DA31" s="50">
        <f t="shared" si="31"/>
        <v>755</v>
      </c>
      <c r="DB31" s="55">
        <f t="shared" si="32"/>
        <v>1</v>
      </c>
      <c r="DC31" s="50" t="str">
        <f>TEXT('Feuille Saisie'!$B$4,"aaaa")</f>
        <v>2019</v>
      </c>
      <c r="DD31" s="50" t="str">
        <f>IF($J31="",TEXT('Feuille Saisie'!$B$4,"aaaa"),TEXT($J31,"aaaa"))</f>
        <v>2017</v>
      </c>
      <c r="DE31" s="50">
        <f t="shared" si="33"/>
        <v>0</v>
      </c>
      <c r="DF31" s="50">
        <f t="shared" si="34"/>
        <v>1</v>
      </c>
      <c r="DG31" s="106" t="str">
        <f>TEXT(IFERROR(VLOOKUP($C31,Données!$C$19:'Données'!$I$38,4,0),""),"aaaa")</f>
        <v>2016</v>
      </c>
      <c r="DH31" s="50">
        <f t="shared" si="35"/>
        <v>0</v>
      </c>
      <c r="DI31" s="50">
        <f t="shared" si="36"/>
        <v>0</v>
      </c>
      <c r="DJ31" s="50">
        <f t="shared" si="37"/>
        <v>0</v>
      </c>
      <c r="DK31" s="50">
        <f t="shared" si="38"/>
        <v>0</v>
      </c>
      <c r="DL31" s="50">
        <f t="shared" si="39"/>
        <v>0</v>
      </c>
      <c r="DM31" s="50" t="str">
        <f>IF($T31="",TEXT('Feuille Saisie'!$B$4,"aaaa"),TEXT($T31,"aaaa"))</f>
        <v>2019</v>
      </c>
      <c r="DN31" s="50">
        <f t="shared" si="40"/>
        <v>0</v>
      </c>
      <c r="DO31" s="50">
        <f t="shared" si="41"/>
        <v>0</v>
      </c>
      <c r="EA31" s="50" t="str">
        <f>IFERROR(VLOOKUP($C31,Données!$C$19:'Données'!$I$38,3,0),"")</f>
        <v>HN</v>
      </c>
      <c r="EB31" s="50" t="str">
        <f t="shared" si="42"/>
        <v xml:space="preserve"> </v>
      </c>
      <c r="EC31" s="50" t="str">
        <f t="shared" si="43"/>
        <v xml:space="preserve"> </v>
      </c>
      <c r="ED31" s="50" t="str">
        <f t="shared" si="44"/>
        <v xml:space="preserve"> </v>
      </c>
      <c r="EE31" s="50" t="str">
        <f t="shared" si="45"/>
        <v xml:space="preserve"> </v>
      </c>
      <c r="EF31" s="50" t="str">
        <f t="shared" si="46"/>
        <v xml:space="preserve"> </v>
      </c>
    </row>
    <row r="32" spans="1:136" ht="50.1" customHeight="1" x14ac:dyDescent="0.3">
      <c r="A32" s="1"/>
      <c r="B32" s="1"/>
      <c r="C32" s="90"/>
      <c r="D32" s="42">
        <f>IF(IF(ISNA(('Feuille Saisie'!$B$4-VLOOKUP($C32,Données!$C$19:'Données'!$I$38,4,0)))/365.24*100, ,('Feuille Saisie'!$B$4-VLOOKUP($C32,Données!$C$19:'Données'!$I$38,4,0))/365.24*100)&lt;100,IF(ISNA(('Feuille Saisie'!$B$4-VLOOKUP($C32,Données!$C$19:'Données'!$I$38,4,0)))/365.24*100, ,('Feuille Saisie'!$B$4-VLOOKUP($C32,Données!$C$19:'Données'!$I$38,4,0))/365.24*100),100)</f>
        <v>0</v>
      </c>
      <c r="E32" s="19"/>
      <c r="F32" s="43" t="str">
        <f>IF(ISNA(IF(AND($E32=0,VLOOKUP($C32,Données!$C$19:'Données'!$I$38,6,0)&lt;&gt;""),"0,00",IFERROR(IF(ISNA($E32/VLOOKUP($C32,Données!$C$19:'Données'!$I$38,6,0)), ,$E32/VLOOKUP($C32,Données!$C$19:'Données'!$I$38,6,0)),"/"))),"",IF(AND($E32=0,VLOOKUP($C32,Données!$C$19:'Données'!$I$38,6,0)&lt;&gt;""),"0,00",IFERROR(IF(ISNA($E32/VLOOKUP($C32,Données!$C$19:'Données'!$I$38,6,0)), ,$E32/VLOOKUP($C32,Données!$C$19:'Données'!$I$38,6,0)),"/")))</f>
        <v/>
      </c>
      <c r="G32" s="43" t="str">
        <f>IF(ISNA(IF(AND($E32=0,VLOOKUP($C32,Données!$C$19:'Données'!$I$38,7,0)&lt;&gt;""),"0,00",IFERROR(IF(ISNA($E32/VLOOKUP($C32,Données!$C$19:'Données'!$I$38,7,0)*100),,$E32/VLOOKUP($C32,Données!$C$19:'Données'!$I$38,7,0)*100),"/"))),"",IF(AND($E32=0,VLOOKUP($C32,Données!$C$19:'Données'!$I$38,7,0)&lt;&gt;""),"0,00",IFERROR(IF(ISNA($E32/VLOOKUP($C32,Données!$C$19:'Données'!$I$38,7,0)*100),,$E32/VLOOKUP($C32,Données!$C$19:'Données'!$I$38,7,0)*100),"/")))</f>
        <v/>
      </c>
      <c r="H32" s="33"/>
      <c r="I32" s="44" t="str">
        <f>IF($C32&lt;&gt;"",IF($E32=0,"/",IF(ISNA($H32-VLOOKUP($C32,Données!$C$19:'Données'!$I$38,4,0)), ,$H32-VLOOKUP($C32,Données!$C$19:'Données'!$I$38,4,0))),"")</f>
        <v/>
      </c>
      <c r="J32" s="33"/>
      <c r="K32" s="44" t="str">
        <f>IF($C32&lt;&gt;"",IF(ISNA($J32-VLOOKUP($C32,Données!$C$19:'Données'!$I$38,4,0)), ,$J32-VLOOKUP($C32,Données!$C$19:'Données'!$I$38,4,0)),"")</f>
        <v/>
      </c>
      <c r="L32" s="32"/>
      <c r="M32" s="19"/>
      <c r="N32" s="32"/>
      <c r="O32" s="19"/>
      <c r="P32" s="19"/>
      <c r="Q32" s="33"/>
      <c r="R32" s="44" t="str">
        <f>IF($C32&lt;&gt;"",IF($D32&lt;&gt;100,"/",IF(ISNA($Q32-VLOOKUP($C32,Données!$C$19:'Données'!$I$38,4,0)), ,$Q32-VLOOKUP($C32,Données!$C$19:'Données'!$I$38,4,0))),"")</f>
        <v/>
      </c>
      <c r="S32" s="38"/>
      <c r="T32" s="33"/>
      <c r="U32" s="44" t="str">
        <f>IF($C32&lt;&gt;"",IF($J32="","/",IF(ISNA($T32-VLOOKUP($C32,Données!$C$19:'Données'!$I$38,4,0)), ,$T32-VLOOKUP($C32,Données!$C$19:'Données'!$I$38,4,0))),"")</f>
        <v/>
      </c>
      <c r="V32" s="1"/>
      <c r="W32" s="1"/>
      <c r="X32" s="50"/>
      <c r="Y32" s="47" t="str">
        <f t="shared" si="0"/>
        <v/>
      </c>
      <c r="Z32" s="48" t="s">
        <v>39</v>
      </c>
      <c r="AA32" s="47" t="str">
        <f t="shared" si="1"/>
        <v/>
      </c>
      <c r="AB32" s="49" t="s">
        <v>40</v>
      </c>
      <c r="AC32" s="50">
        <f t="shared" si="2"/>
        <v>1</v>
      </c>
      <c r="AD32" s="50">
        <f t="shared" si="3"/>
        <v>1</v>
      </c>
      <c r="AE32" s="50">
        <f t="shared" si="4"/>
        <v>1</v>
      </c>
      <c r="AF32" s="50">
        <f t="shared" si="5"/>
        <v>1</v>
      </c>
      <c r="AG32" s="51">
        <f t="shared" si="6"/>
        <v>0</v>
      </c>
      <c r="AH32" s="55" t="str">
        <f>IF($C32="","",IFERROR(IF(ISNA(VLOOKUP($C32,Données!$C$19:'Données'!$I$38,6,0)), ,VLOOKUP($C32,Données!$C$19:'Données'!$I$38,6,0)),"/"))</f>
        <v/>
      </c>
      <c r="AI32" s="55" t="str">
        <f>IF($C32="","",IFERROR(IF(ISNA(VLOOKUP($C32,Données!$C$19:'Données'!$I$38,7,0)), ,VLOOKUP($C32,Données!$C$19:'Données'!$I$38,7,0)),"/"))</f>
        <v/>
      </c>
      <c r="AJ32" s="55" t="str">
        <f t="shared" si="7"/>
        <v/>
      </c>
      <c r="AK32" s="55">
        <f t="shared" si="8"/>
        <v>0</v>
      </c>
      <c r="AL32" s="55">
        <f t="shared" si="9"/>
        <v>0</v>
      </c>
      <c r="AM32" s="50" t="str">
        <f t="shared" si="10"/>
        <v/>
      </c>
      <c r="AN32" s="50">
        <f t="shared" si="11"/>
        <v>0</v>
      </c>
      <c r="AO32" s="50" t="str">
        <f t="shared" si="12"/>
        <v/>
      </c>
      <c r="AP32" s="55" t="str">
        <f t="shared" si="13"/>
        <v/>
      </c>
      <c r="AQ32" s="50">
        <f t="shared" si="14"/>
        <v>0</v>
      </c>
      <c r="AR32" s="50">
        <f t="shared" si="15"/>
        <v>0</v>
      </c>
      <c r="AS32" s="50">
        <f t="shared" si="16"/>
        <v>0</v>
      </c>
      <c r="AT32" s="50" t="str">
        <f>IFERROR(VLOOKUP($C32,Données!$C$19:'Données'!$I$38,3,0),"")</f>
        <v/>
      </c>
      <c r="AU32" s="50" t="str">
        <f t="shared" si="17"/>
        <v>0</v>
      </c>
      <c r="AV32" s="50">
        <f t="shared" si="18"/>
        <v>0</v>
      </c>
      <c r="AW32" s="50">
        <f t="shared" si="19"/>
        <v>0</v>
      </c>
      <c r="AX32" s="50">
        <f t="shared" si="20"/>
        <v>0</v>
      </c>
      <c r="AY32" s="50">
        <f t="shared" si="21"/>
        <v>0</v>
      </c>
      <c r="AZ32" s="50">
        <f t="shared" si="22"/>
        <v>0</v>
      </c>
      <c r="BA32" s="50">
        <f t="shared" si="23"/>
        <v>0</v>
      </c>
      <c r="BB32" s="50">
        <f t="shared" si="24"/>
        <v>0</v>
      </c>
      <c r="BC32" s="50">
        <f t="shared" si="25"/>
        <v>0</v>
      </c>
      <c r="BD32" s="50">
        <f t="shared" si="26"/>
        <v>0</v>
      </c>
      <c r="BE32" s="50">
        <f t="shared" si="27"/>
        <v>0</v>
      </c>
      <c r="BF32" s="50" t="str">
        <f>TEXT('Feuille Saisie'!$B$4,"aaaa")</f>
        <v>2019</v>
      </c>
      <c r="BG32" s="50" t="str">
        <f>IF($Q32="",TEXT('Feuille Saisie'!$B$4,"aaaa"),TEXT($Q32,"aaaa"))</f>
        <v>2019</v>
      </c>
      <c r="BH32" s="50">
        <f t="shared" si="28"/>
        <v>0</v>
      </c>
      <c r="BI32" s="39"/>
      <c r="BJ32" s="39"/>
      <c r="BK32" s="39"/>
      <c r="BL32" s="39"/>
      <c r="BM32" s="39"/>
      <c r="BN32" s="39"/>
      <c r="BO32" s="39"/>
      <c r="BP32" s="39"/>
      <c r="BQ32" s="39"/>
      <c r="BR32" s="39"/>
      <c r="BS32" s="39"/>
      <c r="BT32" s="39"/>
      <c r="BU32" s="39"/>
      <c r="BV32" s="104"/>
      <c r="BW32" s="104"/>
      <c r="BX32" s="104"/>
      <c r="BY32" s="104"/>
      <c r="BZ32" s="104"/>
      <c r="CA32" s="104"/>
      <c r="CB32" s="104"/>
      <c r="CC32" s="104"/>
      <c r="CD32" s="104"/>
      <c r="CE32" s="104"/>
      <c r="CF32" s="104"/>
      <c r="CG32" s="104"/>
      <c r="CH32" s="104"/>
      <c r="CI32" s="104"/>
      <c r="CJ32" s="104"/>
      <c r="CK32" s="104"/>
      <c r="CL32" s="104"/>
      <c r="CM32" s="104"/>
      <c r="CN32" s="104"/>
      <c r="CO32" s="104"/>
      <c r="CP32" s="104"/>
      <c r="CQ32" s="104"/>
      <c r="CR32" s="104"/>
      <c r="CS32" s="104"/>
      <c r="CT32" s="104"/>
      <c r="CU32" s="104"/>
      <c r="CV32" s="104"/>
      <c r="CW32" s="104"/>
      <c r="CX32" s="104"/>
      <c r="CY32" s="50" t="str">
        <f t="shared" si="29"/>
        <v>0</v>
      </c>
      <c r="CZ32" s="50" t="str">
        <f t="shared" si="30"/>
        <v>0</v>
      </c>
      <c r="DA32" s="50" t="str">
        <f t="shared" si="31"/>
        <v/>
      </c>
      <c r="DB32" s="55">
        <f t="shared" si="32"/>
        <v>0</v>
      </c>
      <c r="DC32" s="50" t="str">
        <f>TEXT('Feuille Saisie'!$B$4,"aaaa")</f>
        <v>2019</v>
      </c>
      <c r="DD32" s="50" t="str">
        <f>IF($J32="",TEXT('Feuille Saisie'!$B$4,"aaaa"),TEXT($J32,"aaaa"))</f>
        <v>2019</v>
      </c>
      <c r="DE32" s="50">
        <f t="shared" si="33"/>
        <v>0</v>
      </c>
      <c r="DF32" s="50">
        <f t="shared" si="34"/>
        <v>0</v>
      </c>
      <c r="DG32" s="106" t="str">
        <f>TEXT(IFERROR(VLOOKUP($C32,Données!$C$19:'Données'!$I$38,4,0),""),"aaaa")</f>
        <v/>
      </c>
      <c r="DH32" s="50">
        <f t="shared" si="35"/>
        <v>0</v>
      </c>
      <c r="DI32" s="50">
        <f t="shared" si="36"/>
        <v>1</v>
      </c>
      <c r="DJ32" s="50">
        <f t="shared" si="37"/>
        <v>0</v>
      </c>
      <c r="DK32" s="50">
        <f t="shared" si="38"/>
        <v>0</v>
      </c>
      <c r="DL32" s="50">
        <f t="shared" si="39"/>
        <v>0</v>
      </c>
      <c r="DM32" s="50" t="str">
        <f>IF($T32="",TEXT('Feuille Saisie'!$B$4,"aaaa"),TEXT($T32,"aaaa"))</f>
        <v>2019</v>
      </c>
      <c r="DN32" s="50">
        <f t="shared" si="40"/>
        <v>0</v>
      </c>
      <c r="DO32" s="50">
        <f t="shared" si="41"/>
        <v>0</v>
      </c>
      <c r="EA32" s="50" t="str">
        <f>IFERROR(VLOOKUP($C32,Données!$C$19:'Données'!$I$38,3,0),"")</f>
        <v/>
      </c>
      <c r="EB32" s="50" t="str">
        <f t="shared" si="42"/>
        <v xml:space="preserve"> </v>
      </c>
      <c r="EC32" s="50" t="str">
        <f t="shared" si="43"/>
        <v xml:space="preserve"> </v>
      </c>
      <c r="ED32" s="50" t="str">
        <f t="shared" si="44"/>
        <v xml:space="preserve"> </v>
      </c>
      <c r="EE32" s="50" t="str">
        <f t="shared" si="45"/>
        <v xml:space="preserve"> </v>
      </c>
      <c r="EF32" s="50" t="str">
        <f t="shared" si="46"/>
        <v xml:space="preserve"> </v>
      </c>
    </row>
    <row r="33" spans="1:136" ht="50.1" customHeight="1" x14ac:dyDescent="0.3">
      <c r="A33" s="1"/>
      <c r="B33" s="1"/>
      <c r="C33" s="90"/>
      <c r="D33" s="42">
        <f>IF(IF(ISNA(('Feuille Saisie'!$B$4-VLOOKUP($C33,Données!$C$19:'Données'!$I$38,4,0)))/365.24*100, ,('Feuille Saisie'!$B$4-VLOOKUP($C33,Données!$C$19:'Données'!$I$38,4,0))/365.24*100)&lt;100,IF(ISNA(('Feuille Saisie'!$B$4-VLOOKUP($C33,Données!$C$19:'Données'!$I$38,4,0)))/365.24*100, ,('Feuille Saisie'!$B$4-VLOOKUP($C33,Données!$C$19:'Données'!$I$38,4,0))/365.24*100),100)</f>
        <v>0</v>
      </c>
      <c r="E33" s="19"/>
      <c r="F33" s="43" t="str">
        <f>IF(ISNA(IF(AND($E33=0,VLOOKUP($C33,Données!$C$19:'Données'!$I$38,6,0)&lt;&gt;""),"0,00",IFERROR(IF(ISNA($E33/VLOOKUP($C33,Données!$C$19:'Données'!$I$38,6,0)), ,$E33/VLOOKUP($C33,Données!$C$19:'Données'!$I$38,6,0)),"/"))),"",IF(AND($E33=0,VLOOKUP($C33,Données!$C$19:'Données'!$I$38,6,0)&lt;&gt;""),"0,00",IFERROR(IF(ISNA($E33/VLOOKUP($C33,Données!$C$19:'Données'!$I$38,6,0)), ,$E33/VLOOKUP($C33,Données!$C$19:'Données'!$I$38,6,0)),"/")))</f>
        <v/>
      </c>
      <c r="G33" s="43" t="str">
        <f>IF(ISNA(IF(AND($E33=0,VLOOKUP($C33,Données!$C$19:'Données'!$I$38,7,0)&lt;&gt;""),"0,00",IFERROR(IF(ISNA($E33/VLOOKUP($C33,Données!$C$19:'Données'!$I$38,7,0)*100),,$E33/VLOOKUP($C33,Données!$C$19:'Données'!$I$38,7,0)*100),"/"))),"",IF(AND($E33=0,VLOOKUP($C33,Données!$C$19:'Données'!$I$38,7,0)&lt;&gt;""),"0,00",IFERROR(IF(ISNA($E33/VLOOKUP($C33,Données!$C$19:'Données'!$I$38,7,0)*100),,$E33/VLOOKUP($C33,Données!$C$19:'Données'!$I$38,7,0)*100),"/")))</f>
        <v/>
      </c>
      <c r="H33" s="33"/>
      <c r="I33" s="44" t="str">
        <f>IF($C33&lt;&gt;"",IF($E33=0,"/",IF(ISNA($H33-VLOOKUP($C33,Données!$C$19:'Données'!$I$38,4,0)), ,$H33-VLOOKUP($C33,Données!$C$19:'Données'!$I$38,4,0))),"")</f>
        <v/>
      </c>
      <c r="J33" s="33"/>
      <c r="K33" s="44" t="str">
        <f>IF($C33&lt;&gt;"",IF(ISNA($J33-VLOOKUP($C33,Données!$C$19:'Données'!$I$38,4,0)), ,$J33-VLOOKUP($C33,Données!$C$19:'Données'!$I$38,4,0)),"")</f>
        <v/>
      </c>
      <c r="L33" s="32"/>
      <c r="M33" s="19"/>
      <c r="N33" s="32"/>
      <c r="O33" s="19"/>
      <c r="P33" s="19"/>
      <c r="Q33" s="33"/>
      <c r="R33" s="44" t="str">
        <f>IF($C33&lt;&gt;"",IF($D33&lt;&gt;100,"/",IF(ISNA($Q33-VLOOKUP($C33,Données!$C$19:'Données'!$I$38,4,0)), ,$Q33-VLOOKUP($C33,Données!$C$19:'Données'!$I$38,4,0))),"")</f>
        <v/>
      </c>
      <c r="S33" s="38"/>
      <c r="T33" s="33"/>
      <c r="U33" s="44" t="str">
        <f>IF($C33&lt;&gt;"",IF($J33="","/",IF(ISNA($T33-VLOOKUP($C33,Données!$C$19:'Données'!$I$38,4,0)), ,$T33-VLOOKUP($C33,Données!$C$19:'Données'!$I$38,4,0))),"")</f>
        <v/>
      </c>
      <c r="V33" s="1"/>
      <c r="W33" s="1"/>
      <c r="X33" s="50"/>
      <c r="Y33" s="47" t="str">
        <f t="shared" si="0"/>
        <v/>
      </c>
      <c r="Z33" s="48" t="s">
        <v>39</v>
      </c>
      <c r="AA33" s="47" t="str">
        <f t="shared" si="1"/>
        <v/>
      </c>
      <c r="AB33" s="49" t="s">
        <v>40</v>
      </c>
      <c r="AC33" s="50">
        <f t="shared" si="2"/>
        <v>1</v>
      </c>
      <c r="AD33" s="50">
        <f t="shared" si="3"/>
        <v>1</v>
      </c>
      <c r="AE33" s="50">
        <f t="shared" si="4"/>
        <v>1</v>
      </c>
      <c r="AF33" s="50">
        <f t="shared" si="5"/>
        <v>1</v>
      </c>
      <c r="AG33" s="51">
        <f t="shared" si="6"/>
        <v>0</v>
      </c>
      <c r="AH33" s="55" t="str">
        <f>IF($C33="","",IFERROR(IF(ISNA(VLOOKUP($C33,Données!$C$19:'Données'!$I$38,6,0)), ,VLOOKUP($C33,Données!$C$19:'Données'!$I$38,6,0)),"/"))</f>
        <v/>
      </c>
      <c r="AI33" s="55" t="str">
        <f>IF($C33="","",IFERROR(IF(ISNA(VLOOKUP($C33,Données!$C$19:'Données'!$I$38,7,0)), ,VLOOKUP($C33,Données!$C$19:'Données'!$I$38,7,0)),"/"))</f>
        <v/>
      </c>
      <c r="AJ33" s="55" t="str">
        <f t="shared" si="7"/>
        <v/>
      </c>
      <c r="AK33" s="55">
        <f t="shared" si="8"/>
        <v>0</v>
      </c>
      <c r="AL33" s="55">
        <f t="shared" si="9"/>
        <v>0</v>
      </c>
      <c r="AM33" s="50" t="str">
        <f t="shared" si="10"/>
        <v/>
      </c>
      <c r="AN33" s="50">
        <f t="shared" si="11"/>
        <v>0</v>
      </c>
      <c r="AO33" s="50" t="str">
        <f t="shared" si="12"/>
        <v/>
      </c>
      <c r="AP33" s="55" t="str">
        <f t="shared" si="13"/>
        <v/>
      </c>
      <c r="AQ33" s="50">
        <f t="shared" si="14"/>
        <v>0</v>
      </c>
      <c r="AR33" s="50">
        <f t="shared" si="15"/>
        <v>0</v>
      </c>
      <c r="AS33" s="50">
        <f t="shared" si="16"/>
        <v>0</v>
      </c>
      <c r="AT33" s="50" t="str">
        <f>IFERROR(VLOOKUP($C33,Données!$C$19:'Données'!$I$38,3,0),"")</f>
        <v/>
      </c>
      <c r="AU33" s="50" t="str">
        <f t="shared" si="17"/>
        <v>0</v>
      </c>
      <c r="AV33" s="50">
        <f t="shared" si="18"/>
        <v>0</v>
      </c>
      <c r="AW33" s="50">
        <f t="shared" si="19"/>
        <v>0</v>
      </c>
      <c r="AX33" s="50">
        <f t="shared" si="20"/>
        <v>0</v>
      </c>
      <c r="AY33" s="50">
        <f t="shared" si="21"/>
        <v>0</v>
      </c>
      <c r="AZ33" s="50">
        <f t="shared" si="22"/>
        <v>0</v>
      </c>
      <c r="BA33" s="50">
        <f t="shared" si="23"/>
        <v>0</v>
      </c>
      <c r="BB33" s="50">
        <f t="shared" si="24"/>
        <v>0</v>
      </c>
      <c r="BC33" s="50">
        <f t="shared" si="25"/>
        <v>0</v>
      </c>
      <c r="BD33" s="50">
        <f t="shared" si="26"/>
        <v>0</v>
      </c>
      <c r="BE33" s="50">
        <f t="shared" si="27"/>
        <v>0</v>
      </c>
      <c r="BF33" s="50" t="str">
        <f>TEXT('Feuille Saisie'!$B$4,"aaaa")</f>
        <v>2019</v>
      </c>
      <c r="BG33" s="50" t="str">
        <f>IF($Q33="",TEXT('Feuille Saisie'!$B$4,"aaaa"),TEXT($Q33,"aaaa"))</f>
        <v>2019</v>
      </c>
      <c r="BH33" s="50">
        <f t="shared" si="28"/>
        <v>0</v>
      </c>
      <c r="BI33" s="39"/>
      <c r="BJ33" s="39"/>
      <c r="BK33" s="39"/>
      <c r="BL33" s="39"/>
      <c r="BM33" s="39"/>
      <c r="BN33" s="39"/>
      <c r="BO33" s="39"/>
      <c r="BP33" s="39"/>
      <c r="BQ33" s="39"/>
      <c r="BR33" s="39"/>
      <c r="BS33" s="39"/>
      <c r="BT33" s="39"/>
      <c r="BU33" s="39"/>
      <c r="BV33" s="104"/>
      <c r="BW33" s="104"/>
      <c r="BX33" s="104"/>
      <c r="BY33" s="104"/>
      <c r="BZ33" s="104"/>
      <c r="CA33" s="104"/>
      <c r="CB33" s="104"/>
      <c r="CC33" s="104"/>
      <c r="CD33" s="104"/>
      <c r="CE33" s="104"/>
      <c r="CF33" s="104"/>
      <c r="CG33" s="104"/>
      <c r="CH33" s="104"/>
      <c r="CI33" s="104"/>
      <c r="CJ33" s="104"/>
      <c r="CK33" s="104"/>
      <c r="CL33" s="104"/>
      <c r="CM33" s="104"/>
      <c r="CN33" s="104"/>
      <c r="CO33" s="104"/>
      <c r="CP33" s="104"/>
      <c r="CQ33" s="104"/>
      <c r="CR33" s="104"/>
      <c r="CS33" s="104"/>
      <c r="CT33" s="104"/>
      <c r="CU33" s="104"/>
      <c r="CV33" s="104"/>
      <c r="CW33" s="104"/>
      <c r="CX33" s="104"/>
      <c r="CY33" s="50" t="str">
        <f t="shared" si="29"/>
        <v>0</v>
      </c>
      <c r="CZ33" s="50" t="str">
        <f t="shared" si="30"/>
        <v>0</v>
      </c>
      <c r="DA33" s="50" t="str">
        <f t="shared" si="31"/>
        <v/>
      </c>
      <c r="DB33" s="55">
        <f t="shared" si="32"/>
        <v>0</v>
      </c>
      <c r="DC33" s="50" t="str">
        <f>TEXT('Feuille Saisie'!$B$4,"aaaa")</f>
        <v>2019</v>
      </c>
      <c r="DD33" s="50" t="str">
        <f>IF($J33="",TEXT('Feuille Saisie'!$B$4,"aaaa"),TEXT($J33,"aaaa"))</f>
        <v>2019</v>
      </c>
      <c r="DE33" s="50">
        <f t="shared" si="33"/>
        <v>0</v>
      </c>
      <c r="DF33" s="50">
        <f t="shared" si="34"/>
        <v>0</v>
      </c>
      <c r="DG33" s="106" t="str">
        <f>TEXT(IFERROR(VLOOKUP($C33,Données!$C$19:'Données'!$I$38,4,0),""),"aaaa")</f>
        <v/>
      </c>
      <c r="DH33" s="50">
        <f t="shared" si="35"/>
        <v>0</v>
      </c>
      <c r="DI33" s="50">
        <f t="shared" si="36"/>
        <v>1</v>
      </c>
      <c r="DJ33" s="50">
        <f t="shared" si="37"/>
        <v>0</v>
      </c>
      <c r="DK33" s="50">
        <f t="shared" si="38"/>
        <v>0</v>
      </c>
      <c r="DL33" s="50">
        <f t="shared" si="39"/>
        <v>0</v>
      </c>
      <c r="DM33" s="50" t="str">
        <f>IF($T33="",TEXT('Feuille Saisie'!$B$4,"aaaa"),TEXT($T33,"aaaa"))</f>
        <v>2019</v>
      </c>
      <c r="DN33" s="50">
        <f t="shared" si="40"/>
        <v>0</v>
      </c>
      <c r="DO33" s="50">
        <f t="shared" si="41"/>
        <v>0</v>
      </c>
      <c r="EA33" s="50" t="str">
        <f>IFERROR(VLOOKUP($C33,Données!$C$19:'Données'!$I$38,3,0),"")</f>
        <v/>
      </c>
      <c r="EB33" s="50" t="str">
        <f t="shared" si="42"/>
        <v xml:space="preserve"> </v>
      </c>
      <c r="EC33" s="50" t="str">
        <f t="shared" si="43"/>
        <v xml:space="preserve"> </v>
      </c>
      <c r="ED33" s="50" t="str">
        <f t="shared" si="44"/>
        <v xml:space="preserve"> </v>
      </c>
      <c r="EE33" s="50" t="str">
        <f t="shared" si="45"/>
        <v xml:space="preserve"> </v>
      </c>
      <c r="EF33" s="50" t="str">
        <f t="shared" si="46"/>
        <v xml:space="preserve"> </v>
      </c>
    </row>
    <row r="34" spans="1:136" ht="50.1" customHeight="1" x14ac:dyDescent="0.3">
      <c r="A34" s="1"/>
      <c r="B34" s="1"/>
      <c r="C34" s="90"/>
      <c r="D34" s="42">
        <f>IF(IF(ISNA(('Feuille Saisie'!$B$4-VLOOKUP($C34,Données!$C$19:'Données'!$I$38,4,0)))/365.24*100, ,('Feuille Saisie'!$B$4-VLOOKUP($C34,Données!$C$19:'Données'!$I$38,4,0))/365.24*100)&lt;100,IF(ISNA(('Feuille Saisie'!$B$4-VLOOKUP($C34,Données!$C$19:'Données'!$I$38,4,0)))/365.24*100, ,('Feuille Saisie'!$B$4-VLOOKUP($C34,Données!$C$19:'Données'!$I$38,4,0))/365.24*100),100)</f>
        <v>0</v>
      </c>
      <c r="E34" s="19"/>
      <c r="F34" s="43" t="str">
        <f>IF(ISNA(IF(AND($E34=0,VLOOKUP($C34,Données!$C$19:'Données'!$I$38,6,0)&lt;&gt;""),"0,00",IFERROR(IF(ISNA($E34/VLOOKUP($C34,Données!$C$19:'Données'!$I$38,6,0)), ,$E34/VLOOKUP($C34,Données!$C$19:'Données'!$I$38,6,0)),"/"))),"",IF(AND($E34=0,VLOOKUP($C34,Données!$C$19:'Données'!$I$38,6,0)&lt;&gt;""),"0,00",IFERROR(IF(ISNA($E34/VLOOKUP($C34,Données!$C$19:'Données'!$I$38,6,0)), ,$E34/VLOOKUP($C34,Données!$C$19:'Données'!$I$38,6,0)),"/")))</f>
        <v/>
      </c>
      <c r="G34" s="43" t="str">
        <f>IF(ISNA(IF(AND($E34=0,VLOOKUP($C34,Données!$C$19:'Données'!$I$38,7,0)&lt;&gt;""),"0,00",IFERROR(IF(ISNA($E34/VLOOKUP($C34,Données!$C$19:'Données'!$I$38,7,0)*100),,$E34/VLOOKUP($C34,Données!$C$19:'Données'!$I$38,7,0)*100),"/"))),"",IF(AND($E34=0,VLOOKUP($C34,Données!$C$19:'Données'!$I$38,7,0)&lt;&gt;""),"0,00",IFERROR(IF(ISNA($E34/VLOOKUP($C34,Données!$C$19:'Données'!$I$38,7,0)*100),,$E34/VLOOKUP($C34,Données!$C$19:'Données'!$I$38,7,0)*100),"/")))</f>
        <v/>
      </c>
      <c r="H34" s="33"/>
      <c r="I34" s="44" t="str">
        <f>IF($C34&lt;&gt;"",IF($E34=0,"/",IF(ISNA($H34-VLOOKUP($C34,Données!$C$19:'Données'!$I$38,4,0)), ,$H34-VLOOKUP($C34,Données!$C$19:'Données'!$I$38,4,0))),"")</f>
        <v/>
      </c>
      <c r="J34" s="33"/>
      <c r="K34" s="44" t="str">
        <f>IF($C34&lt;&gt;"",IF(ISNA($J34-VLOOKUP($C34,Données!$C$19:'Données'!$I$38,4,0)), ,$J34-VLOOKUP($C34,Données!$C$19:'Données'!$I$38,4,0)),"")</f>
        <v/>
      </c>
      <c r="L34" s="32"/>
      <c r="M34" s="19"/>
      <c r="N34" s="32"/>
      <c r="O34" s="19"/>
      <c r="P34" s="19"/>
      <c r="Q34" s="33"/>
      <c r="R34" s="44" t="str">
        <f>IF($C34&lt;&gt;"",IF($D34&lt;&gt;100,"/",IF(ISNA($Q34-VLOOKUP($C34,Données!$C$19:'Données'!$I$38,4,0)), ,$Q34-VLOOKUP($C34,Données!$C$19:'Données'!$I$38,4,0))),"")</f>
        <v/>
      </c>
      <c r="S34" s="38"/>
      <c r="T34" s="33"/>
      <c r="U34" s="44" t="str">
        <f>IF($C34&lt;&gt;"",IF($J34="","/",IF(ISNA($T34-VLOOKUP($C34,Données!$C$19:'Données'!$I$38,4,0)), ,$T34-VLOOKUP($C34,Données!$C$19:'Données'!$I$38,4,0))),"")</f>
        <v/>
      </c>
      <c r="V34" s="1"/>
      <c r="W34" s="1"/>
      <c r="X34" s="50"/>
      <c r="Y34" s="47" t="str">
        <f t="shared" si="0"/>
        <v/>
      </c>
      <c r="Z34" s="48" t="s">
        <v>39</v>
      </c>
      <c r="AA34" s="47" t="str">
        <f t="shared" si="1"/>
        <v/>
      </c>
      <c r="AB34" s="49" t="s">
        <v>40</v>
      </c>
      <c r="AC34" s="50">
        <f t="shared" si="2"/>
        <v>1</v>
      </c>
      <c r="AD34" s="50">
        <f t="shared" si="3"/>
        <v>1</v>
      </c>
      <c r="AE34" s="50">
        <f t="shared" si="4"/>
        <v>1</v>
      </c>
      <c r="AF34" s="50">
        <f t="shared" si="5"/>
        <v>1</v>
      </c>
      <c r="AG34" s="51">
        <f t="shared" si="6"/>
        <v>0</v>
      </c>
      <c r="AH34" s="55" t="str">
        <f>IF($C34="","",IFERROR(IF(ISNA(VLOOKUP($C34,Données!$C$19:'Données'!$I$38,6,0)), ,VLOOKUP($C34,Données!$C$19:'Données'!$I$38,6,0)),"/"))</f>
        <v/>
      </c>
      <c r="AI34" s="55" t="str">
        <f>IF($C34="","",IFERROR(IF(ISNA(VLOOKUP($C34,Données!$C$19:'Données'!$I$38,7,0)), ,VLOOKUP($C34,Données!$C$19:'Données'!$I$38,7,0)),"/"))</f>
        <v/>
      </c>
      <c r="AJ34" s="55" t="str">
        <f t="shared" si="7"/>
        <v/>
      </c>
      <c r="AK34" s="55">
        <f t="shared" si="8"/>
        <v>0</v>
      </c>
      <c r="AL34" s="55">
        <f t="shared" si="9"/>
        <v>0</v>
      </c>
      <c r="AM34" s="50" t="str">
        <f t="shared" si="10"/>
        <v/>
      </c>
      <c r="AN34" s="50">
        <f t="shared" si="11"/>
        <v>0</v>
      </c>
      <c r="AO34" s="50" t="str">
        <f t="shared" si="12"/>
        <v/>
      </c>
      <c r="AP34" s="55" t="str">
        <f t="shared" si="13"/>
        <v/>
      </c>
      <c r="AQ34" s="50">
        <f t="shared" si="14"/>
        <v>0</v>
      </c>
      <c r="AR34" s="50">
        <f t="shared" si="15"/>
        <v>0</v>
      </c>
      <c r="AS34" s="50">
        <f t="shared" si="16"/>
        <v>0</v>
      </c>
      <c r="AT34" s="50" t="str">
        <f>IFERROR(VLOOKUP($C34,Données!$C$19:'Données'!$I$38,3,0),"")</f>
        <v/>
      </c>
      <c r="AU34" s="50" t="str">
        <f t="shared" si="17"/>
        <v>0</v>
      </c>
      <c r="AV34" s="50">
        <f t="shared" si="18"/>
        <v>0</v>
      </c>
      <c r="AW34" s="50">
        <f t="shared" si="19"/>
        <v>0</v>
      </c>
      <c r="AX34" s="50">
        <f t="shared" si="20"/>
        <v>0</v>
      </c>
      <c r="AY34" s="50">
        <f t="shared" si="21"/>
        <v>0</v>
      </c>
      <c r="AZ34" s="50">
        <f t="shared" si="22"/>
        <v>0</v>
      </c>
      <c r="BA34" s="50">
        <f t="shared" si="23"/>
        <v>0</v>
      </c>
      <c r="BB34" s="50">
        <f t="shared" si="24"/>
        <v>0</v>
      </c>
      <c r="BC34" s="50">
        <f t="shared" si="25"/>
        <v>0</v>
      </c>
      <c r="BD34" s="50">
        <f t="shared" si="26"/>
        <v>0</v>
      </c>
      <c r="BE34" s="50">
        <f t="shared" si="27"/>
        <v>0</v>
      </c>
      <c r="BF34" s="50" t="str">
        <f>TEXT('Feuille Saisie'!$B$4,"aaaa")</f>
        <v>2019</v>
      </c>
      <c r="BG34" s="50" t="str">
        <f>IF($Q34="",TEXT('Feuille Saisie'!$B$4,"aaaa"),TEXT($Q34,"aaaa"))</f>
        <v>2019</v>
      </c>
      <c r="BH34" s="50">
        <f t="shared" si="28"/>
        <v>0</v>
      </c>
      <c r="BI34" s="39"/>
      <c r="BJ34" s="39"/>
      <c r="BK34" s="39"/>
      <c r="BL34" s="39"/>
      <c r="BM34" s="39"/>
      <c r="BN34" s="39"/>
      <c r="BO34" s="39"/>
      <c r="BP34" s="39"/>
      <c r="BQ34" s="39"/>
      <c r="BR34" s="39"/>
      <c r="BS34" s="39"/>
      <c r="BT34" s="39"/>
      <c r="BU34" s="39"/>
      <c r="BV34" s="104"/>
      <c r="BW34" s="104"/>
      <c r="BX34" s="104"/>
      <c r="BY34" s="104"/>
      <c r="BZ34" s="104"/>
      <c r="CA34" s="104"/>
      <c r="CB34" s="104"/>
      <c r="CC34" s="104"/>
      <c r="CD34" s="104"/>
      <c r="CE34" s="104"/>
      <c r="CF34" s="104"/>
      <c r="CG34" s="104"/>
      <c r="CH34" s="104"/>
      <c r="CI34" s="104"/>
      <c r="CJ34" s="104"/>
      <c r="CK34" s="104"/>
      <c r="CL34" s="104"/>
      <c r="CM34" s="104"/>
      <c r="CN34" s="104"/>
      <c r="CO34" s="104"/>
      <c r="CP34" s="104"/>
      <c r="CQ34" s="104"/>
      <c r="CR34" s="104"/>
      <c r="CS34" s="104"/>
      <c r="CT34" s="104"/>
      <c r="CU34" s="104"/>
      <c r="CV34" s="104"/>
      <c r="CW34" s="104"/>
      <c r="CX34" s="104"/>
      <c r="CY34" s="50" t="str">
        <f t="shared" si="29"/>
        <v>0</v>
      </c>
      <c r="CZ34" s="50" t="str">
        <f t="shared" si="30"/>
        <v>0</v>
      </c>
      <c r="DA34" s="50" t="str">
        <f t="shared" si="31"/>
        <v/>
      </c>
      <c r="DB34" s="55">
        <f t="shared" si="32"/>
        <v>0</v>
      </c>
      <c r="DC34" s="50" t="str">
        <f>TEXT('Feuille Saisie'!$B$4,"aaaa")</f>
        <v>2019</v>
      </c>
      <c r="DD34" s="50" t="str">
        <f>IF($J34="",TEXT('Feuille Saisie'!$B$4,"aaaa"),TEXT($J34,"aaaa"))</f>
        <v>2019</v>
      </c>
      <c r="DE34" s="50">
        <f t="shared" si="33"/>
        <v>0</v>
      </c>
      <c r="DF34" s="50">
        <f t="shared" si="34"/>
        <v>0</v>
      </c>
      <c r="DG34" s="106" t="str">
        <f>TEXT(IFERROR(VLOOKUP($C34,Données!$C$19:'Données'!$I$38,4,0),""),"aaaa")</f>
        <v/>
      </c>
      <c r="DH34" s="50">
        <f t="shared" si="35"/>
        <v>0</v>
      </c>
      <c r="DI34" s="50">
        <f t="shared" si="36"/>
        <v>1</v>
      </c>
      <c r="DJ34" s="50">
        <f t="shared" si="37"/>
        <v>0</v>
      </c>
      <c r="DK34" s="50">
        <f t="shared" si="38"/>
        <v>0</v>
      </c>
      <c r="DL34" s="50">
        <f t="shared" si="39"/>
        <v>0</v>
      </c>
      <c r="DM34" s="50" t="str">
        <f>IF($T34="",TEXT('Feuille Saisie'!$B$4,"aaaa"),TEXT($T34,"aaaa"))</f>
        <v>2019</v>
      </c>
      <c r="DN34" s="50">
        <f t="shared" si="40"/>
        <v>0</v>
      </c>
      <c r="DO34" s="50">
        <f t="shared" si="41"/>
        <v>0</v>
      </c>
      <c r="EA34" s="50" t="str">
        <f>IFERROR(VLOOKUP($C34,Données!$C$19:'Données'!$I$38,3,0),"")</f>
        <v/>
      </c>
      <c r="EB34" s="50" t="str">
        <f t="shared" si="42"/>
        <v xml:space="preserve"> </v>
      </c>
      <c r="EC34" s="50" t="str">
        <f t="shared" si="43"/>
        <v xml:space="preserve"> </v>
      </c>
      <c r="ED34" s="50" t="str">
        <f t="shared" si="44"/>
        <v xml:space="preserve"> </v>
      </c>
      <c r="EE34" s="50" t="str">
        <f t="shared" si="45"/>
        <v xml:space="preserve"> </v>
      </c>
      <c r="EF34" s="50" t="str">
        <f t="shared" si="46"/>
        <v xml:space="preserve"> </v>
      </c>
    </row>
    <row r="35" spans="1:136" ht="50.1" customHeight="1" x14ac:dyDescent="0.3">
      <c r="A35" s="1"/>
      <c r="B35" s="1"/>
      <c r="C35" s="90"/>
      <c r="D35" s="42">
        <f>IF(IF(ISNA(('Feuille Saisie'!$B$4-VLOOKUP($C35,Données!$C$19:'Données'!$I$38,4,0)))/365.24*100, ,('Feuille Saisie'!$B$4-VLOOKUP($C35,Données!$C$19:'Données'!$I$38,4,0))/365.24*100)&lt;100,IF(ISNA(('Feuille Saisie'!$B$4-VLOOKUP($C35,Données!$C$19:'Données'!$I$38,4,0)))/365.24*100, ,('Feuille Saisie'!$B$4-VLOOKUP($C35,Données!$C$19:'Données'!$I$38,4,0))/365.24*100),100)</f>
        <v>0</v>
      </c>
      <c r="E35" s="19"/>
      <c r="F35" s="43" t="str">
        <f>IF(ISNA(IF(AND($E35=0,VLOOKUP($C35,Données!$C$19:'Données'!$I$38,6,0)&lt;&gt;""),"0,00",IFERROR(IF(ISNA($E35/VLOOKUP($C35,Données!$C$19:'Données'!$I$38,6,0)), ,$E35/VLOOKUP($C35,Données!$C$19:'Données'!$I$38,6,0)),"/"))),"",IF(AND($E35=0,VLOOKUP($C35,Données!$C$19:'Données'!$I$38,6,0)&lt;&gt;""),"0,00",IFERROR(IF(ISNA($E35/VLOOKUP($C35,Données!$C$19:'Données'!$I$38,6,0)), ,$E35/VLOOKUP($C35,Données!$C$19:'Données'!$I$38,6,0)),"/")))</f>
        <v/>
      </c>
      <c r="G35" s="43" t="str">
        <f>IF(ISNA(IF(AND($E35=0,VLOOKUP($C35,Données!$C$19:'Données'!$I$38,7,0)&lt;&gt;""),"0,00",IFERROR(IF(ISNA($E35/VLOOKUP($C35,Données!$C$19:'Données'!$I$38,7,0)*100),,$E35/VLOOKUP($C35,Données!$C$19:'Données'!$I$38,7,0)*100),"/"))),"",IF(AND($E35=0,VLOOKUP($C35,Données!$C$19:'Données'!$I$38,7,0)&lt;&gt;""),"0,00",IFERROR(IF(ISNA($E35/VLOOKUP($C35,Données!$C$19:'Données'!$I$38,7,0)*100),,$E35/VLOOKUP($C35,Données!$C$19:'Données'!$I$38,7,0)*100),"/")))</f>
        <v/>
      </c>
      <c r="H35" s="33"/>
      <c r="I35" s="44" t="str">
        <f>IF($C35&lt;&gt;"",IF($E35=0,"/",IF(ISNA($H35-VLOOKUP($C35,Données!$C$19:'Données'!$I$38,4,0)), ,$H35-VLOOKUP($C35,Données!$C$19:'Données'!$I$38,4,0))),"")</f>
        <v/>
      </c>
      <c r="J35" s="33"/>
      <c r="K35" s="44" t="str">
        <f>IF($C35&lt;&gt;"",IF(ISNA($J35-VLOOKUP($C35,Données!$C$19:'Données'!$I$38,4,0)), ,$J35-VLOOKUP($C35,Données!$C$19:'Données'!$I$38,4,0)),"")</f>
        <v/>
      </c>
      <c r="L35" s="32"/>
      <c r="M35" s="19"/>
      <c r="N35" s="32"/>
      <c r="O35" s="19"/>
      <c r="P35" s="19"/>
      <c r="Q35" s="33"/>
      <c r="R35" s="44" t="str">
        <f>IF($C35&lt;&gt;"",IF($D35&lt;&gt;100,"/",IF(ISNA($Q35-VLOOKUP($C35,Données!$C$19:'Données'!$I$38,4,0)), ,$Q35-VLOOKUP($C35,Données!$C$19:'Données'!$I$38,4,0))),"")</f>
        <v/>
      </c>
      <c r="S35" s="38"/>
      <c r="T35" s="33"/>
      <c r="U35" s="44" t="str">
        <f>IF($C35&lt;&gt;"",IF($J35="","/",IF(ISNA($T35-VLOOKUP($C35,Données!$C$19:'Données'!$I$38,4,0)), ,$T35-VLOOKUP($C35,Données!$C$19:'Données'!$I$38,4,0))),"")</f>
        <v/>
      </c>
      <c r="V35" s="1"/>
      <c r="W35" s="1"/>
      <c r="X35" s="50"/>
      <c r="Y35" s="47" t="str">
        <f t="shared" si="0"/>
        <v/>
      </c>
      <c r="Z35" s="48" t="s">
        <v>39</v>
      </c>
      <c r="AA35" s="47" t="str">
        <f t="shared" si="1"/>
        <v/>
      </c>
      <c r="AB35" s="49" t="s">
        <v>40</v>
      </c>
      <c r="AC35" s="50">
        <f t="shared" si="2"/>
        <v>1</v>
      </c>
      <c r="AD35" s="50">
        <f t="shared" si="3"/>
        <v>1</v>
      </c>
      <c r="AE35" s="50">
        <f t="shared" si="4"/>
        <v>1</v>
      </c>
      <c r="AF35" s="50">
        <f t="shared" si="5"/>
        <v>1</v>
      </c>
      <c r="AG35" s="51">
        <f t="shared" si="6"/>
        <v>0</v>
      </c>
      <c r="AH35" s="55" t="str">
        <f>IF($C35="","",IFERROR(IF(ISNA(VLOOKUP($C35,Données!$C$19:'Données'!$I$38,6,0)), ,VLOOKUP($C35,Données!$C$19:'Données'!$I$38,6,0)),"/"))</f>
        <v/>
      </c>
      <c r="AI35" s="55" t="str">
        <f>IF($C35="","",IFERROR(IF(ISNA(VLOOKUP($C35,Données!$C$19:'Données'!$I$38,7,0)), ,VLOOKUP($C35,Données!$C$19:'Données'!$I$38,7,0)),"/"))</f>
        <v/>
      </c>
      <c r="AJ35" s="55" t="str">
        <f t="shared" si="7"/>
        <v/>
      </c>
      <c r="AK35" s="55">
        <f t="shared" si="8"/>
        <v>0</v>
      </c>
      <c r="AL35" s="55">
        <f t="shared" si="9"/>
        <v>0</v>
      </c>
      <c r="AM35" s="50" t="str">
        <f t="shared" si="10"/>
        <v/>
      </c>
      <c r="AN35" s="50">
        <f t="shared" si="11"/>
        <v>0</v>
      </c>
      <c r="AO35" s="50" t="str">
        <f t="shared" si="12"/>
        <v/>
      </c>
      <c r="AP35" s="55" t="str">
        <f t="shared" si="13"/>
        <v/>
      </c>
      <c r="AQ35" s="50">
        <f t="shared" si="14"/>
        <v>0</v>
      </c>
      <c r="AR35" s="50">
        <f t="shared" si="15"/>
        <v>0</v>
      </c>
      <c r="AS35" s="50">
        <f t="shared" si="16"/>
        <v>0</v>
      </c>
      <c r="AT35" s="50" t="str">
        <f>IFERROR(VLOOKUP($C35,Données!$C$19:'Données'!$I$38,3,0),"")</f>
        <v/>
      </c>
      <c r="AU35" s="50" t="str">
        <f t="shared" si="17"/>
        <v>0</v>
      </c>
      <c r="AV35" s="50">
        <f t="shared" si="18"/>
        <v>0</v>
      </c>
      <c r="AW35" s="50">
        <f t="shared" si="19"/>
        <v>0</v>
      </c>
      <c r="AX35" s="50">
        <f t="shared" si="20"/>
        <v>0</v>
      </c>
      <c r="AY35" s="50">
        <f t="shared" si="21"/>
        <v>0</v>
      </c>
      <c r="AZ35" s="50">
        <f t="shared" si="22"/>
        <v>0</v>
      </c>
      <c r="BA35" s="50">
        <f t="shared" si="23"/>
        <v>0</v>
      </c>
      <c r="BB35" s="50">
        <f t="shared" si="24"/>
        <v>0</v>
      </c>
      <c r="BC35" s="50">
        <f t="shared" si="25"/>
        <v>0</v>
      </c>
      <c r="BD35" s="50">
        <f t="shared" si="26"/>
        <v>0</v>
      </c>
      <c r="BE35" s="50">
        <f t="shared" si="27"/>
        <v>0</v>
      </c>
      <c r="BF35" s="50" t="str">
        <f>TEXT('Feuille Saisie'!$B$4,"aaaa")</f>
        <v>2019</v>
      </c>
      <c r="BG35" s="50" t="str">
        <f>IF($Q35="",TEXT('Feuille Saisie'!$B$4,"aaaa"),TEXT($Q35,"aaaa"))</f>
        <v>2019</v>
      </c>
      <c r="BH35" s="50">
        <f t="shared" si="28"/>
        <v>0</v>
      </c>
      <c r="BI35" s="39"/>
      <c r="BJ35" s="39"/>
      <c r="BK35" s="39"/>
      <c r="BL35" s="39"/>
      <c r="BM35" s="39"/>
      <c r="BN35" s="39"/>
      <c r="BO35" s="39"/>
      <c r="BP35" s="39"/>
      <c r="BQ35" s="39"/>
      <c r="BR35" s="39"/>
      <c r="BS35" s="39"/>
      <c r="BT35" s="39"/>
      <c r="BU35" s="39"/>
      <c r="BV35" s="104"/>
      <c r="BW35" s="104"/>
      <c r="BX35" s="104"/>
      <c r="BY35" s="104"/>
      <c r="BZ35" s="104"/>
      <c r="CA35" s="104"/>
      <c r="CB35" s="104"/>
      <c r="CC35" s="104"/>
      <c r="CD35" s="104"/>
      <c r="CE35" s="104"/>
      <c r="CF35" s="104"/>
      <c r="CG35" s="104"/>
      <c r="CH35" s="104"/>
      <c r="CI35" s="104"/>
      <c r="CJ35" s="104"/>
      <c r="CK35" s="104"/>
      <c r="CL35" s="104"/>
      <c r="CM35" s="104"/>
      <c r="CN35" s="104"/>
      <c r="CO35" s="104"/>
      <c r="CP35" s="104"/>
      <c r="CQ35" s="104"/>
      <c r="CR35" s="104"/>
      <c r="CS35" s="104"/>
      <c r="CT35" s="104"/>
      <c r="CU35" s="104"/>
      <c r="CV35" s="104"/>
      <c r="CW35" s="104"/>
      <c r="CX35" s="104"/>
      <c r="CY35" s="50" t="str">
        <f t="shared" si="29"/>
        <v>0</v>
      </c>
      <c r="CZ35" s="50" t="str">
        <f t="shared" si="30"/>
        <v>0</v>
      </c>
      <c r="DA35" s="50" t="str">
        <f t="shared" si="31"/>
        <v/>
      </c>
      <c r="DB35" s="55">
        <f t="shared" si="32"/>
        <v>0</v>
      </c>
      <c r="DC35" s="50" t="str">
        <f>TEXT('Feuille Saisie'!$B$4,"aaaa")</f>
        <v>2019</v>
      </c>
      <c r="DD35" s="50" t="str">
        <f>IF($J35="",TEXT('Feuille Saisie'!$B$4,"aaaa"),TEXT($J35,"aaaa"))</f>
        <v>2019</v>
      </c>
      <c r="DE35" s="50">
        <f t="shared" si="33"/>
        <v>0</v>
      </c>
      <c r="DF35" s="50">
        <f t="shared" si="34"/>
        <v>0</v>
      </c>
      <c r="DG35" s="106" t="str">
        <f>TEXT(IFERROR(VLOOKUP($C35,Données!$C$19:'Données'!$I$38,4,0),""),"aaaa")</f>
        <v/>
      </c>
      <c r="DH35" s="50">
        <f t="shared" si="35"/>
        <v>0</v>
      </c>
      <c r="DI35" s="50">
        <f t="shared" si="36"/>
        <v>1</v>
      </c>
      <c r="DJ35" s="50">
        <f t="shared" si="37"/>
        <v>0</v>
      </c>
      <c r="DK35" s="50">
        <f t="shared" si="38"/>
        <v>0</v>
      </c>
      <c r="DL35" s="50">
        <f t="shared" si="39"/>
        <v>0</v>
      </c>
      <c r="DM35" s="50" t="str">
        <f>IF($T35="",TEXT('Feuille Saisie'!$B$4,"aaaa"),TEXT($T35,"aaaa"))</f>
        <v>2019</v>
      </c>
      <c r="DN35" s="50">
        <f t="shared" si="40"/>
        <v>0</v>
      </c>
      <c r="DO35" s="50">
        <f t="shared" si="41"/>
        <v>0</v>
      </c>
      <c r="EA35" s="50" t="str">
        <f>IFERROR(VLOOKUP($C35,Données!$C$19:'Données'!$I$38,3,0),"")</f>
        <v/>
      </c>
      <c r="EB35" s="50" t="str">
        <f t="shared" si="42"/>
        <v xml:space="preserve"> </v>
      </c>
      <c r="EC35" s="50" t="str">
        <f t="shared" si="43"/>
        <v xml:space="preserve"> </v>
      </c>
      <c r="ED35" s="50" t="str">
        <f t="shared" si="44"/>
        <v xml:space="preserve"> </v>
      </c>
      <c r="EE35" s="50" t="str">
        <f t="shared" si="45"/>
        <v xml:space="preserve"> </v>
      </c>
      <c r="EF35" s="50" t="str">
        <f t="shared" si="46"/>
        <v xml:space="preserve"> </v>
      </c>
    </row>
    <row r="36" spans="1:136" ht="50.1" customHeight="1" x14ac:dyDescent="0.3">
      <c r="A36" s="1"/>
      <c r="B36" s="1"/>
      <c r="C36" s="15"/>
      <c r="D36" s="42">
        <f>IF(IF(ISNA(('Feuille Saisie'!$B$4-VLOOKUP($C36,Données!$C$19:'Données'!$I$38,4,0)))/365.24*100, ,('Feuille Saisie'!$B$4-VLOOKUP($C36,Données!$C$19:'Données'!$I$38,4,0))/365.24*100)&lt;100,IF(ISNA(('Feuille Saisie'!$B$4-VLOOKUP($C36,Données!$C$19:'Données'!$I$38,4,0)))/365.24*100, ,('Feuille Saisie'!$B$4-VLOOKUP($C36,Données!$C$19:'Données'!$I$38,4,0))/365.24*100),100)</f>
        <v>0</v>
      </c>
      <c r="E36" s="19"/>
      <c r="F36" s="43" t="str">
        <f>IF(ISNA(IF(AND($E36=0,VLOOKUP($C36,Données!$C$19:'Données'!$I$38,6,0)&lt;&gt;""),"0,00",IFERROR(IF(ISNA($E36/VLOOKUP($C36,Données!$C$19:'Données'!$I$38,6,0)), ,$E36/VLOOKUP($C36,Données!$C$19:'Données'!$I$38,6,0)),"/"))),"",IF(AND($E36=0,VLOOKUP($C36,Données!$C$19:'Données'!$I$38,6,0)&lt;&gt;""),"0,00",IFERROR(IF(ISNA($E36/VLOOKUP($C36,Données!$C$19:'Données'!$I$38,6,0)), ,$E36/VLOOKUP($C36,Données!$C$19:'Données'!$I$38,6,0)),"/")))</f>
        <v/>
      </c>
      <c r="G36" s="43" t="str">
        <f>IF(ISNA(IF(AND($E36=0,VLOOKUP($C36,Données!$C$19:'Données'!$I$38,7,0)&lt;&gt;""),"0,00",IFERROR(IF(ISNA($E36/VLOOKUP($C36,Données!$C$19:'Données'!$I$38,7,0)*100),,$E36/VLOOKUP($C36,Données!$C$19:'Données'!$I$38,7,0)*100),"/"))),"",IF(AND($E36=0,VLOOKUP($C36,Données!$C$19:'Données'!$I$38,7,0)&lt;&gt;""),"0,00",IFERROR(IF(ISNA($E36/VLOOKUP($C36,Données!$C$19:'Données'!$I$38,7,0)*100),,$E36/VLOOKUP($C36,Données!$C$19:'Données'!$I$38,7,0)*100),"/")))</f>
        <v/>
      </c>
      <c r="H36" s="33"/>
      <c r="I36" s="44" t="str">
        <f>IF($C36&lt;&gt;"",IF($E36=0,"/",IF(ISNA($H36-VLOOKUP($C36,Données!$C$19:'Données'!$I$38,4,0)), ,$H36-VLOOKUP($C36,Données!$C$19:'Données'!$I$38,4,0))),"")</f>
        <v/>
      </c>
      <c r="J36" s="33"/>
      <c r="K36" s="44" t="str">
        <f>IF($C36&lt;&gt;"",IF(ISNA($J36-VLOOKUP($C36,Données!$C$19:'Données'!$I$38,4,0)), ,$J36-VLOOKUP($C36,Données!$C$19:'Données'!$I$38,4,0)),"")</f>
        <v/>
      </c>
      <c r="L36" s="32"/>
      <c r="M36" s="19"/>
      <c r="N36" s="31"/>
      <c r="O36" s="103"/>
      <c r="P36" s="103"/>
      <c r="Q36" s="33"/>
      <c r="R36" s="44" t="str">
        <f>IF($C36&lt;&gt;"",IF($D36&lt;&gt;100,"/",IF(ISNA($Q36-VLOOKUP($C36,Données!$C$19:'Données'!$I$38,4,0)), ,$Q36-VLOOKUP($C36,Données!$C$19:'Données'!$I$38,4,0))),"")</f>
        <v/>
      </c>
      <c r="S36" s="38"/>
      <c r="T36" s="33"/>
      <c r="U36" s="44" t="str">
        <f>IF($C36&lt;&gt;"",IF($J36="","/",IF(ISNA($T36-VLOOKUP($C36,Données!$C$19:'Données'!$I$38,4,0)), ,$T36-VLOOKUP($C36,Données!$C$19:'Données'!$I$38,4,0))),"")</f>
        <v/>
      </c>
      <c r="V36" s="1"/>
      <c r="W36" s="1"/>
      <c r="X36" s="50"/>
      <c r="Y36" s="47" t="str">
        <f t="shared" si="0"/>
        <v/>
      </c>
      <c r="Z36" s="48" t="s">
        <v>39</v>
      </c>
      <c r="AA36" s="47" t="str">
        <f t="shared" si="1"/>
        <v/>
      </c>
      <c r="AB36" s="49" t="s">
        <v>40</v>
      </c>
      <c r="AC36" s="50">
        <f t="shared" si="2"/>
        <v>1</v>
      </c>
      <c r="AD36" s="50">
        <f t="shared" si="3"/>
        <v>1</v>
      </c>
      <c r="AE36" s="50">
        <f t="shared" si="4"/>
        <v>1</v>
      </c>
      <c r="AF36" s="50">
        <f t="shared" si="5"/>
        <v>1</v>
      </c>
      <c r="AG36" s="51">
        <f t="shared" si="6"/>
        <v>0</v>
      </c>
      <c r="AH36" s="55" t="str">
        <f>IF($C36="","",IFERROR(IF(ISNA(VLOOKUP($C36,Données!$C$19:'Données'!$I$38,6,0)), ,VLOOKUP($C36,Données!$C$19:'Données'!$I$38,6,0)),"/"))</f>
        <v/>
      </c>
      <c r="AI36" s="55" t="str">
        <f>IF($C36="","",IFERROR(IF(ISNA(VLOOKUP($C36,Données!$C$19:'Données'!$I$38,7,0)), ,VLOOKUP($C36,Données!$C$19:'Données'!$I$38,7,0)),"/"))</f>
        <v/>
      </c>
      <c r="AJ36" s="55" t="str">
        <f t="shared" si="7"/>
        <v/>
      </c>
      <c r="AK36" s="55">
        <f t="shared" si="8"/>
        <v>0</v>
      </c>
      <c r="AL36" s="55">
        <f t="shared" si="9"/>
        <v>0</v>
      </c>
      <c r="AM36" s="50" t="str">
        <f t="shared" si="10"/>
        <v/>
      </c>
      <c r="AN36" s="50">
        <f t="shared" si="11"/>
        <v>0</v>
      </c>
      <c r="AO36" s="50" t="str">
        <f t="shared" si="12"/>
        <v/>
      </c>
      <c r="AP36" s="55" t="str">
        <f t="shared" si="13"/>
        <v/>
      </c>
      <c r="AQ36" s="50">
        <f t="shared" si="14"/>
        <v>0</v>
      </c>
      <c r="AR36" s="50">
        <f t="shared" si="15"/>
        <v>0</v>
      </c>
      <c r="AS36" s="50">
        <f t="shared" si="16"/>
        <v>0</v>
      </c>
      <c r="AT36" s="50" t="str">
        <f>IFERROR(VLOOKUP($C36,Données!$C$19:'Données'!$I$38,3,0),"")</f>
        <v/>
      </c>
      <c r="AU36" s="50" t="str">
        <f t="shared" si="17"/>
        <v>0</v>
      </c>
      <c r="AV36" s="50">
        <f t="shared" si="18"/>
        <v>0</v>
      </c>
      <c r="AW36" s="50">
        <f t="shared" si="19"/>
        <v>0</v>
      </c>
      <c r="AX36" s="50">
        <f t="shared" si="20"/>
        <v>0</v>
      </c>
      <c r="AY36" s="50">
        <f t="shared" si="21"/>
        <v>0</v>
      </c>
      <c r="AZ36" s="50">
        <f t="shared" si="22"/>
        <v>0</v>
      </c>
      <c r="BA36" s="50">
        <f t="shared" si="23"/>
        <v>0</v>
      </c>
      <c r="BB36" s="50">
        <f t="shared" si="24"/>
        <v>0</v>
      </c>
      <c r="BC36" s="50">
        <f t="shared" si="25"/>
        <v>0</v>
      </c>
      <c r="BD36" s="50">
        <f t="shared" si="26"/>
        <v>0</v>
      </c>
      <c r="BE36" s="50">
        <f t="shared" si="27"/>
        <v>0</v>
      </c>
      <c r="BF36" s="50" t="str">
        <f>TEXT('Feuille Saisie'!$B$4,"aaaa")</f>
        <v>2019</v>
      </c>
      <c r="BG36" s="50" t="str">
        <f>IF($Q36="",TEXT('Feuille Saisie'!$B$4,"aaaa"),TEXT($Q36,"aaaa"))</f>
        <v>2019</v>
      </c>
      <c r="BH36" s="50">
        <f t="shared" si="28"/>
        <v>0</v>
      </c>
      <c r="BI36" s="39"/>
      <c r="BJ36" s="39"/>
      <c r="BK36" s="39"/>
      <c r="BL36" s="39"/>
      <c r="BM36" s="39"/>
      <c r="BN36" s="39"/>
      <c r="BO36" s="39"/>
      <c r="BP36" s="39"/>
      <c r="BQ36" s="39"/>
      <c r="BR36" s="39"/>
      <c r="BS36" s="39"/>
      <c r="BT36" s="39"/>
      <c r="BU36" s="39"/>
      <c r="BV36" s="104"/>
      <c r="BW36" s="104"/>
      <c r="BX36" s="104"/>
      <c r="BY36" s="104"/>
      <c r="BZ36" s="104"/>
      <c r="CA36" s="104"/>
      <c r="CB36" s="104"/>
      <c r="CC36" s="104"/>
      <c r="CD36" s="104"/>
      <c r="CE36" s="104"/>
      <c r="CF36" s="104"/>
      <c r="CG36" s="104"/>
      <c r="CH36" s="104"/>
      <c r="CI36" s="104"/>
      <c r="CJ36" s="104"/>
      <c r="CK36" s="104"/>
      <c r="CL36" s="104"/>
      <c r="CM36" s="104"/>
      <c r="CN36" s="104"/>
      <c r="CO36" s="104"/>
      <c r="CP36" s="104"/>
      <c r="CQ36" s="104"/>
      <c r="CR36" s="104"/>
      <c r="CS36" s="104"/>
      <c r="CT36" s="104"/>
      <c r="CU36" s="104"/>
      <c r="CV36" s="104"/>
      <c r="CW36" s="104"/>
      <c r="CX36" s="104"/>
      <c r="CY36" s="50" t="str">
        <f t="shared" si="29"/>
        <v>0</v>
      </c>
      <c r="CZ36" s="50" t="str">
        <f t="shared" si="30"/>
        <v>0</v>
      </c>
      <c r="DA36" s="50" t="str">
        <f t="shared" si="31"/>
        <v/>
      </c>
      <c r="DB36" s="55">
        <f t="shared" si="32"/>
        <v>0</v>
      </c>
      <c r="DC36" s="50" t="str">
        <f>TEXT('Feuille Saisie'!$B$4,"aaaa")</f>
        <v>2019</v>
      </c>
      <c r="DD36" s="50" t="str">
        <f>IF($J36="",TEXT('Feuille Saisie'!$B$4,"aaaa"),TEXT($J36,"aaaa"))</f>
        <v>2019</v>
      </c>
      <c r="DE36" s="50">
        <f t="shared" si="33"/>
        <v>0</v>
      </c>
      <c r="DF36" s="50">
        <f t="shared" si="34"/>
        <v>0</v>
      </c>
      <c r="DG36" s="106" t="str">
        <f>TEXT(IFERROR(VLOOKUP($C36,Données!$C$19:'Données'!$I$38,4,0),""),"aaaa")</f>
        <v/>
      </c>
      <c r="DH36" s="50">
        <f t="shared" si="35"/>
        <v>0</v>
      </c>
      <c r="DI36" s="50">
        <f t="shared" si="36"/>
        <v>1</v>
      </c>
      <c r="DJ36" s="50">
        <f t="shared" si="37"/>
        <v>0</v>
      </c>
      <c r="DK36" s="50">
        <f t="shared" si="38"/>
        <v>0</v>
      </c>
      <c r="DL36" s="50">
        <f t="shared" si="39"/>
        <v>0</v>
      </c>
      <c r="DM36" s="50" t="str">
        <f>IF($T36="",TEXT('Feuille Saisie'!$B$4,"aaaa"),TEXT($T36,"aaaa"))</f>
        <v>2019</v>
      </c>
      <c r="DN36" s="50">
        <f t="shared" si="40"/>
        <v>0</v>
      </c>
      <c r="DO36" s="50">
        <f t="shared" si="41"/>
        <v>0</v>
      </c>
      <c r="EA36" s="50" t="str">
        <f>IFERROR(VLOOKUP($C36,Données!$C$19:'Données'!$I$38,3,0),"")</f>
        <v/>
      </c>
      <c r="EB36" s="50" t="str">
        <f t="shared" si="42"/>
        <v xml:space="preserve"> </v>
      </c>
      <c r="EC36" s="50" t="str">
        <f t="shared" si="43"/>
        <v xml:space="preserve"> </v>
      </c>
      <c r="ED36" s="50" t="str">
        <f t="shared" si="44"/>
        <v xml:space="preserve"> </v>
      </c>
      <c r="EE36" s="50" t="str">
        <f t="shared" si="45"/>
        <v xml:space="preserve"> </v>
      </c>
      <c r="EF36" s="50" t="str">
        <f t="shared" si="46"/>
        <v xml:space="preserve"> </v>
      </c>
    </row>
    <row r="37" spans="1:136" ht="50.1" customHeight="1" x14ac:dyDescent="0.3">
      <c r="A37" s="1"/>
      <c r="B37" s="1"/>
      <c r="C37" s="15"/>
      <c r="D37" s="42">
        <f>IF(IF(ISNA(('Feuille Saisie'!$B$4-VLOOKUP($C37,Données!$C$19:'Données'!$I$38,4,0)))/365.24*100, ,('Feuille Saisie'!$B$4-VLOOKUP($C37,Données!$C$19:'Données'!$I$38,4,0))/365.24*100)&lt;100,IF(ISNA(('Feuille Saisie'!$B$4-VLOOKUP($C37,Données!$C$19:'Données'!$I$38,4,0)))/365.24*100, ,('Feuille Saisie'!$B$4-VLOOKUP($C37,Données!$C$19:'Données'!$I$38,4,0))/365.24*100),100)</f>
        <v>0</v>
      </c>
      <c r="E37" s="19"/>
      <c r="F37" s="43" t="str">
        <f>IF(ISNA(IF(AND($E37=0,VLOOKUP($C37,Données!$C$19:'Données'!$I$38,6,0)&lt;&gt;""),"0,00",IFERROR(IF(ISNA($E37/VLOOKUP($C37,Données!$C$19:'Données'!$I$38,6,0)), ,$E37/VLOOKUP($C37,Données!$C$19:'Données'!$I$38,6,0)),"/"))),"",IF(AND($E37=0,VLOOKUP($C37,Données!$C$19:'Données'!$I$38,6,0)&lt;&gt;""),"0,00",IFERROR(IF(ISNA($E37/VLOOKUP($C37,Données!$C$19:'Données'!$I$38,6,0)), ,$E37/VLOOKUP($C37,Données!$C$19:'Données'!$I$38,6,0)),"/")))</f>
        <v/>
      </c>
      <c r="G37" s="43" t="str">
        <f>IF(ISNA(IF(AND($E37=0,VLOOKUP($C37,Données!$C$19:'Données'!$I$38,7,0)&lt;&gt;""),"0,00",IFERROR(IF(ISNA($E37/VLOOKUP($C37,Données!$C$19:'Données'!$I$38,7,0)*100),,$E37/VLOOKUP($C37,Données!$C$19:'Données'!$I$38,7,0)*100),"/"))),"",IF(AND($E37=0,VLOOKUP($C37,Données!$C$19:'Données'!$I$38,7,0)&lt;&gt;""),"0,00",IFERROR(IF(ISNA($E37/VLOOKUP($C37,Données!$C$19:'Données'!$I$38,7,0)*100),,$E37/VLOOKUP($C37,Données!$C$19:'Données'!$I$38,7,0)*100),"/")))</f>
        <v/>
      </c>
      <c r="H37" s="33"/>
      <c r="I37" s="44" t="str">
        <f>IF($C37&lt;&gt;"",IF($E37=0,"/",IF(ISNA($H37-VLOOKUP($C37,Données!$C$19:'Données'!$I$38,4,0)), ,$H37-VLOOKUP($C37,Données!$C$19:'Données'!$I$38,4,0))),"")</f>
        <v/>
      </c>
      <c r="J37" s="33"/>
      <c r="K37" s="44" t="str">
        <f>IF($C37&lt;&gt;"",IF(ISNA($J37-VLOOKUP($C37,Données!$C$19:'Données'!$I$38,4,0)), ,$J37-VLOOKUP($C37,Données!$C$19:'Données'!$I$38,4,0)),"")</f>
        <v/>
      </c>
      <c r="L37" s="32"/>
      <c r="M37" s="19"/>
      <c r="N37" s="31"/>
      <c r="O37" s="103"/>
      <c r="P37" s="103"/>
      <c r="Q37" s="33"/>
      <c r="R37" s="44" t="str">
        <f>IF($C37&lt;&gt;"",IF($D37&lt;&gt;100,"/",IF(ISNA($Q37-VLOOKUP($C37,Données!$C$19:'Données'!$I$38,4,0)), ,$Q37-VLOOKUP($C37,Données!$C$19:'Données'!$I$38,4,0))),"")</f>
        <v/>
      </c>
      <c r="S37" s="16"/>
      <c r="T37" s="33"/>
      <c r="U37" s="44" t="str">
        <f>IF($C37&lt;&gt;"",IF($J37="","/",IF(ISNA($T37-VLOOKUP($C37,Données!$C$19:'Données'!$I$38,4,0)), ,$T37-VLOOKUP($C37,Données!$C$19:'Données'!$I$38,4,0))),"")</f>
        <v/>
      </c>
      <c r="V37" s="1"/>
      <c r="W37" s="1"/>
      <c r="X37" s="50"/>
      <c r="Y37" s="47" t="str">
        <f t="shared" si="0"/>
        <v/>
      </c>
      <c r="Z37" s="48" t="s">
        <v>39</v>
      </c>
      <c r="AA37" s="47" t="str">
        <f t="shared" si="1"/>
        <v/>
      </c>
      <c r="AB37" s="49" t="s">
        <v>40</v>
      </c>
      <c r="AC37" s="50">
        <f t="shared" si="2"/>
        <v>1</v>
      </c>
      <c r="AD37" s="50">
        <f t="shared" si="3"/>
        <v>1</v>
      </c>
      <c r="AE37" s="50">
        <f t="shared" si="4"/>
        <v>1</v>
      </c>
      <c r="AF37" s="50">
        <f t="shared" si="5"/>
        <v>1</v>
      </c>
      <c r="AG37" s="51">
        <f t="shared" si="6"/>
        <v>0</v>
      </c>
      <c r="AH37" s="55" t="str">
        <f>IF($C37="","",IFERROR(IF(ISNA(VLOOKUP($C37,Données!$C$19:'Données'!$I$38,6,0)), ,VLOOKUP($C37,Données!$C$19:'Données'!$I$38,6,0)),"/"))</f>
        <v/>
      </c>
      <c r="AI37" s="55" t="str">
        <f>IF($C37="","",IFERROR(IF(ISNA(VLOOKUP($C37,Données!$C$19:'Données'!$I$38,7,0)), ,VLOOKUP($C37,Données!$C$19:'Données'!$I$38,7,0)),"/"))</f>
        <v/>
      </c>
      <c r="AJ37" s="55" t="str">
        <f t="shared" si="7"/>
        <v/>
      </c>
      <c r="AK37" s="55">
        <f t="shared" si="8"/>
        <v>0</v>
      </c>
      <c r="AL37" s="55">
        <f t="shared" si="9"/>
        <v>0</v>
      </c>
      <c r="AM37" s="50" t="str">
        <f t="shared" si="10"/>
        <v/>
      </c>
      <c r="AN37" s="50">
        <f t="shared" si="11"/>
        <v>0</v>
      </c>
      <c r="AO37" s="50" t="str">
        <f t="shared" si="12"/>
        <v/>
      </c>
      <c r="AP37" s="55" t="str">
        <f t="shared" si="13"/>
        <v/>
      </c>
      <c r="AQ37" s="50">
        <f t="shared" si="14"/>
        <v>0</v>
      </c>
      <c r="AR37" s="50">
        <f t="shared" si="15"/>
        <v>0</v>
      </c>
      <c r="AS37" s="50">
        <f t="shared" si="16"/>
        <v>0</v>
      </c>
      <c r="AT37" s="50" t="str">
        <f>IFERROR(VLOOKUP($C37,Données!$C$19:'Données'!$I$38,3,0),"")</f>
        <v/>
      </c>
      <c r="AU37" s="50" t="str">
        <f t="shared" si="17"/>
        <v>0</v>
      </c>
      <c r="AV37" s="50">
        <f t="shared" si="18"/>
        <v>0</v>
      </c>
      <c r="AW37" s="50">
        <f t="shared" si="19"/>
        <v>0</v>
      </c>
      <c r="AX37" s="50">
        <f t="shared" si="20"/>
        <v>0</v>
      </c>
      <c r="AY37" s="50">
        <f t="shared" si="21"/>
        <v>0</v>
      </c>
      <c r="AZ37" s="50">
        <f t="shared" si="22"/>
        <v>0</v>
      </c>
      <c r="BA37" s="50">
        <f t="shared" si="23"/>
        <v>0</v>
      </c>
      <c r="BB37" s="50">
        <f t="shared" si="24"/>
        <v>0</v>
      </c>
      <c r="BC37" s="50">
        <f t="shared" si="25"/>
        <v>0</v>
      </c>
      <c r="BD37" s="50">
        <f t="shared" si="26"/>
        <v>0</v>
      </c>
      <c r="BE37" s="50">
        <f t="shared" si="27"/>
        <v>0</v>
      </c>
      <c r="BF37" s="50" t="str">
        <f>TEXT('Feuille Saisie'!$B$4,"aaaa")</f>
        <v>2019</v>
      </c>
      <c r="BG37" s="50" t="str">
        <f>IF($Q37="",TEXT('Feuille Saisie'!$B$4,"aaaa"),TEXT($Q37,"aaaa"))</f>
        <v>2019</v>
      </c>
      <c r="BH37" s="50">
        <f t="shared" si="28"/>
        <v>0</v>
      </c>
      <c r="BI37" s="39"/>
      <c r="BJ37" s="39"/>
      <c r="BK37" s="39"/>
      <c r="BL37" s="39"/>
      <c r="BM37" s="39"/>
      <c r="BN37" s="39"/>
      <c r="BO37" s="39"/>
      <c r="BP37" s="39"/>
      <c r="BQ37" s="39"/>
      <c r="BR37" s="39"/>
      <c r="BS37" s="39"/>
      <c r="BT37" s="39"/>
      <c r="BU37" s="39"/>
      <c r="BV37" s="104"/>
      <c r="BW37" s="104"/>
      <c r="BX37" s="104"/>
      <c r="BY37" s="104"/>
      <c r="BZ37" s="104"/>
      <c r="CA37" s="104"/>
      <c r="CB37" s="104"/>
      <c r="CC37" s="104"/>
      <c r="CD37" s="104"/>
      <c r="CE37" s="104"/>
      <c r="CF37" s="104"/>
      <c r="CG37" s="104"/>
      <c r="CH37" s="104"/>
      <c r="CI37" s="104"/>
      <c r="CJ37" s="104"/>
      <c r="CK37" s="104"/>
      <c r="CL37" s="104"/>
      <c r="CM37" s="104"/>
      <c r="CN37" s="104"/>
      <c r="CO37" s="104"/>
      <c r="CP37" s="104"/>
      <c r="CQ37" s="104"/>
      <c r="CR37" s="104"/>
      <c r="CS37" s="104"/>
      <c r="CT37" s="104"/>
      <c r="CU37" s="104"/>
      <c r="CV37" s="104"/>
      <c r="CW37" s="104"/>
      <c r="CX37" s="104"/>
      <c r="CY37" s="50" t="str">
        <f t="shared" si="29"/>
        <v>0</v>
      </c>
      <c r="CZ37" s="50" t="str">
        <f t="shared" si="30"/>
        <v>0</v>
      </c>
      <c r="DA37" s="50" t="str">
        <f t="shared" si="31"/>
        <v/>
      </c>
      <c r="DB37" s="55">
        <f t="shared" si="32"/>
        <v>0</v>
      </c>
      <c r="DC37" s="50" t="str">
        <f>TEXT('Feuille Saisie'!$B$4,"aaaa")</f>
        <v>2019</v>
      </c>
      <c r="DD37" s="50" t="str">
        <f>IF($J37="",TEXT('Feuille Saisie'!$B$4,"aaaa"),TEXT($J37,"aaaa"))</f>
        <v>2019</v>
      </c>
      <c r="DE37" s="50">
        <f t="shared" si="33"/>
        <v>0</v>
      </c>
      <c r="DF37" s="50">
        <f t="shared" si="34"/>
        <v>0</v>
      </c>
      <c r="DG37" s="106" t="str">
        <f>TEXT(IFERROR(VLOOKUP($C37,Données!$C$19:'Données'!$I$38,4,0),""),"aaaa")</f>
        <v/>
      </c>
      <c r="DH37" s="50">
        <f t="shared" si="35"/>
        <v>0</v>
      </c>
      <c r="DI37" s="50">
        <f t="shared" si="36"/>
        <v>1</v>
      </c>
      <c r="DJ37" s="50">
        <f t="shared" si="37"/>
        <v>0</v>
      </c>
      <c r="DK37" s="50">
        <f t="shared" si="38"/>
        <v>0</v>
      </c>
      <c r="DL37" s="50">
        <f t="shared" si="39"/>
        <v>0</v>
      </c>
      <c r="DM37" s="50" t="str">
        <f>IF($T37="",TEXT('Feuille Saisie'!$B$4,"aaaa"),TEXT($T37,"aaaa"))</f>
        <v>2019</v>
      </c>
      <c r="DN37" s="50">
        <f t="shared" si="40"/>
        <v>0</v>
      </c>
      <c r="DO37" s="50">
        <f t="shared" si="41"/>
        <v>0</v>
      </c>
      <c r="EA37" s="50" t="str">
        <f>IFERROR(VLOOKUP($C37,Données!$C$19:'Données'!$I$38,3,0),"")</f>
        <v/>
      </c>
      <c r="EB37" s="50" t="str">
        <f t="shared" si="42"/>
        <v xml:space="preserve"> </v>
      </c>
      <c r="EC37" s="50" t="str">
        <f t="shared" si="43"/>
        <v xml:space="preserve"> </v>
      </c>
      <c r="ED37" s="50" t="str">
        <f t="shared" si="44"/>
        <v xml:space="preserve"> </v>
      </c>
      <c r="EE37" s="50" t="str">
        <f t="shared" si="45"/>
        <v xml:space="preserve"> </v>
      </c>
      <c r="EF37" s="50" t="str">
        <f t="shared" si="46"/>
        <v xml:space="preserve"> </v>
      </c>
    </row>
    <row r="38" spans="1:136" ht="50.1" customHeight="1" x14ac:dyDescent="0.3">
      <c r="A38" s="1"/>
      <c r="B38" s="1"/>
      <c r="C38" s="15"/>
      <c r="D38" s="42">
        <f>IF(IF(ISNA(('Feuille Saisie'!$B$4-VLOOKUP($C38,Données!$C$19:'Données'!$I$38,4,0)))/365.24*100, ,('Feuille Saisie'!$B$4-VLOOKUP($C38,Données!$C$19:'Données'!$I$38,4,0))/365.24*100)&lt;100,IF(ISNA(('Feuille Saisie'!$B$4-VLOOKUP($C38,Données!$C$19:'Données'!$I$38,4,0)))/365.24*100, ,('Feuille Saisie'!$B$4-VLOOKUP($C38,Données!$C$19:'Données'!$I$38,4,0))/365.24*100),100)</f>
        <v>0</v>
      </c>
      <c r="E38" s="19"/>
      <c r="F38" s="43" t="str">
        <f>IF(ISNA(IF(AND($E38=0,VLOOKUP($C38,Données!$C$19:'Données'!$I$38,6,0)&lt;&gt;""),"0,00",IFERROR(IF(ISNA($E38/VLOOKUP($C38,Données!$C$19:'Données'!$I$38,6,0)), ,$E38/VLOOKUP($C38,Données!$C$19:'Données'!$I$38,6,0)),"/"))),"",IF(AND($E38=0,VLOOKUP($C38,Données!$C$19:'Données'!$I$38,6,0)&lt;&gt;""),"0,00",IFERROR(IF(ISNA($E38/VLOOKUP($C38,Données!$C$19:'Données'!$I$38,6,0)), ,$E38/VLOOKUP($C38,Données!$C$19:'Données'!$I$38,6,0)),"/")))</f>
        <v/>
      </c>
      <c r="G38" s="43" t="str">
        <f>IF(ISNA(IF(AND($E38=0,VLOOKUP($C38,Données!$C$19:'Données'!$I$38,7,0)&lt;&gt;""),"0,00",IFERROR(IF(ISNA($E38/VLOOKUP($C38,Données!$C$19:'Données'!$I$38,7,0)*100),,$E38/VLOOKUP($C38,Données!$C$19:'Données'!$I$38,7,0)*100),"/"))),"",IF(AND($E38=0,VLOOKUP($C38,Données!$C$19:'Données'!$I$38,7,0)&lt;&gt;""),"0,00",IFERROR(IF(ISNA($E38/VLOOKUP($C38,Données!$C$19:'Données'!$I$38,7,0)*100),,$E38/VLOOKUP($C38,Données!$C$19:'Données'!$I$38,7,0)*100),"/")))</f>
        <v/>
      </c>
      <c r="H38" s="33"/>
      <c r="I38" s="44" t="str">
        <f>IF($C38&lt;&gt;"",IF($E38=0,"/",IF(ISNA($H38-VLOOKUP($C38,Données!$C$19:'Données'!$I$38,4,0)), ,$H38-VLOOKUP($C38,Données!$C$19:'Données'!$I$38,4,0))),"")</f>
        <v/>
      </c>
      <c r="J38" s="33"/>
      <c r="K38" s="44" t="str">
        <f>IF($C38&lt;&gt;"",IF(ISNA($J38-VLOOKUP($C38,Données!$C$19:'Données'!$I$38,4,0)), ,$J38-VLOOKUP($C38,Données!$C$19:'Données'!$I$38,4,0)),"")</f>
        <v/>
      </c>
      <c r="L38" s="32"/>
      <c r="M38" s="19"/>
      <c r="N38" s="31"/>
      <c r="O38" s="103"/>
      <c r="P38" s="103"/>
      <c r="Q38" s="33"/>
      <c r="R38" s="44" t="str">
        <f>IF($C38&lt;&gt;"",IF($D38&lt;&gt;100,"/",IF(ISNA($Q38-VLOOKUP($C38,Données!$C$19:'Données'!$I$38,4,0)), ,$Q38-VLOOKUP($C38,Données!$C$19:'Données'!$I$38,4,0))),"")</f>
        <v/>
      </c>
      <c r="S38" s="16"/>
      <c r="T38" s="33"/>
      <c r="U38" s="44" t="str">
        <f>IF($C38&lt;&gt;"",IF($J38="","/",IF(ISNA($T38-VLOOKUP($C38,Données!$C$19:'Données'!$I$38,4,0)), ,$T38-VLOOKUP($C38,Données!$C$19:'Données'!$I$38,4,0))),"")</f>
        <v/>
      </c>
      <c r="V38" s="1"/>
      <c r="W38" s="1"/>
      <c r="X38" s="50"/>
      <c r="Y38" s="47" t="str">
        <f t="shared" si="0"/>
        <v/>
      </c>
      <c r="Z38" s="48" t="s">
        <v>39</v>
      </c>
      <c r="AA38" s="47" t="str">
        <f t="shared" si="1"/>
        <v/>
      </c>
      <c r="AB38" s="49" t="s">
        <v>40</v>
      </c>
      <c r="AC38" s="50">
        <f t="shared" si="2"/>
        <v>1</v>
      </c>
      <c r="AD38" s="50">
        <f t="shared" si="3"/>
        <v>1</v>
      </c>
      <c r="AE38" s="50">
        <f t="shared" si="4"/>
        <v>1</v>
      </c>
      <c r="AF38" s="50">
        <f t="shared" si="5"/>
        <v>1</v>
      </c>
      <c r="AG38" s="51">
        <f t="shared" si="6"/>
        <v>0</v>
      </c>
      <c r="AH38" s="55" t="str">
        <f>IF($C38="","",IFERROR(IF(ISNA(VLOOKUP($C38,Données!$C$19:'Données'!$I$38,6,0)), ,VLOOKUP($C38,Données!$C$19:'Données'!$I$38,6,0)),"/"))</f>
        <v/>
      </c>
      <c r="AI38" s="55" t="str">
        <f>IF($C38="","",IFERROR(IF(ISNA(VLOOKUP($C38,Données!$C$19:'Données'!$I$38,7,0)), ,VLOOKUP($C38,Données!$C$19:'Données'!$I$38,7,0)),"/"))</f>
        <v/>
      </c>
      <c r="AJ38" s="55" t="str">
        <f t="shared" si="7"/>
        <v/>
      </c>
      <c r="AK38" s="55">
        <f t="shared" si="8"/>
        <v>0</v>
      </c>
      <c r="AL38" s="55">
        <f t="shared" si="9"/>
        <v>0</v>
      </c>
      <c r="AM38" s="50" t="str">
        <f t="shared" si="10"/>
        <v/>
      </c>
      <c r="AN38" s="50">
        <f t="shared" si="11"/>
        <v>0</v>
      </c>
      <c r="AO38" s="50" t="str">
        <f t="shared" si="12"/>
        <v/>
      </c>
      <c r="AP38" s="55" t="str">
        <f t="shared" si="13"/>
        <v/>
      </c>
      <c r="AQ38" s="50">
        <f t="shared" si="14"/>
        <v>0</v>
      </c>
      <c r="AR38" s="50">
        <f t="shared" si="15"/>
        <v>0</v>
      </c>
      <c r="AS38" s="50">
        <f t="shared" si="16"/>
        <v>0</v>
      </c>
      <c r="AT38" s="50" t="str">
        <f>IFERROR(VLOOKUP($C38,Données!$C$19:'Données'!$I$38,3,0),"")</f>
        <v/>
      </c>
      <c r="AU38" s="50" t="str">
        <f t="shared" si="17"/>
        <v>0</v>
      </c>
      <c r="AV38" s="50">
        <f t="shared" si="18"/>
        <v>0</v>
      </c>
      <c r="AW38" s="50">
        <f t="shared" si="19"/>
        <v>0</v>
      </c>
      <c r="AX38" s="50">
        <f t="shared" si="20"/>
        <v>0</v>
      </c>
      <c r="AY38" s="50">
        <f t="shared" si="21"/>
        <v>0</v>
      </c>
      <c r="AZ38" s="50">
        <f t="shared" si="22"/>
        <v>0</v>
      </c>
      <c r="BA38" s="50">
        <f t="shared" si="23"/>
        <v>0</v>
      </c>
      <c r="BB38" s="50">
        <f t="shared" si="24"/>
        <v>0</v>
      </c>
      <c r="BC38" s="50">
        <f t="shared" si="25"/>
        <v>0</v>
      </c>
      <c r="BD38" s="50">
        <f t="shared" si="26"/>
        <v>0</v>
      </c>
      <c r="BE38" s="50">
        <f t="shared" si="27"/>
        <v>0</v>
      </c>
      <c r="BF38" s="50" t="str">
        <f>TEXT('Feuille Saisie'!$B$4,"aaaa")</f>
        <v>2019</v>
      </c>
      <c r="BG38" s="50" t="str">
        <f>IF($Q38="",TEXT('Feuille Saisie'!$B$4,"aaaa"),TEXT($Q38,"aaaa"))</f>
        <v>2019</v>
      </c>
      <c r="BH38" s="50">
        <f t="shared" si="28"/>
        <v>0</v>
      </c>
      <c r="BI38" s="39"/>
      <c r="BJ38" s="39"/>
      <c r="BK38" s="39"/>
      <c r="BL38" s="39"/>
      <c r="BM38" s="39"/>
      <c r="BN38" s="39"/>
      <c r="BO38" s="39"/>
      <c r="BP38" s="39"/>
      <c r="BQ38" s="39"/>
      <c r="BR38" s="39"/>
      <c r="BS38" s="39"/>
      <c r="BT38" s="39"/>
      <c r="BU38" s="39"/>
      <c r="BV38" s="104"/>
      <c r="BW38" s="104"/>
      <c r="BX38" s="104"/>
      <c r="BY38" s="104"/>
      <c r="BZ38" s="104"/>
      <c r="CA38" s="104"/>
      <c r="CB38" s="104"/>
      <c r="CC38" s="104"/>
      <c r="CD38" s="104"/>
      <c r="CE38" s="104"/>
      <c r="CF38" s="104"/>
      <c r="CG38" s="104"/>
      <c r="CH38" s="104"/>
      <c r="CI38" s="104"/>
      <c r="CJ38" s="104"/>
      <c r="CK38" s="104"/>
      <c r="CL38" s="104"/>
      <c r="CM38" s="104"/>
      <c r="CN38" s="104"/>
      <c r="CO38" s="104"/>
      <c r="CP38" s="104"/>
      <c r="CQ38" s="104"/>
      <c r="CR38" s="104"/>
      <c r="CS38" s="104"/>
      <c r="CT38" s="104"/>
      <c r="CU38" s="104"/>
      <c r="CV38" s="104"/>
      <c r="CW38" s="104"/>
      <c r="CX38" s="104"/>
      <c r="CY38" s="50" t="str">
        <f t="shared" si="29"/>
        <v>0</v>
      </c>
      <c r="CZ38" s="50" t="str">
        <f t="shared" si="30"/>
        <v>0</v>
      </c>
      <c r="DA38" s="50" t="str">
        <f t="shared" si="31"/>
        <v/>
      </c>
      <c r="DB38" s="55">
        <f t="shared" si="32"/>
        <v>0</v>
      </c>
      <c r="DC38" s="50" t="str">
        <f>TEXT('Feuille Saisie'!$B$4,"aaaa")</f>
        <v>2019</v>
      </c>
      <c r="DD38" s="50" t="str">
        <f>IF($J38="",TEXT('Feuille Saisie'!$B$4,"aaaa"),TEXT($J38,"aaaa"))</f>
        <v>2019</v>
      </c>
      <c r="DE38" s="50">
        <f t="shared" si="33"/>
        <v>0</v>
      </c>
      <c r="DF38" s="50">
        <f t="shared" si="34"/>
        <v>0</v>
      </c>
      <c r="DG38" s="106" t="str">
        <f>TEXT(IFERROR(VLOOKUP($C38,Données!$C$19:'Données'!$I$38,4,0),""),"aaaa")</f>
        <v/>
      </c>
      <c r="DH38" s="50">
        <f t="shared" si="35"/>
        <v>0</v>
      </c>
      <c r="DI38" s="50">
        <f t="shared" si="36"/>
        <v>1</v>
      </c>
      <c r="DJ38" s="50">
        <f t="shared" si="37"/>
        <v>0</v>
      </c>
      <c r="DK38" s="50">
        <f t="shared" si="38"/>
        <v>0</v>
      </c>
      <c r="DL38" s="50">
        <f t="shared" si="39"/>
        <v>0</v>
      </c>
      <c r="DM38" s="50" t="str">
        <f>IF($T38="",TEXT('Feuille Saisie'!$B$4,"aaaa"),TEXT($T38,"aaaa"))</f>
        <v>2019</v>
      </c>
      <c r="DN38" s="50">
        <f t="shared" si="40"/>
        <v>0</v>
      </c>
      <c r="DO38" s="50">
        <f t="shared" si="41"/>
        <v>0</v>
      </c>
      <c r="EA38" s="50" t="str">
        <f>IFERROR(VLOOKUP($C38,Données!$C$19:'Données'!$I$38,3,0),"")</f>
        <v/>
      </c>
      <c r="EB38" s="50" t="str">
        <f t="shared" si="42"/>
        <v xml:space="preserve"> </v>
      </c>
      <c r="EC38" s="50" t="str">
        <f t="shared" si="43"/>
        <v xml:space="preserve"> </v>
      </c>
      <c r="ED38" s="50" t="str">
        <f t="shared" si="44"/>
        <v xml:space="preserve"> </v>
      </c>
      <c r="EE38" s="50" t="str">
        <f t="shared" si="45"/>
        <v xml:space="preserve"> </v>
      </c>
      <c r="EF38" s="50" t="str">
        <f t="shared" si="46"/>
        <v xml:space="preserve"> </v>
      </c>
    </row>
    <row r="39" spans="1:136" ht="50.1" customHeight="1" x14ac:dyDescent="0.3">
      <c r="A39" s="1"/>
      <c r="B39" s="1"/>
      <c r="C39" s="15"/>
      <c r="D39" s="42">
        <f>IF(IF(ISNA(('Feuille Saisie'!$B$4-VLOOKUP($C39,Données!$C$19:'Données'!$I$38,4,0)))/365.24*100, ,('Feuille Saisie'!$B$4-VLOOKUP($C39,Données!$C$19:'Données'!$I$38,4,0))/365.24*100)&lt;100,IF(ISNA(('Feuille Saisie'!$B$4-VLOOKUP($C39,Données!$C$19:'Données'!$I$38,4,0)))/365.24*100, ,('Feuille Saisie'!$B$4-VLOOKUP($C39,Données!$C$19:'Données'!$I$38,4,0))/365.24*100),100)</f>
        <v>0</v>
      </c>
      <c r="E39" s="19"/>
      <c r="F39" s="43" t="str">
        <f>IF(ISNA(IF(AND($E39=0,VLOOKUP($C39,Données!$C$19:'Données'!$I$38,6,0)&lt;&gt;""),"0,00",IFERROR(IF(ISNA($E39/VLOOKUP($C39,Données!$C$19:'Données'!$I$38,6,0)), ,$E39/VLOOKUP($C39,Données!$C$19:'Données'!$I$38,6,0)),"/"))),"",IF(AND($E39=0,VLOOKUP($C39,Données!$C$19:'Données'!$I$38,6,0)&lt;&gt;""),"0,00",IFERROR(IF(ISNA($E39/VLOOKUP($C39,Données!$C$19:'Données'!$I$38,6,0)), ,$E39/VLOOKUP($C39,Données!$C$19:'Données'!$I$38,6,0)),"/")))</f>
        <v/>
      </c>
      <c r="G39" s="43" t="str">
        <f>IF(ISNA(IF(AND($E39=0,VLOOKUP($C39,Données!$C$19:'Données'!$I$38,7,0)&lt;&gt;""),"0,00",IFERROR(IF(ISNA($E39/VLOOKUP($C39,Données!$C$19:'Données'!$I$38,7,0)*100),,$E39/VLOOKUP($C39,Données!$C$19:'Données'!$I$38,7,0)*100),"/"))),"",IF(AND($E39=0,VLOOKUP($C39,Données!$C$19:'Données'!$I$38,7,0)&lt;&gt;""),"0,00",IFERROR(IF(ISNA($E39/VLOOKUP($C39,Données!$C$19:'Données'!$I$38,7,0)*100),,$E39/VLOOKUP($C39,Données!$C$19:'Données'!$I$38,7,0)*100),"/")))</f>
        <v/>
      </c>
      <c r="H39" s="33"/>
      <c r="I39" s="44" t="str">
        <f>IF($C39&lt;&gt;"",IF($E39=0,"/",IF(ISNA($H39-VLOOKUP($C39,Données!$C$19:'Données'!$I$38,4,0)), ,$H39-VLOOKUP($C39,Données!$C$19:'Données'!$I$38,4,0))),"")</f>
        <v/>
      </c>
      <c r="J39" s="33"/>
      <c r="K39" s="44" t="str">
        <f>IF($C39&lt;&gt;"",IF(ISNA($J39-VLOOKUP($C39,Données!$C$19:'Données'!$I$38,4,0)), ,$J39-VLOOKUP($C39,Données!$C$19:'Données'!$I$38,4,0)),"")</f>
        <v/>
      </c>
      <c r="L39" s="32"/>
      <c r="M39" s="19"/>
      <c r="N39" s="31"/>
      <c r="O39" s="103"/>
      <c r="P39" s="103"/>
      <c r="Q39" s="33"/>
      <c r="R39" s="44" t="str">
        <f>IF($C39&lt;&gt;"",IF($D39&lt;&gt;100,"/",IF(ISNA($Q39-VLOOKUP($C39,Données!$C$19:'Données'!$I$38,4,0)), ,$Q39-VLOOKUP($C39,Données!$C$19:'Données'!$I$38,4,0))),"")</f>
        <v/>
      </c>
      <c r="S39" s="16"/>
      <c r="T39" s="33"/>
      <c r="U39" s="44" t="str">
        <f>IF($C39&lt;&gt;"",IF($J39="","/",IF(ISNA($T39-VLOOKUP($C39,Données!$C$19:'Données'!$I$38,4,0)), ,$T39-VLOOKUP($C39,Données!$C$19:'Données'!$I$38,4,0))),"")</f>
        <v/>
      </c>
      <c r="V39" s="1"/>
      <c r="W39" s="1"/>
      <c r="X39" s="50"/>
      <c r="Y39" s="47" t="str">
        <f t="shared" si="0"/>
        <v/>
      </c>
      <c r="Z39" s="48" t="s">
        <v>39</v>
      </c>
      <c r="AA39" s="47" t="str">
        <f t="shared" si="1"/>
        <v/>
      </c>
      <c r="AB39" s="49" t="s">
        <v>40</v>
      </c>
      <c r="AC39" s="50">
        <f t="shared" si="2"/>
        <v>1</v>
      </c>
      <c r="AD39" s="50">
        <f t="shared" si="3"/>
        <v>1</v>
      </c>
      <c r="AE39" s="50">
        <f t="shared" si="4"/>
        <v>1</v>
      </c>
      <c r="AF39" s="50">
        <f t="shared" si="5"/>
        <v>1</v>
      </c>
      <c r="AG39" s="51">
        <f t="shared" si="6"/>
        <v>0</v>
      </c>
      <c r="AH39" s="55" t="str">
        <f>IF($C39="","",IFERROR(IF(ISNA(VLOOKUP($C39,Données!$C$19:'Données'!$I$38,6,0)), ,VLOOKUP($C39,Données!$C$19:'Données'!$I$38,6,0)),"/"))</f>
        <v/>
      </c>
      <c r="AI39" s="55" t="str">
        <f>IF($C39="","",IFERROR(IF(ISNA(VLOOKUP($C39,Données!$C$19:'Données'!$I$38,7,0)), ,VLOOKUP($C39,Données!$C$19:'Données'!$I$38,7,0)),"/"))</f>
        <v/>
      </c>
      <c r="AJ39" s="55" t="str">
        <f t="shared" si="7"/>
        <v/>
      </c>
      <c r="AK39" s="55">
        <f t="shared" si="8"/>
        <v>0</v>
      </c>
      <c r="AL39" s="55">
        <f t="shared" si="9"/>
        <v>0</v>
      </c>
      <c r="AM39" s="50" t="str">
        <f t="shared" si="10"/>
        <v/>
      </c>
      <c r="AN39" s="50">
        <f t="shared" si="11"/>
        <v>0</v>
      </c>
      <c r="AO39" s="50" t="str">
        <f t="shared" si="12"/>
        <v/>
      </c>
      <c r="AP39" s="55" t="str">
        <f t="shared" si="13"/>
        <v/>
      </c>
      <c r="AQ39" s="50">
        <f t="shared" si="14"/>
        <v>0</v>
      </c>
      <c r="AR39" s="50">
        <f t="shared" si="15"/>
        <v>0</v>
      </c>
      <c r="AS39" s="50">
        <f t="shared" si="16"/>
        <v>0</v>
      </c>
      <c r="AT39" s="50" t="str">
        <f>IFERROR(VLOOKUP($C39,Données!$C$19:'Données'!$I$38,3,0),"")</f>
        <v/>
      </c>
      <c r="AU39" s="50" t="str">
        <f t="shared" si="17"/>
        <v>0</v>
      </c>
      <c r="AV39" s="50">
        <f t="shared" si="18"/>
        <v>0</v>
      </c>
      <c r="AW39" s="50">
        <f t="shared" si="19"/>
        <v>0</v>
      </c>
      <c r="AX39" s="50">
        <f t="shared" si="20"/>
        <v>0</v>
      </c>
      <c r="AY39" s="50">
        <f t="shared" si="21"/>
        <v>0</v>
      </c>
      <c r="AZ39" s="50">
        <f t="shared" si="22"/>
        <v>0</v>
      </c>
      <c r="BA39" s="50">
        <f t="shared" si="23"/>
        <v>0</v>
      </c>
      <c r="BB39" s="50">
        <f t="shared" si="24"/>
        <v>0</v>
      </c>
      <c r="BC39" s="50">
        <f t="shared" si="25"/>
        <v>0</v>
      </c>
      <c r="BD39" s="50">
        <f t="shared" si="26"/>
        <v>0</v>
      </c>
      <c r="BE39" s="50">
        <f t="shared" si="27"/>
        <v>0</v>
      </c>
      <c r="BF39" s="50" t="str">
        <f>TEXT('Feuille Saisie'!$B$4,"aaaa")</f>
        <v>2019</v>
      </c>
      <c r="BG39" s="50" t="str">
        <f>IF($Q39="",TEXT('Feuille Saisie'!$B$4,"aaaa"),TEXT($Q39,"aaaa"))</f>
        <v>2019</v>
      </c>
      <c r="BH39" s="50">
        <f t="shared" si="28"/>
        <v>0</v>
      </c>
      <c r="BI39" s="39"/>
      <c r="BJ39" s="39"/>
      <c r="BK39" s="39"/>
      <c r="BL39" s="39"/>
      <c r="BM39" s="39"/>
      <c r="BN39" s="39"/>
      <c r="BO39" s="39"/>
      <c r="BP39" s="39"/>
      <c r="BQ39" s="39"/>
      <c r="BR39" s="39"/>
      <c r="BS39" s="39"/>
      <c r="BT39" s="39"/>
      <c r="BU39" s="39"/>
      <c r="BV39" s="104"/>
      <c r="BW39" s="104"/>
      <c r="BX39" s="104"/>
      <c r="BY39" s="104"/>
      <c r="BZ39" s="104"/>
      <c r="CA39" s="104"/>
      <c r="CB39" s="104"/>
      <c r="CC39" s="104"/>
      <c r="CD39" s="104"/>
      <c r="CE39" s="104"/>
      <c r="CF39" s="104"/>
      <c r="CG39" s="104"/>
      <c r="CH39" s="104"/>
      <c r="CI39" s="104"/>
      <c r="CJ39" s="104"/>
      <c r="CK39" s="104"/>
      <c r="CL39" s="104"/>
      <c r="CM39" s="104"/>
      <c r="CN39" s="104"/>
      <c r="CO39" s="104"/>
      <c r="CP39" s="104"/>
      <c r="CQ39" s="104"/>
      <c r="CR39" s="104"/>
      <c r="CS39" s="104"/>
      <c r="CT39" s="104"/>
      <c r="CU39" s="104"/>
      <c r="CV39" s="104"/>
      <c r="CW39" s="104"/>
      <c r="CX39" s="104"/>
      <c r="CY39" s="50" t="str">
        <f t="shared" si="29"/>
        <v>0</v>
      </c>
      <c r="CZ39" s="50" t="str">
        <f t="shared" si="30"/>
        <v>0</v>
      </c>
      <c r="DA39" s="50" t="str">
        <f t="shared" si="31"/>
        <v/>
      </c>
      <c r="DB39" s="55">
        <f t="shared" si="32"/>
        <v>0</v>
      </c>
      <c r="DC39" s="50" t="str">
        <f>TEXT('Feuille Saisie'!$B$4,"aaaa")</f>
        <v>2019</v>
      </c>
      <c r="DD39" s="50" t="str">
        <f>IF($J39="",TEXT('Feuille Saisie'!$B$4,"aaaa"),TEXT($J39,"aaaa"))</f>
        <v>2019</v>
      </c>
      <c r="DE39" s="50">
        <f t="shared" si="33"/>
        <v>0</v>
      </c>
      <c r="DF39" s="50">
        <f t="shared" si="34"/>
        <v>0</v>
      </c>
      <c r="DG39" s="106" t="str">
        <f>TEXT(IFERROR(VLOOKUP($C39,Données!$C$19:'Données'!$I$38,4,0),""),"aaaa")</f>
        <v/>
      </c>
      <c r="DH39" s="50">
        <f t="shared" si="35"/>
        <v>0</v>
      </c>
      <c r="DI39" s="50">
        <f t="shared" si="36"/>
        <v>1</v>
      </c>
      <c r="DJ39" s="50">
        <f t="shared" si="37"/>
        <v>0</v>
      </c>
      <c r="DK39" s="50">
        <f t="shared" si="38"/>
        <v>0</v>
      </c>
      <c r="DL39" s="50">
        <f t="shared" si="39"/>
        <v>0</v>
      </c>
      <c r="DM39" s="50" t="str">
        <f>IF($T39="",TEXT('Feuille Saisie'!$B$4,"aaaa"),TEXT($T39,"aaaa"))</f>
        <v>2019</v>
      </c>
      <c r="DN39" s="50">
        <f t="shared" si="40"/>
        <v>0</v>
      </c>
      <c r="DO39" s="50">
        <f t="shared" si="41"/>
        <v>0</v>
      </c>
      <c r="EA39" s="50" t="str">
        <f>IFERROR(VLOOKUP($C39,Données!$C$19:'Données'!$I$38,3,0),"")</f>
        <v/>
      </c>
      <c r="EB39" s="50" t="str">
        <f t="shared" si="42"/>
        <v xml:space="preserve"> </v>
      </c>
      <c r="EC39" s="50" t="str">
        <f t="shared" si="43"/>
        <v xml:space="preserve"> </v>
      </c>
      <c r="ED39" s="50" t="str">
        <f t="shared" si="44"/>
        <v xml:space="preserve"> </v>
      </c>
      <c r="EE39" s="50" t="str">
        <f t="shared" si="45"/>
        <v xml:space="preserve"> </v>
      </c>
      <c r="EF39" s="50" t="str">
        <f t="shared" si="46"/>
        <v xml:space="preserve"> </v>
      </c>
    </row>
    <row r="40" spans="1:136" ht="50.1" customHeight="1" x14ac:dyDescent="0.3">
      <c r="A40" s="1"/>
      <c r="B40" s="1"/>
      <c r="C40" s="15"/>
      <c r="D40" s="42">
        <f>IF(IF(ISNA(('Feuille Saisie'!$B$4-VLOOKUP($C40,Données!$C$19:'Données'!$I$38,4,0)))/365.24*100, ,('Feuille Saisie'!$B$4-VLOOKUP($C40,Données!$C$19:'Données'!$I$38,4,0))/365.24*100)&lt;100,IF(ISNA(('Feuille Saisie'!$B$4-VLOOKUP($C40,Données!$C$19:'Données'!$I$38,4,0)))/365.24*100, ,('Feuille Saisie'!$B$4-VLOOKUP($C40,Données!$C$19:'Données'!$I$38,4,0))/365.24*100),100)</f>
        <v>0</v>
      </c>
      <c r="E40" s="19"/>
      <c r="F40" s="43" t="str">
        <f>IF(ISNA(IF(AND($E40=0,VLOOKUP($C40,Données!$C$19:'Données'!$I$38,6,0)&lt;&gt;""),"0,00",IFERROR(IF(ISNA($E40/VLOOKUP($C40,Données!$C$19:'Données'!$I$38,6,0)), ,$E40/VLOOKUP($C40,Données!$C$19:'Données'!$I$38,6,0)),"/"))),"",IF(AND($E40=0,VLOOKUP($C40,Données!$C$19:'Données'!$I$38,6,0)&lt;&gt;""),"0,00",IFERROR(IF(ISNA($E40/VLOOKUP($C40,Données!$C$19:'Données'!$I$38,6,0)), ,$E40/VLOOKUP($C40,Données!$C$19:'Données'!$I$38,6,0)),"/")))</f>
        <v/>
      </c>
      <c r="G40" s="43" t="str">
        <f>IF(ISNA(IF(AND($E40=0,VLOOKUP($C40,Données!$C$19:'Données'!$I$38,7,0)&lt;&gt;""),"0,00",IFERROR(IF(ISNA($E40/VLOOKUP($C40,Données!$C$19:'Données'!$I$38,7,0)*100),,$E40/VLOOKUP($C40,Données!$C$19:'Données'!$I$38,7,0)*100),"/"))),"",IF(AND($E40=0,VLOOKUP($C40,Données!$C$19:'Données'!$I$38,7,0)&lt;&gt;""),"0,00",IFERROR(IF(ISNA($E40/VLOOKUP($C40,Données!$C$19:'Données'!$I$38,7,0)*100),,$E40/VLOOKUP($C40,Données!$C$19:'Données'!$I$38,7,0)*100),"/")))</f>
        <v/>
      </c>
      <c r="H40" s="33"/>
      <c r="I40" s="44" t="str">
        <f>IF($C40&lt;&gt;"",IF($E40=0,"/",IF(ISNA($H40-VLOOKUP($C40,Données!$C$19:'Données'!$I$38,4,0)), ,$H40-VLOOKUP($C40,Données!$C$19:'Données'!$I$38,4,0))),"")</f>
        <v/>
      </c>
      <c r="J40" s="33"/>
      <c r="K40" s="44" t="str">
        <f>IF($C40&lt;&gt;"",IF(ISNA($J40-VLOOKUP($C40,Données!$C$19:'Données'!$I$38,4,0)), ,$J40-VLOOKUP($C40,Données!$C$19:'Données'!$I$38,4,0)),"")</f>
        <v/>
      </c>
      <c r="L40" s="32"/>
      <c r="M40" s="19"/>
      <c r="N40" s="31"/>
      <c r="O40" s="103"/>
      <c r="P40" s="103"/>
      <c r="Q40" s="33"/>
      <c r="R40" s="44" t="str">
        <f>IF($C40&lt;&gt;"",IF($D40&lt;&gt;100,"/",IF(ISNA($Q40-VLOOKUP($C40,Données!$C$19:'Données'!$I$38,4,0)), ,$Q40-VLOOKUP($C40,Données!$C$19:'Données'!$I$38,4,0))),"")</f>
        <v/>
      </c>
      <c r="S40" s="16"/>
      <c r="T40" s="33"/>
      <c r="U40" s="44" t="str">
        <f>IF($C40&lt;&gt;"",IF($J40="","/",IF(ISNA($T40-VLOOKUP($C40,Données!$C$19:'Données'!$I$38,4,0)), ,$T40-VLOOKUP($C40,Données!$C$19:'Données'!$I$38,4,0))),"")</f>
        <v/>
      </c>
      <c r="V40" s="1"/>
      <c r="W40" s="1"/>
      <c r="X40" s="50"/>
      <c r="Y40" s="47" t="str">
        <f t="shared" si="0"/>
        <v/>
      </c>
      <c r="Z40" s="48" t="s">
        <v>39</v>
      </c>
      <c r="AA40" s="47" t="str">
        <f t="shared" si="1"/>
        <v/>
      </c>
      <c r="AB40" s="49" t="s">
        <v>40</v>
      </c>
      <c r="AC40" s="50">
        <f t="shared" si="2"/>
        <v>1</v>
      </c>
      <c r="AD40" s="50">
        <f t="shared" si="3"/>
        <v>1</v>
      </c>
      <c r="AE40" s="50">
        <f t="shared" si="4"/>
        <v>1</v>
      </c>
      <c r="AF40" s="50">
        <f t="shared" si="5"/>
        <v>1</v>
      </c>
      <c r="AG40" s="51">
        <f t="shared" si="6"/>
        <v>0</v>
      </c>
      <c r="AH40" s="55" t="str">
        <f>IF($C40="","",IFERROR(IF(ISNA(VLOOKUP($C40,Données!$C$19:'Données'!$I$38,6,0)), ,VLOOKUP($C40,Données!$C$19:'Données'!$I$38,6,0)),"/"))</f>
        <v/>
      </c>
      <c r="AI40" s="55" t="str">
        <f>IF($C40="","",IFERROR(IF(ISNA(VLOOKUP($C40,Données!$C$19:'Données'!$I$38,7,0)), ,VLOOKUP($C40,Données!$C$19:'Données'!$I$38,7,0)),"/"))</f>
        <v/>
      </c>
      <c r="AJ40" s="55" t="str">
        <f t="shared" si="7"/>
        <v/>
      </c>
      <c r="AK40" s="55">
        <f t="shared" si="8"/>
        <v>0</v>
      </c>
      <c r="AL40" s="55">
        <f t="shared" si="9"/>
        <v>0</v>
      </c>
      <c r="AM40" s="50" t="str">
        <f t="shared" si="10"/>
        <v/>
      </c>
      <c r="AN40" s="50">
        <f t="shared" si="11"/>
        <v>0</v>
      </c>
      <c r="AO40" s="50" t="str">
        <f t="shared" si="12"/>
        <v/>
      </c>
      <c r="AP40" s="55" t="str">
        <f t="shared" si="13"/>
        <v/>
      </c>
      <c r="AQ40" s="50">
        <f t="shared" si="14"/>
        <v>0</v>
      </c>
      <c r="AR40" s="50">
        <f t="shared" si="15"/>
        <v>0</v>
      </c>
      <c r="AS40" s="50">
        <f t="shared" si="16"/>
        <v>0</v>
      </c>
      <c r="AT40" s="50" t="str">
        <f>IFERROR(VLOOKUP($C40,Données!$C$19:'Données'!$I$38,3,0),"")</f>
        <v/>
      </c>
      <c r="AU40" s="50" t="str">
        <f t="shared" si="17"/>
        <v>0</v>
      </c>
      <c r="AV40" s="50">
        <f t="shared" si="18"/>
        <v>0</v>
      </c>
      <c r="AW40" s="50">
        <f t="shared" si="19"/>
        <v>0</v>
      </c>
      <c r="AX40" s="50">
        <f t="shared" si="20"/>
        <v>0</v>
      </c>
      <c r="AY40" s="50">
        <f t="shared" si="21"/>
        <v>0</v>
      </c>
      <c r="AZ40" s="50">
        <f t="shared" si="22"/>
        <v>0</v>
      </c>
      <c r="BA40" s="50">
        <f t="shared" si="23"/>
        <v>0</v>
      </c>
      <c r="BB40" s="50">
        <f t="shared" si="24"/>
        <v>0</v>
      </c>
      <c r="BC40" s="50">
        <f t="shared" si="25"/>
        <v>0</v>
      </c>
      <c r="BD40" s="50">
        <f t="shared" si="26"/>
        <v>0</v>
      </c>
      <c r="BE40" s="50">
        <f t="shared" si="27"/>
        <v>0</v>
      </c>
      <c r="BF40" s="50" t="str">
        <f>TEXT('Feuille Saisie'!$B$4,"aaaa")</f>
        <v>2019</v>
      </c>
      <c r="BG40" s="50" t="str">
        <f>IF($Q40="",TEXT('Feuille Saisie'!$B$4,"aaaa"),TEXT($Q40,"aaaa"))</f>
        <v>2019</v>
      </c>
      <c r="BH40" s="50">
        <f t="shared" si="28"/>
        <v>0</v>
      </c>
      <c r="BI40" s="39"/>
      <c r="BJ40" s="39"/>
      <c r="BK40" s="39"/>
      <c r="BL40" s="39"/>
      <c r="BM40" s="39"/>
      <c r="BN40" s="39"/>
      <c r="BO40" s="39"/>
      <c r="BP40" s="39"/>
      <c r="BQ40" s="39"/>
      <c r="BR40" s="39"/>
      <c r="BS40" s="39"/>
      <c r="BT40" s="39"/>
      <c r="BU40" s="39"/>
      <c r="BV40" s="104"/>
      <c r="BW40" s="104"/>
      <c r="BX40" s="104"/>
      <c r="BY40" s="104"/>
      <c r="BZ40" s="104"/>
      <c r="CA40" s="104"/>
      <c r="CB40" s="104"/>
      <c r="CC40" s="104"/>
      <c r="CD40" s="104"/>
      <c r="CE40" s="104"/>
      <c r="CF40" s="104"/>
      <c r="CG40" s="104"/>
      <c r="CH40" s="104"/>
      <c r="CI40" s="104"/>
      <c r="CJ40" s="104"/>
      <c r="CK40" s="104"/>
      <c r="CL40" s="104"/>
      <c r="CM40" s="104"/>
      <c r="CN40" s="104"/>
      <c r="CO40" s="104"/>
      <c r="CP40" s="104"/>
      <c r="CQ40" s="104"/>
      <c r="CR40" s="104"/>
      <c r="CS40" s="104"/>
      <c r="CT40" s="104"/>
      <c r="CU40" s="104"/>
      <c r="CV40" s="104"/>
      <c r="CW40" s="104"/>
      <c r="CX40" s="104"/>
      <c r="CY40" s="50" t="str">
        <f t="shared" si="29"/>
        <v>0</v>
      </c>
      <c r="CZ40" s="50" t="str">
        <f t="shared" si="30"/>
        <v>0</v>
      </c>
      <c r="DA40" s="50" t="str">
        <f t="shared" si="31"/>
        <v/>
      </c>
      <c r="DB40" s="55">
        <f t="shared" si="32"/>
        <v>0</v>
      </c>
      <c r="DC40" s="50" t="str">
        <f>TEXT('Feuille Saisie'!$B$4,"aaaa")</f>
        <v>2019</v>
      </c>
      <c r="DD40" s="50" t="str">
        <f>IF($J40="",TEXT('Feuille Saisie'!$B$4,"aaaa"),TEXT($J40,"aaaa"))</f>
        <v>2019</v>
      </c>
      <c r="DE40" s="50">
        <f t="shared" si="33"/>
        <v>0</v>
      </c>
      <c r="DF40" s="50">
        <f t="shared" si="34"/>
        <v>0</v>
      </c>
      <c r="DG40" s="106" t="str">
        <f>TEXT(IFERROR(VLOOKUP($C40,Données!$C$19:'Données'!$I$38,4,0),""),"aaaa")</f>
        <v/>
      </c>
      <c r="DH40" s="50">
        <f t="shared" si="35"/>
        <v>0</v>
      </c>
      <c r="DI40" s="50">
        <f t="shared" si="36"/>
        <v>1</v>
      </c>
      <c r="DJ40" s="50">
        <f t="shared" si="37"/>
        <v>0</v>
      </c>
      <c r="DK40" s="50">
        <f t="shared" si="38"/>
        <v>0</v>
      </c>
      <c r="DL40" s="50">
        <f t="shared" si="39"/>
        <v>0</v>
      </c>
      <c r="DM40" s="50" t="str">
        <f>IF($T40="",TEXT('Feuille Saisie'!$B$4,"aaaa"),TEXT($T40,"aaaa"))</f>
        <v>2019</v>
      </c>
      <c r="DN40" s="50">
        <f t="shared" si="40"/>
        <v>0</v>
      </c>
      <c r="DO40" s="50">
        <f t="shared" si="41"/>
        <v>0</v>
      </c>
      <c r="EA40" s="50" t="str">
        <f>IFERROR(VLOOKUP($C40,Données!$C$19:'Données'!$I$38,3,0),"")</f>
        <v/>
      </c>
      <c r="EB40" s="50" t="str">
        <f t="shared" si="42"/>
        <v xml:space="preserve"> </v>
      </c>
      <c r="EC40" s="50" t="str">
        <f t="shared" si="43"/>
        <v xml:space="preserve"> </v>
      </c>
      <c r="ED40" s="50" t="str">
        <f t="shared" si="44"/>
        <v xml:space="preserve"> </v>
      </c>
      <c r="EE40" s="50" t="str">
        <f t="shared" si="45"/>
        <v xml:space="preserve"> </v>
      </c>
      <c r="EF40" s="50" t="str">
        <f t="shared" si="46"/>
        <v xml:space="preserve"> </v>
      </c>
    </row>
    <row r="41" spans="1:136" ht="50.1" customHeight="1" x14ac:dyDescent="0.3">
      <c r="A41" s="1"/>
      <c r="B41" s="1"/>
      <c r="C41" s="15"/>
      <c r="D41" s="42">
        <f>IF(IF(ISNA(('Feuille Saisie'!$B$4-VLOOKUP($C41,Données!$C$19:'Données'!$I$38,4,0)))/365.24*100, ,('Feuille Saisie'!$B$4-VLOOKUP($C41,Données!$C$19:'Données'!$I$38,4,0))/365.24*100)&lt;100,IF(ISNA(('Feuille Saisie'!$B$4-VLOOKUP($C41,Données!$C$19:'Données'!$I$38,4,0)))/365.24*100, ,('Feuille Saisie'!$B$4-VLOOKUP($C41,Données!$C$19:'Données'!$I$38,4,0))/365.24*100),100)</f>
        <v>0</v>
      </c>
      <c r="E41" s="19"/>
      <c r="F41" s="43" t="str">
        <f>IF(ISNA(IF(AND($E41=0,VLOOKUP($C41,Données!$C$19:'Données'!$I$38,6,0)&lt;&gt;""),"0,00",IFERROR(IF(ISNA($E41/VLOOKUP($C41,Données!$C$19:'Données'!$I$38,6,0)), ,$E41/VLOOKUP($C41,Données!$C$19:'Données'!$I$38,6,0)),"/"))),"",IF(AND($E41=0,VLOOKUP($C41,Données!$C$19:'Données'!$I$38,6,0)&lt;&gt;""),"0,00",IFERROR(IF(ISNA($E41/VLOOKUP($C41,Données!$C$19:'Données'!$I$38,6,0)), ,$E41/VLOOKUP($C41,Données!$C$19:'Données'!$I$38,6,0)),"/")))</f>
        <v/>
      </c>
      <c r="G41" s="43" t="str">
        <f>IF(ISNA(IF(AND($E41=0,VLOOKUP($C41,Données!$C$19:'Données'!$I$38,7,0)&lt;&gt;""),"0,00",IFERROR(IF(ISNA($E41/VLOOKUP($C41,Données!$C$19:'Données'!$I$38,7,0)*100),,$E41/VLOOKUP($C41,Données!$C$19:'Données'!$I$38,7,0)*100),"/"))),"",IF(AND($E41=0,VLOOKUP($C41,Données!$C$19:'Données'!$I$38,7,0)&lt;&gt;""),"0,00",IFERROR(IF(ISNA($E41/VLOOKUP($C41,Données!$C$19:'Données'!$I$38,7,0)*100),,$E41/VLOOKUP($C41,Données!$C$19:'Données'!$I$38,7,0)*100),"/")))</f>
        <v/>
      </c>
      <c r="H41" s="33"/>
      <c r="I41" s="44" t="str">
        <f>IF($C41&lt;&gt;"",IF($E41=0,"/",IF(ISNA($H41-VLOOKUP($C41,Données!$C$19:'Données'!$I$38,4,0)), ,$H41-VLOOKUP($C41,Données!$C$19:'Données'!$I$38,4,0))),"")</f>
        <v/>
      </c>
      <c r="J41" s="33"/>
      <c r="K41" s="44" t="str">
        <f>IF($C41&lt;&gt;"",IF(ISNA($J41-VLOOKUP($C41,Données!$C$19:'Données'!$I$38,4,0)), ,$J41-VLOOKUP($C41,Données!$C$19:'Données'!$I$38,4,0)),"")</f>
        <v/>
      </c>
      <c r="L41" s="32"/>
      <c r="M41" s="19"/>
      <c r="N41" s="31"/>
      <c r="O41" s="103"/>
      <c r="P41" s="103"/>
      <c r="Q41" s="33"/>
      <c r="R41" s="44" t="str">
        <f>IF($C41&lt;&gt;"",IF($D41&lt;&gt;100,"/",IF(ISNA($Q41-VLOOKUP($C41,Données!$C$19:'Données'!$I$38,4,0)), ,$Q41-VLOOKUP($C41,Données!$C$19:'Données'!$I$38,4,0))),"")</f>
        <v/>
      </c>
      <c r="S41" s="16"/>
      <c r="T41" s="33"/>
      <c r="U41" s="44" t="str">
        <f>IF($C41&lt;&gt;"",IF($J41="","/",IF(ISNA($T41-VLOOKUP($C41,Données!$C$19:'Données'!$I$38,4,0)), ,$T41-VLOOKUP($C41,Données!$C$19:'Données'!$I$38,4,0))),"")</f>
        <v/>
      </c>
      <c r="V41" s="1"/>
      <c r="W41" s="1"/>
      <c r="X41" s="50"/>
      <c r="Y41" s="47" t="str">
        <f t="shared" si="0"/>
        <v/>
      </c>
      <c r="Z41" s="48" t="s">
        <v>39</v>
      </c>
      <c r="AA41" s="47" t="str">
        <f t="shared" si="1"/>
        <v/>
      </c>
      <c r="AB41" s="49" t="s">
        <v>40</v>
      </c>
      <c r="AC41" s="50">
        <f t="shared" si="2"/>
        <v>1</v>
      </c>
      <c r="AD41" s="50">
        <f t="shared" si="3"/>
        <v>1</v>
      </c>
      <c r="AE41" s="50">
        <f t="shared" si="4"/>
        <v>1</v>
      </c>
      <c r="AF41" s="50">
        <f t="shared" si="5"/>
        <v>1</v>
      </c>
      <c r="AG41" s="51">
        <f t="shared" si="6"/>
        <v>0</v>
      </c>
      <c r="AH41" s="55" t="str">
        <f>IF($C41="","",IFERROR(IF(ISNA(VLOOKUP($C41,Données!$C$19:'Données'!$I$38,6,0)), ,VLOOKUP($C41,Données!$C$19:'Données'!$I$38,6,0)),"/"))</f>
        <v/>
      </c>
      <c r="AI41" s="55" t="str">
        <f>IF($C41="","",IFERROR(IF(ISNA(VLOOKUP($C41,Données!$C$19:'Données'!$I$38,7,0)), ,VLOOKUP($C41,Données!$C$19:'Données'!$I$38,7,0)),"/"))</f>
        <v/>
      </c>
      <c r="AJ41" s="55" t="str">
        <f t="shared" si="7"/>
        <v/>
      </c>
      <c r="AK41" s="55">
        <f t="shared" si="8"/>
        <v>0</v>
      </c>
      <c r="AL41" s="55">
        <f t="shared" si="9"/>
        <v>0</v>
      </c>
      <c r="AM41" s="50" t="str">
        <f t="shared" si="10"/>
        <v/>
      </c>
      <c r="AN41" s="50">
        <f t="shared" si="11"/>
        <v>0</v>
      </c>
      <c r="AO41" s="50" t="str">
        <f t="shared" si="12"/>
        <v/>
      </c>
      <c r="AP41" s="55" t="str">
        <f t="shared" si="13"/>
        <v/>
      </c>
      <c r="AQ41" s="50">
        <f t="shared" si="14"/>
        <v>0</v>
      </c>
      <c r="AR41" s="50">
        <f t="shared" si="15"/>
        <v>0</v>
      </c>
      <c r="AS41" s="50">
        <f t="shared" si="16"/>
        <v>0</v>
      </c>
      <c r="AT41" s="50" t="str">
        <f>IFERROR(VLOOKUP($C41,Données!$C$19:'Données'!$I$38,3,0),"")</f>
        <v/>
      </c>
      <c r="AU41" s="50" t="str">
        <f t="shared" si="17"/>
        <v>0</v>
      </c>
      <c r="AV41" s="50">
        <f t="shared" si="18"/>
        <v>0</v>
      </c>
      <c r="AW41" s="50">
        <f t="shared" si="19"/>
        <v>0</v>
      </c>
      <c r="AX41" s="50">
        <f t="shared" si="20"/>
        <v>0</v>
      </c>
      <c r="AY41" s="50">
        <f t="shared" si="21"/>
        <v>0</v>
      </c>
      <c r="AZ41" s="50">
        <f t="shared" si="22"/>
        <v>0</v>
      </c>
      <c r="BA41" s="50">
        <f t="shared" si="23"/>
        <v>0</v>
      </c>
      <c r="BB41" s="50">
        <f t="shared" si="24"/>
        <v>0</v>
      </c>
      <c r="BC41" s="50">
        <f t="shared" si="25"/>
        <v>0</v>
      </c>
      <c r="BD41" s="50">
        <f t="shared" si="26"/>
        <v>0</v>
      </c>
      <c r="BE41" s="50">
        <f t="shared" si="27"/>
        <v>0</v>
      </c>
      <c r="BF41" s="50" t="str">
        <f>TEXT('Feuille Saisie'!$B$4,"aaaa")</f>
        <v>2019</v>
      </c>
      <c r="BG41" s="50" t="str">
        <f>IF($Q41="",TEXT('Feuille Saisie'!$B$4,"aaaa"),TEXT($Q41,"aaaa"))</f>
        <v>2019</v>
      </c>
      <c r="BH41" s="50">
        <f t="shared" si="28"/>
        <v>0</v>
      </c>
      <c r="BI41" s="39"/>
      <c r="BJ41" s="39"/>
      <c r="BK41" s="39"/>
      <c r="BL41" s="39"/>
      <c r="BM41" s="39"/>
      <c r="BN41" s="39"/>
      <c r="BO41" s="39"/>
      <c r="BP41" s="39"/>
      <c r="BQ41" s="39"/>
      <c r="BR41" s="39"/>
      <c r="BS41" s="39"/>
      <c r="BT41" s="39"/>
      <c r="BU41" s="39"/>
      <c r="BV41" s="104"/>
      <c r="BW41" s="104"/>
      <c r="BX41" s="104"/>
      <c r="BY41" s="104"/>
      <c r="BZ41" s="104"/>
      <c r="CA41" s="104"/>
      <c r="CB41" s="104"/>
      <c r="CC41" s="104"/>
      <c r="CD41" s="104"/>
      <c r="CE41" s="104"/>
      <c r="CF41" s="104"/>
      <c r="CG41" s="104"/>
      <c r="CH41" s="104"/>
      <c r="CI41" s="104"/>
      <c r="CJ41" s="104"/>
      <c r="CK41" s="104"/>
      <c r="CL41" s="104"/>
      <c r="CM41" s="104"/>
      <c r="CN41" s="104"/>
      <c r="CO41" s="104"/>
      <c r="CP41" s="104"/>
      <c r="CQ41" s="104"/>
      <c r="CR41" s="104"/>
      <c r="CS41" s="104"/>
      <c r="CT41" s="104"/>
      <c r="CU41" s="104"/>
      <c r="CV41" s="104"/>
      <c r="CW41" s="104"/>
      <c r="CX41" s="104"/>
      <c r="CY41" s="50" t="str">
        <f t="shared" si="29"/>
        <v>0</v>
      </c>
      <c r="CZ41" s="50" t="str">
        <f t="shared" si="30"/>
        <v>0</v>
      </c>
      <c r="DA41" s="50" t="str">
        <f t="shared" si="31"/>
        <v/>
      </c>
      <c r="DB41" s="55">
        <f t="shared" si="32"/>
        <v>0</v>
      </c>
      <c r="DC41" s="50" t="str">
        <f>TEXT('Feuille Saisie'!$B$4,"aaaa")</f>
        <v>2019</v>
      </c>
      <c r="DD41" s="50" t="str">
        <f>IF($J41="",TEXT('Feuille Saisie'!$B$4,"aaaa"),TEXT($J41,"aaaa"))</f>
        <v>2019</v>
      </c>
      <c r="DE41" s="50">
        <f t="shared" si="33"/>
        <v>0</v>
      </c>
      <c r="DF41" s="50">
        <f t="shared" si="34"/>
        <v>0</v>
      </c>
      <c r="DG41" s="106" t="str">
        <f>TEXT(IFERROR(VLOOKUP($C41,Données!$C$19:'Données'!$I$38,4,0),""),"aaaa")</f>
        <v/>
      </c>
      <c r="DH41" s="50">
        <f t="shared" si="35"/>
        <v>0</v>
      </c>
      <c r="DI41" s="50">
        <f t="shared" si="36"/>
        <v>1</v>
      </c>
      <c r="DJ41" s="50">
        <f t="shared" si="37"/>
        <v>0</v>
      </c>
      <c r="DK41" s="50">
        <f t="shared" si="38"/>
        <v>0</v>
      </c>
      <c r="DL41" s="50">
        <f t="shared" si="39"/>
        <v>0</v>
      </c>
      <c r="DM41" s="50" t="str">
        <f>IF($T41="",TEXT('Feuille Saisie'!$B$4,"aaaa"),TEXT($T41,"aaaa"))</f>
        <v>2019</v>
      </c>
      <c r="DN41" s="50">
        <f t="shared" si="40"/>
        <v>0</v>
      </c>
      <c r="DO41" s="50">
        <f t="shared" si="41"/>
        <v>0</v>
      </c>
      <c r="EA41" s="50" t="str">
        <f>IFERROR(VLOOKUP($C41,Données!$C$19:'Données'!$I$38,3,0),"")</f>
        <v/>
      </c>
      <c r="EB41" s="50" t="str">
        <f t="shared" si="42"/>
        <v xml:space="preserve"> </v>
      </c>
      <c r="EC41" s="50" t="str">
        <f t="shared" si="43"/>
        <v xml:space="preserve"> </v>
      </c>
      <c r="ED41" s="50" t="str">
        <f t="shared" si="44"/>
        <v xml:space="preserve"> </v>
      </c>
      <c r="EE41" s="50" t="str">
        <f t="shared" si="45"/>
        <v xml:space="preserve"> </v>
      </c>
      <c r="EF41" s="50" t="str">
        <f t="shared" si="46"/>
        <v xml:space="preserve"> </v>
      </c>
    </row>
    <row r="42" spans="1:136" ht="50.1" customHeight="1" x14ac:dyDescent="0.3">
      <c r="A42" s="1"/>
      <c r="B42" s="1"/>
      <c r="C42" s="15"/>
      <c r="D42" s="42">
        <f>IF(IF(ISNA(('Feuille Saisie'!$B$4-VLOOKUP($C42,Données!$C$19:'Données'!$I$38,4,0)))/365.24*100, ,('Feuille Saisie'!$B$4-VLOOKUP($C42,Données!$C$19:'Données'!$I$38,4,0))/365.24*100)&lt;100,IF(ISNA(('Feuille Saisie'!$B$4-VLOOKUP($C42,Données!$C$19:'Données'!$I$38,4,0)))/365.24*100, ,('Feuille Saisie'!$B$4-VLOOKUP($C42,Données!$C$19:'Données'!$I$38,4,0))/365.24*100),100)</f>
        <v>0</v>
      </c>
      <c r="E42" s="19"/>
      <c r="F42" s="43" t="str">
        <f>IF(ISNA(IF(AND($E42=0,VLOOKUP($C42,Données!$C$19:'Données'!$I$38,6,0)&lt;&gt;""),"0,00",IFERROR(IF(ISNA($E42/VLOOKUP($C42,Données!$C$19:'Données'!$I$38,6,0)), ,$E42/VLOOKUP($C42,Données!$C$19:'Données'!$I$38,6,0)),"/"))),"",IF(AND($E42=0,VLOOKUP($C42,Données!$C$19:'Données'!$I$38,6,0)&lt;&gt;""),"0,00",IFERROR(IF(ISNA($E42/VLOOKUP($C42,Données!$C$19:'Données'!$I$38,6,0)), ,$E42/VLOOKUP($C42,Données!$C$19:'Données'!$I$38,6,0)),"/")))</f>
        <v/>
      </c>
      <c r="G42" s="43" t="str">
        <f>IF(ISNA(IF(AND($E42=0,VLOOKUP($C42,Données!$C$19:'Données'!$I$38,7,0)&lt;&gt;""),"0,00",IFERROR(IF(ISNA($E42/VLOOKUP($C42,Données!$C$19:'Données'!$I$38,7,0)*100),,$E42/VLOOKUP($C42,Données!$C$19:'Données'!$I$38,7,0)*100),"/"))),"",IF(AND($E42=0,VLOOKUP($C42,Données!$C$19:'Données'!$I$38,7,0)&lt;&gt;""),"0,00",IFERROR(IF(ISNA($E42/VLOOKUP($C42,Données!$C$19:'Données'!$I$38,7,0)*100),,$E42/VLOOKUP($C42,Données!$C$19:'Données'!$I$38,7,0)*100),"/")))</f>
        <v/>
      </c>
      <c r="H42" s="33"/>
      <c r="I42" s="44" t="str">
        <f>IF($C42&lt;&gt;"",IF($E42=0,"/",IF(ISNA($H42-VLOOKUP($C42,Données!$C$19:'Données'!$I$38,4,0)), ,$H42-VLOOKUP($C42,Données!$C$19:'Données'!$I$38,4,0))),"")</f>
        <v/>
      </c>
      <c r="J42" s="33"/>
      <c r="K42" s="44" t="str">
        <f>IF($C42&lt;&gt;"",IF(ISNA($J42-VLOOKUP($C42,Données!$C$19:'Données'!$I$38,4,0)), ,$J42-VLOOKUP($C42,Données!$C$19:'Données'!$I$38,4,0)),"")</f>
        <v/>
      </c>
      <c r="L42" s="32"/>
      <c r="M42" s="19"/>
      <c r="N42" s="31"/>
      <c r="O42" s="103"/>
      <c r="P42" s="103"/>
      <c r="Q42" s="33"/>
      <c r="R42" s="44" t="str">
        <f>IF($C42&lt;&gt;"",IF($D42&lt;&gt;100,"/",IF(ISNA($Q42-VLOOKUP($C42,Données!$C$19:'Données'!$I$38,4,0)), ,$Q42-VLOOKUP($C42,Données!$C$19:'Données'!$I$38,4,0))),"")</f>
        <v/>
      </c>
      <c r="S42" s="16"/>
      <c r="T42" s="33"/>
      <c r="U42" s="44" t="str">
        <f>IF($C42&lt;&gt;"",IF($J42="","/",IF(ISNA($T42-VLOOKUP($C42,Données!$C$19:'Données'!$I$38,4,0)), ,$T42-VLOOKUP($C42,Données!$C$19:'Données'!$I$38,4,0))),"")</f>
        <v/>
      </c>
      <c r="V42" s="1"/>
      <c r="W42" s="1"/>
      <c r="X42" s="50"/>
      <c r="Y42" s="47" t="str">
        <f t="shared" si="0"/>
        <v/>
      </c>
      <c r="Z42" s="48" t="s">
        <v>39</v>
      </c>
      <c r="AA42" s="47" t="str">
        <f t="shared" si="1"/>
        <v/>
      </c>
      <c r="AB42" s="49" t="s">
        <v>40</v>
      </c>
      <c r="AC42" s="50">
        <f t="shared" si="2"/>
        <v>1</v>
      </c>
      <c r="AD42" s="50">
        <f t="shared" si="3"/>
        <v>1</v>
      </c>
      <c r="AE42" s="50">
        <f t="shared" si="4"/>
        <v>1</v>
      </c>
      <c r="AF42" s="50">
        <f t="shared" si="5"/>
        <v>1</v>
      </c>
      <c r="AG42" s="51">
        <f t="shared" si="6"/>
        <v>0</v>
      </c>
      <c r="AH42" s="55" t="str">
        <f>IF($C42="","",IFERROR(IF(ISNA(VLOOKUP($C42,Données!$C$19:'Données'!$I$38,6,0)), ,VLOOKUP($C42,Données!$C$19:'Données'!$I$38,6,0)),"/"))</f>
        <v/>
      </c>
      <c r="AI42" s="55" t="str">
        <f>IF($C42="","",IFERROR(IF(ISNA(VLOOKUP($C42,Données!$C$19:'Données'!$I$38,7,0)), ,VLOOKUP($C42,Données!$C$19:'Données'!$I$38,7,0)),"/"))</f>
        <v/>
      </c>
      <c r="AJ42" s="55" t="str">
        <f t="shared" si="7"/>
        <v/>
      </c>
      <c r="AK42" s="55">
        <f t="shared" si="8"/>
        <v>0</v>
      </c>
      <c r="AL42" s="55">
        <f t="shared" si="9"/>
        <v>0</v>
      </c>
      <c r="AM42" s="50" t="str">
        <f t="shared" si="10"/>
        <v/>
      </c>
      <c r="AN42" s="50">
        <f t="shared" si="11"/>
        <v>0</v>
      </c>
      <c r="AO42" s="50" t="str">
        <f t="shared" si="12"/>
        <v/>
      </c>
      <c r="AP42" s="55" t="str">
        <f t="shared" si="13"/>
        <v/>
      </c>
      <c r="AQ42" s="50">
        <f t="shared" si="14"/>
        <v>0</v>
      </c>
      <c r="AR42" s="50">
        <f t="shared" si="15"/>
        <v>0</v>
      </c>
      <c r="AS42" s="50">
        <f t="shared" si="16"/>
        <v>0</v>
      </c>
      <c r="AT42" s="50" t="str">
        <f>IFERROR(VLOOKUP($C42,Données!$C$19:'Données'!$I$38,3,0),"")</f>
        <v/>
      </c>
      <c r="AU42" s="50" t="str">
        <f t="shared" si="17"/>
        <v>0</v>
      </c>
      <c r="AV42" s="50">
        <f t="shared" si="18"/>
        <v>0</v>
      </c>
      <c r="AW42" s="50">
        <f t="shared" si="19"/>
        <v>0</v>
      </c>
      <c r="AX42" s="50">
        <f t="shared" si="20"/>
        <v>0</v>
      </c>
      <c r="AY42" s="50">
        <f t="shared" si="21"/>
        <v>0</v>
      </c>
      <c r="AZ42" s="50">
        <f t="shared" si="22"/>
        <v>0</v>
      </c>
      <c r="BA42" s="50">
        <f t="shared" si="23"/>
        <v>0</v>
      </c>
      <c r="BB42" s="50">
        <f t="shared" si="24"/>
        <v>0</v>
      </c>
      <c r="BC42" s="50">
        <f t="shared" si="25"/>
        <v>0</v>
      </c>
      <c r="BD42" s="50">
        <f t="shared" si="26"/>
        <v>0</v>
      </c>
      <c r="BE42" s="50">
        <f t="shared" si="27"/>
        <v>0</v>
      </c>
      <c r="BF42" s="50" t="str">
        <f>TEXT('Feuille Saisie'!$B$4,"aaaa")</f>
        <v>2019</v>
      </c>
      <c r="BG42" s="50" t="str">
        <f>IF($Q42="",TEXT('Feuille Saisie'!$B$4,"aaaa"),TEXT($Q42,"aaaa"))</f>
        <v>2019</v>
      </c>
      <c r="BH42" s="50">
        <f t="shared" si="28"/>
        <v>0</v>
      </c>
      <c r="BI42" s="39"/>
      <c r="BJ42" s="39"/>
      <c r="BK42" s="39"/>
      <c r="BL42" s="39"/>
      <c r="BM42" s="39"/>
      <c r="BN42" s="39"/>
      <c r="BO42" s="39"/>
      <c r="BP42" s="39"/>
      <c r="BQ42" s="39"/>
      <c r="BR42" s="39"/>
      <c r="BS42" s="39"/>
      <c r="BT42" s="39"/>
      <c r="BU42" s="39"/>
      <c r="BV42" s="104"/>
      <c r="BW42" s="104"/>
      <c r="BX42" s="104"/>
      <c r="BY42" s="104"/>
      <c r="BZ42" s="104"/>
      <c r="CA42" s="104"/>
      <c r="CB42" s="104"/>
      <c r="CC42" s="104"/>
      <c r="CD42" s="104"/>
      <c r="CE42" s="104"/>
      <c r="CF42" s="104"/>
      <c r="CG42" s="104"/>
      <c r="CH42" s="104"/>
      <c r="CI42" s="104"/>
      <c r="CJ42" s="104"/>
      <c r="CK42" s="104"/>
      <c r="CL42" s="104"/>
      <c r="CM42" s="104"/>
      <c r="CN42" s="104"/>
      <c r="CO42" s="104"/>
      <c r="CP42" s="104"/>
      <c r="CQ42" s="104"/>
      <c r="CR42" s="104"/>
      <c r="CS42" s="104"/>
      <c r="CT42" s="104"/>
      <c r="CU42" s="104"/>
      <c r="CV42" s="104"/>
      <c r="CW42" s="104"/>
      <c r="CX42" s="104"/>
      <c r="CY42" s="50" t="str">
        <f t="shared" si="29"/>
        <v>0</v>
      </c>
      <c r="CZ42" s="50" t="str">
        <f t="shared" si="30"/>
        <v>0</v>
      </c>
      <c r="DA42" s="50" t="str">
        <f t="shared" si="31"/>
        <v/>
      </c>
      <c r="DB42" s="55">
        <f t="shared" si="32"/>
        <v>0</v>
      </c>
      <c r="DC42" s="50" t="str">
        <f>TEXT('Feuille Saisie'!$B$4,"aaaa")</f>
        <v>2019</v>
      </c>
      <c r="DD42" s="50" t="str">
        <f>IF($J42="",TEXT('Feuille Saisie'!$B$4,"aaaa"),TEXT($J42,"aaaa"))</f>
        <v>2019</v>
      </c>
      <c r="DE42" s="50">
        <f t="shared" si="33"/>
        <v>0</v>
      </c>
      <c r="DF42" s="50">
        <f t="shared" si="34"/>
        <v>0</v>
      </c>
      <c r="DG42" s="106" t="str">
        <f>TEXT(IFERROR(VLOOKUP($C42,Données!$C$19:'Données'!$I$38,4,0),""),"aaaa")</f>
        <v/>
      </c>
      <c r="DH42" s="50">
        <f t="shared" si="35"/>
        <v>0</v>
      </c>
      <c r="DI42" s="50">
        <f t="shared" si="36"/>
        <v>1</v>
      </c>
      <c r="DJ42" s="50">
        <f t="shared" si="37"/>
        <v>0</v>
      </c>
      <c r="DK42" s="50">
        <f t="shared" si="38"/>
        <v>0</v>
      </c>
      <c r="DL42" s="50">
        <f t="shared" si="39"/>
        <v>0</v>
      </c>
      <c r="DM42" s="50" t="str">
        <f>IF($T42="",TEXT('Feuille Saisie'!$B$4,"aaaa"),TEXT($T42,"aaaa"))</f>
        <v>2019</v>
      </c>
      <c r="DN42" s="50">
        <f t="shared" si="40"/>
        <v>0</v>
      </c>
      <c r="DO42" s="50">
        <f t="shared" si="41"/>
        <v>0</v>
      </c>
      <c r="EA42" s="50" t="str">
        <f>IFERROR(VLOOKUP($C42,Données!$C$19:'Données'!$I$38,3,0),"")</f>
        <v/>
      </c>
      <c r="EB42" s="50" t="str">
        <f t="shared" si="42"/>
        <v xml:space="preserve"> </v>
      </c>
      <c r="EC42" s="50" t="str">
        <f t="shared" si="43"/>
        <v xml:space="preserve"> </v>
      </c>
      <c r="ED42" s="50" t="str">
        <f t="shared" si="44"/>
        <v xml:space="preserve"> </v>
      </c>
      <c r="EE42" s="50" t="str">
        <f t="shared" si="45"/>
        <v xml:space="preserve"> </v>
      </c>
      <c r="EF42" s="50" t="str">
        <f t="shared" si="46"/>
        <v xml:space="preserve"> </v>
      </c>
    </row>
    <row r="43" spans="1:136" ht="50.1" customHeight="1" x14ac:dyDescent="0.3">
      <c r="A43" s="1"/>
      <c r="B43" s="1"/>
      <c r="C43" s="15"/>
      <c r="D43" s="42">
        <f>IF(IF(ISNA(('Feuille Saisie'!$B$4-VLOOKUP($C43,Données!$C$19:'Données'!$I$38,4,0)))/365.24*100, ,('Feuille Saisie'!$B$4-VLOOKUP($C43,Données!$C$19:'Données'!$I$38,4,0))/365.24*100)&lt;100,IF(ISNA(('Feuille Saisie'!$B$4-VLOOKUP($C43,Données!$C$19:'Données'!$I$38,4,0)))/365.24*100, ,('Feuille Saisie'!$B$4-VLOOKUP($C43,Données!$C$19:'Données'!$I$38,4,0))/365.24*100),100)</f>
        <v>0</v>
      </c>
      <c r="E43" s="19"/>
      <c r="F43" s="43" t="str">
        <f>IF(ISNA(IF(AND($E43=0,VLOOKUP($C43,Données!$C$19:'Données'!$I$38,6,0)&lt;&gt;""),"0,00",IFERROR(IF(ISNA($E43/VLOOKUP($C43,Données!$C$19:'Données'!$I$38,6,0)), ,$E43/VLOOKUP($C43,Données!$C$19:'Données'!$I$38,6,0)),"/"))),"",IF(AND($E43=0,VLOOKUP($C43,Données!$C$19:'Données'!$I$38,6,0)&lt;&gt;""),"0,00",IFERROR(IF(ISNA($E43/VLOOKUP($C43,Données!$C$19:'Données'!$I$38,6,0)), ,$E43/VLOOKUP($C43,Données!$C$19:'Données'!$I$38,6,0)),"/")))</f>
        <v/>
      </c>
      <c r="G43" s="43" t="str">
        <f>IF(ISNA(IF(AND($E43=0,VLOOKUP($C43,Données!$C$19:'Données'!$I$38,7,0)&lt;&gt;""),"0,00",IFERROR(IF(ISNA($E43/VLOOKUP($C43,Données!$C$19:'Données'!$I$38,7,0)*100),,$E43/VLOOKUP($C43,Données!$C$19:'Données'!$I$38,7,0)*100),"/"))),"",IF(AND($E43=0,VLOOKUP($C43,Données!$C$19:'Données'!$I$38,7,0)&lt;&gt;""),"0,00",IFERROR(IF(ISNA($E43/VLOOKUP($C43,Données!$C$19:'Données'!$I$38,7,0)*100),,$E43/VLOOKUP($C43,Données!$C$19:'Données'!$I$38,7,0)*100),"/")))</f>
        <v/>
      </c>
      <c r="H43" s="33"/>
      <c r="I43" s="44" t="str">
        <f>IF($C43&lt;&gt;"",IF($E43=0,"/",IF(ISNA($H43-VLOOKUP($C43,Données!$C$19:'Données'!$I$38,4,0)), ,$H43-VLOOKUP($C43,Données!$C$19:'Données'!$I$38,4,0))),"")</f>
        <v/>
      </c>
      <c r="J43" s="33"/>
      <c r="K43" s="44" t="str">
        <f>IF($C43&lt;&gt;"",IF(ISNA($J43-VLOOKUP($C43,Données!$C$19:'Données'!$I$38,4,0)), ,$J43-VLOOKUP($C43,Données!$C$19:'Données'!$I$38,4,0)),"")</f>
        <v/>
      </c>
      <c r="L43" s="32"/>
      <c r="M43" s="19"/>
      <c r="N43" s="31"/>
      <c r="O43" s="103"/>
      <c r="P43" s="103"/>
      <c r="Q43" s="33"/>
      <c r="R43" s="44" t="str">
        <f>IF($C43&lt;&gt;"",IF($D43&lt;&gt;100,"/",IF(ISNA($Q43-VLOOKUP($C43,Données!$C$19:'Données'!$I$38,4,0)), ,$Q43-VLOOKUP($C43,Données!$C$19:'Données'!$I$38,4,0))),"")</f>
        <v/>
      </c>
      <c r="S43" s="16"/>
      <c r="T43" s="33"/>
      <c r="U43" s="44" t="str">
        <f>IF($C43&lt;&gt;"",IF($J43="","/",IF(ISNA($T43-VLOOKUP($C43,Données!$C$19:'Données'!$I$38,4,0)), ,$T43-VLOOKUP($C43,Données!$C$19:'Données'!$I$38,4,0))),"")</f>
        <v/>
      </c>
      <c r="V43" s="1"/>
      <c r="W43" s="1"/>
      <c r="X43" s="50"/>
      <c r="Y43" s="47" t="str">
        <f t="shared" si="0"/>
        <v/>
      </c>
      <c r="Z43" s="48" t="s">
        <v>39</v>
      </c>
      <c r="AA43" s="47" t="str">
        <f t="shared" si="1"/>
        <v/>
      </c>
      <c r="AB43" s="49" t="s">
        <v>40</v>
      </c>
      <c r="AC43" s="50">
        <f t="shared" si="2"/>
        <v>1</v>
      </c>
      <c r="AD43" s="50">
        <f t="shared" si="3"/>
        <v>1</v>
      </c>
      <c r="AE43" s="50">
        <f t="shared" si="4"/>
        <v>1</v>
      </c>
      <c r="AF43" s="50">
        <f t="shared" si="5"/>
        <v>1</v>
      </c>
      <c r="AG43" s="51">
        <f t="shared" si="6"/>
        <v>0</v>
      </c>
      <c r="AH43" s="55" t="str">
        <f>IF($C43="","",IFERROR(IF(ISNA(VLOOKUP($C43,Données!$C$19:'Données'!$I$38,6,0)), ,VLOOKUP($C43,Données!$C$19:'Données'!$I$38,6,0)),"/"))</f>
        <v/>
      </c>
      <c r="AI43" s="55" t="str">
        <f>IF($C43="","",IFERROR(IF(ISNA(VLOOKUP($C43,Données!$C$19:'Données'!$I$38,7,0)), ,VLOOKUP($C43,Données!$C$19:'Données'!$I$38,7,0)),"/"))</f>
        <v/>
      </c>
      <c r="AJ43" s="55" t="str">
        <f t="shared" si="7"/>
        <v/>
      </c>
      <c r="AK43" s="55">
        <f t="shared" si="8"/>
        <v>0</v>
      </c>
      <c r="AL43" s="55">
        <f t="shared" si="9"/>
        <v>0</v>
      </c>
      <c r="AM43" s="50" t="str">
        <f t="shared" si="10"/>
        <v/>
      </c>
      <c r="AN43" s="50">
        <f t="shared" si="11"/>
        <v>0</v>
      </c>
      <c r="AO43" s="50" t="str">
        <f t="shared" si="12"/>
        <v/>
      </c>
      <c r="AP43" s="55" t="str">
        <f t="shared" si="13"/>
        <v/>
      </c>
      <c r="AQ43" s="50">
        <f t="shared" si="14"/>
        <v>0</v>
      </c>
      <c r="AR43" s="50">
        <f t="shared" si="15"/>
        <v>0</v>
      </c>
      <c r="AS43" s="50">
        <f t="shared" si="16"/>
        <v>0</v>
      </c>
      <c r="AT43" s="50" t="str">
        <f>IFERROR(VLOOKUP($C43,Données!$C$19:'Données'!$I$38,3,0),"")</f>
        <v/>
      </c>
      <c r="AU43" s="50" t="str">
        <f t="shared" si="17"/>
        <v>0</v>
      </c>
      <c r="AV43" s="50">
        <f t="shared" si="18"/>
        <v>0</v>
      </c>
      <c r="AW43" s="50">
        <f t="shared" si="19"/>
        <v>0</v>
      </c>
      <c r="AX43" s="50">
        <f t="shared" si="20"/>
        <v>0</v>
      </c>
      <c r="AY43" s="50">
        <f t="shared" si="21"/>
        <v>0</v>
      </c>
      <c r="AZ43" s="50">
        <f t="shared" si="22"/>
        <v>0</v>
      </c>
      <c r="BA43" s="50">
        <f t="shared" si="23"/>
        <v>0</v>
      </c>
      <c r="BB43" s="50">
        <f t="shared" si="24"/>
        <v>0</v>
      </c>
      <c r="BC43" s="50">
        <f t="shared" si="25"/>
        <v>0</v>
      </c>
      <c r="BD43" s="50">
        <f t="shared" si="26"/>
        <v>0</v>
      </c>
      <c r="BE43" s="50">
        <f t="shared" si="27"/>
        <v>0</v>
      </c>
      <c r="BF43" s="50" t="str">
        <f>TEXT('Feuille Saisie'!$B$4,"aaaa")</f>
        <v>2019</v>
      </c>
      <c r="BG43" s="50" t="str">
        <f>IF($Q43="",TEXT('Feuille Saisie'!$B$4,"aaaa"),TEXT($Q43,"aaaa"))</f>
        <v>2019</v>
      </c>
      <c r="BH43" s="50">
        <f t="shared" si="28"/>
        <v>0</v>
      </c>
      <c r="BI43" s="39"/>
      <c r="BJ43" s="39"/>
      <c r="BK43" s="39"/>
      <c r="BL43" s="39"/>
      <c r="BM43" s="39"/>
      <c r="BN43" s="39"/>
      <c r="BO43" s="39"/>
      <c r="BP43" s="39"/>
      <c r="BQ43" s="39"/>
      <c r="BR43" s="39"/>
      <c r="BS43" s="39"/>
      <c r="BT43" s="39"/>
      <c r="BU43" s="39"/>
      <c r="BV43" s="104"/>
      <c r="BW43" s="104"/>
      <c r="BX43" s="104"/>
      <c r="BY43" s="104"/>
      <c r="BZ43" s="104"/>
      <c r="CA43" s="104"/>
      <c r="CB43" s="104"/>
      <c r="CC43" s="104"/>
      <c r="CD43" s="104"/>
      <c r="CE43" s="104"/>
      <c r="CF43" s="104"/>
      <c r="CG43" s="104"/>
      <c r="CH43" s="104"/>
      <c r="CI43" s="104"/>
      <c r="CJ43" s="104"/>
      <c r="CK43" s="104"/>
      <c r="CL43" s="104"/>
      <c r="CM43" s="104"/>
      <c r="CN43" s="104"/>
      <c r="CO43" s="104"/>
      <c r="CP43" s="104"/>
      <c r="CQ43" s="104"/>
      <c r="CR43" s="104"/>
      <c r="CS43" s="104"/>
      <c r="CT43" s="104"/>
      <c r="CU43" s="104"/>
      <c r="CV43" s="104"/>
      <c r="CW43" s="104"/>
      <c r="CX43" s="104"/>
      <c r="CY43" s="50" t="str">
        <f t="shared" si="29"/>
        <v>0</v>
      </c>
      <c r="CZ43" s="50" t="str">
        <f t="shared" si="30"/>
        <v>0</v>
      </c>
      <c r="DA43" s="50" t="str">
        <f t="shared" si="31"/>
        <v/>
      </c>
      <c r="DB43" s="55">
        <f t="shared" si="32"/>
        <v>0</v>
      </c>
      <c r="DC43" s="50" t="str">
        <f>TEXT('Feuille Saisie'!$B$4,"aaaa")</f>
        <v>2019</v>
      </c>
      <c r="DD43" s="50" t="str">
        <f>IF($J43="",TEXT('Feuille Saisie'!$B$4,"aaaa"),TEXT($J43,"aaaa"))</f>
        <v>2019</v>
      </c>
      <c r="DE43" s="50">
        <f t="shared" si="33"/>
        <v>0</v>
      </c>
      <c r="DF43" s="50">
        <f t="shared" si="34"/>
        <v>0</v>
      </c>
      <c r="DG43" s="106" t="str">
        <f>TEXT(IFERROR(VLOOKUP($C43,Données!$C$19:'Données'!$I$38,4,0),""),"aaaa")</f>
        <v/>
      </c>
      <c r="DH43" s="50">
        <f t="shared" si="35"/>
        <v>0</v>
      </c>
      <c r="DI43" s="50">
        <f t="shared" si="36"/>
        <v>1</v>
      </c>
      <c r="DJ43" s="50">
        <f t="shared" si="37"/>
        <v>0</v>
      </c>
      <c r="DK43" s="50">
        <f t="shared" si="38"/>
        <v>0</v>
      </c>
      <c r="DL43" s="50">
        <f t="shared" si="39"/>
        <v>0</v>
      </c>
      <c r="DM43" s="50" t="str">
        <f>IF($T43="",TEXT('Feuille Saisie'!$B$4,"aaaa"),TEXT($T43,"aaaa"))</f>
        <v>2019</v>
      </c>
      <c r="DN43" s="50">
        <f t="shared" si="40"/>
        <v>0</v>
      </c>
      <c r="DO43" s="50">
        <f t="shared" si="41"/>
        <v>0</v>
      </c>
      <c r="EA43" s="50" t="str">
        <f>IFERROR(VLOOKUP($C43,Données!$C$19:'Données'!$I$38,3,0),"")</f>
        <v/>
      </c>
      <c r="EB43" s="50" t="str">
        <f t="shared" si="42"/>
        <v xml:space="preserve"> </v>
      </c>
      <c r="EC43" s="50" t="str">
        <f t="shared" si="43"/>
        <v xml:space="preserve"> </v>
      </c>
      <c r="ED43" s="50" t="str">
        <f t="shared" si="44"/>
        <v xml:space="preserve"> </v>
      </c>
      <c r="EE43" s="50" t="str">
        <f t="shared" si="45"/>
        <v xml:space="preserve"> </v>
      </c>
      <c r="EF43" s="50" t="str">
        <f t="shared" si="46"/>
        <v xml:space="preserve"> </v>
      </c>
    </row>
    <row r="44" spans="1:136" ht="50.1" customHeight="1" x14ac:dyDescent="0.3">
      <c r="A44" s="1"/>
      <c r="B44" s="1"/>
      <c r="C44" s="57" t="s">
        <v>50</v>
      </c>
      <c r="D44" s="58" t="s">
        <v>49</v>
      </c>
      <c r="E44" s="59">
        <f>SUM(E29:E43)</f>
        <v>636</v>
      </c>
      <c r="F44" s="60">
        <f>IF(AH44=0,"/",E44/AH44)</f>
        <v>0.6404833836858006</v>
      </c>
      <c r="G44" s="60" t="str">
        <f>IF(AI44=0,"/",E44/AI44)</f>
        <v>/</v>
      </c>
      <c r="H44" s="61"/>
      <c r="I44" s="62">
        <f>IF(DB44=0,"/",DA44/DB44)</f>
        <v>545.5</v>
      </c>
      <c r="J44" s="61"/>
      <c r="K44" s="62">
        <f>IF(AK44=0,"/",AO44/AK44)</f>
        <v>132.5</v>
      </c>
      <c r="L44" s="71">
        <f>SUM(L29:L43)</f>
        <v>283</v>
      </c>
      <c r="M44" s="58">
        <f>IF(AQ44=0,"/",AP44/AQ44)</f>
        <v>22.943462897526501</v>
      </c>
      <c r="N44" s="98">
        <f>SUM(N29:N43)</f>
        <v>48517</v>
      </c>
      <c r="O44" s="63"/>
      <c r="P44" s="63"/>
      <c r="Q44" s="61"/>
      <c r="R44" s="64"/>
      <c r="S44" s="65"/>
      <c r="T44" s="61"/>
      <c r="U44" s="62" t="str">
        <f>IF(AL44=0,"/",AM44/AL44)</f>
        <v>/</v>
      </c>
      <c r="V44" s="1"/>
      <c r="W44" s="70"/>
      <c r="X44" s="50"/>
      <c r="Y44" s="47"/>
      <c r="Z44" s="48"/>
      <c r="AA44" s="47"/>
      <c r="AB44" s="49"/>
      <c r="AC44" s="50"/>
      <c r="AD44" s="50"/>
      <c r="AE44" s="50"/>
      <c r="AF44" s="50"/>
      <c r="AG44" s="51"/>
      <c r="AH44" s="75">
        <f t="shared" ref="AH44:AQ44" si="47">SUM(AH29:AH43)</f>
        <v>993</v>
      </c>
      <c r="AI44" s="75">
        <f t="shared" si="47"/>
        <v>0</v>
      </c>
      <c r="AJ44" s="50">
        <f t="shared" si="47"/>
        <v>217467</v>
      </c>
      <c r="AK44" s="55">
        <f>SUM(AK29:AK43)</f>
        <v>2</v>
      </c>
      <c r="AL44" s="75">
        <f t="shared" si="47"/>
        <v>0</v>
      </c>
      <c r="AM44" s="75">
        <f t="shared" si="47"/>
        <v>0</v>
      </c>
      <c r="AN44" s="75">
        <f t="shared" si="47"/>
        <v>636</v>
      </c>
      <c r="AO44" s="75">
        <f t="shared" si="47"/>
        <v>265</v>
      </c>
      <c r="AP44" s="75">
        <f t="shared" si="47"/>
        <v>6493</v>
      </c>
      <c r="AQ44" s="75">
        <f t="shared" si="47"/>
        <v>283</v>
      </c>
      <c r="AR44" s="75">
        <f>SUM(AR29:AR43)</f>
        <v>0</v>
      </c>
      <c r="AS44" s="75">
        <f>SUM(AS29:AS43)</f>
        <v>1</v>
      </c>
      <c r="AT44" s="50"/>
      <c r="AU44" s="75">
        <f t="shared" ref="AU44:BE44" si="48">SUM(AU29:AU43)</f>
        <v>0</v>
      </c>
      <c r="AV44" s="75">
        <f t="shared" si="48"/>
        <v>0</v>
      </c>
      <c r="AW44" s="75">
        <f t="shared" si="48"/>
        <v>0</v>
      </c>
      <c r="AX44" s="75">
        <f t="shared" si="48"/>
        <v>0</v>
      </c>
      <c r="AY44" s="75">
        <f t="shared" si="48"/>
        <v>0</v>
      </c>
      <c r="AZ44" s="75">
        <f t="shared" si="48"/>
        <v>0</v>
      </c>
      <c r="BA44" s="75">
        <f t="shared" si="48"/>
        <v>0</v>
      </c>
      <c r="BB44" s="75">
        <f t="shared" si="48"/>
        <v>1</v>
      </c>
      <c r="BC44" s="75">
        <f t="shared" si="48"/>
        <v>3</v>
      </c>
      <c r="BD44" s="75">
        <f t="shared" si="48"/>
        <v>0</v>
      </c>
      <c r="BE44" s="75">
        <f t="shared" si="48"/>
        <v>0</v>
      </c>
      <c r="BF44" s="50"/>
      <c r="BG44" s="50"/>
      <c r="BH44" s="75">
        <f t="shared" ref="BH44" si="49">SUM(BH29:BH43)</f>
        <v>0</v>
      </c>
      <c r="BI44" s="39"/>
      <c r="BJ44" s="39"/>
      <c r="BK44" s="39"/>
      <c r="BL44" s="39"/>
      <c r="BM44" s="39"/>
      <c r="BN44" s="39"/>
      <c r="BO44" s="39"/>
      <c r="BP44" s="39"/>
      <c r="BQ44" s="39"/>
      <c r="BR44" s="39"/>
      <c r="BS44" s="39"/>
      <c r="BT44" s="39"/>
      <c r="BU44" s="39"/>
      <c r="BV44" s="104"/>
      <c r="BW44" s="104"/>
      <c r="BX44" s="104"/>
      <c r="BY44" s="104"/>
      <c r="BZ44" s="104"/>
      <c r="CA44" s="104"/>
      <c r="CB44" s="104"/>
      <c r="CC44" s="104"/>
      <c r="CD44" s="104"/>
      <c r="CE44" s="104"/>
      <c r="CF44" s="104"/>
      <c r="CG44" s="104"/>
      <c r="CH44" s="104"/>
      <c r="CI44" s="104"/>
      <c r="CJ44" s="104"/>
      <c r="CK44" s="104"/>
      <c r="CL44" s="104"/>
      <c r="CM44" s="104"/>
      <c r="CN44" s="104"/>
      <c r="CO44" s="104"/>
      <c r="CP44" s="104"/>
      <c r="CQ44" s="104"/>
      <c r="CR44" s="104"/>
      <c r="CS44" s="104"/>
      <c r="CT44" s="104"/>
      <c r="CU44" s="104"/>
      <c r="CV44" s="104"/>
      <c r="CW44" s="104"/>
      <c r="CX44" s="104"/>
      <c r="CY44" s="50">
        <f>SUM(CY29:CY43)</f>
        <v>0</v>
      </c>
      <c r="CZ44" s="50">
        <f>SUM(CZ29:CZ43)</f>
        <v>0</v>
      </c>
      <c r="DA44" s="50">
        <f>SUM(DA29:DA43)</f>
        <v>1091</v>
      </c>
      <c r="DB44" s="50">
        <f>SUM(DB29:DB43)</f>
        <v>2</v>
      </c>
      <c r="DC44" s="50"/>
      <c r="DD44" s="50"/>
      <c r="DE44" s="50">
        <f>SUM(DE29:DE43)</f>
        <v>1</v>
      </c>
      <c r="DF44" s="50"/>
      <c r="DG44" s="50"/>
      <c r="DH44" s="50">
        <f>SUM(DH29:DH43)</f>
        <v>0</v>
      </c>
      <c r="DI44" s="50"/>
      <c r="DJ44" s="50">
        <f>SUM(DJ29:DJ43)</f>
        <v>0</v>
      </c>
      <c r="DK44" s="50">
        <f>SUM(DK29:DK43)</f>
        <v>120</v>
      </c>
      <c r="DL44" s="50"/>
      <c r="DM44" s="50"/>
      <c r="DN44" s="50">
        <f>SUM(DN29:DN43)</f>
        <v>0</v>
      </c>
      <c r="DO44" s="50">
        <f>SUM(DO29:DO43)</f>
        <v>0</v>
      </c>
    </row>
    <row r="45" spans="1:136" x14ac:dyDescent="0.25">
      <c r="A45" s="1"/>
      <c r="B45" s="1"/>
      <c r="C45" s="4"/>
      <c r="D45" s="4"/>
      <c r="E45" s="4"/>
      <c r="F45" s="4"/>
      <c r="G45" s="4"/>
      <c r="H45" s="4"/>
      <c r="I45" s="4"/>
      <c r="J45" s="4"/>
      <c r="K45" s="4"/>
      <c r="L45" s="4"/>
      <c r="M45" s="4"/>
      <c r="N45" s="4"/>
      <c r="O45" s="4"/>
      <c r="P45" s="4"/>
      <c r="Q45" s="4"/>
      <c r="R45" s="4"/>
      <c r="S45" s="4"/>
      <c r="T45" s="4"/>
      <c r="U45" s="4"/>
      <c r="V45" s="1"/>
      <c r="W45" s="1"/>
    </row>
    <row r="46" spans="1:136" ht="15.75" customHeight="1" x14ac:dyDescent="0.25">
      <c r="A46" s="1"/>
      <c r="B46" s="1"/>
      <c r="C46" s="5"/>
      <c r="D46" s="4"/>
      <c r="E46" s="4"/>
      <c r="F46" s="4"/>
      <c r="G46" s="4"/>
      <c r="H46" s="4"/>
      <c r="I46" s="4"/>
      <c r="J46" s="4"/>
      <c r="K46" s="4"/>
      <c r="L46" s="4"/>
      <c r="M46" s="4"/>
      <c r="N46" s="4"/>
      <c r="O46" s="4"/>
      <c r="P46" s="4"/>
      <c r="Q46" s="4"/>
      <c r="R46" s="4"/>
      <c r="S46" s="4"/>
      <c r="T46" s="4"/>
      <c r="U46" s="4"/>
      <c r="V46" s="1"/>
      <c r="W46" s="1"/>
    </row>
    <row r="47" spans="1:136" ht="15" customHeight="1" x14ac:dyDescent="0.25">
      <c r="A47" s="1"/>
      <c r="B47" s="1"/>
      <c r="C47" s="5"/>
      <c r="D47" s="5"/>
      <c r="E47" s="5"/>
      <c r="F47" s="5"/>
      <c r="G47" s="5"/>
      <c r="H47" s="5"/>
      <c r="I47" s="5"/>
      <c r="J47" s="5"/>
      <c r="K47" s="5"/>
      <c r="L47" s="4"/>
      <c r="M47" s="4"/>
      <c r="N47" s="4"/>
      <c r="O47" s="4"/>
      <c r="P47" s="4"/>
      <c r="Q47" s="4"/>
      <c r="R47" s="4"/>
      <c r="S47" s="4"/>
      <c r="T47" s="4"/>
      <c r="U47" s="4"/>
      <c r="V47" s="1"/>
      <c r="W47" s="1"/>
    </row>
    <row r="48" spans="1:136" ht="15" customHeight="1" x14ac:dyDescent="0.25">
      <c r="A48" s="1"/>
      <c r="B48" s="1"/>
      <c r="C48" s="5"/>
      <c r="D48" s="5"/>
      <c r="E48" s="5"/>
      <c r="F48" s="5"/>
      <c r="G48" s="5"/>
      <c r="H48" s="5"/>
      <c r="I48" s="5"/>
      <c r="J48" s="5"/>
      <c r="K48" s="5"/>
      <c r="L48" s="4"/>
      <c r="M48" s="4"/>
      <c r="N48" s="4"/>
      <c r="O48" s="4"/>
      <c r="P48" s="4"/>
      <c r="Q48" s="4"/>
      <c r="R48" s="4"/>
      <c r="S48" s="4"/>
      <c r="T48" s="4"/>
      <c r="U48" s="4"/>
      <c r="V48" s="1"/>
      <c r="W48" s="1"/>
    </row>
    <row r="49" spans="1:23" ht="15" customHeight="1" x14ac:dyDescent="0.25">
      <c r="A49" s="1"/>
      <c r="B49" s="1"/>
      <c r="C49" s="6"/>
      <c r="D49" s="6"/>
      <c r="E49" s="6"/>
      <c r="F49" s="6"/>
      <c r="G49" s="6"/>
      <c r="H49" s="6"/>
      <c r="I49" s="6"/>
      <c r="J49" s="6"/>
      <c r="K49" s="6"/>
      <c r="L49" s="4"/>
      <c r="M49" s="4"/>
      <c r="N49" s="4"/>
      <c r="O49" s="4"/>
      <c r="P49" s="4"/>
      <c r="Q49" s="4"/>
      <c r="R49" s="4"/>
      <c r="S49" s="4"/>
      <c r="T49" s="4"/>
      <c r="U49" s="4"/>
      <c r="V49" s="1"/>
      <c r="W49" s="1"/>
    </row>
    <row r="50" spans="1:23" ht="15" customHeight="1" x14ac:dyDescent="0.25">
      <c r="A50" s="1"/>
      <c r="B50" s="1"/>
      <c r="C50" s="6"/>
      <c r="D50" s="6"/>
      <c r="E50" s="6"/>
      <c r="F50" s="6"/>
      <c r="G50" s="6"/>
      <c r="H50" s="6"/>
      <c r="I50" s="6"/>
      <c r="J50" s="6"/>
      <c r="K50" s="6"/>
      <c r="L50" s="4"/>
      <c r="M50" s="4"/>
      <c r="N50" s="4"/>
      <c r="O50" s="4"/>
      <c r="P50" s="4"/>
      <c r="Q50" s="4"/>
      <c r="R50" s="4"/>
      <c r="S50" s="4"/>
      <c r="T50" s="4"/>
      <c r="U50" s="4"/>
      <c r="V50" s="1"/>
      <c r="W50" s="1"/>
    </row>
    <row r="51" spans="1:23" ht="15" customHeight="1" x14ac:dyDescent="0.25">
      <c r="A51" s="1"/>
      <c r="B51" s="1"/>
      <c r="C51" s="143" t="str">
        <f ca="1">Données!$C$45</f>
        <v>CR Point bimestriel PA Version 22.4 20190227 EVREUX</v>
      </c>
      <c r="D51" s="143"/>
      <c r="E51" s="143"/>
      <c r="F51" s="143"/>
      <c r="G51" s="143"/>
      <c r="H51" s="143"/>
      <c r="I51" s="143"/>
      <c r="J51" s="143"/>
      <c r="K51" s="143"/>
      <c r="L51" s="143"/>
      <c r="M51" s="143"/>
      <c r="N51" s="143"/>
      <c r="O51" s="143"/>
      <c r="P51" s="143"/>
      <c r="Q51" s="143"/>
      <c r="R51" s="143"/>
      <c r="S51" s="143"/>
      <c r="T51" s="143"/>
      <c r="U51" s="143"/>
      <c r="V51" s="1"/>
      <c r="W51" s="1"/>
    </row>
    <row r="53" spans="1:23" ht="5.0999999999999996" customHeight="1" x14ac:dyDescent="0.25"/>
  </sheetData>
  <sheetProtection algorithmName="SHA-512" hashValue="JCNMFmuCRkYMWXqEFF6ckqxm28tHUMwontmjzckCMW0WpoDthsUn2X1pv5HexEh20hbzxDnNfJPIOAC0BC/SVA==" saltValue="xrME0h7yJyvmZGWFguV+qQ==" spinCount="100000" sheet="1" objects="1" scenarios="1"/>
  <protectedRanges>
    <protectedRange sqref="T29:T43 S29 O29:Q29 Q30:Q43" name="Plage6_1"/>
    <protectedRange sqref="C29:C43" name="Plage1"/>
    <protectedRange sqref="E29:E43" name="Plage2"/>
    <protectedRange sqref="H29:H43" name="Plage3"/>
    <protectedRange sqref="J29:J43" name="Plage4"/>
    <protectedRange sqref="L29:M35 L36:P43" name="Plage5"/>
    <protectedRange sqref="S30:S43" name="Plage6"/>
    <protectedRange sqref="N29:N35" name="Plage5_1"/>
    <protectedRange sqref="O30:P35" name="Plage5_2"/>
  </protectedRanges>
  <mergeCells count="25">
    <mergeCell ref="C51:U51"/>
    <mergeCell ref="M25:M28"/>
    <mergeCell ref="N25:N28"/>
    <mergeCell ref="E25:E28"/>
    <mergeCell ref="F25:F28"/>
    <mergeCell ref="G25:G28"/>
    <mergeCell ref="J25:K26"/>
    <mergeCell ref="J27:J28"/>
    <mergeCell ref="K27:K28"/>
    <mergeCell ref="C25:C28"/>
    <mergeCell ref="T25:U26"/>
    <mergeCell ref="T27:T28"/>
    <mergeCell ref="R27:R28"/>
    <mergeCell ref="U27:U28"/>
    <mergeCell ref="Q25:R26"/>
    <mergeCell ref="S25:S28"/>
    <mergeCell ref="D25:D28"/>
    <mergeCell ref="P27:P28"/>
    <mergeCell ref="Q27:Q28"/>
    <mergeCell ref="O25:P26"/>
    <mergeCell ref="O27:O28"/>
    <mergeCell ref="L25:L28"/>
    <mergeCell ref="H25:I26"/>
    <mergeCell ref="H27:H28"/>
    <mergeCell ref="I27:I28"/>
  </mergeCells>
  <conditionalFormatting sqref="R44">
    <cfRule type="cellIs" dxfId="117" priority="116" operator="lessThanOrEqual">
      <formula>0</formula>
    </cfRule>
  </conditionalFormatting>
  <conditionalFormatting sqref="F29:F44">
    <cfRule type="cellIs" dxfId="116" priority="81" operator="equal">
      <formula>0</formula>
    </cfRule>
  </conditionalFormatting>
  <conditionalFormatting sqref="D29:D44">
    <cfRule type="cellIs" dxfId="115" priority="93" operator="lessThan">
      <formula>0</formula>
    </cfRule>
    <cfRule type="cellIs" dxfId="114" priority="94" operator="equal">
      <formula>0</formula>
    </cfRule>
  </conditionalFormatting>
  <conditionalFormatting sqref="K29:K44">
    <cfRule type="containsText" dxfId="113" priority="18" operator="containsText" text="/">
      <formula>NOT(ISERROR(SEARCH("/",K29)))</formula>
    </cfRule>
    <cfRule type="cellIs" dxfId="112" priority="70" operator="lessThanOrEqual">
      <formula>0</formula>
    </cfRule>
    <cfRule type="cellIs" dxfId="111" priority="71" operator="between">
      <formula>0</formula>
      <formula>90</formula>
    </cfRule>
    <cfRule type="cellIs" dxfId="110" priority="75" operator="greaterThan">
      <formula>90</formula>
    </cfRule>
  </conditionalFormatting>
  <conditionalFormatting sqref="I29:I44">
    <cfRule type="cellIs" dxfId="109" priority="78" operator="lessThanOrEqual">
      <formula>0</formula>
    </cfRule>
  </conditionalFormatting>
  <conditionalFormatting sqref="U29:U44">
    <cfRule type="cellIs" dxfId="108" priority="25" operator="lessThanOrEqual">
      <formula>0</formula>
    </cfRule>
    <cfRule type="cellIs" dxfId="107" priority="26" operator="equal">
      <formula>"/"</formula>
    </cfRule>
    <cfRule type="cellIs" dxfId="106" priority="27" operator="greaterThan">
      <formula>395</formula>
    </cfRule>
    <cfRule type="cellIs" dxfId="105" priority="28" operator="lessThanOrEqual">
      <formula>395</formula>
    </cfRule>
  </conditionalFormatting>
  <conditionalFormatting sqref="G44">
    <cfRule type="cellIs" dxfId="104" priority="24" operator="equal">
      <formula>0</formula>
    </cfRule>
  </conditionalFormatting>
  <conditionalFormatting sqref="H29:H43">
    <cfRule type="expression" dxfId="103" priority="16">
      <formula>AND($C29&lt;&gt;"",$AC29=1)</formula>
    </cfRule>
  </conditionalFormatting>
  <conditionalFormatting sqref="T29:T43">
    <cfRule type="expression" dxfId="102" priority="11">
      <formula>AND($C29&lt;&gt;"",$AE29=1)</formula>
    </cfRule>
  </conditionalFormatting>
  <conditionalFormatting sqref="M29:M44">
    <cfRule type="cellIs" dxfId="101" priority="10" operator="equal">
      <formula>"/"</formula>
    </cfRule>
    <cfRule type="expression" dxfId="100" priority="13">
      <formula>AND($C29&lt;&gt;"",$AD29=1)</formula>
    </cfRule>
    <cfRule type="cellIs" dxfId="99" priority="14" operator="lessThanOrEqual">
      <formula>15</formula>
    </cfRule>
    <cfRule type="cellIs" dxfId="98" priority="15" operator="greaterThan">
      <formula>15</formula>
    </cfRule>
  </conditionalFormatting>
  <conditionalFormatting sqref="S29:S43">
    <cfRule type="expression" dxfId="97" priority="9">
      <formula>AND($C29&lt;&gt;"",OR($L29="",$L29=0))</formula>
    </cfRule>
  </conditionalFormatting>
  <conditionalFormatting sqref="O29:O43">
    <cfRule type="expression" dxfId="96" priority="8">
      <formula>AND($C29&lt;&gt;"",OR($L29="",$L29=0))</formula>
    </cfRule>
  </conditionalFormatting>
  <conditionalFormatting sqref="P29:P43">
    <cfRule type="expression" dxfId="95" priority="7">
      <formula>AND($C29&lt;&gt;"",OR($L29="",$L29=0))</formula>
    </cfRule>
  </conditionalFormatting>
  <conditionalFormatting sqref="Q29:Q43">
    <cfRule type="expression" dxfId="94" priority="4">
      <formula>AND($C29&lt;&gt;"",$D29&lt;&gt;100)</formula>
    </cfRule>
  </conditionalFormatting>
  <conditionalFormatting sqref="R29:R43">
    <cfRule type="cellIs" dxfId="93" priority="1" operator="lessThanOrEqual">
      <formula>0</formula>
    </cfRule>
  </conditionalFormatting>
  <dataValidations count="9">
    <dataValidation type="custom" allowBlank="1" showInputMessage="1" showErrorMessage="1" error="Pas de réclamation GPA ou date saisie antérieure à la date de réception " sqref="Q44">
      <formula1>AND($R44&gt;0,$AD44&lt;&gt;1)</formula1>
    </dataValidation>
    <dataValidation type="custom" allowBlank="1" showInputMessage="1" showErrorMessage="1" error="Pas de réserve de réception ou date saisie antérieure à la date de réception " sqref="H29:H44">
      <formula1>AND($I29&gt;0,$AC29&lt;&gt;1)</formula1>
    </dataValidation>
    <dataValidation type="custom" allowBlank="1" showInputMessage="1" showErrorMessage="1" error="Date saisie antérieure à la date de réception " sqref="J29:J44">
      <formula1>$K29&gt;0</formula1>
    </dataValidation>
    <dataValidation type="custom" allowBlank="1" showInputMessage="1" showErrorMessage="1" error="Pas de réclamation GPA" sqref="M29:M43">
      <formula1>$AD29&lt;&gt;1</formula1>
    </dataValidation>
    <dataValidation type="custom" allowBlank="1" showInputMessage="1" showErrorMessage="1" error="Pas de date de passation technique renseignée ou date saisie antérieure à la date de passation technique" sqref="T29:T44">
      <formula1>AND($AG29&gt;=0,$AE29&lt;&gt;1)</formula1>
    </dataValidation>
    <dataValidation type="list" allowBlank="1" showInputMessage="1" showErrorMessage="1" sqref="S29:S43">
      <formula1>$Y$25:$Y$26</formula1>
    </dataValidation>
    <dataValidation type="custom" allowBlank="1" showInputMessage="1" showErrorMessage="1" error="Pas de réclamation GPA" sqref="P29:P43">
      <formula1>$AD29&lt;&gt;1</formula1>
    </dataValidation>
    <dataValidation type="custom" allowBlank="1" showInputMessage="1" showErrorMessage="1" error="Pas de réclamation GPA" sqref="O29:O43">
      <formula1>$AD29&lt;&gt;1</formula1>
    </dataValidation>
    <dataValidation type="custom" allowBlank="1" showInputMessage="1" showErrorMessage="1" error="Délai de la GPA non expiré ou date saisie antérieure à la date de réception + 1 an " sqref="Q29:Q43">
      <formula1>AND($D29=100,$R29&gt;365.24)</formula1>
    </dataValidation>
  </dataValidations>
  <printOptions horizontalCentered="1"/>
  <pageMargins left="0" right="0" top="0" bottom="1.3779527559055118" header="0.31496062992125984" footer="0.31496062992125984"/>
  <pageSetup paperSize="8" scale="57" orientation="landscape" r:id="rId1"/>
  <headerFooter>
    <oddFooter>&amp;C&amp;G</oddFooter>
  </headerFooter>
  <drawing r:id="rId2"/>
  <legacyDrawing r:id="rId3"/>
  <legacyDrawingHF r:id="rId4"/>
  <extLst>
    <ext xmlns:x14="http://schemas.microsoft.com/office/spreadsheetml/2009/9/main" uri="{CCE6A557-97BC-4b89-ADB6-D9C93CAAB3DF}">
      <x14:dataValidations xmlns:xm="http://schemas.microsoft.com/office/excel/2006/main" count="1">
        <x14:dataValidation type="list" allowBlank="1" showInputMessage="1" showErrorMessage="1">
          <x14:formula1>
            <xm:f>OFFSET(Données!$C$19:$C$38,0,0,COUNTA(Données!$C$19:$C$38),1)</xm:f>
          </x14:formula1>
          <xm:sqref>C29:C43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pageSetUpPr fitToPage="1"/>
  </sheetPr>
  <dimension ref="A1:AE53"/>
  <sheetViews>
    <sheetView showGridLines="0" zoomScaleNormal="100" workbookViewId="0"/>
  </sheetViews>
  <sheetFormatPr baseColWidth="10" defaultColWidth="11.42578125" defaultRowHeight="15" x14ac:dyDescent="0.25"/>
  <cols>
    <col min="1" max="2" width="0.85546875" customWidth="1"/>
    <col min="3" max="3" width="55.7109375" customWidth="1"/>
    <col min="4" max="14" width="15.7109375" customWidth="1"/>
    <col min="15" max="15" width="1.7109375" customWidth="1"/>
    <col min="16" max="16" width="104.7109375" customWidth="1"/>
    <col min="17" max="18" width="0.85546875" customWidth="1"/>
  </cols>
  <sheetData>
    <row r="1" spans="1:19" ht="5.0999999999999996" customHeight="1" x14ac:dyDescent="0.25">
      <c r="A1" s="1"/>
      <c r="B1" s="1"/>
      <c r="C1" s="1"/>
      <c r="D1" s="1"/>
      <c r="E1" s="1"/>
      <c r="F1" s="1"/>
      <c r="G1" s="1"/>
      <c r="H1" s="1"/>
      <c r="I1" s="1"/>
      <c r="J1" s="1"/>
      <c r="K1" s="1"/>
      <c r="L1" s="1"/>
      <c r="M1" s="1"/>
      <c r="N1" s="1"/>
      <c r="O1" s="1"/>
      <c r="P1" s="1"/>
      <c r="Q1" s="1"/>
      <c r="R1" s="1"/>
    </row>
    <row r="2" spans="1:19" x14ac:dyDescent="0.25">
      <c r="A2" s="1"/>
      <c r="B2" s="1"/>
      <c r="C2" s="7"/>
      <c r="D2" s="7"/>
      <c r="E2" s="7"/>
      <c r="F2" s="7"/>
      <c r="G2" s="7"/>
      <c r="H2" s="7"/>
      <c r="I2" s="7"/>
      <c r="J2" s="7"/>
      <c r="K2" s="7"/>
      <c r="L2" s="7"/>
      <c r="M2" s="7"/>
      <c r="N2" s="7"/>
      <c r="O2" s="7"/>
      <c r="P2" s="7"/>
      <c r="Q2" s="7"/>
      <c r="R2" s="7"/>
      <c r="S2" s="8"/>
    </row>
    <row r="3" spans="1:19" x14ac:dyDescent="0.25">
      <c r="A3" s="1"/>
      <c r="B3" s="1"/>
      <c r="C3" s="7"/>
      <c r="D3" s="7"/>
      <c r="E3" s="7"/>
      <c r="F3" s="7"/>
      <c r="G3" s="7"/>
      <c r="H3" s="7"/>
      <c r="I3" s="7"/>
      <c r="J3" s="7"/>
      <c r="K3" s="7"/>
      <c r="L3" s="7"/>
      <c r="M3" s="7"/>
      <c r="N3" s="7"/>
      <c r="O3" s="7"/>
      <c r="P3" s="7"/>
      <c r="Q3" s="7"/>
      <c r="R3" s="7"/>
      <c r="S3" s="8"/>
    </row>
    <row r="4" spans="1:19" x14ac:dyDescent="0.25">
      <c r="A4" s="1"/>
      <c r="B4" s="1"/>
      <c r="C4" s="7"/>
      <c r="D4" s="7"/>
      <c r="E4" s="7"/>
      <c r="F4" s="7"/>
      <c r="G4" s="7"/>
      <c r="H4" s="7"/>
      <c r="I4" s="7"/>
      <c r="J4" s="7"/>
      <c r="K4" s="7"/>
      <c r="L4" s="7"/>
      <c r="M4" s="7"/>
      <c r="N4" s="7"/>
      <c r="O4" s="7"/>
      <c r="P4" s="7"/>
      <c r="Q4" s="7"/>
      <c r="R4" s="7"/>
      <c r="S4" s="8"/>
    </row>
    <row r="5" spans="1:19" x14ac:dyDescent="0.25">
      <c r="A5" s="1"/>
      <c r="B5" s="1"/>
      <c r="C5" s="7"/>
      <c r="D5" s="7"/>
      <c r="E5" s="7"/>
      <c r="F5" s="7"/>
      <c r="G5" s="7"/>
      <c r="H5" s="7"/>
      <c r="I5" s="7"/>
      <c r="J5" s="7"/>
      <c r="K5" s="7"/>
      <c r="L5" s="7"/>
      <c r="M5" s="7"/>
      <c r="N5" s="7"/>
      <c r="O5" s="7"/>
      <c r="P5" s="7"/>
      <c r="Q5" s="7"/>
      <c r="R5" s="7"/>
      <c r="S5" s="8"/>
    </row>
    <row r="6" spans="1:19" x14ac:dyDescent="0.25">
      <c r="A6" s="1"/>
      <c r="B6" s="1"/>
      <c r="C6" s="7"/>
      <c r="D6" s="7"/>
      <c r="E6" s="7"/>
      <c r="F6" s="7"/>
      <c r="G6" s="7"/>
      <c r="H6" s="7"/>
      <c r="I6" s="7"/>
      <c r="J6" s="7"/>
      <c r="K6" s="7"/>
      <c r="L6" s="7"/>
      <c r="M6" s="7"/>
      <c r="N6" s="7"/>
      <c r="O6" s="7"/>
      <c r="P6" s="7"/>
      <c r="Q6" s="7"/>
      <c r="R6" s="7"/>
      <c r="S6" s="8"/>
    </row>
    <row r="7" spans="1:19" x14ac:dyDescent="0.25">
      <c r="A7" s="1"/>
      <c r="B7" s="1"/>
      <c r="C7" s="7"/>
      <c r="D7" s="7"/>
      <c r="E7" s="7"/>
      <c r="F7" s="7"/>
      <c r="G7" s="7"/>
      <c r="H7" s="7"/>
      <c r="I7" s="7"/>
      <c r="J7" s="7"/>
      <c r="K7" s="7"/>
      <c r="L7" s="7"/>
      <c r="M7" s="7"/>
      <c r="N7" s="7"/>
      <c r="O7" s="7"/>
      <c r="P7" s="7"/>
      <c r="Q7" s="7"/>
      <c r="R7" s="7"/>
      <c r="S7" s="8"/>
    </row>
    <row r="8" spans="1:19" x14ac:dyDescent="0.25">
      <c r="A8" s="1"/>
      <c r="B8" s="1"/>
      <c r="C8" s="7"/>
      <c r="D8" s="7"/>
      <c r="E8" s="7"/>
      <c r="F8" s="7"/>
      <c r="G8" s="7"/>
      <c r="H8" s="7"/>
      <c r="I8" s="7"/>
      <c r="J8" s="7"/>
      <c r="K8" s="7"/>
      <c r="L8" s="7"/>
      <c r="M8" s="7"/>
      <c r="N8" s="7"/>
      <c r="O8" s="7"/>
      <c r="P8" s="7"/>
      <c r="Q8" s="7"/>
      <c r="R8" s="7"/>
      <c r="S8" s="8"/>
    </row>
    <row r="9" spans="1:19" x14ac:dyDescent="0.25">
      <c r="A9" s="1"/>
      <c r="B9" s="1"/>
      <c r="C9" s="7"/>
      <c r="D9" s="7"/>
      <c r="E9" s="7"/>
      <c r="F9" s="7"/>
      <c r="G9" s="7"/>
      <c r="H9" s="7"/>
      <c r="I9" s="7"/>
      <c r="J9" s="7"/>
      <c r="K9" s="7"/>
      <c r="L9" s="7"/>
      <c r="M9" s="7"/>
      <c r="N9" s="7"/>
      <c r="O9" s="7"/>
      <c r="P9" s="7"/>
      <c r="Q9" s="7"/>
      <c r="R9" s="7"/>
      <c r="S9" s="8"/>
    </row>
    <row r="10" spans="1:19" x14ac:dyDescent="0.25">
      <c r="A10" s="1"/>
      <c r="B10" s="1"/>
      <c r="C10" s="7"/>
      <c r="D10" s="7"/>
      <c r="E10" s="7"/>
      <c r="F10" s="7"/>
      <c r="G10" s="7"/>
      <c r="H10" s="7"/>
      <c r="I10" s="7"/>
      <c r="J10" s="7"/>
      <c r="K10" s="7"/>
      <c r="L10" s="7"/>
      <c r="M10" s="7"/>
      <c r="N10" s="7"/>
      <c r="O10" s="7"/>
      <c r="P10" s="7"/>
      <c r="Q10" s="7"/>
      <c r="R10" s="7"/>
      <c r="S10" s="8"/>
    </row>
    <row r="20" spans="1:31" x14ac:dyDescent="0.25">
      <c r="A20" s="1"/>
      <c r="B20" s="1"/>
      <c r="C20" s="4"/>
      <c r="D20" s="4"/>
      <c r="E20" s="4"/>
      <c r="F20" s="4"/>
      <c r="G20" s="4"/>
      <c r="H20" s="4"/>
      <c r="I20" s="4"/>
      <c r="J20" s="4"/>
      <c r="K20" s="4"/>
      <c r="L20" s="4"/>
      <c r="M20" s="4"/>
      <c r="N20" s="4"/>
      <c r="O20" s="4"/>
      <c r="P20" s="4"/>
      <c r="Q20" s="1"/>
      <c r="R20" s="1"/>
      <c r="S20" s="1"/>
    </row>
    <row r="21" spans="1:31" x14ac:dyDescent="0.25">
      <c r="A21" s="1"/>
      <c r="B21" s="1"/>
      <c r="C21" s="4"/>
      <c r="D21" s="4"/>
      <c r="E21" s="4"/>
      <c r="F21" s="4"/>
      <c r="G21" s="4"/>
      <c r="H21" s="4"/>
      <c r="I21" s="4"/>
      <c r="J21" s="4"/>
      <c r="K21" s="4"/>
      <c r="L21" s="4"/>
      <c r="M21" s="4"/>
      <c r="N21" s="4"/>
      <c r="O21" s="4"/>
      <c r="P21" s="4"/>
      <c r="Q21" s="1"/>
      <c r="R21" s="1"/>
      <c r="S21" s="1"/>
    </row>
    <row r="22" spans="1:31" x14ac:dyDescent="0.25">
      <c r="A22" s="1"/>
      <c r="B22" s="1"/>
      <c r="C22" s="4"/>
      <c r="D22" s="4"/>
      <c r="E22" s="4"/>
      <c r="F22" s="4"/>
      <c r="G22" s="4"/>
      <c r="H22" s="4"/>
      <c r="I22" s="4"/>
      <c r="J22" s="4"/>
      <c r="K22" s="4"/>
      <c r="L22" s="4"/>
      <c r="M22" s="4"/>
      <c r="N22" s="4"/>
      <c r="O22" s="4"/>
      <c r="P22" s="4"/>
      <c r="Q22" s="1"/>
      <c r="R22" s="1"/>
      <c r="S22" s="1"/>
    </row>
    <row r="23" spans="1:31" x14ac:dyDescent="0.25">
      <c r="A23" s="1"/>
      <c r="B23" s="1"/>
      <c r="C23" s="4"/>
      <c r="D23" s="4"/>
      <c r="E23" s="4"/>
      <c r="F23" s="4"/>
      <c r="G23" s="4"/>
      <c r="H23" s="4"/>
      <c r="I23" s="4"/>
      <c r="J23" s="4"/>
      <c r="K23" s="4"/>
      <c r="L23" s="4"/>
      <c r="M23" s="4"/>
      <c r="N23" s="4"/>
      <c r="O23" s="4"/>
      <c r="P23" s="4"/>
      <c r="Q23" s="1"/>
      <c r="R23" s="1"/>
      <c r="S23" s="1"/>
    </row>
    <row r="24" spans="1:31" x14ac:dyDescent="0.25">
      <c r="A24" s="1"/>
      <c r="B24" s="1"/>
      <c r="C24" s="4"/>
      <c r="D24" s="4"/>
      <c r="E24" s="4"/>
      <c r="F24" s="4"/>
      <c r="G24" s="4"/>
      <c r="H24" s="4"/>
      <c r="I24" s="4"/>
      <c r="J24" s="4"/>
      <c r="K24" s="4"/>
      <c r="L24" s="4"/>
      <c r="M24" s="4"/>
      <c r="N24" s="4"/>
      <c r="O24" s="4"/>
      <c r="P24" s="4"/>
      <c r="Q24" s="1"/>
      <c r="R24" s="1"/>
      <c r="S24" s="1"/>
    </row>
    <row r="25" spans="1:31" ht="15" customHeight="1" x14ac:dyDescent="0.25">
      <c r="A25" s="1"/>
      <c r="B25" s="1"/>
      <c r="C25" s="125" t="s">
        <v>7</v>
      </c>
      <c r="D25" s="154" t="s">
        <v>13</v>
      </c>
      <c r="E25" s="154" t="s">
        <v>22</v>
      </c>
      <c r="F25" s="154" t="s">
        <v>73</v>
      </c>
      <c r="G25" s="154" t="s">
        <v>31</v>
      </c>
      <c r="H25" s="154" t="s">
        <v>14</v>
      </c>
      <c r="I25" s="154" t="s">
        <v>20</v>
      </c>
      <c r="J25" s="154" t="s">
        <v>23</v>
      </c>
      <c r="K25" s="154" t="s">
        <v>74</v>
      </c>
      <c r="L25" s="154" t="s">
        <v>15</v>
      </c>
      <c r="M25" s="125" t="s">
        <v>16</v>
      </c>
      <c r="N25" s="125" t="s">
        <v>38</v>
      </c>
      <c r="O25" s="2"/>
      <c r="P25" s="125" t="s">
        <v>43</v>
      </c>
      <c r="Q25" s="1"/>
      <c r="R25" s="1"/>
    </row>
    <row r="26" spans="1:31" x14ac:dyDescent="0.25">
      <c r="A26" s="1"/>
      <c r="B26" s="1"/>
      <c r="C26" s="126"/>
      <c r="D26" s="155"/>
      <c r="E26" s="155"/>
      <c r="F26" s="155"/>
      <c r="G26" s="155"/>
      <c r="H26" s="155"/>
      <c r="I26" s="155"/>
      <c r="J26" s="155"/>
      <c r="K26" s="155"/>
      <c r="L26" s="155"/>
      <c r="M26" s="126"/>
      <c r="N26" s="126"/>
      <c r="O26" s="2"/>
      <c r="P26" s="126"/>
      <c r="Q26" s="1"/>
      <c r="R26" s="1"/>
    </row>
    <row r="27" spans="1:31" ht="15" customHeight="1" x14ac:dyDescent="0.25">
      <c r="A27" s="1"/>
      <c r="B27" s="1"/>
      <c r="C27" s="126"/>
      <c r="D27" s="155"/>
      <c r="E27" s="155"/>
      <c r="F27" s="155"/>
      <c r="G27" s="155"/>
      <c r="H27" s="155"/>
      <c r="I27" s="155"/>
      <c r="J27" s="155"/>
      <c r="K27" s="155"/>
      <c r="L27" s="155"/>
      <c r="M27" s="126"/>
      <c r="N27" s="126"/>
      <c r="O27" s="9"/>
      <c r="P27" s="126"/>
      <c r="Q27" s="1"/>
      <c r="R27" s="1"/>
    </row>
    <row r="28" spans="1:31" x14ac:dyDescent="0.25">
      <c r="A28" s="1"/>
      <c r="B28" s="1"/>
      <c r="C28" s="127"/>
      <c r="D28" s="156"/>
      <c r="E28" s="156"/>
      <c r="F28" s="156"/>
      <c r="G28" s="156"/>
      <c r="H28" s="156"/>
      <c r="I28" s="156"/>
      <c r="J28" s="156"/>
      <c r="K28" s="156"/>
      <c r="L28" s="156"/>
      <c r="M28" s="127"/>
      <c r="N28" s="127"/>
      <c r="O28" s="9"/>
      <c r="P28" s="127"/>
      <c r="Q28" s="1"/>
      <c r="R28" s="1"/>
    </row>
    <row r="29" spans="1:31" ht="50.1" customHeight="1" x14ac:dyDescent="0.25">
      <c r="A29" s="1"/>
      <c r="B29" s="1"/>
      <c r="C29" s="15"/>
      <c r="D29" s="42" t="str">
        <f>IF($C29="","",IFERROR(IF(ISNA(VLOOKUP($C29,'Phase GPA'!$C$29:'Phase GPA'!$U$44,10,0)), ,VLOOKUP($C29,'Phase GPA'!$C$29:'Phase GPA'!$U$44,10,0)),0))</f>
        <v/>
      </c>
      <c r="E29" s="43" t="str">
        <f>IF($C29="","",IFERROR(IF(ISNA($D29/S29RECHERCHEV($C29,Données!$C$19:'Données'!$I$38,6,0)), ,$D29/VLOOKUP($C29,Données!$C$19:'Données'!$I$38,6,0)),"/"))</f>
        <v/>
      </c>
      <c r="F29" s="43" t="str">
        <f>IF($C29="","",IFERROR(IF(ISNA($D29/VLOOKUP($C29,Données!$C$19:'Données'!$I$38,7,0)*100), ,$D29/VLOOKUP($C29,Données!$C$19:'Données'!$I$38,7,0)*100),"/"))</f>
        <v/>
      </c>
      <c r="G29" s="42" t="str">
        <f>IF($C29="","",IFERROR(IF(ISNA(VLOOKUP($C29,'Phase GPA'!$C$29:'Phase GPA'!$U$44,11,0)), ,VLOOKUP($C29,'Phase GPA'!$C$29:'Phase GPA'!$U$44,11,0)),0))</f>
        <v/>
      </c>
      <c r="H29" s="44" t="str">
        <f>IF($C29="","",IFERROR(IF(ISNA(VLOOKUP($C29,'Phase GPA'!$C$29:'Phase GPA'!$U$44,12,0)), ,VLOOKUP($C29,'Phase GPA'!$C$29:'Phase GPA'!$U$44,12,0)),0))</f>
        <v/>
      </c>
      <c r="I29" s="45" t="str">
        <f>IF($C29="","",IFERROR(IF(ISNA($H29/VLOOKUP($C29,Données!$C$19:'Données'!$I$38,5,0)), ,$H29/VLOOKUP($C29,Données!$C$19:'Données'!$I$38,5,0))*100,0))</f>
        <v/>
      </c>
      <c r="J29" s="45" t="str">
        <f>IF($C29="","",IFERROR(IF(ISNA($H29/VLOOKUP($C29,Données!$C$19:'Données'!$I$38,6,0)), ,$H29/VLOOKUP($C29,Données!$C$19:'Données'!$I$38,6,0)),"/"))</f>
        <v/>
      </c>
      <c r="K29" s="45" t="str">
        <f>IF($C29="","",IFERROR(IF(ISNA($H29/VLOOKUP($C29,Données!$C$19:'Données'!$I$38,7,0)*100), ,$H29/VLOOKUP($C29,Données!$C$19:'Données'!$I$38,7,0)*100),"/"))</f>
        <v/>
      </c>
      <c r="L29" s="99" t="str">
        <f>IF($D29=0,"/",IF($C29="","",IFERROR(($H29/$D29),0)))</f>
        <v/>
      </c>
      <c r="M29" s="13"/>
      <c r="N29" s="12"/>
      <c r="O29" s="3"/>
      <c r="P29" s="16"/>
      <c r="Q29" s="1"/>
      <c r="R29" s="1"/>
      <c r="S29" s="55" t="str">
        <f>IF($C29="","",IFERROR(IF(ISNA(VLOOKUP($C29,Données!$C$19:'Données'!$I$38,6,0)), ,VLOOKUP($C29,Données!$C$19:'Données'!$I$38,6,0)),"/"))</f>
        <v/>
      </c>
      <c r="T29" s="55" t="str">
        <f>IF($C29="","",IFERROR(IF(ISNA(VLOOKUP($C29,Données!$C$19:'Données'!$I$38,7,0)), ,VLOOKUP($C29,Données!$C$19:'Données'!$I$38,7,0)),"/"))</f>
        <v/>
      </c>
      <c r="U29" s="55" t="str">
        <f>IF($C29="","",IFERROR(IF(ISNA(VLOOKUP($C29,Données!$C$19:'Données'!$I$38,5,0)), ,VLOOKUP($C29,Données!$C$19:'Données'!$I$38,5,0)),"/"))</f>
        <v/>
      </c>
      <c r="V29" s="55" t="str">
        <f>IF($C29="","",IFERROR(IF(ISNA($D29*$G29), ,$D29*$G29),"/"))</f>
        <v/>
      </c>
      <c r="W29" s="50">
        <f>IF($C29&lt;&gt;"",1,0)</f>
        <v>0</v>
      </c>
      <c r="X29" s="73"/>
      <c r="Y29" s="73"/>
      <c r="Z29" s="73"/>
      <c r="AA29" s="73"/>
      <c r="AB29" s="73"/>
      <c r="AC29" s="73"/>
      <c r="AD29" s="73"/>
      <c r="AE29" s="73"/>
    </row>
    <row r="30" spans="1:31" ht="50.1" customHeight="1" x14ac:dyDescent="0.25">
      <c r="A30" s="1"/>
      <c r="B30" s="1"/>
      <c r="C30" s="15"/>
      <c r="D30" s="42" t="str">
        <f>IF($C30="","",IFERROR(IF(ISNA(VLOOKUP($C30,'Phase GPA'!$C$29:'Phase GPA'!$U$44,10,0)), ,VLOOKUP($C30,'Phase GPA'!$C$29:'Phase GPA'!$U$44,10,0)),0))</f>
        <v/>
      </c>
      <c r="E30" s="43" t="str">
        <f>IF($C30="","",IFERROR(IF(ISNA($D30/VLOOKUP($C30,Données!$C$19:'Données'!$I$38,6,0)), ,$D30/VLOOKUP($C30,Données!$C$19:'Données'!$I$38,6,0)),"/"))</f>
        <v/>
      </c>
      <c r="F30" s="43" t="str">
        <f>IF($C30="","",IFERROR(IF(ISNA($D30/VLOOKUP($C30,Données!$C$19:'Données'!$I$38,7,0)*100), ,$D30/VLOOKUP($C30,Données!$C$19:'Données'!$I$38,7,0)*100),"/"))</f>
        <v/>
      </c>
      <c r="G30" s="42" t="str">
        <f>IF($C30="","",IFERROR(IF(ISNA(VLOOKUP($C30,'Phase GPA'!$C$29:'Phase GPA'!$U$44,11,0)), ,VLOOKUP($C30,'Phase GPA'!$C$29:'Phase GPA'!$U$44,11,0)),0))</f>
        <v/>
      </c>
      <c r="H30" s="44" t="str">
        <f>IF($C30="","",IFERROR(IF(ISNA(VLOOKUP($C30,'Phase GPA'!$C$29:'Phase GPA'!$U$44,12,0)), ,VLOOKUP($C30,'Phase GPA'!$C$29:'Phase GPA'!$U$44,12,0)),0))</f>
        <v/>
      </c>
      <c r="I30" s="45" t="str">
        <f>IF($C30="","",IFERROR(IF(ISNA($H30/VLOOKUP($C30,Données!$C$19:'Données'!$I$38,5,0)), ,$H30/VLOOKUP($C30,Données!$C$19:'Données'!$I$38,5,0))*100,0))</f>
        <v/>
      </c>
      <c r="J30" s="45" t="str">
        <f>IF($C30="","",IFERROR(IF(ISNA($H30/VLOOKUP($C30,Données!$C$19:'Données'!$I$38,6,0)), ,$H30/VLOOKUP($C30,Données!$C$19:'Données'!$I$38,6,0)),"/"))</f>
        <v/>
      </c>
      <c r="K30" s="45" t="str">
        <f>IF($C30="","",IFERROR(IF(ISNA($H30/VLOOKUP($C30,Données!$C$19:'Données'!$I$38,7,0)*100), ,$H30/VLOOKUP($C30,Données!$C$19:'Données'!$I$38,7,0)*100),"/"))</f>
        <v/>
      </c>
      <c r="L30" s="99" t="str">
        <f t="shared" ref="L30:L43" si="0">IF($D30=0,"/",IF($C30="","",IFERROR(($H30/$D30),0)))</f>
        <v/>
      </c>
      <c r="M30" s="13"/>
      <c r="N30" s="12"/>
      <c r="O30" s="3"/>
      <c r="P30" s="16"/>
      <c r="Q30" s="1"/>
      <c r="R30" s="1"/>
      <c r="S30" s="55" t="str">
        <f>IF($C30="","",IFERROR(IF(ISNA(VLOOKUP($C30,Données!$C$19:'Données'!$I$38,6,0)), ,VLOOKUP($C30,Données!$C$19:'Données'!$I$38,6,0)),"/"))</f>
        <v/>
      </c>
      <c r="T30" s="55" t="str">
        <f>IF($C30="","",IFERROR(IF(ISNA(VLOOKUP($C30,Données!$C$19:'Données'!$I$38,7,0)), ,VLOOKUP($C30,Données!$C$19:'Données'!$I$38,7,0)),"/"))</f>
        <v/>
      </c>
      <c r="U30" s="55" t="str">
        <f>IF($C30="","",IFERROR(IF(ISNA(VLOOKUP($C30,Données!$C$19:'Données'!$I$38,5,0)), ,VLOOKUP($C30,Données!$C$19:'Données'!$I$38,5,0)),"/"))</f>
        <v/>
      </c>
      <c r="V30" s="55" t="str">
        <f>IF($C30="","",IFERROR(IF(ISNA($D30*$G30), ,$D30*$G30),"/"))</f>
        <v/>
      </c>
      <c r="W30" s="50">
        <f t="shared" ref="W30:W43" si="1">IF($C30&lt;&gt;"",1,0)</f>
        <v>0</v>
      </c>
      <c r="X30" s="73"/>
      <c r="Y30" s="73"/>
      <c r="Z30" s="73"/>
      <c r="AA30" s="73"/>
      <c r="AB30" s="73"/>
      <c r="AC30" s="73"/>
      <c r="AD30" s="73"/>
      <c r="AE30" s="73"/>
    </row>
    <row r="31" spans="1:31" ht="50.1" customHeight="1" x14ac:dyDescent="0.25">
      <c r="A31" s="1"/>
      <c r="B31" s="1"/>
      <c r="C31" s="15"/>
      <c r="D31" s="42" t="str">
        <f>IF($C31="","",IFERROR(IF(ISNA(VLOOKUP($C31,'Phase GPA'!$C$29:'Phase GPA'!$U$44,10,0)), ,VLOOKUP($C31,'Phase GPA'!$C$29:'Phase GPA'!$U$44,10,0)),0))</f>
        <v/>
      </c>
      <c r="E31" s="43" t="str">
        <f>IF($C31="","",IFERROR(IF(ISNA($D31/VLOOKUP($C31,Données!$C$19:'Données'!$I$38,6,0)), ,$D31/VLOOKUP($C31,Données!$C$19:'Données'!$I$38,6,0)),"/"))</f>
        <v/>
      </c>
      <c r="F31" s="43" t="str">
        <f>IF($C31="","",IFERROR(IF(ISNA($D31/VLOOKUP($C31,Données!$C$19:'Données'!$I$38,7,0)*100), ,$D31/VLOOKUP($C31,Données!$C$19:'Données'!$I$38,7,0)*100),"/"))</f>
        <v/>
      </c>
      <c r="G31" s="42" t="str">
        <f>IF($C31="","",IFERROR(IF(ISNA(VLOOKUP($C31,'Phase GPA'!$C$29:'Phase GPA'!$U$44,11,0)), ,VLOOKUP($C31,'Phase GPA'!$C$29:'Phase GPA'!$U$44,11,0)),0))</f>
        <v/>
      </c>
      <c r="H31" s="44" t="str">
        <f>IF($C31="","",IFERROR(IF(ISNA(VLOOKUP($C31,'Phase GPA'!$C$29:'Phase GPA'!$U$44,12,0)), ,VLOOKUP($C31,'Phase GPA'!$C$29:'Phase GPA'!$U$44,12,0)),0))</f>
        <v/>
      </c>
      <c r="I31" s="45" t="str">
        <f>IF($C31="","",IFERROR(IF(ISNA($H31/VLOOKUP($C31,Données!$C$19:'Données'!$I$38,5,0)), ,$H31/VLOOKUP($C31,Données!$C$19:'Données'!$I$38,5,0))*100,0))</f>
        <v/>
      </c>
      <c r="J31" s="45" t="str">
        <f>IF($C31="","",IFERROR(IF(ISNA($H31/VLOOKUP($C31,Données!$C$19:'Données'!$I$38,6,0)), ,$H31/VLOOKUP($C31,Données!$C$19:'Données'!$I$38,6,0)),"/"))</f>
        <v/>
      </c>
      <c r="K31" s="45" t="str">
        <f>IF($C31="","",IFERROR(IF(ISNA($H31/VLOOKUP($C31,Données!$C$19:'Données'!$I$38,7,0)*100), ,$H31/VLOOKUP($C31,Données!$C$19:'Données'!$I$38,7,0)*100),"/"))</f>
        <v/>
      </c>
      <c r="L31" s="99" t="str">
        <f t="shared" si="0"/>
        <v/>
      </c>
      <c r="M31" s="13"/>
      <c r="N31" s="12"/>
      <c r="O31" s="3"/>
      <c r="P31" s="16"/>
      <c r="Q31" s="1"/>
      <c r="R31" s="1"/>
      <c r="S31" s="55" t="str">
        <f>IF($C31="","",IFERROR(IF(ISNA(VLOOKUP($C31,Données!$C$19:'Données'!$I$38,6,0)), ,VLOOKUP($C31,Données!$C$19:'Données'!$I$38,6,0)),"/"))</f>
        <v/>
      </c>
      <c r="T31" s="55" t="str">
        <f>IF($C31="","",IFERROR(IF(ISNA(VLOOKUP($C31,Données!$C$19:'Données'!$I$38,7,0)), ,VLOOKUP($C31,Données!$C$19:'Données'!$I$38,7,0)),"/"))</f>
        <v/>
      </c>
      <c r="U31" s="55" t="str">
        <f>IF($C31="","",IFERROR(IF(ISNA(VLOOKUP($C31,Données!$C$19:'Données'!$I$38,5,0)), ,VLOOKUP($C31,Données!$C$19:'Données'!$I$38,5,0)),"/"))</f>
        <v/>
      </c>
      <c r="V31" s="55" t="str">
        <f t="shared" ref="V31:V43" si="2">IF($C31="","",IFERROR(IF(ISNA($D31*$G31), ,$D31*$G31),"/"))</f>
        <v/>
      </c>
      <c r="W31" s="50">
        <f t="shared" si="1"/>
        <v>0</v>
      </c>
      <c r="X31" s="73"/>
      <c r="Y31" s="73"/>
      <c r="Z31" s="73"/>
      <c r="AA31" s="73"/>
      <c r="AB31" s="73"/>
      <c r="AC31" s="73"/>
      <c r="AD31" s="73"/>
      <c r="AE31" s="73"/>
    </row>
    <row r="32" spans="1:31" ht="50.1" customHeight="1" x14ac:dyDescent="0.25">
      <c r="A32" s="1"/>
      <c r="B32" s="1"/>
      <c r="C32" s="15"/>
      <c r="D32" s="42" t="str">
        <f>IF($C32="","",IFERROR(IF(ISNA(VLOOKUP($C32,'Phase GPA'!$C$29:'Phase GPA'!$U$44,10,0)), ,VLOOKUP($C32,'Phase GPA'!$C$29:'Phase GPA'!$U$44,10,0)),0))</f>
        <v/>
      </c>
      <c r="E32" s="43" t="str">
        <f>IF($C32="","",IFERROR(IF(ISNA($D32/VLOOKUP($C32,Données!$C$19:'Données'!$I$38,6,0)), ,$D32/VLOOKUP($C32,Données!$C$19:'Données'!$I$38,6,0)),"/"))</f>
        <v/>
      </c>
      <c r="F32" s="43" t="str">
        <f>IF($C32="","",IFERROR(IF(ISNA($D32/VLOOKUP($C32,Données!$C$19:'Données'!$I$38,7,0)*100), ,$D32/VLOOKUP($C32,Données!$C$19:'Données'!$I$38,7,0)*100),"/"))</f>
        <v/>
      </c>
      <c r="G32" s="42" t="str">
        <f>IF($C32="","",IFERROR(IF(ISNA(VLOOKUP($C32,'Phase GPA'!$C$29:'Phase GPA'!$U$44,11,0)), ,VLOOKUP($C32,'Phase GPA'!$C$29:'Phase GPA'!$U$44,11,0)),0))</f>
        <v/>
      </c>
      <c r="H32" s="44" t="str">
        <f>IF($C32="","",IFERROR(IF(ISNA(VLOOKUP($C32,'Phase GPA'!$C$29:'Phase GPA'!$U$44,12,0)), ,VLOOKUP($C32,'Phase GPA'!$C$29:'Phase GPA'!$U$44,12,0)),0))</f>
        <v/>
      </c>
      <c r="I32" s="45" t="str">
        <f>IF($C32="","",IFERROR(IF(ISNA($H32/VLOOKUP($C32,Données!$C$19:'Données'!$I$38,5,0)), ,$H32/VLOOKUP($C32,Données!$C$19:'Données'!$I$38,5,0))*100,0))</f>
        <v/>
      </c>
      <c r="J32" s="45" t="str">
        <f>IF($C32="","",IFERROR(IF(ISNA($H32/VLOOKUP($C32,Données!$C$19:'Données'!$I$38,6,0)), ,$H32/VLOOKUP($C32,Données!$C$19:'Données'!$I$38,6,0)),"/"))</f>
        <v/>
      </c>
      <c r="K32" s="45" t="str">
        <f>IF($C32="","",IFERROR(IF(ISNA($H32/VLOOKUP($C32,Données!$C$19:'Données'!$I$38,7,0)*100), ,$H32/VLOOKUP($C32,Données!$C$19:'Données'!$I$38,7,0)*100),"/"))</f>
        <v/>
      </c>
      <c r="L32" s="99" t="str">
        <f t="shared" si="0"/>
        <v/>
      </c>
      <c r="M32" s="13"/>
      <c r="N32" s="12"/>
      <c r="O32" s="3"/>
      <c r="P32" s="16"/>
      <c r="Q32" s="1"/>
      <c r="R32" s="1"/>
      <c r="S32" s="55" t="str">
        <f>IF($C32="","",IFERROR(IF(ISNA(VLOOKUP($C32,Données!$C$19:'Données'!$I$38,6,0)), ,VLOOKUP($C32,Données!$C$19:'Données'!$I$38,6,0)),"/"))</f>
        <v/>
      </c>
      <c r="T32" s="55" t="str">
        <f>IF($C32="","",IFERROR(IF(ISNA(VLOOKUP($C32,Données!$C$19:'Données'!$I$38,7,0)), ,VLOOKUP($C32,Données!$C$19:'Données'!$I$38,7,0)),"/"))</f>
        <v/>
      </c>
      <c r="U32" s="55" t="str">
        <f>IF($C32="","",IFERROR(IF(ISNA(VLOOKUP($C32,Données!$C$19:'Données'!$I$38,5,0)), ,VLOOKUP($C32,Données!$C$19:'Données'!$I$38,5,0)),"/"))</f>
        <v/>
      </c>
      <c r="V32" s="55" t="str">
        <f t="shared" si="2"/>
        <v/>
      </c>
      <c r="W32" s="50">
        <f t="shared" si="1"/>
        <v>0</v>
      </c>
      <c r="X32" s="73"/>
      <c r="Y32" s="73"/>
      <c r="Z32" s="73"/>
      <c r="AA32" s="73"/>
      <c r="AB32" s="73"/>
      <c r="AC32" s="73"/>
      <c r="AD32" s="73"/>
      <c r="AE32" s="73"/>
    </row>
    <row r="33" spans="1:31" ht="50.1" customHeight="1" x14ac:dyDescent="0.25">
      <c r="A33" s="1"/>
      <c r="B33" s="1"/>
      <c r="C33" s="15"/>
      <c r="D33" s="42" t="str">
        <f>IF($C33="","",IFERROR(IF(ISNA(VLOOKUP($C33,'Phase GPA'!$C$29:'Phase GPA'!$U$44,10,0)), ,VLOOKUP($C33,'Phase GPA'!$C$29:'Phase GPA'!$U$44,10,0)),0))</f>
        <v/>
      </c>
      <c r="E33" s="43" t="str">
        <f>IF($C33="","",IFERROR(IF(ISNA($D33/VLOOKUP($C33,Données!$C$19:'Données'!$I$38,6,0)), ,$D33/VLOOKUP($C33,Données!$C$19:'Données'!$I$38,6,0)),"/"))</f>
        <v/>
      </c>
      <c r="F33" s="43" t="str">
        <f>IF($C33="","",IFERROR(IF(ISNA($D33/VLOOKUP($C33,Données!$C$19:'Données'!$I$38,7,0)*100), ,$D33/VLOOKUP($C33,Données!$C$19:'Données'!$I$38,7,0)*100),"/"))</f>
        <v/>
      </c>
      <c r="G33" s="42" t="str">
        <f>IF($C33="","",IFERROR(IF(ISNA(VLOOKUP($C33,'Phase GPA'!$C$29:'Phase GPA'!$U$44,11,0)), ,VLOOKUP($C33,'Phase GPA'!$C$29:'Phase GPA'!$U$44,11,0)),0))</f>
        <v/>
      </c>
      <c r="H33" s="44" t="str">
        <f>IF($C33="","",IFERROR(IF(ISNA(VLOOKUP($C33,'Phase GPA'!$C$29:'Phase GPA'!$U$44,12,0)), ,VLOOKUP($C33,'Phase GPA'!$C$29:'Phase GPA'!$U$44,12,0)),0))</f>
        <v/>
      </c>
      <c r="I33" s="45" t="str">
        <f>IF($C33="","",IFERROR(IF(ISNA($H33/VLOOKUP($C33,Données!$C$19:'Données'!$I$38,5,0)), ,$H33/VLOOKUP($C33,Données!$C$19:'Données'!$I$38,5,0))*100,0))</f>
        <v/>
      </c>
      <c r="J33" s="45" t="str">
        <f>IF($C33="","",IFERROR(IF(ISNA($H33/VLOOKUP($C33,Données!$C$19:'Données'!$I$38,6,0)), ,$H33/VLOOKUP($C33,Données!$C$19:'Données'!$I$38,6,0)),"/"))</f>
        <v/>
      </c>
      <c r="K33" s="45" t="str">
        <f>IF($C33="","",IFERROR(IF(ISNA($H33/VLOOKUP($C33,Données!$C$19:'Données'!$I$38,7,0)*100), ,$H33/VLOOKUP($C33,Données!$C$19:'Données'!$I$38,7,0)*100),"/"))</f>
        <v/>
      </c>
      <c r="L33" s="99" t="str">
        <f t="shared" si="0"/>
        <v/>
      </c>
      <c r="M33" s="13"/>
      <c r="N33" s="12"/>
      <c r="O33" s="3"/>
      <c r="P33" s="16"/>
      <c r="Q33" s="1"/>
      <c r="R33" s="1"/>
      <c r="S33" s="55" t="str">
        <f>IF($C33="","",IFERROR(IF(ISNA(VLOOKUP($C33,Données!$C$19:'Données'!$I$38,6,0)), ,VLOOKUP($C33,Données!$C$19:'Données'!$I$38,6,0)),"/"))</f>
        <v/>
      </c>
      <c r="T33" s="55" t="str">
        <f>IF($C33="","",IFERROR(IF(ISNA(VLOOKUP($C33,Données!$C$19:'Données'!$I$38,7,0)), ,VLOOKUP($C33,Données!$C$19:'Données'!$I$38,7,0)),"/"))</f>
        <v/>
      </c>
      <c r="U33" s="55" t="str">
        <f>IF($C33="","",IFERROR(IF(ISNA(VLOOKUP($C33,Données!$C$19:'Données'!$I$38,5,0)), ,VLOOKUP($C33,Données!$C$19:'Données'!$I$38,5,0)),"/"))</f>
        <v/>
      </c>
      <c r="V33" s="55" t="str">
        <f t="shared" si="2"/>
        <v/>
      </c>
      <c r="W33" s="50">
        <f t="shared" si="1"/>
        <v>0</v>
      </c>
      <c r="X33" s="73"/>
      <c r="Y33" s="73"/>
      <c r="Z33" s="73"/>
      <c r="AA33" s="73"/>
      <c r="AB33" s="73"/>
      <c r="AC33" s="73"/>
      <c r="AD33" s="73"/>
      <c r="AE33" s="73"/>
    </row>
    <row r="34" spans="1:31" ht="50.1" customHeight="1" x14ac:dyDescent="0.25">
      <c r="A34" s="1"/>
      <c r="B34" s="1"/>
      <c r="C34" s="15"/>
      <c r="D34" s="42" t="str">
        <f>IF($C34="","",IFERROR(IF(ISNA(VLOOKUP($C34,'Phase GPA'!$C$29:'Phase GPA'!$U$44,10,0)), ,VLOOKUP($C34,'Phase GPA'!$C$29:'Phase GPA'!$U$44,10,0)),0))</f>
        <v/>
      </c>
      <c r="E34" s="43" t="str">
        <f>IF($C34="","",IFERROR(IF(ISNA($D34/VLOOKUP($C34,Données!$C$19:'Données'!$I$38,6,0)), ,$D34/VLOOKUP($C34,Données!$C$19:'Données'!$I$38,6,0)),"/"))</f>
        <v/>
      </c>
      <c r="F34" s="43" t="str">
        <f>IF($C34="","",IFERROR(IF(ISNA($D34/VLOOKUP($C34,Données!$C$19:'Données'!$I$38,7,0)*100), ,$D34/VLOOKUP($C34,Données!$C$19:'Données'!$I$38,7,0)*100),"/"))</f>
        <v/>
      </c>
      <c r="G34" s="42" t="str">
        <f>IF($C34="","",IFERROR(IF(ISNA(VLOOKUP($C34,'Phase GPA'!$C$29:'Phase GPA'!$U$44,11,0)), ,VLOOKUP($C34,'Phase GPA'!$C$29:'Phase GPA'!$U$44,11,0)),0))</f>
        <v/>
      </c>
      <c r="H34" s="44" t="str">
        <f>IF($C34="","",IFERROR(IF(ISNA(VLOOKUP($C34,'Phase GPA'!$C$29:'Phase GPA'!$U$44,12,0)), ,VLOOKUP($C34,'Phase GPA'!$C$29:'Phase GPA'!$U$44,12,0)),0))</f>
        <v/>
      </c>
      <c r="I34" s="45" t="str">
        <f>IF($C34="","",IFERROR(IF(ISNA($H34/VLOOKUP($C34,Données!$C$19:'Données'!$I$38,5,0)), ,$H34/VLOOKUP($C34,Données!$C$19:'Données'!$I$38,5,0))*100,0))</f>
        <v/>
      </c>
      <c r="J34" s="45" t="str">
        <f>IF($C34="","",IFERROR(IF(ISNA($H34/VLOOKUP($C34,Données!$C$19:'Données'!$I$38,6,0)), ,$H34/VLOOKUP($C34,Données!$C$19:'Données'!$I$38,6,0)),"/"))</f>
        <v/>
      </c>
      <c r="K34" s="45" t="str">
        <f>IF($C34="","",IFERROR(IF(ISNA($H34/VLOOKUP($C34,Données!$C$19:'Données'!$I$38,7,0)*100), ,$H34/VLOOKUP($C34,Données!$C$19:'Données'!$I$38,7,0)*100),"/"))</f>
        <v/>
      </c>
      <c r="L34" s="99" t="str">
        <f t="shared" si="0"/>
        <v/>
      </c>
      <c r="M34" s="13"/>
      <c r="N34" s="12"/>
      <c r="O34" s="3"/>
      <c r="P34" s="16"/>
      <c r="Q34" s="1"/>
      <c r="R34" s="1"/>
      <c r="S34" s="55" t="str">
        <f>IF($C34="","",IFERROR(IF(ISNA(VLOOKUP($C34,Données!$C$19:'Données'!$I$38,6,0)), ,VLOOKUP($C34,Données!$C$19:'Données'!$I$38,6,0)),"/"))</f>
        <v/>
      </c>
      <c r="T34" s="55" t="str">
        <f>IF($C34="","",IFERROR(IF(ISNA(VLOOKUP($C34,Données!$C$19:'Données'!$I$38,7,0)), ,VLOOKUP($C34,Données!$C$19:'Données'!$I$38,7,0)),"/"))</f>
        <v/>
      </c>
      <c r="U34" s="55" t="str">
        <f>IF($C34="","",IFERROR(IF(ISNA(VLOOKUP($C34,Données!$C$19:'Données'!$I$38,5,0)), ,VLOOKUP($C34,Données!$C$19:'Données'!$I$38,5,0)),"/"))</f>
        <v/>
      </c>
      <c r="V34" s="55" t="str">
        <f t="shared" si="2"/>
        <v/>
      </c>
      <c r="W34" s="50">
        <f t="shared" si="1"/>
        <v>0</v>
      </c>
      <c r="X34" s="73"/>
      <c r="Y34" s="73"/>
      <c r="Z34" s="73"/>
      <c r="AA34" s="73"/>
      <c r="AB34" s="73"/>
      <c r="AC34" s="73"/>
      <c r="AD34" s="73"/>
      <c r="AE34" s="73"/>
    </row>
    <row r="35" spans="1:31" ht="50.1" customHeight="1" x14ac:dyDescent="0.25">
      <c r="A35" s="1"/>
      <c r="B35" s="1"/>
      <c r="C35" s="15"/>
      <c r="D35" s="42" t="str">
        <f>IF($C35="","",IFERROR(IF(ISNA(VLOOKUP($C35,'Phase GPA'!$C$29:'Phase GPA'!$U$44,10,0)), ,VLOOKUP($C35,'Phase GPA'!$C$29:'Phase GPA'!$U$44,10,0)),0))</f>
        <v/>
      </c>
      <c r="E35" s="43" t="str">
        <f>IF($C35="","",IFERROR(IF(ISNA($D35/VLOOKUP($C35,Données!$C$19:'Données'!$I$38,6,0)), ,$D35/VLOOKUP($C35,Données!$C$19:'Données'!$I$38,6,0)),"/"))</f>
        <v/>
      </c>
      <c r="F35" s="43" t="str">
        <f>IF($C35="","",IFERROR(IF(ISNA($D35/VLOOKUP($C35,Données!$C$19:'Données'!$I$38,7,0)*100), ,$D35/VLOOKUP($C35,Données!$C$19:'Données'!$I$38,7,0)*100),"/"))</f>
        <v/>
      </c>
      <c r="G35" s="42" t="str">
        <f>IF($C35="","",IFERROR(IF(ISNA(VLOOKUP($C35,'Phase GPA'!$C$29:'Phase GPA'!$U$44,11,0)), ,VLOOKUP($C35,'Phase GPA'!$C$29:'Phase GPA'!$U$44,11,0)),0))</f>
        <v/>
      </c>
      <c r="H35" s="44" t="str">
        <f>IF($C35="","",IFERROR(IF(ISNA(VLOOKUP($C35,'Phase GPA'!$C$29:'Phase GPA'!$U$44,12,0)), ,VLOOKUP($C35,'Phase GPA'!$C$29:'Phase GPA'!$U$44,12,0)),0))</f>
        <v/>
      </c>
      <c r="I35" s="45" t="str">
        <f>IF($C35="","",IFERROR(IF(ISNA($H35/VLOOKUP($C35,Données!$C$19:'Données'!$I$38,5,0)), ,$H35/VLOOKUP($C35,Données!$C$19:'Données'!$I$38,5,0))*100,0))</f>
        <v/>
      </c>
      <c r="J35" s="45" t="str">
        <f>IF($C35="","",IFERROR(IF(ISNA($H35/VLOOKUP($C35,Données!$C$19:'Données'!$I$38,6,0)), ,$H35/VLOOKUP($C35,Données!$C$19:'Données'!$I$38,6,0)),"/"))</f>
        <v/>
      </c>
      <c r="K35" s="45" t="str">
        <f>IF($C35="","",IFERROR(IF(ISNA($H35/VLOOKUP($C35,Données!$C$19:'Données'!$I$38,7,0)*100), ,$H35/VLOOKUP($C35,Données!$C$19:'Données'!$I$38,7,0)*100),"/"))</f>
        <v/>
      </c>
      <c r="L35" s="99" t="str">
        <f t="shared" si="0"/>
        <v/>
      </c>
      <c r="M35" s="13"/>
      <c r="N35" s="12"/>
      <c r="O35" s="3"/>
      <c r="P35" s="16"/>
      <c r="Q35" s="1"/>
      <c r="R35" s="1"/>
      <c r="S35" s="55" t="str">
        <f>IF($C35="","",IFERROR(IF(ISNA(VLOOKUP($C35,Données!$C$19:'Données'!$I$38,6,0)), ,VLOOKUP($C35,Données!$C$19:'Données'!$I$38,6,0)),"/"))</f>
        <v/>
      </c>
      <c r="T35" s="55" t="str">
        <f>IF($C35="","",IFERROR(IF(ISNA(VLOOKUP($C35,Données!$C$19:'Données'!$I$38,7,0)), ,VLOOKUP($C35,Données!$C$19:'Données'!$I$38,7,0)),"/"))</f>
        <v/>
      </c>
      <c r="U35" s="55" t="str">
        <f>IF($C35="","",IFERROR(IF(ISNA(VLOOKUP($C35,Données!$C$19:'Données'!$I$38,5,0)), ,VLOOKUP($C35,Données!$C$19:'Données'!$I$38,5,0)),"/"))</f>
        <v/>
      </c>
      <c r="V35" s="55" t="str">
        <f t="shared" si="2"/>
        <v/>
      </c>
      <c r="W35" s="50">
        <f t="shared" si="1"/>
        <v>0</v>
      </c>
      <c r="X35" s="73"/>
      <c r="Y35" s="73"/>
      <c r="Z35" s="73"/>
      <c r="AA35" s="73"/>
      <c r="AB35" s="73"/>
      <c r="AC35" s="73"/>
      <c r="AD35" s="73"/>
      <c r="AE35" s="73"/>
    </row>
    <row r="36" spans="1:31" ht="50.1" customHeight="1" x14ac:dyDescent="0.25">
      <c r="A36" s="1"/>
      <c r="B36" s="1"/>
      <c r="C36" s="15"/>
      <c r="D36" s="42" t="str">
        <f>IF($C36="","",IFERROR(IF(ISNA(VLOOKUP($C36,'Phase GPA'!$C$29:'Phase GPA'!$U$44,10,0)), ,VLOOKUP($C36,'Phase GPA'!$C$29:'Phase GPA'!$U$44,10,0)),0))</f>
        <v/>
      </c>
      <c r="E36" s="43" t="str">
        <f>IF($C36="","",IFERROR(IF(ISNA($D36/VLOOKUP($C36,Données!$C$19:'Données'!$I$38,6,0)), ,$D36/VLOOKUP($C36,Données!$C$19:'Données'!$I$38,6,0)),"/"))</f>
        <v/>
      </c>
      <c r="F36" s="43" t="str">
        <f>IF($C36="","",IFERROR(IF(ISNA($D36/VLOOKUP($C36,Données!$C$19:'Données'!$I$38,7,0)*100), ,$D36/VLOOKUP($C36,Données!$C$19:'Données'!$I$38,7,0)*100),"/"))</f>
        <v/>
      </c>
      <c r="G36" s="42" t="str">
        <f>IF($C36="","",IFERROR(IF(ISNA(VLOOKUP($C36,'Phase GPA'!$C$29:'Phase GPA'!$U$44,11,0)), ,VLOOKUP($C36,'Phase GPA'!$C$29:'Phase GPA'!$U$44,11,0)),0))</f>
        <v/>
      </c>
      <c r="H36" s="44" t="str">
        <f>IF($C36="","",IFERROR(IF(ISNA(VLOOKUP($C36,'Phase GPA'!$C$29:'Phase GPA'!$U$44,12,0)), ,VLOOKUP($C36,'Phase GPA'!$C$29:'Phase GPA'!$U$44,12,0)),0))</f>
        <v/>
      </c>
      <c r="I36" s="45" t="str">
        <f>IF($C36="","",IFERROR(IF(ISNA($H36/VLOOKUP($C36,Données!$C$19:'Données'!$I$38,5,0)), ,$H36/VLOOKUP($C36,Données!$C$19:'Données'!$I$38,5,0))*100,0))</f>
        <v/>
      </c>
      <c r="J36" s="45" t="str">
        <f>IF($C36="","",IFERROR(IF(ISNA($H36/VLOOKUP($C36,Données!$C$19:'Données'!$I$38,6,0)), ,$H36/VLOOKUP($C36,Données!$C$19:'Données'!$I$38,6,0)),"/"))</f>
        <v/>
      </c>
      <c r="K36" s="45" t="str">
        <f>IF($C36="","",IFERROR(IF(ISNA($H36/VLOOKUP($C36,Données!$C$19:'Données'!$I$38,7,0)*100), ,$H36/VLOOKUP($C36,Données!$C$19:'Données'!$I$38,7,0)*100),"/"))</f>
        <v/>
      </c>
      <c r="L36" s="99" t="str">
        <f t="shared" si="0"/>
        <v/>
      </c>
      <c r="M36" s="13"/>
      <c r="N36" s="12"/>
      <c r="O36" s="3"/>
      <c r="P36" s="16"/>
      <c r="Q36" s="1"/>
      <c r="R36" s="1"/>
      <c r="S36" s="55" t="str">
        <f>IF($C36="","",IFERROR(IF(ISNA(VLOOKUP($C36,Données!$C$19:'Données'!$I$38,6,0)), ,VLOOKUP($C36,Données!$C$19:'Données'!$I$38,6,0)),"/"))</f>
        <v/>
      </c>
      <c r="T36" s="55" t="str">
        <f>IF($C36="","",IFERROR(IF(ISNA(VLOOKUP($C36,Données!$C$19:'Données'!$I$38,7,0)), ,VLOOKUP($C36,Données!$C$19:'Données'!$I$38,7,0)),"/"))</f>
        <v/>
      </c>
      <c r="U36" s="55" t="str">
        <f>IF($C36="","",IFERROR(IF(ISNA(VLOOKUP($C36,Données!$C$19:'Données'!$I$38,5,0)), ,VLOOKUP($C36,Données!$C$19:'Données'!$I$38,5,0)),"/"))</f>
        <v/>
      </c>
      <c r="V36" s="55" t="str">
        <f t="shared" si="2"/>
        <v/>
      </c>
      <c r="W36" s="50">
        <f t="shared" si="1"/>
        <v>0</v>
      </c>
      <c r="X36" s="73"/>
      <c r="Y36" s="73"/>
      <c r="Z36" s="73"/>
      <c r="AA36" s="73"/>
      <c r="AB36" s="73"/>
      <c r="AC36" s="73"/>
      <c r="AD36" s="73"/>
      <c r="AE36" s="73"/>
    </row>
    <row r="37" spans="1:31" ht="50.1" customHeight="1" x14ac:dyDescent="0.25">
      <c r="A37" s="1"/>
      <c r="B37" s="1"/>
      <c r="C37" s="15"/>
      <c r="D37" s="42" t="str">
        <f>IF($C37="","",IFERROR(IF(ISNA(VLOOKUP($C37,'Phase GPA'!$C$29:'Phase GPA'!$U$44,10,0)), ,VLOOKUP($C37,'Phase GPA'!$C$29:'Phase GPA'!$U$44,10,0)),0))</f>
        <v/>
      </c>
      <c r="E37" s="43" t="str">
        <f>IF($C37="","",IFERROR(IF(ISNA($D37/VLOOKUP($C37,Données!$C$19:'Données'!$I$38,6,0)), ,$D37/VLOOKUP($C37,Données!$C$19:'Données'!$I$38,6,0)),"/"))</f>
        <v/>
      </c>
      <c r="F37" s="43" t="str">
        <f>IF($C37="","",IFERROR(IF(ISNA($D37/VLOOKUP($C37,Données!$C$19:'Données'!$I$38,7,0)*100), ,$D37/VLOOKUP($C37,Données!$C$19:'Données'!$I$38,7,0)*100),"/"))</f>
        <v/>
      </c>
      <c r="G37" s="42" t="str">
        <f>IF($C37="","",IFERROR(IF(ISNA(VLOOKUP($C37,'Phase GPA'!$C$29:'Phase GPA'!$U$44,11,0)), ,VLOOKUP($C37,'Phase GPA'!$C$29:'Phase GPA'!$U$44,11,0)),0))</f>
        <v/>
      </c>
      <c r="H37" s="44" t="str">
        <f>IF($C37="","",IFERROR(IF(ISNA(VLOOKUP($C37,'Phase GPA'!$C$29:'Phase GPA'!$U$44,12,0)), ,VLOOKUP($C37,'Phase GPA'!$C$29:'Phase GPA'!$U$44,12,0)),0))</f>
        <v/>
      </c>
      <c r="I37" s="45" t="str">
        <f>IF($C37="","",IFERROR(IF(ISNA($H37/VLOOKUP($C37,Données!$C$19:'Données'!$I$38,5,0)), ,$H37/VLOOKUP($C37,Données!$C$19:'Données'!$I$38,5,0))*100,0))</f>
        <v/>
      </c>
      <c r="J37" s="45" t="str">
        <f>IF($C37="","",IFERROR(IF(ISNA($H37/VLOOKUP($C37,Données!$C$19:'Données'!$I$38,6,0)), ,$H37/VLOOKUP($C37,Données!$C$19:'Données'!$I$38,6,0)),"/"))</f>
        <v/>
      </c>
      <c r="K37" s="45" t="str">
        <f>IF($C37="","",IFERROR(IF(ISNA($H37/VLOOKUP($C37,Données!$C$19:'Données'!$I$38,7,0)*100), ,$H37/VLOOKUP($C37,Données!$C$19:'Données'!$I$38,7,0)*100),"/"))</f>
        <v/>
      </c>
      <c r="L37" s="99" t="str">
        <f t="shared" si="0"/>
        <v/>
      </c>
      <c r="M37" s="13"/>
      <c r="N37" s="12"/>
      <c r="O37" s="3"/>
      <c r="P37" s="16"/>
      <c r="Q37" s="1"/>
      <c r="R37" s="1"/>
      <c r="S37" s="55" t="str">
        <f>IF($C37="","",IFERROR(IF(ISNA(VLOOKUP($C37,Données!$C$19:'Données'!$I$38,6,0)), ,VLOOKUP($C37,Données!$C$19:'Données'!$I$38,6,0)),"/"))</f>
        <v/>
      </c>
      <c r="T37" s="55" t="str">
        <f>IF($C37="","",IFERROR(IF(ISNA(VLOOKUP($C37,Données!$C$19:'Données'!$I$38,7,0)), ,VLOOKUP($C37,Données!$C$19:'Données'!$I$38,7,0)),"/"))</f>
        <v/>
      </c>
      <c r="U37" s="55" t="str">
        <f>IF($C37="","",IFERROR(IF(ISNA(VLOOKUP($C37,Données!$C$19:'Données'!$I$38,5,0)), ,VLOOKUP($C37,Données!$C$19:'Données'!$I$38,5,0)),"/"))</f>
        <v/>
      </c>
      <c r="V37" s="55" t="str">
        <f t="shared" si="2"/>
        <v/>
      </c>
      <c r="W37" s="50">
        <f t="shared" si="1"/>
        <v>0</v>
      </c>
      <c r="X37" s="73"/>
      <c r="Y37" s="73"/>
      <c r="Z37" s="73"/>
      <c r="AA37" s="73"/>
      <c r="AB37" s="73"/>
      <c r="AC37" s="73"/>
      <c r="AD37" s="73"/>
      <c r="AE37" s="73"/>
    </row>
    <row r="38" spans="1:31" ht="50.1" customHeight="1" x14ac:dyDescent="0.25">
      <c r="A38" s="1"/>
      <c r="B38" s="1"/>
      <c r="C38" s="15"/>
      <c r="D38" s="42" t="str">
        <f>IF($C38="","",IFERROR(IF(ISNA(VLOOKUP($C38,'Phase GPA'!$C$29:'Phase GPA'!$U$44,10,0)), ,VLOOKUP($C38,'Phase GPA'!$C$29:'Phase GPA'!$U$44,10,0)),0))</f>
        <v/>
      </c>
      <c r="E38" s="43" t="str">
        <f>IF($C38="","",IFERROR(IF(ISNA($D38/VLOOKUP($C38,Données!$C$19:'Données'!$I$38,6,0)), ,$D38/VLOOKUP($C38,Données!$C$19:'Données'!$I$38,6,0)),"/"))</f>
        <v/>
      </c>
      <c r="F38" s="43" t="str">
        <f>IF($C38="","",IFERROR(IF(ISNA($D38/VLOOKUP($C38,Données!$C$19:'Données'!$I$38,7,0)*100), ,$D38/VLOOKUP($C38,Données!$C$19:'Données'!$I$38,7,0)*100),"/"))</f>
        <v/>
      </c>
      <c r="G38" s="42" t="str">
        <f>IF($C38="","",IFERROR(IF(ISNA(VLOOKUP($C38,'Phase GPA'!$C$29:'Phase GPA'!$U$44,11,0)), ,VLOOKUP($C38,'Phase GPA'!$C$29:'Phase GPA'!$U$44,11,0)),0))</f>
        <v/>
      </c>
      <c r="H38" s="44" t="str">
        <f>IF($C38="","",IFERROR(IF(ISNA(VLOOKUP($C38,'Phase GPA'!$C$29:'Phase GPA'!$U$44,12,0)), ,VLOOKUP($C38,'Phase GPA'!$C$29:'Phase GPA'!$U$44,12,0)),0))</f>
        <v/>
      </c>
      <c r="I38" s="45" t="str">
        <f>IF($C38="","",IFERROR(IF(ISNA($H38/VLOOKUP($C38,Données!$C$19:'Données'!$I$38,5,0)), ,$H38/VLOOKUP($C38,Données!$C$19:'Données'!$I$38,5,0))*100,0))</f>
        <v/>
      </c>
      <c r="J38" s="45" t="str">
        <f>IF($C38="","",IFERROR(IF(ISNA($H38/VLOOKUP($C38,Données!$C$19:'Données'!$I$38,6,0)), ,$H38/VLOOKUP($C38,Données!$C$19:'Données'!$I$38,6,0)),"/"))</f>
        <v/>
      </c>
      <c r="K38" s="45" t="str">
        <f>IF($C38="","",IFERROR(IF(ISNA($H38/VLOOKUP($C38,Données!$C$19:'Données'!$I$38,7,0)*100), ,$H38/VLOOKUP($C38,Données!$C$19:'Données'!$I$38,7,0)*100),"/"))</f>
        <v/>
      </c>
      <c r="L38" s="99" t="str">
        <f t="shared" si="0"/>
        <v/>
      </c>
      <c r="M38" s="13"/>
      <c r="N38" s="12"/>
      <c r="O38" s="3"/>
      <c r="P38" s="16"/>
      <c r="Q38" s="1"/>
      <c r="R38" s="1"/>
      <c r="S38" s="55" t="str">
        <f>IF($C38="","",IFERROR(IF(ISNA(VLOOKUP($C38,Données!$C$19:'Données'!$I$38,6,0)), ,VLOOKUP($C38,Données!$C$19:'Données'!$I$38,6,0)),"/"))</f>
        <v/>
      </c>
      <c r="T38" s="55" t="str">
        <f>IF($C38="","",IFERROR(IF(ISNA(VLOOKUP($C38,Données!$C$19:'Données'!$I$38,7,0)), ,VLOOKUP($C38,Données!$C$19:'Données'!$I$38,7,0)),"/"))</f>
        <v/>
      </c>
      <c r="U38" s="55" t="str">
        <f>IF($C38="","",IFERROR(IF(ISNA(VLOOKUP($C38,Données!$C$19:'Données'!$I$38,5,0)), ,VLOOKUP($C38,Données!$C$19:'Données'!$I$38,5,0)),"/"))</f>
        <v/>
      </c>
      <c r="V38" s="55" t="str">
        <f t="shared" si="2"/>
        <v/>
      </c>
      <c r="W38" s="50">
        <f t="shared" si="1"/>
        <v>0</v>
      </c>
      <c r="X38" s="73"/>
      <c r="Y38" s="73"/>
      <c r="Z38" s="73"/>
      <c r="AA38" s="73"/>
      <c r="AB38" s="73"/>
      <c r="AC38" s="73"/>
      <c r="AD38" s="73"/>
      <c r="AE38" s="73"/>
    </row>
    <row r="39" spans="1:31" ht="50.1" customHeight="1" x14ac:dyDescent="0.25">
      <c r="A39" s="1"/>
      <c r="B39" s="1"/>
      <c r="C39" s="15"/>
      <c r="D39" s="42" t="str">
        <f>IF($C39="","",IFERROR(IF(ISNA(VLOOKUP($C39,'Phase GPA'!$C$29:'Phase GPA'!$U$44,10,0)), ,VLOOKUP($C39,'Phase GPA'!$C$29:'Phase GPA'!$U$44,10,0)),0))</f>
        <v/>
      </c>
      <c r="E39" s="43" t="str">
        <f>IF($C39="","",IFERROR(IF(ISNA($D39/VLOOKUP($C39,Données!$C$19:'Données'!$I$38,6,0)), ,$D39/VLOOKUP($C39,Données!$C$19:'Données'!$I$38,6,0)),"/"))</f>
        <v/>
      </c>
      <c r="F39" s="43" t="str">
        <f>IF($C39="","",IFERROR(IF(ISNA($D39/VLOOKUP($C39,Données!$C$19:'Données'!$I$38,7,0)*100), ,$D39/VLOOKUP($C39,Données!$C$19:'Données'!$I$38,7,0)*100),"/"))</f>
        <v/>
      </c>
      <c r="G39" s="42" t="str">
        <f>IF($C39="","",IFERROR(IF(ISNA(VLOOKUP($C39,'Phase GPA'!$C$29:'Phase GPA'!$U$44,11,0)), ,VLOOKUP($C39,'Phase GPA'!$C$29:'Phase GPA'!$U$44,11,0)),0))</f>
        <v/>
      </c>
      <c r="H39" s="44" t="str">
        <f>IF($C39="","",IFERROR(IF(ISNA(VLOOKUP($C39,'Phase GPA'!$C$29:'Phase GPA'!$U$44,12,0)), ,VLOOKUP($C39,'Phase GPA'!$C$29:'Phase GPA'!$U$44,12,0)),0))</f>
        <v/>
      </c>
      <c r="I39" s="45" t="str">
        <f>IF($C39="","",IFERROR(IF(ISNA($H39/VLOOKUP($C39,Données!$C$19:'Données'!$I$38,5,0)), ,$H39/VLOOKUP($C39,Données!$C$19:'Données'!$I$38,5,0))*100,0))</f>
        <v/>
      </c>
      <c r="J39" s="45" t="str">
        <f>IF($C39="","",IFERROR(IF(ISNA($H39/VLOOKUP($C39,Données!$C$19:'Données'!$I$38,6,0)), ,$H39/VLOOKUP($C39,Données!$C$19:'Données'!$I$38,6,0)),"/"))</f>
        <v/>
      </c>
      <c r="K39" s="45" t="str">
        <f>IF($C39="","",IFERROR(IF(ISNA($H39/VLOOKUP($C39,Données!$C$19:'Données'!$I$38,7,0)*100), ,$H39/VLOOKUP($C39,Données!$C$19:'Données'!$I$38,7,0)*100),"/"))</f>
        <v/>
      </c>
      <c r="L39" s="99" t="str">
        <f t="shared" si="0"/>
        <v/>
      </c>
      <c r="M39" s="13"/>
      <c r="N39" s="12"/>
      <c r="O39" s="3"/>
      <c r="P39" s="16"/>
      <c r="Q39" s="1"/>
      <c r="R39" s="1"/>
      <c r="S39" s="55" t="str">
        <f>IF($C39="","",IFERROR(IF(ISNA(VLOOKUP($C39,Données!$C$19:'Données'!$I$38,6,0)), ,VLOOKUP($C39,Données!$C$19:'Données'!$I$38,6,0)),"/"))</f>
        <v/>
      </c>
      <c r="T39" s="55" t="str">
        <f>IF($C39="","",IFERROR(IF(ISNA(VLOOKUP($C39,Données!$C$19:'Données'!$I$38,7,0)), ,VLOOKUP($C39,Données!$C$19:'Données'!$I$38,7,0)),"/"))</f>
        <v/>
      </c>
      <c r="U39" s="55" t="str">
        <f>IF($C39="","",IFERROR(IF(ISNA(VLOOKUP($C39,Données!$C$19:'Données'!$I$38,5,0)), ,VLOOKUP($C39,Données!$C$19:'Données'!$I$38,5,0)),"/"))</f>
        <v/>
      </c>
      <c r="V39" s="55" t="str">
        <f t="shared" si="2"/>
        <v/>
      </c>
      <c r="W39" s="50">
        <f t="shared" si="1"/>
        <v>0</v>
      </c>
      <c r="X39" s="73"/>
      <c r="Y39" s="73"/>
      <c r="Z39" s="73"/>
      <c r="AA39" s="73"/>
      <c r="AB39" s="73"/>
      <c r="AC39" s="73"/>
      <c r="AD39" s="73"/>
      <c r="AE39" s="73"/>
    </row>
    <row r="40" spans="1:31" ht="50.1" customHeight="1" x14ac:dyDescent="0.25">
      <c r="A40" s="1"/>
      <c r="B40" s="1"/>
      <c r="C40" s="15"/>
      <c r="D40" s="42" t="str">
        <f>IF($C40="","",IFERROR(IF(ISNA(VLOOKUP($C40,'Phase GPA'!$C$29:'Phase GPA'!$U$44,10,0)), ,VLOOKUP($C40,'Phase GPA'!$C$29:'Phase GPA'!$U$44,10,0)),0))</f>
        <v/>
      </c>
      <c r="E40" s="43" t="str">
        <f>IF($C40="","",IFERROR(IF(ISNA($D40/VLOOKUP($C40,Données!$C$19:'Données'!$I$38,6,0)), ,$D40/VLOOKUP($C40,Données!$C$19:'Données'!$I$38,6,0)),"/"))</f>
        <v/>
      </c>
      <c r="F40" s="43" t="str">
        <f>IF($C40="","",IFERROR(IF(ISNA($D40/VLOOKUP($C40,Données!$C$19:'Données'!$I$38,7,0)*100), ,$D40/VLOOKUP($C40,Données!$C$19:'Données'!$I$38,7,0)*100),"/"))</f>
        <v/>
      </c>
      <c r="G40" s="42" t="str">
        <f>IF($C40="","",IFERROR(IF(ISNA(VLOOKUP($C40,'Phase GPA'!$C$29:'Phase GPA'!$U$44,11,0)), ,VLOOKUP($C40,'Phase GPA'!$C$29:'Phase GPA'!$U$44,11,0)),0))</f>
        <v/>
      </c>
      <c r="H40" s="44" t="str">
        <f>IF($C40="","",IFERROR(IF(ISNA(VLOOKUP($C40,'Phase GPA'!$C$29:'Phase GPA'!$U$44,12,0)), ,VLOOKUP($C40,'Phase GPA'!$C$29:'Phase GPA'!$U$44,12,0)),0))</f>
        <v/>
      </c>
      <c r="I40" s="45" t="str">
        <f>IF($C40="","",IFERROR(IF(ISNA($H40/VLOOKUP($C40,Données!$C$19:'Données'!$I$38,5,0)), ,$H40/VLOOKUP($C40,Données!$C$19:'Données'!$I$38,5,0))*100,0))</f>
        <v/>
      </c>
      <c r="J40" s="45" t="str">
        <f>IF($C40="","",IFERROR(IF(ISNA($H40/VLOOKUP($C40,Données!$C$19:'Données'!$I$38,6,0)), ,$H40/VLOOKUP($C40,Données!$C$19:'Données'!$I$38,6,0)),"/"))</f>
        <v/>
      </c>
      <c r="K40" s="45" t="str">
        <f>IF($C40="","",IFERROR(IF(ISNA($H40/VLOOKUP($C40,Données!$C$19:'Données'!$I$38,7,0)*100), ,$H40/VLOOKUP($C40,Données!$C$19:'Données'!$I$38,7,0)*100),"/"))</f>
        <v/>
      </c>
      <c r="L40" s="99" t="str">
        <f t="shared" si="0"/>
        <v/>
      </c>
      <c r="M40" s="13"/>
      <c r="N40" s="12"/>
      <c r="O40" s="3"/>
      <c r="P40" s="16"/>
      <c r="Q40" s="1"/>
      <c r="R40" s="1"/>
      <c r="S40" s="55" t="str">
        <f>IF($C40="","",IFERROR(IF(ISNA(VLOOKUP($C40,Données!$C$19:'Données'!$I$38,6,0)), ,VLOOKUP($C40,Données!$C$19:'Données'!$I$38,6,0)),"/"))</f>
        <v/>
      </c>
      <c r="T40" s="55" t="str">
        <f>IF($C40="","",IFERROR(IF(ISNA(VLOOKUP($C40,Données!$C$19:'Données'!$I$38,7,0)), ,VLOOKUP($C40,Données!$C$19:'Données'!$I$38,7,0)),"/"))</f>
        <v/>
      </c>
      <c r="U40" s="55" t="str">
        <f>IF($C40="","",IFERROR(IF(ISNA(VLOOKUP($C40,Données!$C$19:'Données'!$I$38,5,0)), ,VLOOKUP($C40,Données!$C$19:'Données'!$I$38,5,0)),"/"))</f>
        <v/>
      </c>
      <c r="V40" s="55" t="str">
        <f t="shared" si="2"/>
        <v/>
      </c>
      <c r="W40" s="50">
        <f t="shared" si="1"/>
        <v>0</v>
      </c>
      <c r="X40" s="73"/>
      <c r="Y40" s="73"/>
      <c r="Z40" s="73"/>
      <c r="AA40" s="73"/>
      <c r="AB40" s="73"/>
      <c r="AC40" s="73"/>
      <c r="AD40" s="73"/>
      <c r="AE40" s="73"/>
    </row>
    <row r="41" spans="1:31" ht="50.1" customHeight="1" x14ac:dyDescent="0.25">
      <c r="A41" s="1"/>
      <c r="B41" s="1"/>
      <c r="C41" s="15"/>
      <c r="D41" s="42" t="str">
        <f>IF($C41="","",IFERROR(IF(ISNA(VLOOKUP($C41,'Phase GPA'!$C$29:'Phase GPA'!$U$44,10,0)), ,VLOOKUP($C41,'Phase GPA'!$C$29:'Phase GPA'!$U$44,10,0)),0))</f>
        <v/>
      </c>
      <c r="E41" s="43" t="str">
        <f>IF($C41="","",IFERROR(IF(ISNA($D41/VLOOKUP($C41,Données!$C$19:'Données'!$I$38,6,0)), ,$D41/VLOOKUP($C41,Données!$C$19:'Données'!$I$38,6,0)),"/"))</f>
        <v/>
      </c>
      <c r="F41" s="43" t="str">
        <f>IF($C41="","",IFERROR(IF(ISNA($D41/VLOOKUP($C41,Données!$C$19:'Données'!$I$38,7,0)*100), ,$D41/VLOOKUP($C41,Données!$C$19:'Données'!$I$38,7,0)*100),"/"))</f>
        <v/>
      </c>
      <c r="G41" s="42" t="str">
        <f>IF($C41="","",IFERROR(IF(ISNA(VLOOKUP($C41,'Phase GPA'!$C$29:'Phase GPA'!$U$44,11,0)), ,VLOOKUP($C41,'Phase GPA'!$C$29:'Phase GPA'!$U$44,11,0)),0))</f>
        <v/>
      </c>
      <c r="H41" s="44" t="str">
        <f>IF($C41="","",IFERROR(IF(ISNA(VLOOKUP($C41,'Phase GPA'!$C$29:'Phase GPA'!$U$44,12,0)), ,VLOOKUP($C41,'Phase GPA'!$C$29:'Phase GPA'!$U$44,12,0)),0))</f>
        <v/>
      </c>
      <c r="I41" s="45" t="str">
        <f>IF($C41="","",IFERROR(IF(ISNA($H41/VLOOKUP($C41,Données!$C$19:'Données'!$I$38,5,0)), ,$H41/VLOOKUP($C41,Données!$C$19:'Données'!$I$38,5,0))*100,0))</f>
        <v/>
      </c>
      <c r="J41" s="45" t="str">
        <f>IF($C41="","",IFERROR(IF(ISNA($H41/VLOOKUP($C41,Données!$C$19:'Données'!$I$38,6,0)), ,$H41/VLOOKUP($C41,Données!$C$19:'Données'!$I$38,6,0)),"/"))</f>
        <v/>
      </c>
      <c r="K41" s="45" t="str">
        <f>IF($C41="","",IFERROR(IF(ISNA($H41/VLOOKUP($C41,Données!$C$19:'Données'!$I$38,7,0)*100), ,$H41/VLOOKUP($C41,Données!$C$19:'Données'!$I$38,7,0)*100),"/"))</f>
        <v/>
      </c>
      <c r="L41" s="99" t="str">
        <f t="shared" si="0"/>
        <v/>
      </c>
      <c r="M41" s="13"/>
      <c r="N41" s="12"/>
      <c r="O41" s="3"/>
      <c r="P41" s="16"/>
      <c r="Q41" s="1"/>
      <c r="R41" s="1"/>
      <c r="S41" s="55" t="str">
        <f>IF($C41="","",IFERROR(IF(ISNA(VLOOKUP($C41,Données!$C$19:'Données'!$I$38,6,0)), ,VLOOKUP($C41,Données!$C$19:'Données'!$I$38,6,0)),"/"))</f>
        <v/>
      </c>
      <c r="T41" s="55" t="str">
        <f>IF($C41="","",IFERROR(IF(ISNA(VLOOKUP($C41,Données!$C$19:'Données'!$I$38,7,0)), ,VLOOKUP($C41,Données!$C$19:'Données'!$I$38,7,0)),"/"))</f>
        <v/>
      </c>
      <c r="U41" s="55" t="str">
        <f>IF($C41="","",IFERROR(IF(ISNA(VLOOKUP($C41,Données!$C$19:'Données'!$I$38,5,0)), ,VLOOKUP($C41,Données!$C$19:'Données'!$I$38,5,0)),"/"))</f>
        <v/>
      </c>
      <c r="V41" s="55" t="str">
        <f t="shared" si="2"/>
        <v/>
      </c>
      <c r="W41" s="50">
        <f t="shared" si="1"/>
        <v>0</v>
      </c>
      <c r="X41" s="73"/>
      <c r="Y41" s="73"/>
      <c r="Z41" s="73"/>
      <c r="AA41" s="73"/>
      <c r="AB41" s="73"/>
      <c r="AC41" s="73"/>
      <c r="AD41" s="73"/>
      <c r="AE41" s="73"/>
    </row>
    <row r="42" spans="1:31" ht="50.1" customHeight="1" x14ac:dyDescent="0.25">
      <c r="A42" s="1"/>
      <c r="B42" s="1"/>
      <c r="C42" s="15"/>
      <c r="D42" s="42" t="str">
        <f>IF($C42="","",IFERROR(IF(ISNA(VLOOKUP($C42,'Phase GPA'!$C$29:'Phase GPA'!$U$44,10,0)), ,VLOOKUP($C42,'Phase GPA'!$C$29:'Phase GPA'!$U$44,10,0)),0))</f>
        <v/>
      </c>
      <c r="E42" s="43" t="str">
        <f>IF($C42="","",IFERROR(IF(ISNA($D42/VLOOKUP($C42,Données!$C$19:'Données'!$I$38,6,0)), ,$D42/VLOOKUP($C42,Données!$C$19:'Données'!$I$38,6,0)),"/"))</f>
        <v/>
      </c>
      <c r="F42" s="43" t="str">
        <f>IF($C42="","",IFERROR(IF(ISNA($D42/VLOOKUP($C42,Données!$C$19:'Données'!$I$38,7,0)*100), ,$D42/VLOOKUP($C42,Données!$C$19:'Données'!$I$38,7,0)*100),"/"))</f>
        <v/>
      </c>
      <c r="G42" s="42" t="str">
        <f>IF($C42="","",IFERROR(IF(ISNA(VLOOKUP($C42,'Phase GPA'!$C$29:'Phase GPA'!$U$44,11,0)), ,VLOOKUP($C42,'Phase GPA'!$C$29:'Phase GPA'!$U$44,11,0)),0))</f>
        <v/>
      </c>
      <c r="H42" s="44" t="str">
        <f>IF($C42="","",IFERROR(IF(ISNA(VLOOKUP($C42,'Phase GPA'!$C$29:'Phase GPA'!$U$44,12,0)), ,VLOOKUP($C42,'Phase GPA'!$C$29:'Phase GPA'!$U$44,12,0)),0))</f>
        <v/>
      </c>
      <c r="I42" s="45" t="str">
        <f>IF($C42="","",IFERROR(IF(ISNA($H42/VLOOKUP($C42,Données!$C$19:'Données'!$I$38,5,0)), ,$H42/VLOOKUP($C42,Données!$C$19:'Données'!$I$38,5,0))*100,0))</f>
        <v/>
      </c>
      <c r="J42" s="45" t="str">
        <f>IF($C42="","",IFERROR(IF(ISNA($H42/VLOOKUP($C42,Données!$C$19:'Données'!$I$38,6,0)), ,$H42/VLOOKUP($C42,Données!$C$19:'Données'!$I$38,6,0)),"/"))</f>
        <v/>
      </c>
      <c r="K42" s="45" t="str">
        <f>IF($C42="","",IFERROR(IF(ISNA($H42/VLOOKUP($C42,Données!$C$19:'Données'!$I$38,7,0)*100), ,$H42/VLOOKUP($C42,Données!$C$19:'Données'!$I$38,7,0)*100),"/"))</f>
        <v/>
      </c>
      <c r="L42" s="99" t="str">
        <f t="shared" si="0"/>
        <v/>
      </c>
      <c r="M42" s="13"/>
      <c r="N42" s="12"/>
      <c r="O42" s="3"/>
      <c r="P42" s="16"/>
      <c r="Q42" s="1"/>
      <c r="R42" s="1"/>
      <c r="S42" s="55" t="str">
        <f>IF($C42="","",IFERROR(IF(ISNA(VLOOKUP($C42,Données!$C$19:'Données'!$I$38,6,0)), ,VLOOKUP($C42,Données!$C$19:'Données'!$I$38,6,0)),"/"))</f>
        <v/>
      </c>
      <c r="T42" s="55" t="str">
        <f>IF($C42="","",IFERROR(IF(ISNA(VLOOKUP($C42,Données!$C$19:'Données'!$I$38,7,0)), ,VLOOKUP($C42,Données!$C$19:'Données'!$I$38,7,0)),"/"))</f>
        <v/>
      </c>
      <c r="U42" s="55" t="str">
        <f>IF($C42="","",IFERROR(IF(ISNA(VLOOKUP($C42,Données!$C$19:'Données'!$I$38,5,0)), ,VLOOKUP($C42,Données!$C$19:'Données'!$I$38,5,0)),"/"))</f>
        <v/>
      </c>
      <c r="V42" s="55" t="str">
        <f t="shared" si="2"/>
        <v/>
      </c>
      <c r="W42" s="50">
        <f t="shared" si="1"/>
        <v>0</v>
      </c>
      <c r="X42" s="73"/>
      <c r="Y42" s="73"/>
      <c r="Z42" s="73"/>
      <c r="AA42" s="73"/>
      <c r="AB42" s="73"/>
      <c r="AC42" s="73"/>
      <c r="AD42" s="73"/>
      <c r="AE42" s="73"/>
    </row>
    <row r="43" spans="1:31" ht="50.1" customHeight="1" x14ac:dyDescent="0.25">
      <c r="A43" s="1"/>
      <c r="B43" s="1"/>
      <c r="C43" s="15"/>
      <c r="D43" s="42" t="str">
        <f>IF($C43="","",IFERROR(IF(ISNA(VLOOKUP($C43,'Phase GPA'!$C$29:'Phase GPA'!$U$44,10,0)), ,VLOOKUP($C43,'Phase GPA'!$C$29:'Phase GPA'!$U$44,10,0)),0))</f>
        <v/>
      </c>
      <c r="E43" s="43" t="str">
        <f>IF($C43="","",IFERROR(IF(ISNA($D43/VLOOKUP($C43,Données!$C$19:'Données'!$I$38,6,0)), ,$D43/VLOOKUP($C43,Données!$C$19:'Données'!$I$38,6,0)),"/"))</f>
        <v/>
      </c>
      <c r="F43" s="43" t="str">
        <f>IF($C43="","",IFERROR(IF(ISNA($D43/VLOOKUP($C43,Données!$C$19:'Données'!$I$38,7,0)*100), ,$D43/VLOOKUP($C43,Données!$C$19:'Données'!$I$38,7,0)*100),"/"))</f>
        <v/>
      </c>
      <c r="G43" s="42" t="str">
        <f>IF($C43="","",IFERROR(IF(ISNA(VLOOKUP($C43,'Phase GPA'!$C$29:'Phase GPA'!$U$44,11,0)), ,VLOOKUP($C43,'Phase GPA'!$C$29:'Phase GPA'!$U$44,11,0)),0))</f>
        <v/>
      </c>
      <c r="H43" s="44" t="str">
        <f>IF($C43="","",IFERROR(IF(ISNA(VLOOKUP($C43,'Phase GPA'!$C$29:'Phase GPA'!$U$44,12,0)), ,VLOOKUP($C43,'Phase GPA'!$C$29:'Phase GPA'!$U$44,12,0)),0))</f>
        <v/>
      </c>
      <c r="I43" s="45" t="str">
        <f>IF($C43="","",IFERROR(IF(ISNA($H43/VLOOKUP($C43,Données!$C$19:'Données'!$I$38,5,0)), ,$H43/VLOOKUP($C43,Données!$C$19:'Données'!$I$38,5,0))*100,0))</f>
        <v/>
      </c>
      <c r="J43" s="45" t="str">
        <f>IF($C43="","",IFERROR(IF(ISNA($H43/VLOOKUP($C43,Données!$C$19:'Données'!$I$38,6,0)), ,$H43/VLOOKUP($C43,Données!$C$19:'Données'!$I$38,6,0)),"/"))</f>
        <v/>
      </c>
      <c r="K43" s="45" t="str">
        <f>IF($C43="","",IFERROR(IF(ISNA($H43/VLOOKUP($C43,Données!$C$19:'Données'!$I$38,7,0)*100), ,$H43/VLOOKUP($C43,Données!$C$19:'Données'!$I$38,7,0)*100),"/"))</f>
        <v/>
      </c>
      <c r="L43" s="99" t="str">
        <f t="shared" si="0"/>
        <v/>
      </c>
      <c r="M43" s="13"/>
      <c r="N43" s="12"/>
      <c r="O43" s="3"/>
      <c r="P43" s="16"/>
      <c r="Q43" s="1"/>
      <c r="R43" s="1"/>
      <c r="S43" s="55" t="str">
        <f>IF($C43="","",IFERROR(IF(ISNA(VLOOKUP($C43,Données!$C$19:'Données'!$I$38,6,0)), ,VLOOKUP($C43,Données!$C$19:'Données'!$I$38,6,0)),"/"))</f>
        <v/>
      </c>
      <c r="T43" s="55" t="str">
        <f>IF($C43="","",IFERROR(IF(ISNA(VLOOKUP($C43,Données!$C$19:'Données'!$I$38,7,0)), ,VLOOKUP($C43,Données!$C$19:'Données'!$I$38,7,0)),"/"))</f>
        <v/>
      </c>
      <c r="U43" s="55" t="str">
        <f>IF($C43="","",IFERROR(IF(ISNA(VLOOKUP($C43,Données!$C$19:'Données'!$I$38,5,0)), ,VLOOKUP($C43,Données!$C$19:'Données'!$I$38,5,0)),"/"))</f>
        <v/>
      </c>
      <c r="V43" s="55" t="str">
        <f t="shared" si="2"/>
        <v/>
      </c>
      <c r="W43" s="50">
        <f t="shared" si="1"/>
        <v>0</v>
      </c>
      <c r="X43" s="73"/>
      <c r="Y43" s="73"/>
      <c r="Z43" s="73"/>
      <c r="AA43" s="73"/>
      <c r="AB43" s="73"/>
      <c r="AC43" s="73"/>
      <c r="AD43" s="73"/>
      <c r="AE43" s="73"/>
    </row>
    <row r="44" spans="1:31" ht="50.1" customHeight="1" x14ac:dyDescent="0.25">
      <c r="A44" s="1"/>
      <c r="B44" s="1"/>
      <c r="C44" s="57" t="s">
        <v>50</v>
      </c>
      <c r="D44" s="58">
        <f>SUM(D29:D43)</f>
        <v>0</v>
      </c>
      <c r="E44" s="60" t="str">
        <f>IF(S44=0,"/",D44/S44)</f>
        <v>/</v>
      </c>
      <c r="F44" s="60" t="str">
        <f>IF(T44=0,"/",D44/T44*100)</f>
        <v>/</v>
      </c>
      <c r="G44" s="58" t="str">
        <f>IFERROR(V44/D44,"/")</f>
        <v>/</v>
      </c>
      <c r="H44" s="62">
        <f>SUM(H29:H43)</f>
        <v>0</v>
      </c>
      <c r="I44" s="66" t="str">
        <f>IFERROR(H44/U44*100,"/")</f>
        <v>/</v>
      </c>
      <c r="J44" s="66" t="str">
        <f>IF(S44=0,"/",H44/S44)</f>
        <v>/</v>
      </c>
      <c r="K44" s="60" t="str">
        <f>IF(T44=0,"/",H44/T44*100)</f>
        <v>/</v>
      </c>
      <c r="L44" s="100" t="str">
        <f>IFERROR(H44/D44,"/")</f>
        <v>/</v>
      </c>
      <c r="M44" s="68"/>
      <c r="N44" s="69"/>
      <c r="O44" s="3"/>
      <c r="P44" s="16"/>
      <c r="Q44" s="1"/>
      <c r="R44" s="1"/>
      <c r="S44" s="75">
        <f>SUM(S29:S43)</f>
        <v>0</v>
      </c>
      <c r="T44" s="75">
        <f>SUM(T29:T43)</f>
        <v>0</v>
      </c>
      <c r="U44" s="75">
        <f>SUM(U29:U43)</f>
        <v>0</v>
      </c>
      <c r="V44" s="50">
        <f>SUM(V29:V43)</f>
        <v>0</v>
      </c>
      <c r="W44" s="75">
        <f>SUM(W29:W43)</f>
        <v>0</v>
      </c>
      <c r="X44" s="73"/>
      <c r="Y44" s="73"/>
      <c r="Z44" s="73"/>
      <c r="AA44" s="73"/>
      <c r="AB44" s="73"/>
      <c r="AC44" s="73"/>
      <c r="AD44" s="73"/>
      <c r="AE44" s="73"/>
    </row>
    <row r="45" spans="1:31" ht="15" customHeight="1" x14ac:dyDescent="0.25">
      <c r="A45" s="1"/>
      <c r="B45" s="1"/>
      <c r="C45" s="10"/>
      <c r="D45" s="10"/>
      <c r="E45" s="10"/>
      <c r="F45" s="10"/>
      <c r="G45" s="10"/>
      <c r="H45" s="10"/>
      <c r="I45" s="10"/>
      <c r="J45" s="10"/>
      <c r="K45" s="10"/>
      <c r="L45" s="10"/>
      <c r="M45" s="10"/>
      <c r="N45" s="10"/>
      <c r="O45" s="11"/>
      <c r="P45" s="4"/>
      <c r="Q45" s="1"/>
      <c r="R45" s="1"/>
    </row>
    <row r="46" spans="1:31" ht="15" customHeight="1" x14ac:dyDescent="0.25">
      <c r="A46" s="1"/>
      <c r="B46" s="1"/>
      <c r="C46" s="5"/>
      <c r="D46" s="10"/>
      <c r="E46" s="10"/>
      <c r="F46" s="10"/>
      <c r="G46" s="10"/>
      <c r="H46" s="10"/>
      <c r="I46" s="10"/>
      <c r="J46" s="10"/>
      <c r="K46" s="10"/>
      <c r="L46" s="10"/>
      <c r="M46" s="10"/>
      <c r="N46" s="10"/>
      <c r="O46" s="11"/>
      <c r="P46" s="30"/>
      <c r="Q46" s="1"/>
      <c r="R46" s="1"/>
    </row>
    <row r="47" spans="1:31" ht="15" customHeight="1" x14ac:dyDescent="0.25">
      <c r="A47" s="1"/>
      <c r="B47" s="1"/>
      <c r="C47" s="5"/>
      <c r="D47" s="10"/>
      <c r="E47" s="10"/>
      <c r="F47" s="10"/>
      <c r="G47" s="10"/>
      <c r="H47" s="10"/>
      <c r="I47" s="10"/>
      <c r="J47" s="10"/>
      <c r="K47" s="10"/>
      <c r="L47" s="10"/>
      <c r="M47" s="10"/>
      <c r="N47" s="10"/>
      <c r="O47" s="11"/>
      <c r="P47" s="29"/>
      <c r="Q47" s="1"/>
      <c r="R47" s="1"/>
    </row>
    <row r="48" spans="1:31" ht="15" customHeight="1" x14ac:dyDescent="0.25">
      <c r="A48" s="1"/>
      <c r="B48" s="1"/>
      <c r="C48" s="10"/>
      <c r="D48" s="10"/>
      <c r="E48" s="10"/>
      <c r="F48" s="10"/>
      <c r="G48" s="10"/>
      <c r="H48" s="10"/>
      <c r="I48" s="10"/>
      <c r="J48" s="10"/>
      <c r="K48" s="10"/>
      <c r="L48" s="10"/>
      <c r="M48" s="10"/>
      <c r="N48" s="10"/>
      <c r="O48" s="11"/>
      <c r="P48" s="29"/>
      <c r="Q48" s="1"/>
      <c r="R48" s="1"/>
    </row>
    <row r="49" spans="1:19" ht="15" customHeight="1" x14ac:dyDescent="0.25">
      <c r="A49" s="1"/>
      <c r="B49" s="1"/>
      <c r="C49" s="6"/>
      <c r="D49" s="6"/>
      <c r="E49" s="10"/>
      <c r="F49" s="10"/>
      <c r="G49" s="10"/>
      <c r="H49" s="10"/>
      <c r="I49" s="10"/>
      <c r="J49" s="10"/>
      <c r="K49" s="10"/>
      <c r="L49" s="10"/>
      <c r="M49" s="10"/>
      <c r="N49" s="10"/>
      <c r="O49" s="11"/>
      <c r="P49" s="29"/>
      <c r="Q49" s="1"/>
      <c r="R49" s="1"/>
    </row>
    <row r="50" spans="1:19" ht="15" customHeight="1" x14ac:dyDescent="0.25">
      <c r="A50" s="1"/>
      <c r="B50" s="1"/>
      <c r="C50" s="1"/>
      <c r="D50" s="1"/>
      <c r="E50" s="1"/>
      <c r="F50" s="1"/>
      <c r="G50" s="1"/>
      <c r="H50" s="1"/>
      <c r="I50" s="1"/>
      <c r="J50" s="1"/>
      <c r="K50" s="1"/>
      <c r="L50" s="1"/>
      <c r="M50" s="1"/>
      <c r="N50" s="1"/>
      <c r="O50" s="1"/>
      <c r="P50" s="1"/>
      <c r="Q50" s="1"/>
      <c r="R50" s="1"/>
      <c r="S50" s="1"/>
    </row>
    <row r="51" spans="1:19" x14ac:dyDescent="0.25">
      <c r="A51" s="1"/>
      <c r="B51" s="1"/>
      <c r="C51" s="143" t="str">
        <f ca="1">Données!$C$45</f>
        <v>CR Point bimestriel PA Version 22.4 20190227 EVREUX</v>
      </c>
      <c r="D51" s="143"/>
      <c r="E51" s="143"/>
      <c r="F51" s="143"/>
      <c r="G51" s="143"/>
      <c r="H51" s="143"/>
      <c r="I51" s="143"/>
      <c r="J51" s="143"/>
      <c r="K51" s="143"/>
      <c r="L51" s="143"/>
      <c r="M51" s="143"/>
      <c r="N51" s="143"/>
      <c r="O51" s="143"/>
      <c r="P51" s="143"/>
      <c r="Q51" s="143"/>
      <c r="R51" s="1"/>
      <c r="S51" s="1"/>
    </row>
    <row r="53" spans="1:19" ht="5.0999999999999996" customHeight="1" x14ac:dyDescent="0.25"/>
  </sheetData>
  <sheetProtection algorithmName="SHA-512" hashValue="du0GINgzzhWBVY2oIeuHFbk/CNKYobh+ncH35exqpxZ8DkXB4yKF54APBhHnDQGQnU0IQKNg0V+eDTxe/6sOiw==" saltValue="y/BzmYSRrrFvqO/CpBISYw==" spinCount="100000" sheet="1" objects="1" scenarios="1"/>
  <protectedRanges>
    <protectedRange sqref="P29:P44" name="Plage3"/>
    <protectedRange sqref="M29:N43" name="Plage2"/>
    <protectedRange sqref="C29:C43" name="Plage1"/>
  </protectedRanges>
  <mergeCells count="14">
    <mergeCell ref="C51:Q51"/>
    <mergeCell ref="P25:P28"/>
    <mergeCell ref="J25:J28"/>
    <mergeCell ref="K25:K28"/>
    <mergeCell ref="L25:L28"/>
    <mergeCell ref="N25:N28"/>
    <mergeCell ref="M25:M28"/>
    <mergeCell ref="C25:C28"/>
    <mergeCell ref="D25:D28"/>
    <mergeCell ref="I25:I28"/>
    <mergeCell ref="E25:E28"/>
    <mergeCell ref="F25:F28"/>
    <mergeCell ref="G25:G28"/>
    <mergeCell ref="H25:H28"/>
  </mergeCells>
  <conditionalFormatting sqref="G29:G44">
    <cfRule type="containsText" dxfId="92" priority="1" operator="containsText" text="/">
      <formula>NOT(ISERROR(SEARCH("/",G29)))</formula>
    </cfRule>
    <cfRule type="cellIs" dxfId="91" priority="11" operator="lessThanOrEqual">
      <formula>15</formula>
    </cfRule>
    <cfRule type="cellIs" dxfId="90" priority="13" operator="greaterThan">
      <formula>15</formula>
    </cfRule>
  </conditionalFormatting>
  <conditionalFormatting sqref="E29:E44">
    <cfRule type="cellIs" dxfId="89" priority="12" operator="lessThanOrEqual">
      <formula>1</formula>
    </cfRule>
    <cfRule type="containsText" dxfId="88" priority="19" operator="containsText" text="/">
      <formula>NOT(ISERROR(SEARCH("/",E29)))</formula>
    </cfRule>
    <cfRule type="cellIs" dxfId="87" priority="22" operator="greaterThan">
      <formula>1</formula>
    </cfRule>
  </conditionalFormatting>
  <dataValidations count="1">
    <dataValidation type="list" allowBlank="1" showInputMessage="1" showErrorMessage="1" sqref="C45">
      <formula1>#REF!</formula1>
    </dataValidation>
  </dataValidations>
  <printOptions horizontalCentered="1"/>
  <pageMargins left="0" right="0" top="0" bottom="1.3779527559055118" header="0.31496062992125984" footer="0.31496062992125984"/>
  <pageSetup paperSize="8" scale="56" orientation="landscape" r:id="rId1"/>
  <headerFooter>
    <oddFooter>&amp;C&amp;G</oddFooter>
  </headerFooter>
  <drawing r:id="rId2"/>
  <legacyDrawing r:id="rId3"/>
  <legacyDrawingHF r:id="rId4"/>
  <extLst>
    <ext xmlns:x14="http://schemas.microsoft.com/office/spreadsheetml/2009/9/main" uri="{CCE6A557-97BC-4b89-ADB6-D9C93CAAB3DF}">
      <x14:dataValidations xmlns:xm="http://schemas.microsoft.com/office/excel/2006/main" count="1">
        <x14:dataValidation type="list" allowBlank="1" showInputMessage="1" showErrorMessage="1">
          <x14:formula1>
            <xm:f>OFFSET('Phase GPA'!$EB$29:$EB43,0,0,COUNTA('Phase GPA'!$EB$19:$EB$43),1)</xm:f>
          </x14:formula1>
          <xm:sqref>C29:C43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pageSetUpPr fitToPage="1"/>
  </sheetPr>
  <dimension ref="A1:AB53"/>
  <sheetViews>
    <sheetView showGridLines="0" zoomScaleNormal="100" workbookViewId="0"/>
  </sheetViews>
  <sheetFormatPr baseColWidth="10" defaultColWidth="11.42578125" defaultRowHeight="15" x14ac:dyDescent="0.25"/>
  <cols>
    <col min="1" max="2" width="0.85546875" customWidth="1"/>
    <col min="3" max="3" width="55.7109375" customWidth="1"/>
    <col min="4" max="14" width="15.7109375" customWidth="1"/>
    <col min="15" max="15" width="1.7109375" customWidth="1"/>
    <col min="16" max="16" width="104.7109375" customWidth="1"/>
    <col min="17" max="18" width="0.85546875" customWidth="1"/>
  </cols>
  <sheetData>
    <row r="1" spans="1:19" ht="5.0999999999999996" customHeight="1" x14ac:dyDescent="0.25">
      <c r="A1" s="1"/>
      <c r="B1" s="1"/>
      <c r="C1" s="1"/>
      <c r="D1" s="1"/>
      <c r="E1" s="1"/>
      <c r="F1" s="1"/>
      <c r="G1" s="1"/>
      <c r="H1" s="1"/>
      <c r="I1" s="1"/>
      <c r="J1" s="1"/>
      <c r="K1" s="1"/>
      <c r="L1" s="1"/>
      <c r="M1" s="1"/>
      <c r="N1" s="1"/>
      <c r="O1" s="1"/>
      <c r="P1" s="1"/>
      <c r="Q1" s="1"/>
      <c r="R1" s="1"/>
    </row>
    <row r="2" spans="1:19" x14ac:dyDescent="0.25">
      <c r="A2" s="1"/>
      <c r="B2" s="1"/>
      <c r="C2" s="7"/>
      <c r="D2" s="7"/>
      <c r="E2" s="7"/>
      <c r="F2" s="7"/>
      <c r="G2" s="7"/>
      <c r="H2" s="7"/>
      <c r="I2" s="7"/>
      <c r="J2" s="7"/>
      <c r="K2" s="7"/>
      <c r="L2" s="7"/>
      <c r="M2" s="7"/>
      <c r="N2" s="7"/>
      <c r="O2" s="7"/>
      <c r="P2" s="7"/>
      <c r="Q2" s="7"/>
      <c r="R2" s="7"/>
      <c r="S2" s="8"/>
    </row>
    <row r="3" spans="1:19" x14ac:dyDescent="0.25">
      <c r="A3" s="1"/>
      <c r="B3" s="1"/>
      <c r="C3" s="7"/>
      <c r="D3" s="7"/>
      <c r="E3" s="7"/>
      <c r="F3" s="7"/>
      <c r="G3" s="7"/>
      <c r="H3" s="7"/>
      <c r="I3" s="7"/>
      <c r="J3" s="7"/>
      <c r="K3" s="7"/>
      <c r="L3" s="7"/>
      <c r="M3" s="7"/>
      <c r="N3" s="7"/>
      <c r="O3" s="7"/>
      <c r="P3" s="7"/>
      <c r="Q3" s="7"/>
      <c r="R3" s="7"/>
      <c r="S3" s="8"/>
    </row>
    <row r="4" spans="1:19" x14ac:dyDescent="0.25">
      <c r="A4" s="1"/>
      <c r="B4" s="1"/>
      <c r="C4" s="7"/>
      <c r="D4" s="7"/>
      <c r="E4" s="7"/>
      <c r="F4" s="7"/>
      <c r="G4" s="7"/>
      <c r="H4" s="7"/>
      <c r="I4" s="7"/>
      <c r="J4" s="7"/>
      <c r="K4" s="7"/>
      <c r="L4" s="7"/>
      <c r="M4" s="7"/>
      <c r="N4" s="7"/>
      <c r="O4" s="7"/>
      <c r="P4" s="7"/>
      <c r="Q4" s="7"/>
      <c r="R4" s="7"/>
      <c r="S4" s="8"/>
    </row>
    <row r="5" spans="1:19" x14ac:dyDescent="0.25">
      <c r="A5" s="1"/>
      <c r="B5" s="1"/>
      <c r="C5" s="7"/>
      <c r="D5" s="7"/>
      <c r="E5" s="7"/>
      <c r="F5" s="7"/>
      <c r="G5" s="7"/>
      <c r="H5" s="7"/>
      <c r="I5" s="7"/>
      <c r="J5" s="7"/>
      <c r="K5" s="7"/>
      <c r="L5" s="7"/>
      <c r="M5" s="7"/>
      <c r="N5" s="7"/>
      <c r="O5" s="7"/>
      <c r="P5" s="7"/>
      <c r="Q5" s="7"/>
      <c r="R5" s="7"/>
      <c r="S5" s="8"/>
    </row>
    <row r="6" spans="1:19" x14ac:dyDescent="0.25">
      <c r="A6" s="1"/>
      <c r="B6" s="1"/>
      <c r="C6" s="7"/>
      <c r="D6" s="7"/>
      <c r="E6" s="7"/>
      <c r="F6" s="7"/>
      <c r="G6" s="7"/>
      <c r="H6" s="7"/>
      <c r="I6" s="7"/>
      <c r="J6" s="7"/>
      <c r="K6" s="7"/>
      <c r="L6" s="7"/>
      <c r="M6" s="7"/>
      <c r="N6" s="7"/>
      <c r="O6" s="7"/>
      <c r="P6" s="7"/>
      <c r="Q6" s="7"/>
      <c r="R6" s="7"/>
      <c r="S6" s="8"/>
    </row>
    <row r="7" spans="1:19" x14ac:dyDescent="0.25">
      <c r="A7" s="1"/>
      <c r="B7" s="1"/>
      <c r="C7" s="7"/>
      <c r="D7" s="7"/>
      <c r="E7" s="7"/>
      <c r="F7" s="7"/>
      <c r="G7" s="7"/>
      <c r="H7" s="7"/>
      <c r="I7" s="7"/>
      <c r="J7" s="7"/>
      <c r="K7" s="7"/>
      <c r="L7" s="7"/>
      <c r="M7" s="7"/>
      <c r="N7" s="7"/>
      <c r="O7" s="7"/>
      <c r="P7" s="7"/>
      <c r="Q7" s="7"/>
      <c r="R7" s="7"/>
      <c r="S7" s="8"/>
    </row>
    <row r="8" spans="1:19" x14ac:dyDescent="0.25">
      <c r="A8" s="1"/>
      <c r="B8" s="1"/>
      <c r="C8" s="7"/>
      <c r="D8" s="7"/>
      <c r="E8" s="7"/>
      <c r="F8" s="7"/>
      <c r="G8" s="7"/>
      <c r="H8" s="7"/>
      <c r="I8" s="7"/>
      <c r="J8" s="7"/>
      <c r="K8" s="7"/>
      <c r="L8" s="7"/>
      <c r="M8" s="7"/>
      <c r="N8" s="7"/>
      <c r="O8" s="7"/>
      <c r="P8" s="7"/>
      <c r="Q8" s="7"/>
      <c r="R8" s="7"/>
      <c r="S8" s="8"/>
    </row>
    <row r="9" spans="1:19" x14ac:dyDescent="0.25">
      <c r="A9" s="1"/>
      <c r="B9" s="1"/>
      <c r="C9" s="7"/>
      <c r="D9" s="7"/>
      <c r="E9" s="7"/>
      <c r="F9" s="7"/>
      <c r="G9" s="7"/>
      <c r="H9" s="7"/>
      <c r="I9" s="7"/>
      <c r="J9" s="7"/>
      <c r="K9" s="7"/>
      <c r="L9" s="7"/>
      <c r="M9" s="7"/>
      <c r="N9" s="7"/>
      <c r="O9" s="7"/>
      <c r="P9" s="7"/>
      <c r="Q9" s="7"/>
      <c r="R9" s="7"/>
      <c r="S9" s="8"/>
    </row>
    <row r="10" spans="1:19" x14ac:dyDescent="0.25">
      <c r="A10" s="1"/>
      <c r="B10" s="1"/>
      <c r="C10" s="7"/>
      <c r="D10" s="7"/>
      <c r="E10" s="7"/>
      <c r="F10" s="7"/>
      <c r="G10" s="7"/>
      <c r="H10" s="7"/>
      <c r="I10" s="7"/>
      <c r="J10" s="7"/>
      <c r="K10" s="7"/>
      <c r="L10" s="7"/>
      <c r="M10" s="7"/>
      <c r="N10" s="7"/>
      <c r="O10" s="7"/>
      <c r="P10" s="7"/>
      <c r="Q10" s="7"/>
      <c r="R10" s="7"/>
      <c r="S10" s="8"/>
    </row>
    <row r="20" spans="1:28" x14ac:dyDescent="0.25">
      <c r="A20" s="1"/>
      <c r="B20" s="1"/>
      <c r="C20" s="4"/>
      <c r="D20" s="4"/>
      <c r="E20" s="4"/>
      <c r="F20" s="4"/>
      <c r="G20" s="4"/>
      <c r="H20" s="4"/>
      <c r="I20" s="4"/>
      <c r="J20" s="4"/>
      <c r="K20" s="4"/>
      <c r="L20" s="4"/>
      <c r="M20" s="4"/>
      <c r="N20" s="4"/>
      <c r="O20" s="4"/>
      <c r="P20" s="4"/>
      <c r="Q20" s="1"/>
      <c r="R20" s="1"/>
      <c r="S20" s="1"/>
    </row>
    <row r="21" spans="1:28" x14ac:dyDescent="0.25">
      <c r="A21" s="1"/>
      <c r="B21" s="1"/>
      <c r="C21" s="4"/>
      <c r="D21" s="4"/>
      <c r="E21" s="4"/>
      <c r="F21" s="4"/>
      <c r="G21" s="4"/>
      <c r="H21" s="4"/>
      <c r="I21" s="4"/>
      <c r="J21" s="4"/>
      <c r="K21" s="4"/>
      <c r="L21" s="4"/>
      <c r="M21" s="4"/>
      <c r="N21" s="4"/>
      <c r="O21" s="4"/>
      <c r="P21" s="4"/>
      <c r="Q21" s="1"/>
      <c r="R21" s="1"/>
      <c r="S21" s="1"/>
    </row>
    <row r="22" spans="1:28" x14ac:dyDescent="0.25">
      <c r="A22" s="1"/>
      <c r="B22" s="1"/>
      <c r="C22" s="4"/>
      <c r="D22" s="4"/>
      <c r="E22" s="4"/>
      <c r="F22" s="4"/>
      <c r="G22" s="4"/>
      <c r="H22" s="4"/>
      <c r="I22" s="4"/>
      <c r="J22" s="4"/>
      <c r="K22" s="4"/>
      <c r="L22" s="4"/>
      <c r="M22" s="4"/>
      <c r="N22" s="4"/>
      <c r="O22" s="4"/>
      <c r="P22" s="4"/>
      <c r="Q22" s="1"/>
      <c r="R22" s="1"/>
      <c r="S22" s="1"/>
    </row>
    <row r="23" spans="1:28" x14ac:dyDescent="0.25">
      <c r="A23" s="1"/>
      <c r="B23" s="1"/>
      <c r="C23" s="4"/>
      <c r="D23" s="4"/>
      <c r="E23" s="4"/>
      <c r="F23" s="4"/>
      <c r="G23" s="4"/>
      <c r="H23" s="4"/>
      <c r="I23" s="4"/>
      <c r="J23" s="4"/>
      <c r="K23" s="4"/>
      <c r="L23" s="4"/>
      <c r="M23" s="4"/>
      <c r="N23" s="4"/>
      <c r="O23" s="4"/>
      <c r="P23" s="4"/>
      <c r="Q23" s="1"/>
      <c r="R23" s="1"/>
      <c r="S23" s="1"/>
    </row>
    <row r="24" spans="1:28" x14ac:dyDescent="0.25">
      <c r="A24" s="1"/>
      <c r="B24" s="1"/>
      <c r="C24" s="4"/>
      <c r="D24" s="4"/>
      <c r="E24" s="4"/>
      <c r="F24" s="4"/>
      <c r="G24" s="4"/>
      <c r="H24" s="4"/>
      <c r="I24" s="4"/>
      <c r="J24" s="4"/>
      <c r="K24" s="4"/>
      <c r="L24" s="4"/>
      <c r="M24" s="4"/>
      <c r="N24" s="4"/>
      <c r="O24" s="4"/>
      <c r="P24" s="4"/>
      <c r="Q24" s="1"/>
      <c r="R24" s="1"/>
      <c r="S24" s="1"/>
    </row>
    <row r="25" spans="1:28" ht="15" customHeight="1" x14ac:dyDescent="0.25">
      <c r="A25" s="1"/>
      <c r="B25" s="1"/>
      <c r="C25" s="125" t="s">
        <v>7</v>
      </c>
      <c r="D25" s="154" t="s">
        <v>13</v>
      </c>
      <c r="E25" s="154" t="s">
        <v>22</v>
      </c>
      <c r="F25" s="154" t="s">
        <v>73</v>
      </c>
      <c r="G25" s="154" t="s">
        <v>31</v>
      </c>
      <c r="H25" s="154" t="s">
        <v>14</v>
      </c>
      <c r="I25" s="154" t="s">
        <v>20</v>
      </c>
      <c r="J25" s="154" t="s">
        <v>23</v>
      </c>
      <c r="K25" s="154" t="s">
        <v>74</v>
      </c>
      <c r="L25" s="154" t="s">
        <v>15</v>
      </c>
      <c r="M25" s="125" t="s">
        <v>16</v>
      </c>
      <c r="N25" s="125" t="s">
        <v>38</v>
      </c>
      <c r="O25" s="2"/>
      <c r="P25" s="125" t="s">
        <v>43</v>
      </c>
      <c r="Q25" s="1"/>
      <c r="R25" s="1"/>
    </row>
    <row r="26" spans="1:28" x14ac:dyDescent="0.25">
      <c r="A26" s="1"/>
      <c r="B26" s="1"/>
      <c r="C26" s="126"/>
      <c r="D26" s="155"/>
      <c r="E26" s="155"/>
      <c r="F26" s="155"/>
      <c r="G26" s="155"/>
      <c r="H26" s="155"/>
      <c r="I26" s="155"/>
      <c r="J26" s="155"/>
      <c r="K26" s="155"/>
      <c r="L26" s="155"/>
      <c r="M26" s="126"/>
      <c r="N26" s="126"/>
      <c r="O26" s="2"/>
      <c r="P26" s="126"/>
      <c r="Q26" s="1"/>
      <c r="R26" s="1"/>
    </row>
    <row r="27" spans="1:28" ht="15" customHeight="1" x14ac:dyDescent="0.25">
      <c r="A27" s="1"/>
      <c r="B27" s="1"/>
      <c r="C27" s="126"/>
      <c r="D27" s="155"/>
      <c r="E27" s="155"/>
      <c r="F27" s="155"/>
      <c r="G27" s="155"/>
      <c r="H27" s="155"/>
      <c r="I27" s="155"/>
      <c r="J27" s="155"/>
      <c r="K27" s="155"/>
      <c r="L27" s="155"/>
      <c r="M27" s="126"/>
      <c r="N27" s="126"/>
      <c r="O27" s="9"/>
      <c r="P27" s="126"/>
      <c r="Q27" s="1"/>
      <c r="R27" s="1"/>
    </row>
    <row r="28" spans="1:28" x14ac:dyDescent="0.25">
      <c r="A28" s="1"/>
      <c r="B28" s="1"/>
      <c r="C28" s="127"/>
      <c r="D28" s="156"/>
      <c r="E28" s="156"/>
      <c r="F28" s="156"/>
      <c r="G28" s="156"/>
      <c r="H28" s="156"/>
      <c r="I28" s="156"/>
      <c r="J28" s="156"/>
      <c r="K28" s="156"/>
      <c r="L28" s="156"/>
      <c r="M28" s="127"/>
      <c r="N28" s="127"/>
      <c r="O28" s="9"/>
      <c r="P28" s="127"/>
      <c r="Q28" s="1"/>
      <c r="R28" s="1"/>
    </row>
    <row r="29" spans="1:28" ht="50.1" customHeight="1" x14ac:dyDescent="0.25">
      <c r="A29" s="1"/>
      <c r="B29" s="1"/>
      <c r="C29" s="15"/>
      <c r="D29" s="42" t="str">
        <f>IF($C29="","",IFERROR(IF(ISNA(VLOOKUP($C29,'Phase GPA'!$C$29:'Phase GPA'!$U$44,10,0)), ,VLOOKUP($C29,'Phase GPA'!$C$29:'Phase GPA'!$U$44,10,0)),0))</f>
        <v/>
      </c>
      <c r="E29" s="43" t="str">
        <f>IF($C29="","",IFERROR(IF(ISNA($D29/S29RECHERCHEV($C29,Données!$C$19:'Données'!$I$38,6,0)), ,$D29/VLOOKUP($C29,Données!$C$19:'Données'!$I$38,6,0)),"/"))</f>
        <v/>
      </c>
      <c r="F29" s="43" t="str">
        <f>IF($C29="","",IFERROR(IF(ISNA($D29/VLOOKUP($C29,Données!$C$19:'Données'!$I$38,7,0)*100), ,$D29/VLOOKUP($C29,Données!$C$19:'Données'!$I$38,7,0)*100),"/"))</f>
        <v/>
      </c>
      <c r="G29" s="42" t="str">
        <f>IF($C29="","",IFERROR(IF(ISNA(VLOOKUP($C29,'Phase GPA'!$C$29:'Phase GPA'!$U$44,11,0)), ,VLOOKUP($C29,'Phase GPA'!$C$29:'Phase GPA'!$U$44,11,0)),0))</f>
        <v/>
      </c>
      <c r="H29" s="44" t="str">
        <f>IF($C29="","",IFERROR(IF(ISNA(VLOOKUP($C29,'Phase GPA'!$C$29:'Phase GPA'!$U$44,12,0)), ,VLOOKUP($C29,'Phase GPA'!$C$29:'Phase GPA'!$U$44,12,0)),0))</f>
        <v/>
      </c>
      <c r="I29" s="45" t="str">
        <f>IF($C29="","",IFERROR(IF(ISNA($H29/VLOOKUP($C29,Données!$C$19:'Données'!$I$38,5,0)), ,$H29/VLOOKUP($C29,Données!$C$19:'Données'!$I$38,5,0))*100,0))</f>
        <v/>
      </c>
      <c r="J29" s="45" t="str">
        <f>IF($C29="","",IFERROR(IF(ISNA($H29/VLOOKUP($C29,Données!$C$19:'Données'!$I$38,6,0)), ,$H29/VLOOKUP($C29,Données!$C$19:'Données'!$I$38,6,0)),"/"))</f>
        <v/>
      </c>
      <c r="K29" s="45" t="str">
        <f>IF($C29="","",IFERROR(IF(ISNA($H29/VLOOKUP($C29,Données!$C$19:'Données'!$I$38,7,0)*100), ,$H29/VLOOKUP($C29,Données!$C$19:'Données'!$I$38,7,0)*100),"/"))</f>
        <v/>
      </c>
      <c r="L29" s="99" t="str">
        <f>IF($D29=0,"/",IF($C29="","",IFERROR(($H29/$D29),0)))</f>
        <v/>
      </c>
      <c r="M29" s="13"/>
      <c r="N29" s="12"/>
      <c r="O29" s="3"/>
      <c r="P29" s="16"/>
      <c r="Q29" s="1"/>
      <c r="R29" s="1"/>
      <c r="S29" s="55" t="str">
        <f>IF($C29="","",IFERROR(IF(ISNA(VLOOKUP($C29,Données!$C$19:'Données'!$I$38,6,0)), ,VLOOKUP($C29,Données!$C$19:'Données'!$I$38,6,0)),"/"))</f>
        <v/>
      </c>
      <c r="T29" s="55" t="str">
        <f>IF($C29="","",IFERROR(IF(ISNA(VLOOKUP($C29,Données!$C$19:'Données'!$I$38,7,0)), ,VLOOKUP($C29,Données!$C$19:'Données'!$I$38,7,0)),"/"))</f>
        <v/>
      </c>
      <c r="U29" s="55" t="str">
        <f>IF($C29="","",IFERROR(IF(ISNA(VLOOKUP($C29,Données!$C$19:'Données'!$I$38,5,0)), ,VLOOKUP($C29,Données!$C$19:'Données'!$I$38,5,0)),"/"))</f>
        <v/>
      </c>
      <c r="V29" s="55" t="str">
        <f>IF($C29="","",IFERROR(IF(ISNA($D29*$G29), ,$D29*$G29),"/"))</f>
        <v/>
      </c>
      <c r="W29" s="50">
        <f>IF($C29&lt;&gt;"",1,0)</f>
        <v>0</v>
      </c>
      <c r="X29" s="73"/>
      <c r="Y29" s="73"/>
      <c r="Z29" s="73"/>
      <c r="AA29" s="73"/>
      <c r="AB29" s="73"/>
    </row>
    <row r="30" spans="1:28" ht="50.1" customHeight="1" x14ac:dyDescent="0.25">
      <c r="A30" s="1"/>
      <c r="B30" s="1"/>
      <c r="C30" s="15"/>
      <c r="D30" s="42" t="str">
        <f>IF($C30="","",IFERROR(IF(ISNA(VLOOKUP($C30,'Phase GPA'!$C$29:'Phase GPA'!$U$44,10,0)), ,VLOOKUP($C30,'Phase GPA'!$C$29:'Phase GPA'!$U$44,10,0)),0))</f>
        <v/>
      </c>
      <c r="E30" s="43" t="str">
        <f>IF($C30="","",IFERROR(IF(ISNA($D30/VLOOKUP($C30,Données!$C$19:'Données'!$I$38,6,0)), ,$D30/VLOOKUP($C30,Données!$C$19:'Données'!$I$38,6,0)),"/"))</f>
        <v/>
      </c>
      <c r="F30" s="43" t="str">
        <f>IF($C30="","",IFERROR(IF(ISNA($D30/VLOOKUP($C30,Données!$C$19:'Données'!$I$38,7,0)*100), ,$D30/VLOOKUP($C30,Données!$C$19:'Données'!$I$38,7,0)*100),"/"))</f>
        <v/>
      </c>
      <c r="G30" s="42" t="str">
        <f>IF($C30="","",IFERROR(IF(ISNA(VLOOKUP($C30,'Phase GPA'!$C$29:'Phase GPA'!$U$44,11,0)), ,VLOOKUP($C30,'Phase GPA'!$C$29:'Phase GPA'!$U$44,11,0)),0))</f>
        <v/>
      </c>
      <c r="H30" s="44" t="str">
        <f>IF($C30="","",IFERROR(IF(ISNA(VLOOKUP($C30,'Phase GPA'!$C$29:'Phase GPA'!$U$44,12,0)), ,VLOOKUP($C30,'Phase GPA'!$C$29:'Phase GPA'!$U$44,12,0)),0))</f>
        <v/>
      </c>
      <c r="I30" s="45" t="str">
        <f>IF($C30="","",IFERROR(IF(ISNA($H30/VLOOKUP($C30,Données!$C$19:'Données'!$I$38,5,0)), ,$H30/VLOOKUP($C30,Données!$C$19:'Données'!$I$38,5,0))*100,0))</f>
        <v/>
      </c>
      <c r="J30" s="45" t="str">
        <f>IF($C30="","",IFERROR(IF(ISNA($H30/VLOOKUP($C30,Données!$C$19:'Données'!$I$38,6,0)), ,$H30/VLOOKUP($C30,Données!$C$19:'Données'!$I$38,6,0)),"/"))</f>
        <v/>
      </c>
      <c r="K30" s="45" t="str">
        <f>IF($C30="","",IFERROR(IF(ISNA($H30/VLOOKUP($C30,Données!$C$19:'Données'!$I$38,7,0)*100), ,$H30/VLOOKUP($C30,Données!$C$19:'Données'!$I$38,7,0)*100),"/"))</f>
        <v/>
      </c>
      <c r="L30" s="99" t="str">
        <f t="shared" ref="L30:L43" si="0">IF($D30=0,"/",IF($C30="","",IFERROR(($H30/$D30),0)))</f>
        <v/>
      </c>
      <c r="M30" s="13"/>
      <c r="N30" s="12"/>
      <c r="O30" s="3"/>
      <c r="P30" s="16"/>
      <c r="Q30" s="1"/>
      <c r="R30" s="1"/>
      <c r="S30" s="55" t="str">
        <f>IF($C30="","",IFERROR(IF(ISNA(VLOOKUP($C30,Données!$C$19:'Données'!$I$38,6,0)), ,VLOOKUP($C30,Données!$C$19:'Données'!$I$38,6,0)),"/"))</f>
        <v/>
      </c>
      <c r="T30" s="55" t="str">
        <f>IF($C30="","",IFERROR(IF(ISNA(VLOOKUP($C30,Données!$C$19:'Données'!$I$38,7,0)), ,VLOOKUP($C30,Données!$C$19:'Données'!$I$38,7,0)),"/"))</f>
        <v/>
      </c>
      <c r="U30" s="55" t="str">
        <f>IF($C30="","",IFERROR(IF(ISNA(VLOOKUP($C30,Données!$C$19:'Données'!$I$38,5,0)), ,VLOOKUP($C30,Données!$C$19:'Données'!$I$38,5,0)),"/"))</f>
        <v/>
      </c>
      <c r="V30" s="55" t="str">
        <f>IF($C30="","",IFERROR(IF(ISNA($D30*$G30), ,$D30*$G30),"/"))</f>
        <v/>
      </c>
      <c r="W30" s="50">
        <f t="shared" ref="W30:W43" si="1">IF($C30&lt;&gt;"",1,0)</f>
        <v>0</v>
      </c>
      <c r="X30" s="73"/>
      <c r="Y30" s="73"/>
      <c r="Z30" s="73"/>
      <c r="AA30" s="73"/>
      <c r="AB30" s="73"/>
    </row>
    <row r="31" spans="1:28" ht="50.1" customHeight="1" x14ac:dyDescent="0.25">
      <c r="A31" s="1"/>
      <c r="B31" s="1"/>
      <c r="C31" s="15"/>
      <c r="D31" s="42" t="str">
        <f>IF($C31="","",IFERROR(IF(ISNA(VLOOKUP($C31,'Phase GPA'!$C$29:'Phase GPA'!$U$44,10,0)), ,VLOOKUP($C31,'Phase GPA'!$C$29:'Phase GPA'!$U$44,10,0)),0))</f>
        <v/>
      </c>
      <c r="E31" s="43" t="str">
        <f>IF($C31="","",IFERROR(IF(ISNA($D31/VLOOKUP($C31,Données!$C$19:'Données'!$I$38,6,0)), ,$D31/VLOOKUP($C31,Données!$C$19:'Données'!$I$38,6,0)),"/"))</f>
        <v/>
      </c>
      <c r="F31" s="43" t="str">
        <f>IF($C31="","",IFERROR(IF(ISNA($D31/VLOOKUP($C31,Données!$C$19:'Données'!$I$38,7,0)*100), ,$D31/VLOOKUP($C31,Données!$C$19:'Données'!$I$38,7,0)*100),"/"))</f>
        <v/>
      </c>
      <c r="G31" s="42" t="str">
        <f>IF($C31="","",IFERROR(IF(ISNA(VLOOKUP($C31,'Phase GPA'!$C$29:'Phase GPA'!$U$44,11,0)), ,VLOOKUP($C31,'Phase GPA'!$C$29:'Phase GPA'!$U$44,11,0)),0))</f>
        <v/>
      </c>
      <c r="H31" s="44" t="str">
        <f>IF($C31="","",IFERROR(IF(ISNA(VLOOKUP($C31,'Phase GPA'!$C$29:'Phase GPA'!$U$44,12,0)), ,VLOOKUP($C31,'Phase GPA'!$C$29:'Phase GPA'!$U$44,12,0)),0))</f>
        <v/>
      </c>
      <c r="I31" s="45" t="str">
        <f>IF($C31="","",IFERROR(IF(ISNA($H31/VLOOKUP($C31,Données!$C$19:'Données'!$I$38,5,0)), ,$H31/VLOOKUP($C31,Données!$C$19:'Données'!$I$38,5,0))*100,0))</f>
        <v/>
      </c>
      <c r="J31" s="45" t="str">
        <f>IF($C31="","",IFERROR(IF(ISNA($H31/VLOOKUP($C31,Données!$C$19:'Données'!$I$38,6,0)), ,$H31/VLOOKUP($C31,Données!$C$19:'Données'!$I$38,6,0)),"/"))</f>
        <v/>
      </c>
      <c r="K31" s="45" t="str">
        <f>IF($C31="","",IFERROR(IF(ISNA($H31/VLOOKUP($C31,Données!$C$19:'Données'!$I$38,7,0)*100), ,$H31/VLOOKUP($C31,Données!$C$19:'Données'!$I$38,7,0)*100),"/"))</f>
        <v/>
      </c>
      <c r="L31" s="99" t="str">
        <f t="shared" si="0"/>
        <v/>
      </c>
      <c r="M31" s="13"/>
      <c r="N31" s="12"/>
      <c r="O31" s="3"/>
      <c r="P31" s="16"/>
      <c r="Q31" s="1"/>
      <c r="R31" s="1"/>
      <c r="S31" s="55" t="str">
        <f>IF($C31="","",IFERROR(IF(ISNA(VLOOKUP($C31,Données!$C$19:'Données'!$I$38,6,0)), ,VLOOKUP($C31,Données!$C$19:'Données'!$I$38,6,0)),"/"))</f>
        <v/>
      </c>
      <c r="T31" s="55" t="str">
        <f>IF($C31="","",IFERROR(IF(ISNA(VLOOKUP($C31,Données!$C$19:'Données'!$I$38,7,0)), ,VLOOKUP($C31,Données!$C$19:'Données'!$I$38,7,0)),"/"))</f>
        <v/>
      </c>
      <c r="U31" s="55" t="str">
        <f>IF($C31="","",IFERROR(IF(ISNA(VLOOKUP($C31,Données!$C$19:'Données'!$I$38,5,0)), ,VLOOKUP($C31,Données!$C$19:'Données'!$I$38,5,0)),"/"))</f>
        <v/>
      </c>
      <c r="V31" s="55" t="str">
        <f t="shared" ref="V31:V43" si="2">IF($C31="","",IFERROR(IF(ISNA($D31*$G31), ,$D31*$G31),"/"))</f>
        <v/>
      </c>
      <c r="W31" s="50">
        <f t="shared" si="1"/>
        <v>0</v>
      </c>
      <c r="X31" s="73"/>
      <c r="Y31" s="73"/>
      <c r="Z31" s="73"/>
      <c r="AA31" s="73"/>
      <c r="AB31" s="73"/>
    </row>
    <row r="32" spans="1:28" ht="50.1" customHeight="1" x14ac:dyDescent="0.25">
      <c r="A32" s="1"/>
      <c r="B32" s="1"/>
      <c r="C32" s="15"/>
      <c r="D32" s="42" t="str">
        <f>IF($C32="","",IFERROR(IF(ISNA(VLOOKUP($C32,'Phase GPA'!$C$29:'Phase GPA'!$U$44,10,0)), ,VLOOKUP($C32,'Phase GPA'!$C$29:'Phase GPA'!$U$44,10,0)),0))</f>
        <v/>
      </c>
      <c r="E32" s="43" t="str">
        <f>IF($C32="","",IFERROR(IF(ISNA($D32/VLOOKUP($C32,Données!$C$19:'Données'!$I$38,6,0)), ,$D32/VLOOKUP($C32,Données!$C$19:'Données'!$I$38,6,0)),"/"))</f>
        <v/>
      </c>
      <c r="F32" s="43" t="str">
        <f>IF($C32="","",IFERROR(IF(ISNA($D32/VLOOKUP($C32,Données!$C$19:'Données'!$I$38,7,0)*100), ,$D32/VLOOKUP($C32,Données!$C$19:'Données'!$I$38,7,0)*100),"/"))</f>
        <v/>
      </c>
      <c r="G32" s="42" t="str">
        <f>IF($C32="","",IFERROR(IF(ISNA(VLOOKUP($C32,'Phase GPA'!$C$29:'Phase GPA'!$U$44,11,0)), ,VLOOKUP($C32,'Phase GPA'!$C$29:'Phase GPA'!$U$44,11,0)),0))</f>
        <v/>
      </c>
      <c r="H32" s="44" t="str">
        <f>IF($C32="","",IFERROR(IF(ISNA(VLOOKUP($C32,'Phase GPA'!$C$29:'Phase GPA'!$U$44,12,0)), ,VLOOKUP($C32,'Phase GPA'!$C$29:'Phase GPA'!$U$44,12,0)),0))</f>
        <v/>
      </c>
      <c r="I32" s="45" t="str">
        <f>IF($C32="","",IFERROR(IF(ISNA($H32/VLOOKUP($C32,Données!$C$19:'Données'!$I$38,5,0)), ,$H32/VLOOKUP($C32,Données!$C$19:'Données'!$I$38,5,0))*100,0))</f>
        <v/>
      </c>
      <c r="J32" s="45" t="str">
        <f>IF($C32="","",IFERROR(IF(ISNA($H32/VLOOKUP($C32,Données!$C$19:'Données'!$I$38,6,0)), ,$H32/VLOOKUP($C32,Données!$C$19:'Données'!$I$38,6,0)),"/"))</f>
        <v/>
      </c>
      <c r="K32" s="45" t="str">
        <f>IF($C32="","",IFERROR(IF(ISNA($H32/VLOOKUP($C32,Données!$C$19:'Données'!$I$38,7,0)*100), ,$H32/VLOOKUP($C32,Données!$C$19:'Données'!$I$38,7,0)*100),"/"))</f>
        <v/>
      </c>
      <c r="L32" s="99" t="str">
        <f t="shared" si="0"/>
        <v/>
      </c>
      <c r="M32" s="13"/>
      <c r="N32" s="12"/>
      <c r="O32" s="3"/>
      <c r="P32" s="16"/>
      <c r="Q32" s="1"/>
      <c r="R32" s="1"/>
      <c r="S32" s="55" t="str">
        <f>IF($C32="","",IFERROR(IF(ISNA(VLOOKUP($C32,Données!$C$19:'Données'!$I$38,6,0)), ,VLOOKUP($C32,Données!$C$19:'Données'!$I$38,6,0)),"/"))</f>
        <v/>
      </c>
      <c r="T32" s="55" t="str">
        <f>IF($C32="","",IFERROR(IF(ISNA(VLOOKUP($C32,Données!$C$19:'Données'!$I$38,7,0)), ,VLOOKUP($C32,Données!$C$19:'Données'!$I$38,7,0)),"/"))</f>
        <v/>
      </c>
      <c r="U32" s="55" t="str">
        <f>IF($C32="","",IFERROR(IF(ISNA(VLOOKUP($C32,Données!$C$19:'Données'!$I$38,5,0)), ,VLOOKUP($C32,Données!$C$19:'Données'!$I$38,5,0)),"/"))</f>
        <v/>
      </c>
      <c r="V32" s="55" t="str">
        <f t="shared" si="2"/>
        <v/>
      </c>
      <c r="W32" s="50">
        <f t="shared" si="1"/>
        <v>0</v>
      </c>
      <c r="X32" s="73"/>
      <c r="Y32" s="73"/>
      <c r="Z32" s="73"/>
      <c r="AA32" s="73"/>
      <c r="AB32" s="73"/>
    </row>
    <row r="33" spans="1:28" ht="50.1" customHeight="1" x14ac:dyDescent="0.25">
      <c r="A33" s="1"/>
      <c r="B33" s="1"/>
      <c r="C33" s="15"/>
      <c r="D33" s="42" t="str">
        <f>IF($C33="","",IFERROR(IF(ISNA(VLOOKUP($C33,'Phase GPA'!$C$29:'Phase GPA'!$U$44,10,0)), ,VLOOKUP($C33,'Phase GPA'!$C$29:'Phase GPA'!$U$44,10,0)),0))</f>
        <v/>
      </c>
      <c r="E33" s="43" t="str">
        <f>IF($C33="","",IFERROR(IF(ISNA($D33/VLOOKUP($C33,Données!$C$19:'Données'!$I$38,6,0)), ,$D33/VLOOKUP($C33,Données!$C$19:'Données'!$I$38,6,0)),"/"))</f>
        <v/>
      </c>
      <c r="F33" s="43" t="str">
        <f>IF($C33="","",IFERROR(IF(ISNA($D33/VLOOKUP($C33,Données!$C$19:'Données'!$I$38,7,0)*100), ,$D33/VLOOKUP($C33,Données!$C$19:'Données'!$I$38,7,0)*100),"/"))</f>
        <v/>
      </c>
      <c r="G33" s="42" t="str">
        <f>IF($C33="","",IFERROR(IF(ISNA(VLOOKUP($C33,'Phase GPA'!$C$29:'Phase GPA'!$U$44,11,0)), ,VLOOKUP($C33,'Phase GPA'!$C$29:'Phase GPA'!$U$44,11,0)),0))</f>
        <v/>
      </c>
      <c r="H33" s="44" t="str">
        <f>IF($C33="","",IFERROR(IF(ISNA(VLOOKUP($C33,'Phase GPA'!$C$29:'Phase GPA'!$U$44,12,0)), ,VLOOKUP($C33,'Phase GPA'!$C$29:'Phase GPA'!$U$44,12,0)),0))</f>
        <v/>
      </c>
      <c r="I33" s="45" t="str">
        <f>IF($C33="","",IFERROR(IF(ISNA($H33/VLOOKUP($C33,Données!$C$19:'Données'!$I$38,5,0)), ,$H33/VLOOKUP($C33,Données!$C$19:'Données'!$I$38,5,0))*100,0))</f>
        <v/>
      </c>
      <c r="J33" s="45" t="str">
        <f>IF($C33="","",IFERROR(IF(ISNA($H33/VLOOKUP($C33,Données!$C$19:'Données'!$I$38,6,0)), ,$H33/VLOOKUP($C33,Données!$C$19:'Données'!$I$38,6,0)),"/"))</f>
        <v/>
      </c>
      <c r="K33" s="45" t="str">
        <f>IF($C33="","",IFERROR(IF(ISNA($H33/VLOOKUP($C33,Données!$C$19:'Données'!$I$38,7,0)*100), ,$H33/VLOOKUP($C33,Données!$C$19:'Données'!$I$38,7,0)*100),"/"))</f>
        <v/>
      </c>
      <c r="L33" s="99" t="str">
        <f t="shared" si="0"/>
        <v/>
      </c>
      <c r="M33" s="13"/>
      <c r="N33" s="12"/>
      <c r="O33" s="3"/>
      <c r="P33" s="16"/>
      <c r="Q33" s="1"/>
      <c r="R33" s="1"/>
      <c r="S33" s="55" t="str">
        <f>IF($C33="","",IFERROR(IF(ISNA(VLOOKUP($C33,Données!$C$19:'Données'!$I$38,6,0)), ,VLOOKUP($C33,Données!$C$19:'Données'!$I$38,6,0)),"/"))</f>
        <v/>
      </c>
      <c r="T33" s="55" t="str">
        <f>IF($C33="","",IFERROR(IF(ISNA(VLOOKUP($C33,Données!$C$19:'Données'!$I$38,7,0)), ,VLOOKUP($C33,Données!$C$19:'Données'!$I$38,7,0)),"/"))</f>
        <v/>
      </c>
      <c r="U33" s="55" t="str">
        <f>IF($C33="","",IFERROR(IF(ISNA(VLOOKUP($C33,Données!$C$19:'Données'!$I$38,5,0)), ,VLOOKUP($C33,Données!$C$19:'Données'!$I$38,5,0)),"/"))</f>
        <v/>
      </c>
      <c r="V33" s="55" t="str">
        <f t="shared" si="2"/>
        <v/>
      </c>
      <c r="W33" s="50">
        <f t="shared" si="1"/>
        <v>0</v>
      </c>
      <c r="X33" s="73"/>
      <c r="Y33" s="73"/>
      <c r="Z33" s="73"/>
      <c r="AA33" s="73"/>
      <c r="AB33" s="73"/>
    </row>
    <row r="34" spans="1:28" ht="50.1" customHeight="1" x14ac:dyDescent="0.25">
      <c r="A34" s="1"/>
      <c r="B34" s="1"/>
      <c r="C34" s="15"/>
      <c r="D34" s="42" t="str">
        <f>IF($C34="","",IFERROR(IF(ISNA(VLOOKUP($C34,'Phase GPA'!$C$29:'Phase GPA'!$U$44,10,0)), ,VLOOKUP($C34,'Phase GPA'!$C$29:'Phase GPA'!$U$44,10,0)),0))</f>
        <v/>
      </c>
      <c r="E34" s="43" t="str">
        <f>IF($C34="","",IFERROR(IF(ISNA($D34/VLOOKUP($C34,Données!$C$19:'Données'!$I$38,6,0)), ,$D34/VLOOKUP($C34,Données!$C$19:'Données'!$I$38,6,0)),"/"))</f>
        <v/>
      </c>
      <c r="F34" s="43" t="str">
        <f>IF($C34="","",IFERROR(IF(ISNA($D34/VLOOKUP($C34,Données!$C$19:'Données'!$I$38,7,0)*100), ,$D34/VLOOKUP($C34,Données!$C$19:'Données'!$I$38,7,0)*100),"/"))</f>
        <v/>
      </c>
      <c r="G34" s="42" t="str">
        <f>IF($C34="","",IFERROR(IF(ISNA(VLOOKUP($C34,'Phase GPA'!$C$29:'Phase GPA'!$U$44,11,0)), ,VLOOKUP($C34,'Phase GPA'!$C$29:'Phase GPA'!$U$44,11,0)),0))</f>
        <v/>
      </c>
      <c r="H34" s="44" t="str">
        <f>IF($C34="","",IFERROR(IF(ISNA(VLOOKUP($C34,'Phase GPA'!$C$29:'Phase GPA'!$U$44,12,0)), ,VLOOKUP($C34,'Phase GPA'!$C$29:'Phase GPA'!$U$44,12,0)),0))</f>
        <v/>
      </c>
      <c r="I34" s="45" t="str">
        <f>IF($C34="","",IFERROR(IF(ISNA($H34/VLOOKUP($C34,Données!$C$19:'Données'!$I$38,5,0)), ,$H34/VLOOKUP($C34,Données!$C$19:'Données'!$I$38,5,0))*100,0))</f>
        <v/>
      </c>
      <c r="J34" s="45" t="str">
        <f>IF($C34="","",IFERROR(IF(ISNA($H34/VLOOKUP($C34,Données!$C$19:'Données'!$I$38,6,0)), ,$H34/VLOOKUP($C34,Données!$C$19:'Données'!$I$38,6,0)),"/"))</f>
        <v/>
      </c>
      <c r="K34" s="45" t="str">
        <f>IF($C34="","",IFERROR(IF(ISNA($H34/VLOOKUP($C34,Données!$C$19:'Données'!$I$38,7,0)*100), ,$H34/VLOOKUP($C34,Données!$C$19:'Données'!$I$38,7,0)*100),"/"))</f>
        <v/>
      </c>
      <c r="L34" s="99" t="str">
        <f t="shared" si="0"/>
        <v/>
      </c>
      <c r="M34" s="13"/>
      <c r="N34" s="12"/>
      <c r="O34" s="3"/>
      <c r="P34" s="16"/>
      <c r="Q34" s="1"/>
      <c r="R34" s="1"/>
      <c r="S34" s="55" t="str">
        <f>IF($C34="","",IFERROR(IF(ISNA(VLOOKUP($C34,Données!$C$19:'Données'!$I$38,6,0)), ,VLOOKUP($C34,Données!$C$19:'Données'!$I$38,6,0)),"/"))</f>
        <v/>
      </c>
      <c r="T34" s="55" t="str">
        <f>IF($C34="","",IFERROR(IF(ISNA(VLOOKUP($C34,Données!$C$19:'Données'!$I$38,7,0)), ,VLOOKUP($C34,Données!$C$19:'Données'!$I$38,7,0)),"/"))</f>
        <v/>
      </c>
      <c r="U34" s="55" t="str">
        <f>IF($C34="","",IFERROR(IF(ISNA(VLOOKUP($C34,Données!$C$19:'Données'!$I$38,5,0)), ,VLOOKUP($C34,Données!$C$19:'Données'!$I$38,5,0)),"/"))</f>
        <v/>
      </c>
      <c r="V34" s="55" t="str">
        <f t="shared" si="2"/>
        <v/>
      </c>
      <c r="W34" s="50">
        <f t="shared" si="1"/>
        <v>0</v>
      </c>
      <c r="X34" s="73"/>
      <c r="Y34" s="73"/>
      <c r="Z34" s="73"/>
      <c r="AA34" s="73"/>
      <c r="AB34" s="73"/>
    </row>
    <row r="35" spans="1:28" ht="50.1" customHeight="1" x14ac:dyDescent="0.25">
      <c r="A35" s="1"/>
      <c r="B35" s="1"/>
      <c r="C35" s="15"/>
      <c r="D35" s="42" t="str">
        <f>IF($C35="","",IFERROR(IF(ISNA(VLOOKUP($C35,'Phase GPA'!$C$29:'Phase GPA'!$U$44,10,0)), ,VLOOKUP($C35,'Phase GPA'!$C$29:'Phase GPA'!$U$44,10,0)),0))</f>
        <v/>
      </c>
      <c r="E35" s="43" t="str">
        <f>IF($C35="","",IFERROR(IF(ISNA($D35/VLOOKUP($C35,Données!$C$19:'Données'!$I$38,6,0)), ,$D35/VLOOKUP($C35,Données!$C$19:'Données'!$I$38,6,0)),"/"))</f>
        <v/>
      </c>
      <c r="F35" s="43" t="str">
        <f>IF($C35="","",IFERROR(IF(ISNA($D35/VLOOKUP($C35,Données!$C$19:'Données'!$I$38,7,0)*100), ,$D35/VLOOKUP($C35,Données!$C$19:'Données'!$I$38,7,0)*100),"/"))</f>
        <v/>
      </c>
      <c r="G35" s="42" t="str">
        <f>IF($C35="","",IFERROR(IF(ISNA(VLOOKUP($C35,'Phase GPA'!$C$29:'Phase GPA'!$U$44,11,0)), ,VLOOKUP($C35,'Phase GPA'!$C$29:'Phase GPA'!$U$44,11,0)),0))</f>
        <v/>
      </c>
      <c r="H35" s="44" t="str">
        <f>IF($C35="","",IFERROR(IF(ISNA(VLOOKUP($C35,'Phase GPA'!$C$29:'Phase GPA'!$U$44,12,0)), ,VLOOKUP($C35,'Phase GPA'!$C$29:'Phase GPA'!$U$44,12,0)),0))</f>
        <v/>
      </c>
      <c r="I35" s="45" t="str">
        <f>IF($C35="","",IFERROR(IF(ISNA($H35/VLOOKUP($C35,Données!$C$19:'Données'!$I$38,5,0)), ,$H35/VLOOKUP($C35,Données!$C$19:'Données'!$I$38,5,0))*100,0))</f>
        <v/>
      </c>
      <c r="J35" s="45" t="str">
        <f>IF($C35="","",IFERROR(IF(ISNA($H35/VLOOKUP($C35,Données!$C$19:'Données'!$I$38,6,0)), ,$H35/VLOOKUP($C35,Données!$C$19:'Données'!$I$38,6,0)),"/"))</f>
        <v/>
      </c>
      <c r="K35" s="45" t="str">
        <f>IF($C35="","",IFERROR(IF(ISNA($H35/VLOOKUP($C35,Données!$C$19:'Données'!$I$38,7,0)*100), ,$H35/VLOOKUP($C35,Données!$C$19:'Données'!$I$38,7,0)*100),"/"))</f>
        <v/>
      </c>
      <c r="L35" s="99" t="str">
        <f t="shared" si="0"/>
        <v/>
      </c>
      <c r="M35" s="13"/>
      <c r="N35" s="12"/>
      <c r="O35" s="3"/>
      <c r="P35" s="16"/>
      <c r="Q35" s="1"/>
      <c r="R35" s="1"/>
      <c r="S35" s="55" t="str">
        <f>IF($C35="","",IFERROR(IF(ISNA(VLOOKUP($C35,Données!$C$19:'Données'!$I$38,6,0)), ,VLOOKUP($C35,Données!$C$19:'Données'!$I$38,6,0)),"/"))</f>
        <v/>
      </c>
      <c r="T35" s="55" t="str">
        <f>IF($C35="","",IFERROR(IF(ISNA(VLOOKUP($C35,Données!$C$19:'Données'!$I$38,7,0)), ,VLOOKUP($C35,Données!$C$19:'Données'!$I$38,7,0)),"/"))</f>
        <v/>
      </c>
      <c r="U35" s="55" t="str">
        <f>IF($C35="","",IFERROR(IF(ISNA(VLOOKUP($C35,Données!$C$19:'Données'!$I$38,5,0)), ,VLOOKUP($C35,Données!$C$19:'Données'!$I$38,5,0)),"/"))</f>
        <v/>
      </c>
      <c r="V35" s="55" t="str">
        <f t="shared" si="2"/>
        <v/>
      </c>
      <c r="W35" s="50">
        <f t="shared" si="1"/>
        <v>0</v>
      </c>
      <c r="X35" s="73"/>
      <c r="Y35" s="73"/>
      <c r="Z35" s="73"/>
      <c r="AA35" s="73"/>
      <c r="AB35" s="73"/>
    </row>
    <row r="36" spans="1:28" ht="50.1" customHeight="1" x14ac:dyDescent="0.25">
      <c r="A36" s="1"/>
      <c r="B36" s="1"/>
      <c r="C36" s="15"/>
      <c r="D36" s="42" t="str">
        <f>IF($C36="","",IFERROR(IF(ISNA(VLOOKUP($C36,'Phase GPA'!$C$29:'Phase GPA'!$U$44,10,0)), ,VLOOKUP($C36,'Phase GPA'!$C$29:'Phase GPA'!$U$44,10,0)),0))</f>
        <v/>
      </c>
      <c r="E36" s="43" t="str">
        <f>IF($C36="","",IFERROR(IF(ISNA($D36/VLOOKUP($C36,Données!$C$19:'Données'!$I$38,6,0)), ,$D36/VLOOKUP($C36,Données!$C$19:'Données'!$I$38,6,0)),"/"))</f>
        <v/>
      </c>
      <c r="F36" s="43" t="str">
        <f>IF($C36="","",IFERROR(IF(ISNA($D36/VLOOKUP($C36,Données!$C$19:'Données'!$I$38,7,0)*100), ,$D36/VLOOKUP($C36,Données!$C$19:'Données'!$I$38,7,0)*100),"/"))</f>
        <v/>
      </c>
      <c r="G36" s="42" t="str">
        <f>IF($C36="","",IFERROR(IF(ISNA(VLOOKUP($C36,'Phase GPA'!$C$29:'Phase GPA'!$U$44,11,0)), ,VLOOKUP($C36,'Phase GPA'!$C$29:'Phase GPA'!$U$44,11,0)),0))</f>
        <v/>
      </c>
      <c r="H36" s="44" t="str">
        <f>IF($C36="","",IFERROR(IF(ISNA(VLOOKUP($C36,'Phase GPA'!$C$29:'Phase GPA'!$U$44,12,0)), ,VLOOKUP($C36,'Phase GPA'!$C$29:'Phase GPA'!$U$44,12,0)),0))</f>
        <v/>
      </c>
      <c r="I36" s="45" t="str">
        <f>IF($C36="","",IFERROR(IF(ISNA($H36/VLOOKUP($C36,Données!$C$19:'Données'!$I$38,5,0)), ,$H36/VLOOKUP($C36,Données!$C$19:'Données'!$I$38,5,0))*100,0))</f>
        <v/>
      </c>
      <c r="J36" s="45" t="str">
        <f>IF($C36="","",IFERROR(IF(ISNA($H36/VLOOKUP($C36,Données!$C$19:'Données'!$I$38,6,0)), ,$H36/VLOOKUP($C36,Données!$C$19:'Données'!$I$38,6,0)),"/"))</f>
        <v/>
      </c>
      <c r="K36" s="45" t="str">
        <f>IF($C36="","",IFERROR(IF(ISNA($H36/VLOOKUP($C36,Données!$C$19:'Données'!$I$38,7,0)*100), ,$H36/VLOOKUP($C36,Données!$C$19:'Données'!$I$38,7,0)*100),"/"))</f>
        <v/>
      </c>
      <c r="L36" s="99" t="str">
        <f t="shared" si="0"/>
        <v/>
      </c>
      <c r="M36" s="13"/>
      <c r="N36" s="12"/>
      <c r="O36" s="3"/>
      <c r="P36" s="16"/>
      <c r="Q36" s="1"/>
      <c r="R36" s="1"/>
      <c r="S36" s="55" t="str">
        <f>IF($C36="","",IFERROR(IF(ISNA(VLOOKUP($C36,Données!$C$19:'Données'!$I$38,6,0)), ,VLOOKUP($C36,Données!$C$19:'Données'!$I$38,6,0)),"/"))</f>
        <v/>
      </c>
      <c r="T36" s="55" t="str">
        <f>IF($C36="","",IFERROR(IF(ISNA(VLOOKUP($C36,Données!$C$19:'Données'!$I$38,7,0)), ,VLOOKUP($C36,Données!$C$19:'Données'!$I$38,7,0)),"/"))</f>
        <v/>
      </c>
      <c r="U36" s="55" t="str">
        <f>IF($C36="","",IFERROR(IF(ISNA(VLOOKUP($C36,Données!$C$19:'Données'!$I$38,5,0)), ,VLOOKUP($C36,Données!$C$19:'Données'!$I$38,5,0)),"/"))</f>
        <v/>
      </c>
      <c r="V36" s="55" t="str">
        <f t="shared" si="2"/>
        <v/>
      </c>
      <c r="W36" s="50">
        <f t="shared" si="1"/>
        <v>0</v>
      </c>
      <c r="X36" s="73"/>
      <c r="Y36" s="73"/>
      <c r="Z36" s="73"/>
      <c r="AA36" s="73"/>
      <c r="AB36" s="73"/>
    </row>
    <row r="37" spans="1:28" ht="50.1" customHeight="1" x14ac:dyDescent="0.25">
      <c r="A37" s="1"/>
      <c r="B37" s="1"/>
      <c r="C37" s="15"/>
      <c r="D37" s="42" t="str">
        <f>IF($C37="","",IFERROR(IF(ISNA(VLOOKUP($C37,'Phase GPA'!$C$29:'Phase GPA'!$U$44,10,0)), ,VLOOKUP($C37,'Phase GPA'!$C$29:'Phase GPA'!$U$44,10,0)),0))</f>
        <v/>
      </c>
      <c r="E37" s="43" t="str">
        <f>IF($C37="","",IFERROR(IF(ISNA($D37/VLOOKUP($C37,Données!$C$19:'Données'!$I$38,6,0)), ,$D37/VLOOKUP($C37,Données!$C$19:'Données'!$I$38,6,0)),"/"))</f>
        <v/>
      </c>
      <c r="F37" s="43" t="str">
        <f>IF($C37="","",IFERROR(IF(ISNA($D37/VLOOKUP($C37,Données!$C$19:'Données'!$I$38,7,0)*100), ,$D37/VLOOKUP($C37,Données!$C$19:'Données'!$I$38,7,0)*100),"/"))</f>
        <v/>
      </c>
      <c r="G37" s="42" t="str">
        <f>IF($C37="","",IFERROR(IF(ISNA(VLOOKUP($C37,'Phase GPA'!$C$29:'Phase GPA'!$U$44,11,0)), ,VLOOKUP($C37,'Phase GPA'!$C$29:'Phase GPA'!$U$44,11,0)),0))</f>
        <v/>
      </c>
      <c r="H37" s="44" t="str">
        <f>IF($C37="","",IFERROR(IF(ISNA(VLOOKUP($C37,'Phase GPA'!$C$29:'Phase GPA'!$U$44,12,0)), ,VLOOKUP($C37,'Phase GPA'!$C$29:'Phase GPA'!$U$44,12,0)),0))</f>
        <v/>
      </c>
      <c r="I37" s="45" t="str">
        <f>IF($C37="","",IFERROR(IF(ISNA($H37/VLOOKUP($C37,Données!$C$19:'Données'!$I$38,5,0)), ,$H37/VLOOKUP($C37,Données!$C$19:'Données'!$I$38,5,0))*100,0))</f>
        <v/>
      </c>
      <c r="J37" s="45" t="str">
        <f>IF($C37="","",IFERROR(IF(ISNA($H37/VLOOKUP($C37,Données!$C$19:'Données'!$I$38,6,0)), ,$H37/VLOOKUP($C37,Données!$C$19:'Données'!$I$38,6,0)),"/"))</f>
        <v/>
      </c>
      <c r="K37" s="45" t="str">
        <f>IF($C37="","",IFERROR(IF(ISNA($H37/VLOOKUP($C37,Données!$C$19:'Données'!$I$38,7,0)*100), ,$H37/VLOOKUP($C37,Données!$C$19:'Données'!$I$38,7,0)*100),"/"))</f>
        <v/>
      </c>
      <c r="L37" s="99" t="str">
        <f t="shared" si="0"/>
        <v/>
      </c>
      <c r="M37" s="13"/>
      <c r="N37" s="12"/>
      <c r="O37" s="3"/>
      <c r="P37" s="16"/>
      <c r="Q37" s="1"/>
      <c r="R37" s="1"/>
      <c r="S37" s="55" t="str">
        <f>IF($C37="","",IFERROR(IF(ISNA(VLOOKUP($C37,Données!$C$19:'Données'!$I$38,6,0)), ,VLOOKUP($C37,Données!$C$19:'Données'!$I$38,6,0)),"/"))</f>
        <v/>
      </c>
      <c r="T37" s="55" t="str">
        <f>IF($C37="","",IFERROR(IF(ISNA(VLOOKUP($C37,Données!$C$19:'Données'!$I$38,7,0)), ,VLOOKUP($C37,Données!$C$19:'Données'!$I$38,7,0)),"/"))</f>
        <v/>
      </c>
      <c r="U37" s="55" t="str">
        <f>IF($C37="","",IFERROR(IF(ISNA(VLOOKUP($C37,Données!$C$19:'Données'!$I$38,5,0)), ,VLOOKUP($C37,Données!$C$19:'Données'!$I$38,5,0)),"/"))</f>
        <v/>
      </c>
      <c r="V37" s="55" t="str">
        <f t="shared" si="2"/>
        <v/>
      </c>
      <c r="W37" s="50">
        <f t="shared" si="1"/>
        <v>0</v>
      </c>
      <c r="X37" s="73"/>
      <c r="Y37" s="73"/>
      <c r="Z37" s="73"/>
      <c r="AA37" s="73"/>
      <c r="AB37" s="73"/>
    </row>
    <row r="38" spans="1:28" ht="50.1" customHeight="1" x14ac:dyDescent="0.25">
      <c r="A38" s="1"/>
      <c r="B38" s="1"/>
      <c r="C38" s="15"/>
      <c r="D38" s="42" t="str">
        <f>IF($C38="","",IFERROR(IF(ISNA(VLOOKUP($C38,'Phase GPA'!$C$29:'Phase GPA'!$U$44,10,0)), ,VLOOKUP($C38,'Phase GPA'!$C$29:'Phase GPA'!$U$44,10,0)),0))</f>
        <v/>
      </c>
      <c r="E38" s="43" t="str">
        <f>IF($C38="","",IFERROR(IF(ISNA($D38/VLOOKUP($C38,Données!$C$19:'Données'!$I$38,6,0)), ,$D38/VLOOKUP($C38,Données!$C$19:'Données'!$I$38,6,0)),"/"))</f>
        <v/>
      </c>
      <c r="F38" s="43" t="str">
        <f>IF($C38="","",IFERROR(IF(ISNA($D38/VLOOKUP($C38,Données!$C$19:'Données'!$I$38,7,0)*100), ,$D38/VLOOKUP($C38,Données!$C$19:'Données'!$I$38,7,0)*100),"/"))</f>
        <v/>
      </c>
      <c r="G38" s="42" t="str">
        <f>IF($C38="","",IFERROR(IF(ISNA(VLOOKUP($C38,'Phase GPA'!$C$29:'Phase GPA'!$U$44,11,0)), ,VLOOKUP($C38,'Phase GPA'!$C$29:'Phase GPA'!$U$44,11,0)),0))</f>
        <v/>
      </c>
      <c r="H38" s="44" t="str">
        <f>IF($C38="","",IFERROR(IF(ISNA(VLOOKUP($C38,'Phase GPA'!$C$29:'Phase GPA'!$U$44,12,0)), ,VLOOKUP($C38,'Phase GPA'!$C$29:'Phase GPA'!$U$44,12,0)),0))</f>
        <v/>
      </c>
      <c r="I38" s="45" t="str">
        <f>IF($C38="","",IFERROR(IF(ISNA($H38/VLOOKUP($C38,Données!$C$19:'Données'!$I$38,5,0)), ,$H38/VLOOKUP($C38,Données!$C$19:'Données'!$I$38,5,0))*100,0))</f>
        <v/>
      </c>
      <c r="J38" s="45" t="str">
        <f>IF($C38="","",IFERROR(IF(ISNA($H38/VLOOKUP($C38,Données!$C$19:'Données'!$I$38,6,0)), ,$H38/VLOOKUP($C38,Données!$C$19:'Données'!$I$38,6,0)),"/"))</f>
        <v/>
      </c>
      <c r="K38" s="45" t="str">
        <f>IF($C38="","",IFERROR(IF(ISNA($H38/VLOOKUP($C38,Données!$C$19:'Données'!$I$38,7,0)*100), ,$H38/VLOOKUP($C38,Données!$C$19:'Données'!$I$38,7,0)*100),"/"))</f>
        <v/>
      </c>
      <c r="L38" s="99" t="str">
        <f t="shared" si="0"/>
        <v/>
      </c>
      <c r="M38" s="13"/>
      <c r="N38" s="12"/>
      <c r="O38" s="3"/>
      <c r="P38" s="16"/>
      <c r="Q38" s="1"/>
      <c r="R38" s="1"/>
      <c r="S38" s="55" t="str">
        <f>IF($C38="","",IFERROR(IF(ISNA(VLOOKUP($C38,Données!$C$19:'Données'!$I$38,6,0)), ,VLOOKUP($C38,Données!$C$19:'Données'!$I$38,6,0)),"/"))</f>
        <v/>
      </c>
      <c r="T38" s="55" t="str">
        <f>IF($C38="","",IFERROR(IF(ISNA(VLOOKUP($C38,Données!$C$19:'Données'!$I$38,7,0)), ,VLOOKUP($C38,Données!$C$19:'Données'!$I$38,7,0)),"/"))</f>
        <v/>
      </c>
      <c r="U38" s="55" t="str">
        <f>IF($C38="","",IFERROR(IF(ISNA(VLOOKUP($C38,Données!$C$19:'Données'!$I$38,5,0)), ,VLOOKUP($C38,Données!$C$19:'Données'!$I$38,5,0)),"/"))</f>
        <v/>
      </c>
      <c r="V38" s="55" t="str">
        <f t="shared" si="2"/>
        <v/>
      </c>
      <c r="W38" s="50">
        <f t="shared" si="1"/>
        <v>0</v>
      </c>
      <c r="X38" s="73"/>
      <c r="Y38" s="73"/>
      <c r="Z38" s="73"/>
      <c r="AA38" s="73"/>
      <c r="AB38" s="73"/>
    </row>
    <row r="39" spans="1:28" ht="50.1" customHeight="1" x14ac:dyDescent="0.25">
      <c r="A39" s="1"/>
      <c r="B39" s="1"/>
      <c r="C39" s="15"/>
      <c r="D39" s="42" t="str">
        <f>IF($C39="","",IFERROR(IF(ISNA(VLOOKUP($C39,'Phase GPA'!$C$29:'Phase GPA'!$U$44,10,0)), ,VLOOKUP($C39,'Phase GPA'!$C$29:'Phase GPA'!$U$44,10,0)),0))</f>
        <v/>
      </c>
      <c r="E39" s="43" t="str">
        <f>IF($C39="","",IFERROR(IF(ISNA($D39/VLOOKUP($C39,Données!$C$19:'Données'!$I$38,6,0)), ,$D39/VLOOKUP($C39,Données!$C$19:'Données'!$I$38,6,0)),"/"))</f>
        <v/>
      </c>
      <c r="F39" s="43" t="str">
        <f>IF($C39="","",IFERROR(IF(ISNA($D39/VLOOKUP($C39,Données!$C$19:'Données'!$I$38,7,0)*100), ,$D39/VLOOKUP($C39,Données!$C$19:'Données'!$I$38,7,0)*100),"/"))</f>
        <v/>
      </c>
      <c r="G39" s="42" t="str">
        <f>IF($C39="","",IFERROR(IF(ISNA(VLOOKUP($C39,'Phase GPA'!$C$29:'Phase GPA'!$U$44,11,0)), ,VLOOKUP($C39,'Phase GPA'!$C$29:'Phase GPA'!$U$44,11,0)),0))</f>
        <v/>
      </c>
      <c r="H39" s="44" t="str">
        <f>IF($C39="","",IFERROR(IF(ISNA(VLOOKUP($C39,'Phase GPA'!$C$29:'Phase GPA'!$U$44,12,0)), ,VLOOKUP($C39,'Phase GPA'!$C$29:'Phase GPA'!$U$44,12,0)),0))</f>
        <v/>
      </c>
      <c r="I39" s="45" t="str">
        <f>IF($C39="","",IFERROR(IF(ISNA($H39/VLOOKUP($C39,Données!$C$19:'Données'!$I$38,5,0)), ,$H39/VLOOKUP($C39,Données!$C$19:'Données'!$I$38,5,0))*100,0))</f>
        <v/>
      </c>
      <c r="J39" s="45" t="str">
        <f>IF($C39="","",IFERROR(IF(ISNA($H39/VLOOKUP($C39,Données!$C$19:'Données'!$I$38,6,0)), ,$H39/VLOOKUP($C39,Données!$C$19:'Données'!$I$38,6,0)),"/"))</f>
        <v/>
      </c>
      <c r="K39" s="45" t="str">
        <f>IF($C39="","",IFERROR(IF(ISNA($H39/VLOOKUP($C39,Données!$C$19:'Données'!$I$38,7,0)*100), ,$H39/VLOOKUP($C39,Données!$C$19:'Données'!$I$38,7,0)*100),"/"))</f>
        <v/>
      </c>
      <c r="L39" s="99" t="str">
        <f t="shared" si="0"/>
        <v/>
      </c>
      <c r="M39" s="13"/>
      <c r="N39" s="12"/>
      <c r="O39" s="3"/>
      <c r="P39" s="16"/>
      <c r="Q39" s="1"/>
      <c r="R39" s="1"/>
      <c r="S39" s="55" t="str">
        <f>IF($C39="","",IFERROR(IF(ISNA(VLOOKUP($C39,Données!$C$19:'Données'!$I$38,6,0)), ,VLOOKUP($C39,Données!$C$19:'Données'!$I$38,6,0)),"/"))</f>
        <v/>
      </c>
      <c r="T39" s="55" t="str">
        <f>IF($C39="","",IFERROR(IF(ISNA(VLOOKUP($C39,Données!$C$19:'Données'!$I$38,7,0)), ,VLOOKUP($C39,Données!$C$19:'Données'!$I$38,7,0)),"/"))</f>
        <v/>
      </c>
      <c r="U39" s="55" t="str">
        <f>IF($C39="","",IFERROR(IF(ISNA(VLOOKUP($C39,Données!$C$19:'Données'!$I$38,5,0)), ,VLOOKUP($C39,Données!$C$19:'Données'!$I$38,5,0)),"/"))</f>
        <v/>
      </c>
      <c r="V39" s="55" t="str">
        <f t="shared" si="2"/>
        <v/>
      </c>
      <c r="W39" s="50">
        <f t="shared" si="1"/>
        <v>0</v>
      </c>
      <c r="X39" s="73"/>
      <c r="Y39" s="73"/>
      <c r="Z39" s="73"/>
      <c r="AA39" s="73"/>
      <c r="AB39" s="73"/>
    </row>
    <row r="40" spans="1:28" ht="50.1" customHeight="1" x14ac:dyDescent="0.25">
      <c r="A40" s="1"/>
      <c r="B40" s="1"/>
      <c r="C40" s="15"/>
      <c r="D40" s="42" t="str">
        <f>IF($C40="","",IFERROR(IF(ISNA(VLOOKUP($C40,'Phase GPA'!$C$29:'Phase GPA'!$U$44,10,0)), ,VLOOKUP($C40,'Phase GPA'!$C$29:'Phase GPA'!$U$44,10,0)),0))</f>
        <v/>
      </c>
      <c r="E40" s="43" t="str">
        <f>IF($C40="","",IFERROR(IF(ISNA($D40/VLOOKUP($C40,Données!$C$19:'Données'!$I$38,6,0)), ,$D40/VLOOKUP($C40,Données!$C$19:'Données'!$I$38,6,0)),"/"))</f>
        <v/>
      </c>
      <c r="F40" s="43" t="str">
        <f>IF($C40="","",IFERROR(IF(ISNA($D40/VLOOKUP($C40,Données!$C$19:'Données'!$I$38,7,0)*100), ,$D40/VLOOKUP($C40,Données!$C$19:'Données'!$I$38,7,0)*100),"/"))</f>
        <v/>
      </c>
      <c r="G40" s="42" t="str">
        <f>IF($C40="","",IFERROR(IF(ISNA(VLOOKUP($C40,'Phase GPA'!$C$29:'Phase GPA'!$U$44,11,0)), ,VLOOKUP($C40,'Phase GPA'!$C$29:'Phase GPA'!$U$44,11,0)),0))</f>
        <v/>
      </c>
      <c r="H40" s="44" t="str">
        <f>IF($C40="","",IFERROR(IF(ISNA(VLOOKUP($C40,'Phase GPA'!$C$29:'Phase GPA'!$U$44,12,0)), ,VLOOKUP($C40,'Phase GPA'!$C$29:'Phase GPA'!$U$44,12,0)),0))</f>
        <v/>
      </c>
      <c r="I40" s="45" t="str">
        <f>IF($C40="","",IFERROR(IF(ISNA($H40/VLOOKUP($C40,Données!$C$19:'Données'!$I$38,5,0)), ,$H40/VLOOKUP($C40,Données!$C$19:'Données'!$I$38,5,0))*100,0))</f>
        <v/>
      </c>
      <c r="J40" s="45" t="str">
        <f>IF($C40="","",IFERROR(IF(ISNA($H40/VLOOKUP($C40,Données!$C$19:'Données'!$I$38,6,0)), ,$H40/VLOOKUP($C40,Données!$C$19:'Données'!$I$38,6,0)),"/"))</f>
        <v/>
      </c>
      <c r="K40" s="45" t="str">
        <f>IF($C40="","",IFERROR(IF(ISNA($H40/VLOOKUP($C40,Données!$C$19:'Données'!$I$38,7,0)*100), ,$H40/VLOOKUP($C40,Données!$C$19:'Données'!$I$38,7,0)*100),"/"))</f>
        <v/>
      </c>
      <c r="L40" s="99" t="str">
        <f t="shared" si="0"/>
        <v/>
      </c>
      <c r="M40" s="13"/>
      <c r="N40" s="12"/>
      <c r="O40" s="3"/>
      <c r="P40" s="16"/>
      <c r="Q40" s="1"/>
      <c r="R40" s="1"/>
      <c r="S40" s="55" t="str">
        <f>IF($C40="","",IFERROR(IF(ISNA(VLOOKUP($C40,Données!$C$19:'Données'!$I$38,6,0)), ,VLOOKUP($C40,Données!$C$19:'Données'!$I$38,6,0)),"/"))</f>
        <v/>
      </c>
      <c r="T40" s="55" t="str">
        <f>IF($C40="","",IFERROR(IF(ISNA(VLOOKUP($C40,Données!$C$19:'Données'!$I$38,7,0)), ,VLOOKUP($C40,Données!$C$19:'Données'!$I$38,7,0)),"/"))</f>
        <v/>
      </c>
      <c r="U40" s="55" t="str">
        <f>IF($C40="","",IFERROR(IF(ISNA(VLOOKUP($C40,Données!$C$19:'Données'!$I$38,5,0)), ,VLOOKUP($C40,Données!$C$19:'Données'!$I$38,5,0)),"/"))</f>
        <v/>
      </c>
      <c r="V40" s="55" t="str">
        <f t="shared" si="2"/>
        <v/>
      </c>
      <c r="W40" s="50">
        <f t="shared" si="1"/>
        <v>0</v>
      </c>
      <c r="X40" s="73"/>
      <c r="Y40" s="73"/>
      <c r="Z40" s="73"/>
      <c r="AA40" s="73"/>
      <c r="AB40" s="73"/>
    </row>
    <row r="41" spans="1:28" ht="50.1" customHeight="1" x14ac:dyDescent="0.25">
      <c r="A41" s="1"/>
      <c r="B41" s="1"/>
      <c r="C41" s="15"/>
      <c r="D41" s="42" t="str">
        <f>IF($C41="","",IFERROR(IF(ISNA(VLOOKUP($C41,'Phase GPA'!$C$29:'Phase GPA'!$U$44,10,0)), ,VLOOKUP($C41,'Phase GPA'!$C$29:'Phase GPA'!$U$44,10,0)),0))</f>
        <v/>
      </c>
      <c r="E41" s="43" t="str">
        <f>IF($C41="","",IFERROR(IF(ISNA($D41/VLOOKUP($C41,Données!$C$19:'Données'!$I$38,6,0)), ,$D41/VLOOKUP($C41,Données!$C$19:'Données'!$I$38,6,0)),"/"))</f>
        <v/>
      </c>
      <c r="F41" s="43" t="str">
        <f>IF($C41="","",IFERROR(IF(ISNA($D41/VLOOKUP($C41,Données!$C$19:'Données'!$I$38,7,0)*100), ,$D41/VLOOKUP($C41,Données!$C$19:'Données'!$I$38,7,0)*100),"/"))</f>
        <v/>
      </c>
      <c r="G41" s="42" t="str">
        <f>IF($C41="","",IFERROR(IF(ISNA(VLOOKUP($C41,'Phase GPA'!$C$29:'Phase GPA'!$U$44,11,0)), ,VLOOKUP($C41,'Phase GPA'!$C$29:'Phase GPA'!$U$44,11,0)),0))</f>
        <v/>
      </c>
      <c r="H41" s="44" t="str">
        <f>IF($C41="","",IFERROR(IF(ISNA(VLOOKUP($C41,'Phase GPA'!$C$29:'Phase GPA'!$U$44,12,0)), ,VLOOKUP($C41,'Phase GPA'!$C$29:'Phase GPA'!$U$44,12,0)),0))</f>
        <v/>
      </c>
      <c r="I41" s="45" t="str">
        <f>IF($C41="","",IFERROR(IF(ISNA($H41/VLOOKUP($C41,Données!$C$19:'Données'!$I$38,5,0)), ,$H41/VLOOKUP($C41,Données!$C$19:'Données'!$I$38,5,0))*100,0))</f>
        <v/>
      </c>
      <c r="J41" s="45" t="str">
        <f>IF($C41="","",IFERROR(IF(ISNA($H41/VLOOKUP($C41,Données!$C$19:'Données'!$I$38,6,0)), ,$H41/VLOOKUP($C41,Données!$C$19:'Données'!$I$38,6,0)),"/"))</f>
        <v/>
      </c>
      <c r="K41" s="45" t="str">
        <f>IF($C41="","",IFERROR(IF(ISNA($H41/VLOOKUP($C41,Données!$C$19:'Données'!$I$38,7,0)*100), ,$H41/VLOOKUP($C41,Données!$C$19:'Données'!$I$38,7,0)*100),"/"))</f>
        <v/>
      </c>
      <c r="L41" s="99" t="str">
        <f t="shared" si="0"/>
        <v/>
      </c>
      <c r="M41" s="13"/>
      <c r="N41" s="12"/>
      <c r="O41" s="3"/>
      <c r="P41" s="16"/>
      <c r="Q41" s="1"/>
      <c r="R41" s="1"/>
      <c r="S41" s="55" t="str">
        <f>IF($C41="","",IFERROR(IF(ISNA(VLOOKUP($C41,Données!$C$19:'Données'!$I$38,6,0)), ,VLOOKUP($C41,Données!$C$19:'Données'!$I$38,6,0)),"/"))</f>
        <v/>
      </c>
      <c r="T41" s="55" t="str">
        <f>IF($C41="","",IFERROR(IF(ISNA(VLOOKUP($C41,Données!$C$19:'Données'!$I$38,7,0)), ,VLOOKUP($C41,Données!$C$19:'Données'!$I$38,7,0)),"/"))</f>
        <v/>
      </c>
      <c r="U41" s="55" t="str">
        <f>IF($C41="","",IFERROR(IF(ISNA(VLOOKUP($C41,Données!$C$19:'Données'!$I$38,5,0)), ,VLOOKUP($C41,Données!$C$19:'Données'!$I$38,5,0)),"/"))</f>
        <v/>
      </c>
      <c r="V41" s="55" t="str">
        <f t="shared" si="2"/>
        <v/>
      </c>
      <c r="W41" s="50">
        <f t="shared" si="1"/>
        <v>0</v>
      </c>
      <c r="X41" s="73"/>
      <c r="Y41" s="73"/>
      <c r="Z41" s="73"/>
      <c r="AA41" s="73"/>
      <c r="AB41" s="73"/>
    </row>
    <row r="42" spans="1:28" ht="50.1" customHeight="1" x14ac:dyDescent="0.25">
      <c r="A42" s="1"/>
      <c r="B42" s="1"/>
      <c r="C42" s="15"/>
      <c r="D42" s="42" t="str">
        <f>IF($C42="","",IFERROR(IF(ISNA(VLOOKUP($C42,'Phase GPA'!$C$29:'Phase GPA'!$U$44,10,0)), ,VLOOKUP($C42,'Phase GPA'!$C$29:'Phase GPA'!$U$44,10,0)),0))</f>
        <v/>
      </c>
      <c r="E42" s="43" t="str">
        <f>IF($C42="","",IFERROR(IF(ISNA($D42/VLOOKUP($C42,Données!$C$19:'Données'!$I$38,6,0)), ,$D42/VLOOKUP($C42,Données!$C$19:'Données'!$I$38,6,0)),"/"))</f>
        <v/>
      </c>
      <c r="F42" s="43" t="str">
        <f>IF($C42="","",IFERROR(IF(ISNA($D42/VLOOKUP($C42,Données!$C$19:'Données'!$I$38,7,0)*100), ,$D42/VLOOKUP($C42,Données!$C$19:'Données'!$I$38,7,0)*100),"/"))</f>
        <v/>
      </c>
      <c r="G42" s="42" t="str">
        <f>IF($C42="","",IFERROR(IF(ISNA(VLOOKUP($C42,'Phase GPA'!$C$29:'Phase GPA'!$U$44,11,0)), ,VLOOKUP($C42,'Phase GPA'!$C$29:'Phase GPA'!$U$44,11,0)),0))</f>
        <v/>
      </c>
      <c r="H42" s="44" t="str">
        <f>IF($C42="","",IFERROR(IF(ISNA(VLOOKUP($C42,'Phase GPA'!$C$29:'Phase GPA'!$U$44,12,0)), ,VLOOKUP($C42,'Phase GPA'!$C$29:'Phase GPA'!$U$44,12,0)),0))</f>
        <v/>
      </c>
      <c r="I42" s="45" t="str">
        <f>IF($C42="","",IFERROR(IF(ISNA($H42/VLOOKUP($C42,Données!$C$19:'Données'!$I$38,5,0)), ,$H42/VLOOKUP($C42,Données!$C$19:'Données'!$I$38,5,0))*100,0))</f>
        <v/>
      </c>
      <c r="J42" s="45" t="str">
        <f>IF($C42="","",IFERROR(IF(ISNA($H42/VLOOKUP($C42,Données!$C$19:'Données'!$I$38,6,0)), ,$H42/VLOOKUP($C42,Données!$C$19:'Données'!$I$38,6,0)),"/"))</f>
        <v/>
      </c>
      <c r="K42" s="45" t="str">
        <f>IF($C42="","",IFERROR(IF(ISNA($H42/VLOOKUP($C42,Données!$C$19:'Données'!$I$38,7,0)*100), ,$H42/VLOOKUP($C42,Données!$C$19:'Données'!$I$38,7,0)*100),"/"))</f>
        <v/>
      </c>
      <c r="L42" s="99" t="str">
        <f t="shared" si="0"/>
        <v/>
      </c>
      <c r="M42" s="13"/>
      <c r="N42" s="12"/>
      <c r="O42" s="3"/>
      <c r="P42" s="16"/>
      <c r="Q42" s="1"/>
      <c r="R42" s="1"/>
      <c r="S42" s="55" t="str">
        <f>IF($C42="","",IFERROR(IF(ISNA(VLOOKUP($C42,Données!$C$19:'Données'!$I$38,6,0)), ,VLOOKUP($C42,Données!$C$19:'Données'!$I$38,6,0)),"/"))</f>
        <v/>
      </c>
      <c r="T42" s="55" t="str">
        <f>IF($C42="","",IFERROR(IF(ISNA(VLOOKUP($C42,Données!$C$19:'Données'!$I$38,7,0)), ,VLOOKUP($C42,Données!$C$19:'Données'!$I$38,7,0)),"/"))</f>
        <v/>
      </c>
      <c r="U42" s="55" t="str">
        <f>IF($C42="","",IFERROR(IF(ISNA(VLOOKUP($C42,Données!$C$19:'Données'!$I$38,5,0)), ,VLOOKUP($C42,Données!$C$19:'Données'!$I$38,5,0)),"/"))</f>
        <v/>
      </c>
      <c r="V42" s="55" t="str">
        <f t="shared" si="2"/>
        <v/>
      </c>
      <c r="W42" s="50">
        <f t="shared" si="1"/>
        <v>0</v>
      </c>
      <c r="X42" s="73"/>
      <c r="Y42" s="73"/>
      <c r="Z42" s="73"/>
      <c r="AA42" s="73"/>
      <c r="AB42" s="73"/>
    </row>
    <row r="43" spans="1:28" ht="50.1" customHeight="1" x14ac:dyDescent="0.25">
      <c r="A43" s="1"/>
      <c r="B43" s="1"/>
      <c r="C43" s="15"/>
      <c r="D43" s="42" t="str">
        <f>IF($C43="","",IFERROR(IF(ISNA(VLOOKUP($C43,'Phase GPA'!$C$29:'Phase GPA'!$U$44,10,0)), ,VLOOKUP($C43,'Phase GPA'!$C$29:'Phase GPA'!$U$44,10,0)),0))</f>
        <v/>
      </c>
      <c r="E43" s="43" t="str">
        <f>IF($C43="","",IFERROR(IF(ISNA($D43/VLOOKUP($C43,Données!$C$19:'Données'!$I$38,6,0)), ,$D43/VLOOKUP($C43,Données!$C$19:'Données'!$I$38,6,0)),"/"))</f>
        <v/>
      </c>
      <c r="F43" s="43" t="str">
        <f>IF($C43="","",IFERROR(IF(ISNA($D43/VLOOKUP($C43,Données!$C$19:'Données'!$I$38,7,0)*100), ,$D43/VLOOKUP($C43,Données!$C$19:'Données'!$I$38,7,0)*100),"/"))</f>
        <v/>
      </c>
      <c r="G43" s="42" t="str">
        <f>IF($C43="","",IFERROR(IF(ISNA(VLOOKUP($C43,'Phase GPA'!$C$29:'Phase GPA'!$U$44,11,0)), ,VLOOKUP($C43,'Phase GPA'!$C$29:'Phase GPA'!$U$44,11,0)),0))</f>
        <v/>
      </c>
      <c r="H43" s="44" t="str">
        <f>IF($C43="","",IFERROR(IF(ISNA(VLOOKUP($C43,'Phase GPA'!$C$29:'Phase GPA'!$U$44,12,0)), ,VLOOKUP($C43,'Phase GPA'!$C$29:'Phase GPA'!$U$44,12,0)),0))</f>
        <v/>
      </c>
      <c r="I43" s="45" t="str">
        <f>IF($C43="","",IFERROR(IF(ISNA($H43/VLOOKUP($C43,Données!$C$19:'Données'!$I$38,5,0)), ,$H43/VLOOKUP($C43,Données!$C$19:'Données'!$I$38,5,0))*100,0))</f>
        <v/>
      </c>
      <c r="J43" s="45" t="str">
        <f>IF($C43="","",IFERROR(IF(ISNA($H43/VLOOKUP($C43,Données!$C$19:'Données'!$I$38,6,0)), ,$H43/VLOOKUP($C43,Données!$C$19:'Données'!$I$38,6,0)),"/"))</f>
        <v/>
      </c>
      <c r="K43" s="45" t="str">
        <f>IF($C43="","",IFERROR(IF(ISNA($H43/VLOOKUP($C43,Données!$C$19:'Données'!$I$38,7,0)*100), ,$H43/VLOOKUP($C43,Données!$C$19:'Données'!$I$38,7,0)*100),"/"))</f>
        <v/>
      </c>
      <c r="L43" s="99" t="str">
        <f t="shared" si="0"/>
        <v/>
      </c>
      <c r="M43" s="13"/>
      <c r="N43" s="12"/>
      <c r="O43" s="3"/>
      <c r="P43" s="16"/>
      <c r="Q43" s="1"/>
      <c r="R43" s="1"/>
      <c r="S43" s="55" t="str">
        <f>IF($C43="","",IFERROR(IF(ISNA(VLOOKUP($C43,Données!$C$19:'Données'!$I$38,6,0)), ,VLOOKUP($C43,Données!$C$19:'Données'!$I$38,6,0)),"/"))</f>
        <v/>
      </c>
      <c r="T43" s="55" t="str">
        <f>IF($C43="","",IFERROR(IF(ISNA(VLOOKUP($C43,Données!$C$19:'Données'!$I$38,7,0)), ,VLOOKUP($C43,Données!$C$19:'Données'!$I$38,7,0)),"/"))</f>
        <v/>
      </c>
      <c r="U43" s="55" t="str">
        <f>IF($C43="","",IFERROR(IF(ISNA(VLOOKUP($C43,Données!$C$19:'Données'!$I$38,5,0)), ,VLOOKUP($C43,Données!$C$19:'Données'!$I$38,5,0)),"/"))</f>
        <v/>
      </c>
      <c r="V43" s="55" t="str">
        <f t="shared" si="2"/>
        <v/>
      </c>
      <c r="W43" s="50">
        <f t="shared" si="1"/>
        <v>0</v>
      </c>
      <c r="X43" s="73"/>
      <c r="Y43" s="73"/>
      <c r="Z43" s="73"/>
      <c r="AA43" s="73"/>
      <c r="AB43" s="73"/>
    </row>
    <row r="44" spans="1:28" ht="50.1" customHeight="1" x14ac:dyDescent="0.25">
      <c r="A44" s="1"/>
      <c r="B44" s="1"/>
      <c r="C44" s="57" t="s">
        <v>50</v>
      </c>
      <c r="D44" s="58">
        <f>SUM(D29:D43)</f>
        <v>0</v>
      </c>
      <c r="E44" s="60" t="str">
        <f>IF(S44=0,"/",D44/S44)</f>
        <v>/</v>
      </c>
      <c r="F44" s="60" t="str">
        <f>IF(T44=0,"/",D44/T44*100)</f>
        <v>/</v>
      </c>
      <c r="G44" s="58" t="str">
        <f>IFERROR(V44/D44,"/")</f>
        <v>/</v>
      </c>
      <c r="H44" s="62">
        <f>SUM(H29:H43)</f>
        <v>0</v>
      </c>
      <c r="I44" s="66" t="str">
        <f>IFERROR(H44/U44*100,"/")</f>
        <v>/</v>
      </c>
      <c r="J44" s="66" t="str">
        <f>IF(S44=0,"/",H44/S44)</f>
        <v>/</v>
      </c>
      <c r="K44" s="60" t="str">
        <f>IF(T44=0,"/",H44/T44*100)</f>
        <v>/</v>
      </c>
      <c r="L44" s="100">
        <f>IFERROR(H44/D44,0)</f>
        <v>0</v>
      </c>
      <c r="M44" s="68"/>
      <c r="N44" s="69"/>
      <c r="O44" s="3"/>
      <c r="P44" s="16"/>
      <c r="Q44" s="1"/>
      <c r="R44" s="1"/>
      <c r="S44" s="75">
        <f>SUM(S29:S43)</f>
        <v>0</v>
      </c>
      <c r="T44" s="75">
        <f>SUM(T29:T43)</f>
        <v>0</v>
      </c>
      <c r="U44" s="75">
        <f>SUM(U29:U43)</f>
        <v>0</v>
      </c>
      <c r="V44" s="50">
        <f>SUM(V29:V43)</f>
        <v>0</v>
      </c>
      <c r="W44" s="75">
        <f>SUM(W29:W43)</f>
        <v>0</v>
      </c>
      <c r="X44" s="73"/>
      <c r="Y44" s="73"/>
      <c r="Z44" s="73"/>
      <c r="AA44" s="73"/>
      <c r="AB44" s="73"/>
    </row>
    <row r="45" spans="1:28" ht="15" customHeight="1" x14ac:dyDescent="0.25">
      <c r="A45" s="1"/>
      <c r="B45" s="1"/>
      <c r="C45" s="10"/>
      <c r="D45" s="10"/>
      <c r="E45" s="10"/>
      <c r="F45" s="10"/>
      <c r="G45" s="10"/>
      <c r="H45" s="10"/>
      <c r="I45" s="10"/>
      <c r="J45" s="10"/>
      <c r="K45" s="10"/>
      <c r="L45" s="10"/>
      <c r="M45" s="10"/>
      <c r="N45" s="10"/>
      <c r="O45" s="11"/>
      <c r="P45" s="4"/>
      <c r="Q45" s="1"/>
      <c r="R45" s="1"/>
    </row>
    <row r="46" spans="1:28" ht="15" customHeight="1" x14ac:dyDescent="0.25">
      <c r="A46" s="1"/>
      <c r="B46" s="1"/>
      <c r="C46" s="5"/>
      <c r="D46" s="10"/>
      <c r="E46" s="10"/>
      <c r="F46" s="10"/>
      <c r="G46" s="10"/>
      <c r="H46" s="10"/>
      <c r="I46" s="10"/>
      <c r="J46" s="10"/>
      <c r="K46" s="10"/>
      <c r="L46" s="10"/>
      <c r="M46" s="10"/>
      <c r="N46" s="10"/>
      <c r="O46" s="11"/>
      <c r="P46" s="30"/>
      <c r="Q46" s="1"/>
      <c r="R46" s="1"/>
    </row>
    <row r="47" spans="1:28" ht="15" customHeight="1" x14ac:dyDescent="0.25">
      <c r="A47" s="1"/>
      <c r="B47" s="1"/>
      <c r="C47" s="5"/>
      <c r="D47" s="10"/>
      <c r="E47" s="10"/>
      <c r="F47" s="10"/>
      <c r="G47" s="10"/>
      <c r="H47" s="10"/>
      <c r="I47" s="10"/>
      <c r="J47" s="10"/>
      <c r="K47" s="10"/>
      <c r="L47" s="10"/>
      <c r="M47" s="10"/>
      <c r="N47" s="10"/>
      <c r="O47" s="11"/>
      <c r="P47" s="29"/>
      <c r="Q47" s="1"/>
      <c r="R47" s="1"/>
    </row>
    <row r="48" spans="1:28" ht="15" customHeight="1" x14ac:dyDescent="0.25">
      <c r="A48" s="1"/>
      <c r="B48" s="1"/>
      <c r="C48" s="10"/>
      <c r="D48" s="10"/>
      <c r="E48" s="10"/>
      <c r="F48" s="10"/>
      <c r="G48" s="10"/>
      <c r="H48" s="10"/>
      <c r="I48" s="10"/>
      <c r="J48" s="10"/>
      <c r="K48" s="10"/>
      <c r="L48" s="10"/>
      <c r="M48" s="10"/>
      <c r="N48" s="10"/>
      <c r="O48" s="11"/>
      <c r="P48" s="29"/>
      <c r="Q48" s="1"/>
      <c r="R48" s="1"/>
    </row>
    <row r="49" spans="1:19" ht="15" customHeight="1" x14ac:dyDescent="0.25">
      <c r="A49" s="1"/>
      <c r="B49" s="1"/>
      <c r="C49" s="6"/>
      <c r="D49" s="6"/>
      <c r="E49" s="10"/>
      <c r="F49" s="10"/>
      <c r="G49" s="10"/>
      <c r="H49" s="10"/>
      <c r="I49" s="10"/>
      <c r="J49" s="10"/>
      <c r="K49" s="10"/>
      <c r="L49" s="10"/>
      <c r="M49" s="10"/>
      <c r="N49" s="10"/>
      <c r="O49" s="11"/>
      <c r="P49" s="29"/>
      <c r="Q49" s="1"/>
      <c r="R49" s="1"/>
    </row>
    <row r="50" spans="1:19" ht="15" customHeight="1" x14ac:dyDescent="0.25">
      <c r="A50" s="1"/>
      <c r="B50" s="1"/>
      <c r="C50" s="1"/>
      <c r="D50" s="1"/>
      <c r="E50" s="1"/>
      <c r="F50" s="1"/>
      <c r="G50" s="1"/>
      <c r="H50" s="1"/>
      <c r="I50" s="1"/>
      <c r="J50" s="1"/>
      <c r="K50" s="1"/>
      <c r="L50" s="1"/>
      <c r="M50" s="1"/>
      <c r="N50" s="1"/>
      <c r="O50" s="1"/>
      <c r="P50" s="1"/>
      <c r="Q50" s="1"/>
      <c r="R50" s="1"/>
      <c r="S50" s="1"/>
    </row>
    <row r="51" spans="1:19" x14ac:dyDescent="0.25">
      <c r="A51" s="1"/>
      <c r="B51" s="1"/>
      <c r="C51" s="143" t="str">
        <f ca="1">Données!$C$45</f>
        <v>CR Point bimestriel PA Version 22.4 20190227 EVREUX</v>
      </c>
      <c r="D51" s="143"/>
      <c r="E51" s="143"/>
      <c r="F51" s="143"/>
      <c r="G51" s="143"/>
      <c r="H51" s="143"/>
      <c r="I51" s="143"/>
      <c r="J51" s="143"/>
      <c r="K51" s="143"/>
      <c r="L51" s="143"/>
      <c r="M51" s="143"/>
      <c r="N51" s="143"/>
      <c r="O51" s="143"/>
      <c r="P51" s="143"/>
      <c r="Q51" s="143"/>
      <c r="R51" s="1"/>
      <c r="S51" s="1"/>
    </row>
    <row r="53" spans="1:19" ht="5.0999999999999996" customHeight="1" x14ac:dyDescent="0.25"/>
  </sheetData>
  <sheetProtection algorithmName="SHA-512" hashValue="JO6fVQ3ltdMNmov8okWy368Sl0hhEM05gJfVnWsyTYDXPnW7KCgiZL1NbcwKZABtAC58yJG8pLL+i0ID/8fz1g==" saltValue="0lMuuszj2hhvyMyvn5BxSA==" spinCount="100000" sheet="1" objects="1" scenarios="1"/>
  <protectedRanges>
    <protectedRange sqref="P29:P44" name="Plage3"/>
    <protectedRange sqref="M29:N43" name="Plage2"/>
    <protectedRange sqref="C29:C43" name="Plage1"/>
  </protectedRanges>
  <mergeCells count="14">
    <mergeCell ref="C51:Q51"/>
    <mergeCell ref="P25:P28"/>
    <mergeCell ref="I25:I28"/>
    <mergeCell ref="J25:J28"/>
    <mergeCell ref="K25:K28"/>
    <mergeCell ref="L25:L28"/>
    <mergeCell ref="M25:M28"/>
    <mergeCell ref="N25:N28"/>
    <mergeCell ref="H25:H28"/>
    <mergeCell ref="C25:C28"/>
    <mergeCell ref="D25:D28"/>
    <mergeCell ref="E25:E28"/>
    <mergeCell ref="F25:F28"/>
    <mergeCell ref="G25:G28"/>
  </mergeCells>
  <conditionalFormatting sqref="E29:E43">
    <cfRule type="cellIs" dxfId="86" priority="10" operator="lessThanOrEqual">
      <formula>1</formula>
    </cfRule>
    <cfRule type="containsText" dxfId="85" priority="12" operator="containsText" text="/">
      <formula>NOT(ISERROR(SEARCH("/",E29)))</formula>
    </cfRule>
    <cfRule type="cellIs" dxfId="84" priority="13" operator="greaterThan">
      <formula>1</formula>
    </cfRule>
  </conditionalFormatting>
  <conditionalFormatting sqref="E44">
    <cfRule type="cellIs" dxfId="83" priority="5" operator="lessThanOrEqual">
      <formula>1</formula>
    </cfRule>
    <cfRule type="containsText" dxfId="82" priority="7" operator="containsText" text="/">
      <formula>NOT(ISERROR(SEARCH("/",E44)))</formula>
    </cfRule>
    <cfRule type="cellIs" dxfId="81" priority="8" operator="greaterThan">
      <formula>1</formula>
    </cfRule>
  </conditionalFormatting>
  <conditionalFormatting sqref="G29:G44">
    <cfRule type="containsText" dxfId="80" priority="1" operator="containsText" text="/">
      <formula>NOT(ISERROR(SEARCH("/",G29)))</formula>
    </cfRule>
    <cfRule type="cellIs" dxfId="79" priority="2" operator="lessThanOrEqual">
      <formula>15</formula>
    </cfRule>
    <cfRule type="cellIs" dxfId="78" priority="3" operator="greaterThan">
      <formula>15</formula>
    </cfRule>
  </conditionalFormatting>
  <dataValidations count="1">
    <dataValidation type="list" allowBlank="1" showInputMessage="1" showErrorMessage="1" sqref="C45">
      <formula1>#REF!</formula1>
    </dataValidation>
  </dataValidations>
  <printOptions horizontalCentered="1"/>
  <pageMargins left="0" right="0" top="0" bottom="1.3779527559055118" header="0.31496062992125984" footer="0.31496062992125984"/>
  <pageSetup paperSize="8" scale="56" orientation="landscape" r:id="rId1"/>
  <headerFooter>
    <oddFooter>&amp;C&amp;G</oddFooter>
  </headerFooter>
  <drawing r:id="rId2"/>
  <legacyDrawing r:id="rId3"/>
  <legacyDrawingHF r:id="rId4"/>
  <extLst>
    <ext xmlns:x14="http://schemas.microsoft.com/office/spreadsheetml/2009/9/main" uri="{CCE6A557-97BC-4b89-ADB6-D9C93CAAB3DF}">
      <x14:dataValidations xmlns:xm="http://schemas.microsoft.com/office/excel/2006/main" count="1">
        <x14:dataValidation type="list" allowBlank="1" showInputMessage="1" showErrorMessage="1">
          <x14:formula1>
            <xm:f>OFFSET('Phase GPA'!$EC$29:$EC43,0,0,COUNTA('Phase GPA'!$EC$19:$EC$43),1)</xm:f>
          </x14:formula1>
          <xm:sqref>C29:C43</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pageSetUpPr fitToPage="1"/>
  </sheetPr>
  <dimension ref="A1:AB53"/>
  <sheetViews>
    <sheetView showGridLines="0" zoomScaleNormal="100" workbookViewId="0"/>
  </sheetViews>
  <sheetFormatPr baseColWidth="10" defaultColWidth="11.42578125" defaultRowHeight="15" x14ac:dyDescent="0.25"/>
  <cols>
    <col min="1" max="2" width="0.85546875" customWidth="1"/>
    <col min="3" max="3" width="55.7109375" customWidth="1"/>
    <col min="4" max="14" width="15.7109375" customWidth="1"/>
    <col min="15" max="15" width="1.7109375" customWidth="1"/>
    <col min="16" max="16" width="104.7109375" customWidth="1"/>
    <col min="17" max="18" width="0.85546875" customWidth="1"/>
  </cols>
  <sheetData>
    <row r="1" spans="1:19" ht="5.0999999999999996" customHeight="1" x14ac:dyDescent="0.25">
      <c r="A1" s="1"/>
      <c r="B1" s="1"/>
      <c r="C1" s="1"/>
      <c r="D1" s="1"/>
      <c r="E1" s="1"/>
      <c r="F1" s="1"/>
      <c r="G1" s="1"/>
      <c r="H1" s="1"/>
      <c r="I1" s="1"/>
      <c r="J1" s="1"/>
      <c r="K1" s="1"/>
      <c r="L1" s="1"/>
      <c r="M1" s="1"/>
      <c r="N1" s="1"/>
      <c r="O1" s="1"/>
      <c r="P1" s="1"/>
      <c r="Q1" s="1"/>
      <c r="R1" s="1"/>
    </row>
    <row r="2" spans="1:19" x14ac:dyDescent="0.25">
      <c r="A2" s="1"/>
      <c r="B2" s="1"/>
      <c r="C2" s="7"/>
      <c r="D2" s="7"/>
      <c r="E2" s="7"/>
      <c r="F2" s="7"/>
      <c r="G2" s="7"/>
      <c r="H2" s="7"/>
      <c r="I2" s="7"/>
      <c r="J2" s="7"/>
      <c r="K2" s="7"/>
      <c r="L2" s="7"/>
      <c r="M2" s="7"/>
      <c r="N2" s="7"/>
      <c r="O2" s="7"/>
      <c r="P2" s="7"/>
      <c r="Q2" s="7"/>
      <c r="R2" s="7"/>
      <c r="S2" s="8"/>
    </row>
    <row r="3" spans="1:19" x14ac:dyDescent="0.25">
      <c r="A3" s="1"/>
      <c r="B3" s="1"/>
      <c r="C3" s="7"/>
      <c r="D3" s="7"/>
      <c r="E3" s="7"/>
      <c r="F3" s="7"/>
      <c r="G3" s="7"/>
      <c r="H3" s="7"/>
      <c r="I3" s="7"/>
      <c r="J3" s="7"/>
      <c r="K3" s="7"/>
      <c r="L3" s="7"/>
      <c r="M3" s="7"/>
      <c r="N3" s="7"/>
      <c r="O3" s="7"/>
      <c r="P3" s="7"/>
      <c r="Q3" s="7"/>
      <c r="R3" s="7"/>
      <c r="S3" s="8"/>
    </row>
    <row r="4" spans="1:19" x14ac:dyDescent="0.25">
      <c r="A4" s="1"/>
      <c r="B4" s="1"/>
      <c r="C4" s="7"/>
      <c r="D4" s="7"/>
      <c r="E4" s="7"/>
      <c r="F4" s="7"/>
      <c r="G4" s="7"/>
      <c r="H4" s="7"/>
      <c r="I4" s="7"/>
      <c r="J4" s="7"/>
      <c r="K4" s="7"/>
      <c r="L4" s="7"/>
      <c r="M4" s="7"/>
      <c r="N4" s="7"/>
      <c r="O4" s="7"/>
      <c r="P4" s="7"/>
      <c r="Q4" s="7"/>
      <c r="R4" s="7"/>
      <c r="S4" s="8"/>
    </row>
    <row r="5" spans="1:19" x14ac:dyDescent="0.25">
      <c r="A5" s="1"/>
      <c r="B5" s="1"/>
      <c r="C5" s="7"/>
      <c r="D5" s="7"/>
      <c r="E5" s="7"/>
      <c r="F5" s="7"/>
      <c r="G5" s="7"/>
      <c r="H5" s="7"/>
      <c r="I5" s="7"/>
      <c r="J5" s="7"/>
      <c r="K5" s="7"/>
      <c r="L5" s="7"/>
      <c r="M5" s="7"/>
      <c r="N5" s="7"/>
      <c r="O5" s="7"/>
      <c r="P5" s="7"/>
      <c r="Q5" s="7"/>
      <c r="R5" s="7"/>
      <c r="S5" s="8"/>
    </row>
    <row r="6" spans="1:19" x14ac:dyDescent="0.25">
      <c r="A6" s="1"/>
      <c r="B6" s="1"/>
      <c r="C6" s="7"/>
      <c r="D6" s="7"/>
      <c r="E6" s="7"/>
      <c r="F6" s="7"/>
      <c r="G6" s="7"/>
      <c r="H6" s="7"/>
      <c r="I6" s="7"/>
      <c r="J6" s="7"/>
      <c r="K6" s="7"/>
      <c r="L6" s="7"/>
      <c r="M6" s="7"/>
      <c r="N6" s="7"/>
      <c r="O6" s="7"/>
      <c r="P6" s="7"/>
      <c r="Q6" s="7"/>
      <c r="R6" s="7"/>
      <c r="S6" s="8"/>
    </row>
    <row r="7" spans="1:19" x14ac:dyDescent="0.25">
      <c r="A7" s="1"/>
      <c r="B7" s="1"/>
      <c r="C7" s="7"/>
      <c r="D7" s="7"/>
      <c r="E7" s="7"/>
      <c r="F7" s="7"/>
      <c r="G7" s="7"/>
      <c r="H7" s="7"/>
      <c r="I7" s="7"/>
      <c r="J7" s="7"/>
      <c r="K7" s="7"/>
      <c r="L7" s="7"/>
      <c r="M7" s="7"/>
      <c r="N7" s="7"/>
      <c r="O7" s="7"/>
      <c r="P7" s="7"/>
      <c r="Q7" s="7"/>
      <c r="R7" s="7"/>
      <c r="S7" s="8"/>
    </row>
    <row r="8" spans="1:19" x14ac:dyDescent="0.25">
      <c r="A8" s="1"/>
      <c r="B8" s="1"/>
      <c r="C8" s="7"/>
      <c r="D8" s="7"/>
      <c r="E8" s="7"/>
      <c r="F8" s="7"/>
      <c r="G8" s="7"/>
      <c r="H8" s="7"/>
      <c r="I8" s="7"/>
      <c r="J8" s="7"/>
      <c r="K8" s="7"/>
      <c r="L8" s="7"/>
      <c r="M8" s="7"/>
      <c r="N8" s="7"/>
      <c r="O8" s="7"/>
      <c r="P8" s="7"/>
      <c r="Q8" s="7"/>
      <c r="R8" s="7"/>
      <c r="S8" s="8"/>
    </row>
    <row r="9" spans="1:19" x14ac:dyDescent="0.25">
      <c r="A9" s="1"/>
      <c r="B9" s="1"/>
      <c r="C9" s="7"/>
      <c r="D9" s="7"/>
      <c r="E9" s="7"/>
      <c r="F9" s="7"/>
      <c r="G9" s="7"/>
      <c r="H9" s="7"/>
      <c r="I9" s="7"/>
      <c r="J9" s="7"/>
      <c r="K9" s="7"/>
      <c r="L9" s="7"/>
      <c r="M9" s="7"/>
      <c r="N9" s="7"/>
      <c r="O9" s="7"/>
      <c r="P9" s="7"/>
      <c r="Q9" s="7"/>
      <c r="R9" s="7"/>
      <c r="S9" s="8"/>
    </row>
    <row r="10" spans="1:19" x14ac:dyDescent="0.25">
      <c r="A10" s="1"/>
      <c r="B10" s="1"/>
      <c r="C10" s="7"/>
      <c r="D10" s="7"/>
      <c r="E10" s="7"/>
      <c r="F10" s="7"/>
      <c r="G10" s="7"/>
      <c r="H10" s="7"/>
      <c r="I10" s="7"/>
      <c r="J10" s="7"/>
      <c r="K10" s="7"/>
      <c r="L10" s="7"/>
      <c r="M10" s="7"/>
      <c r="N10" s="7"/>
      <c r="O10" s="7"/>
      <c r="P10" s="7"/>
      <c r="Q10" s="7"/>
      <c r="R10" s="7"/>
      <c r="S10" s="8"/>
    </row>
    <row r="20" spans="1:28" x14ac:dyDescent="0.25">
      <c r="A20" s="1"/>
      <c r="B20" s="1"/>
      <c r="C20" s="4"/>
      <c r="D20" s="4"/>
      <c r="E20" s="4"/>
      <c r="F20" s="4"/>
      <c r="G20" s="4"/>
      <c r="H20" s="4"/>
      <c r="I20" s="4"/>
      <c r="J20" s="4"/>
      <c r="K20" s="4"/>
      <c r="L20" s="4"/>
      <c r="M20" s="4"/>
      <c r="N20" s="4"/>
      <c r="O20" s="4"/>
      <c r="P20" s="4"/>
      <c r="Q20" s="1"/>
      <c r="R20" s="1"/>
      <c r="S20" s="1"/>
    </row>
    <row r="21" spans="1:28" x14ac:dyDescent="0.25">
      <c r="A21" s="1"/>
      <c r="B21" s="1"/>
      <c r="C21" s="4"/>
      <c r="D21" s="4"/>
      <c r="E21" s="4"/>
      <c r="F21" s="4"/>
      <c r="G21" s="4"/>
      <c r="H21" s="4"/>
      <c r="I21" s="4"/>
      <c r="J21" s="4"/>
      <c r="K21" s="4"/>
      <c r="L21" s="4"/>
      <c r="M21" s="4"/>
      <c r="N21" s="4"/>
      <c r="O21" s="4"/>
      <c r="P21" s="4"/>
      <c r="Q21" s="1"/>
      <c r="R21" s="1"/>
      <c r="S21" s="1"/>
    </row>
    <row r="22" spans="1:28" x14ac:dyDescent="0.25">
      <c r="A22" s="1"/>
      <c r="B22" s="1"/>
      <c r="C22" s="4"/>
      <c r="D22" s="4"/>
      <c r="E22" s="4"/>
      <c r="F22" s="4"/>
      <c r="G22" s="4"/>
      <c r="H22" s="4"/>
      <c r="I22" s="4"/>
      <c r="J22" s="4"/>
      <c r="K22" s="4"/>
      <c r="L22" s="4"/>
      <c r="M22" s="4"/>
      <c r="N22" s="4"/>
      <c r="O22" s="4"/>
      <c r="P22" s="4"/>
      <c r="Q22" s="1"/>
      <c r="R22" s="1"/>
      <c r="S22" s="1"/>
    </row>
    <row r="23" spans="1:28" x14ac:dyDescent="0.25">
      <c r="A23" s="1"/>
      <c r="B23" s="1"/>
      <c r="C23" s="4"/>
      <c r="D23" s="4"/>
      <c r="E23" s="4"/>
      <c r="F23" s="4"/>
      <c r="G23" s="4"/>
      <c r="H23" s="4"/>
      <c r="I23" s="4"/>
      <c r="J23" s="4"/>
      <c r="K23" s="4"/>
      <c r="L23" s="4"/>
      <c r="M23" s="4"/>
      <c r="N23" s="4"/>
      <c r="O23" s="4"/>
      <c r="P23" s="4"/>
      <c r="Q23" s="1"/>
      <c r="R23" s="1"/>
      <c r="S23" s="1"/>
    </row>
    <row r="24" spans="1:28" x14ac:dyDescent="0.25">
      <c r="A24" s="1"/>
      <c r="B24" s="1"/>
      <c r="C24" s="4"/>
      <c r="D24" s="4"/>
      <c r="E24" s="4"/>
      <c r="F24" s="4"/>
      <c r="G24" s="4"/>
      <c r="H24" s="4"/>
      <c r="I24" s="4"/>
      <c r="J24" s="4"/>
      <c r="K24" s="4"/>
      <c r="L24" s="4"/>
      <c r="M24" s="4"/>
      <c r="N24" s="4"/>
      <c r="O24" s="4"/>
      <c r="P24" s="4"/>
      <c r="Q24" s="1"/>
      <c r="R24" s="1"/>
      <c r="S24" s="1"/>
    </row>
    <row r="25" spans="1:28" ht="15" customHeight="1" x14ac:dyDescent="0.25">
      <c r="A25" s="1"/>
      <c r="B25" s="1"/>
      <c r="C25" s="125" t="s">
        <v>7</v>
      </c>
      <c r="D25" s="154" t="s">
        <v>13</v>
      </c>
      <c r="E25" s="154" t="s">
        <v>22</v>
      </c>
      <c r="F25" s="154" t="s">
        <v>73</v>
      </c>
      <c r="G25" s="154" t="s">
        <v>31</v>
      </c>
      <c r="H25" s="154" t="s">
        <v>14</v>
      </c>
      <c r="I25" s="154" t="s">
        <v>20</v>
      </c>
      <c r="J25" s="154" t="s">
        <v>23</v>
      </c>
      <c r="K25" s="154" t="s">
        <v>74</v>
      </c>
      <c r="L25" s="154" t="s">
        <v>15</v>
      </c>
      <c r="M25" s="125" t="s">
        <v>16</v>
      </c>
      <c r="N25" s="125" t="s">
        <v>38</v>
      </c>
      <c r="O25" s="2"/>
      <c r="P25" s="125" t="s">
        <v>43</v>
      </c>
      <c r="Q25" s="1"/>
      <c r="R25" s="1"/>
    </row>
    <row r="26" spans="1:28" x14ac:dyDescent="0.25">
      <c r="A26" s="1"/>
      <c r="B26" s="1"/>
      <c r="C26" s="126"/>
      <c r="D26" s="155"/>
      <c r="E26" s="155"/>
      <c r="F26" s="155"/>
      <c r="G26" s="155"/>
      <c r="H26" s="155"/>
      <c r="I26" s="155"/>
      <c r="J26" s="155"/>
      <c r="K26" s="155"/>
      <c r="L26" s="155"/>
      <c r="M26" s="126"/>
      <c r="N26" s="126"/>
      <c r="O26" s="2"/>
      <c r="P26" s="126"/>
      <c r="Q26" s="1"/>
      <c r="R26" s="1"/>
    </row>
    <row r="27" spans="1:28" ht="15" customHeight="1" x14ac:dyDescent="0.25">
      <c r="A27" s="1"/>
      <c r="B27" s="1"/>
      <c r="C27" s="126"/>
      <c r="D27" s="155"/>
      <c r="E27" s="155"/>
      <c r="F27" s="155"/>
      <c r="G27" s="155"/>
      <c r="H27" s="155"/>
      <c r="I27" s="155"/>
      <c r="J27" s="155"/>
      <c r="K27" s="155"/>
      <c r="L27" s="155"/>
      <c r="M27" s="126"/>
      <c r="N27" s="126"/>
      <c r="O27" s="9"/>
      <c r="P27" s="126"/>
      <c r="Q27" s="1"/>
      <c r="R27" s="1"/>
    </row>
    <row r="28" spans="1:28" x14ac:dyDescent="0.25">
      <c r="A28" s="1"/>
      <c r="B28" s="1"/>
      <c r="C28" s="127"/>
      <c r="D28" s="156"/>
      <c r="E28" s="156"/>
      <c r="F28" s="156"/>
      <c r="G28" s="156"/>
      <c r="H28" s="156"/>
      <c r="I28" s="156"/>
      <c r="J28" s="156"/>
      <c r="K28" s="156"/>
      <c r="L28" s="156"/>
      <c r="M28" s="127"/>
      <c r="N28" s="127"/>
      <c r="O28" s="9"/>
      <c r="P28" s="127"/>
      <c r="Q28" s="1"/>
      <c r="R28" s="1"/>
    </row>
    <row r="29" spans="1:28" ht="50.1" customHeight="1" x14ac:dyDescent="0.25">
      <c r="A29" s="1"/>
      <c r="B29" s="1"/>
      <c r="C29" s="15"/>
      <c r="D29" s="42" t="str">
        <f>IF($C29="","",IFERROR(IF(ISNA(VLOOKUP($C29,'Phase GPA'!$C$29:'Phase GPA'!$U$44,10,0)), ,VLOOKUP($C29,'Phase GPA'!$C$29:'Phase GPA'!$U$44,10,0)),0))</f>
        <v/>
      </c>
      <c r="E29" s="43" t="str">
        <f>IF($C29="","",IFERROR(IF(ISNA($D29/S29RECHERCHEV($C29,Données!$C$19:'Données'!$I$38,6,0)), ,$D29/VLOOKUP($C29,Données!$C$19:'Données'!$I$38,6,0)),"/"))</f>
        <v/>
      </c>
      <c r="F29" s="43" t="str">
        <f>IF($C29="","",IFERROR(IF(ISNA($D29/VLOOKUP($C29,Données!$C$19:'Données'!$I$38,7,0)*100), ,$D29/VLOOKUP($C29,Données!$C$19:'Données'!$I$38,7,0)*100),"/"))</f>
        <v/>
      </c>
      <c r="G29" s="42" t="str">
        <f>IF($C29="","",IFERROR(IF(ISNA(VLOOKUP($C29,'Phase GPA'!$C$29:'Phase GPA'!$U$44,11,0)), ,VLOOKUP($C29,'Phase GPA'!$C$29:'Phase GPA'!$U$44,11,0)),0))</f>
        <v/>
      </c>
      <c r="H29" s="44" t="str">
        <f>IF($C29="","",IFERROR(IF(ISNA(VLOOKUP($C29,'Phase GPA'!$C$29:'Phase GPA'!$U$44,12,0)), ,VLOOKUP($C29,'Phase GPA'!$C$29:'Phase GPA'!$U$44,12,0)),0))</f>
        <v/>
      </c>
      <c r="I29" s="45" t="str">
        <f>IF($C29="","",IFERROR(IF(ISNA($H29/VLOOKUP($C29,Données!$C$19:'Données'!$I$38,5,0)), ,$H29/VLOOKUP($C29,Données!$C$19:'Données'!$I$38,5,0))*100,0))</f>
        <v/>
      </c>
      <c r="J29" s="45" t="str">
        <f>IF($C29="","",IFERROR(IF(ISNA($H29/VLOOKUP($C29,Données!$C$19:'Données'!$I$38,6,0)), ,$H29/VLOOKUP($C29,Données!$C$19:'Données'!$I$38,6,0)),"/"))</f>
        <v/>
      </c>
      <c r="K29" s="45" t="str">
        <f>IF($C29="","",IFERROR(IF(ISNA($H29/VLOOKUP($C29,Données!$C$19:'Données'!$I$38,7,0)*100), ,$H29/VLOOKUP($C29,Données!$C$19:'Données'!$I$38,7,0)*100),"/"))</f>
        <v/>
      </c>
      <c r="L29" s="99" t="str">
        <f>IF($D29=0,"/",IF($C29="","",IFERROR(($H29/$D29),0)))</f>
        <v/>
      </c>
      <c r="M29" s="13"/>
      <c r="N29" s="12"/>
      <c r="O29" s="3"/>
      <c r="P29" s="16"/>
      <c r="Q29" s="1"/>
      <c r="R29" s="1"/>
      <c r="S29" s="55" t="str">
        <f>IF($C29="","",IFERROR(IF(ISNA(VLOOKUP($C29,Données!$C$19:'Données'!$I$38,6,0)), ,VLOOKUP($C29,Données!$C$19:'Données'!$I$38,6,0)),"/"))</f>
        <v/>
      </c>
      <c r="T29" s="55" t="str">
        <f>IF($C29="","",IFERROR(IF(ISNA(VLOOKUP($C29,Données!$C$19:'Données'!$I$38,7,0)), ,VLOOKUP($C29,Données!$C$19:'Données'!$I$38,7,0)),"/"))</f>
        <v/>
      </c>
      <c r="U29" s="55" t="str">
        <f>IF($C29="","",IFERROR(IF(ISNA(VLOOKUP($C29,Données!$C$19:'Données'!$I$38,5,0)), ,VLOOKUP($C29,Données!$C$19:'Données'!$I$38,5,0)),"/"))</f>
        <v/>
      </c>
      <c r="V29" s="55" t="str">
        <f>IF($C29="","",IFERROR(IF(ISNA($D29*$G29), ,$D29*$G29),"/"))</f>
        <v/>
      </c>
      <c r="W29" s="50">
        <f>IF($C29&lt;&gt;"",1,0)</f>
        <v>0</v>
      </c>
      <c r="X29" s="73"/>
      <c r="Y29" s="73"/>
      <c r="Z29" s="73"/>
      <c r="AA29" s="73"/>
      <c r="AB29" s="73"/>
    </row>
    <row r="30" spans="1:28" ht="50.1" customHeight="1" x14ac:dyDescent="0.25">
      <c r="A30" s="1"/>
      <c r="B30" s="1"/>
      <c r="C30" s="15"/>
      <c r="D30" s="42" t="str">
        <f>IF($C30="","",IFERROR(IF(ISNA(VLOOKUP($C30,'Phase GPA'!$C$29:'Phase GPA'!$U$44,10,0)), ,VLOOKUP($C30,'Phase GPA'!$C$29:'Phase GPA'!$U$44,10,0)),0))</f>
        <v/>
      </c>
      <c r="E30" s="43" t="str">
        <f>IF($C30="","",IFERROR(IF(ISNA($D30/VLOOKUP($C30,Données!$C$19:'Données'!$I$38,6,0)), ,$D30/VLOOKUP($C30,Données!$C$19:'Données'!$I$38,6,0)),"/"))</f>
        <v/>
      </c>
      <c r="F30" s="43" t="str">
        <f>IF($C30="","",IFERROR(IF(ISNA($D30/VLOOKUP($C30,Données!$C$19:'Données'!$I$38,7,0)*100), ,$D30/VLOOKUP($C30,Données!$C$19:'Données'!$I$38,7,0)*100),"/"))</f>
        <v/>
      </c>
      <c r="G30" s="42" t="str">
        <f>IF($C30="","",IFERROR(IF(ISNA(VLOOKUP($C30,'Phase GPA'!$C$29:'Phase GPA'!$U$44,11,0)), ,VLOOKUP($C30,'Phase GPA'!$C$29:'Phase GPA'!$U$44,11,0)),0))</f>
        <v/>
      </c>
      <c r="H30" s="44" t="str">
        <f>IF($C30="","",IFERROR(IF(ISNA(VLOOKUP($C30,'Phase GPA'!$C$29:'Phase GPA'!$U$44,12,0)), ,VLOOKUP($C30,'Phase GPA'!$C$29:'Phase GPA'!$U$44,12,0)),0))</f>
        <v/>
      </c>
      <c r="I30" s="45" t="str">
        <f>IF($C30="","",IFERROR(IF(ISNA($H30/VLOOKUP($C30,Données!$C$19:'Données'!$I$38,5,0)), ,$H30/VLOOKUP($C30,Données!$C$19:'Données'!$I$38,5,0))*100,0))</f>
        <v/>
      </c>
      <c r="J30" s="45" t="str">
        <f>IF($C30="","",IFERROR(IF(ISNA($H30/VLOOKUP($C30,Données!$C$19:'Données'!$I$38,6,0)), ,$H30/VLOOKUP($C30,Données!$C$19:'Données'!$I$38,6,0)),"/"))</f>
        <v/>
      </c>
      <c r="K30" s="45" t="str">
        <f>IF($C30="","",IFERROR(IF(ISNA($H30/VLOOKUP($C30,Données!$C$19:'Données'!$I$38,7,0)*100), ,$H30/VLOOKUP($C30,Données!$C$19:'Données'!$I$38,7,0)*100),"/"))</f>
        <v/>
      </c>
      <c r="L30" s="99" t="str">
        <f t="shared" ref="L30:L43" si="0">IF($D30=0,"/",IF($C30="","",IFERROR(($H30/$D30),0)))</f>
        <v/>
      </c>
      <c r="M30" s="13"/>
      <c r="N30" s="12"/>
      <c r="O30" s="3"/>
      <c r="P30" s="16"/>
      <c r="Q30" s="1"/>
      <c r="R30" s="1"/>
      <c r="S30" s="55" t="str">
        <f>IF($C30="","",IFERROR(IF(ISNA(VLOOKUP($C30,Données!$C$19:'Données'!$I$38,6,0)), ,VLOOKUP($C30,Données!$C$19:'Données'!$I$38,6,0)),"/"))</f>
        <v/>
      </c>
      <c r="T30" s="55" t="str">
        <f>IF($C30="","",IFERROR(IF(ISNA(VLOOKUP($C30,Données!$C$19:'Données'!$I$38,7,0)), ,VLOOKUP($C30,Données!$C$19:'Données'!$I$38,7,0)),"/"))</f>
        <v/>
      </c>
      <c r="U30" s="55" t="str">
        <f>IF($C30="","",IFERROR(IF(ISNA(VLOOKUP($C30,Données!$C$19:'Données'!$I$38,5,0)), ,VLOOKUP($C30,Données!$C$19:'Données'!$I$38,5,0)),"/"))</f>
        <v/>
      </c>
      <c r="V30" s="55" t="str">
        <f>IF($C30="","",IFERROR(IF(ISNA($D30*$G30), ,$D30*$G30),"/"))</f>
        <v/>
      </c>
      <c r="W30" s="50">
        <f t="shared" ref="W30:W43" si="1">IF($C30&lt;&gt;"",1,0)</f>
        <v>0</v>
      </c>
      <c r="X30" s="73"/>
      <c r="Y30" s="73"/>
      <c r="Z30" s="73"/>
      <c r="AA30" s="73"/>
      <c r="AB30" s="73"/>
    </row>
    <row r="31" spans="1:28" ht="50.1" customHeight="1" x14ac:dyDescent="0.25">
      <c r="A31" s="1"/>
      <c r="B31" s="1"/>
      <c r="C31" s="15"/>
      <c r="D31" s="42" t="str">
        <f>IF($C31="","",IFERROR(IF(ISNA(VLOOKUP($C31,'Phase GPA'!$C$29:'Phase GPA'!$U$44,10,0)), ,VLOOKUP($C31,'Phase GPA'!$C$29:'Phase GPA'!$U$44,10,0)),0))</f>
        <v/>
      </c>
      <c r="E31" s="43" t="str">
        <f>IF($C31="","",IFERROR(IF(ISNA($D31/VLOOKUP($C31,Données!$C$19:'Données'!$I$38,6,0)), ,$D31/VLOOKUP($C31,Données!$C$19:'Données'!$I$38,6,0)),"/"))</f>
        <v/>
      </c>
      <c r="F31" s="43" t="str">
        <f>IF($C31="","",IFERROR(IF(ISNA($D31/VLOOKUP($C31,Données!$C$19:'Données'!$I$38,7,0)*100), ,$D31/VLOOKUP($C31,Données!$C$19:'Données'!$I$38,7,0)*100),"/"))</f>
        <v/>
      </c>
      <c r="G31" s="42" t="str">
        <f>IF($C31="","",IFERROR(IF(ISNA(VLOOKUP($C31,'Phase GPA'!$C$29:'Phase GPA'!$U$44,11,0)), ,VLOOKUP($C31,'Phase GPA'!$C$29:'Phase GPA'!$U$44,11,0)),0))</f>
        <v/>
      </c>
      <c r="H31" s="44" t="str">
        <f>IF($C31="","",IFERROR(IF(ISNA(VLOOKUP($C31,'Phase GPA'!$C$29:'Phase GPA'!$U$44,12,0)), ,VLOOKUP($C31,'Phase GPA'!$C$29:'Phase GPA'!$U$44,12,0)),0))</f>
        <v/>
      </c>
      <c r="I31" s="45" t="str">
        <f>IF($C31="","",IFERROR(IF(ISNA($H31/VLOOKUP($C31,Données!$C$19:'Données'!$I$38,5,0)), ,$H31/VLOOKUP($C31,Données!$C$19:'Données'!$I$38,5,0))*100,0))</f>
        <v/>
      </c>
      <c r="J31" s="45" t="str">
        <f>IF($C31="","",IFERROR(IF(ISNA($H31/VLOOKUP($C31,Données!$C$19:'Données'!$I$38,6,0)), ,$H31/VLOOKUP($C31,Données!$C$19:'Données'!$I$38,6,0)),"/"))</f>
        <v/>
      </c>
      <c r="K31" s="45" t="str">
        <f>IF($C31="","",IFERROR(IF(ISNA($H31/VLOOKUP($C31,Données!$C$19:'Données'!$I$38,7,0)*100), ,$H31/VLOOKUP($C31,Données!$C$19:'Données'!$I$38,7,0)*100),"/"))</f>
        <v/>
      </c>
      <c r="L31" s="99" t="str">
        <f t="shared" si="0"/>
        <v/>
      </c>
      <c r="M31" s="13"/>
      <c r="N31" s="12"/>
      <c r="O31" s="3"/>
      <c r="P31" s="16"/>
      <c r="Q31" s="1"/>
      <c r="R31" s="1"/>
      <c r="S31" s="55" t="str">
        <f>IF($C31="","",IFERROR(IF(ISNA(VLOOKUP($C31,Données!$C$19:'Données'!$I$38,6,0)), ,VLOOKUP($C31,Données!$C$19:'Données'!$I$38,6,0)),"/"))</f>
        <v/>
      </c>
      <c r="T31" s="55" t="str">
        <f>IF($C31="","",IFERROR(IF(ISNA(VLOOKUP($C31,Données!$C$19:'Données'!$I$38,7,0)), ,VLOOKUP($C31,Données!$C$19:'Données'!$I$38,7,0)),"/"))</f>
        <v/>
      </c>
      <c r="U31" s="55" t="str">
        <f>IF($C31="","",IFERROR(IF(ISNA(VLOOKUP($C31,Données!$C$19:'Données'!$I$38,5,0)), ,VLOOKUP($C31,Données!$C$19:'Données'!$I$38,5,0)),"/"))</f>
        <v/>
      </c>
      <c r="V31" s="55" t="str">
        <f t="shared" ref="V31:V43" si="2">IF($C31="","",IFERROR(IF(ISNA($D31*$G31), ,$D31*$G31),"/"))</f>
        <v/>
      </c>
      <c r="W31" s="50">
        <f t="shared" si="1"/>
        <v>0</v>
      </c>
      <c r="X31" s="73"/>
      <c r="Y31" s="73"/>
      <c r="Z31" s="73"/>
      <c r="AA31" s="73"/>
      <c r="AB31" s="73"/>
    </row>
    <row r="32" spans="1:28" ht="50.1" customHeight="1" x14ac:dyDescent="0.25">
      <c r="A32" s="1"/>
      <c r="B32" s="1"/>
      <c r="C32" s="15"/>
      <c r="D32" s="42" t="str">
        <f>IF($C32="","",IFERROR(IF(ISNA(VLOOKUP($C32,'Phase GPA'!$C$29:'Phase GPA'!$U$44,10,0)), ,VLOOKUP($C32,'Phase GPA'!$C$29:'Phase GPA'!$U$44,10,0)),0))</f>
        <v/>
      </c>
      <c r="E32" s="43" t="str">
        <f>IF($C32="","",IFERROR(IF(ISNA($D32/VLOOKUP($C32,Données!$C$19:'Données'!$I$38,6,0)), ,$D32/VLOOKUP($C32,Données!$C$19:'Données'!$I$38,6,0)),"/"))</f>
        <v/>
      </c>
      <c r="F32" s="43" t="str">
        <f>IF($C32="","",IFERROR(IF(ISNA($D32/VLOOKUP($C32,Données!$C$19:'Données'!$I$38,7,0)*100), ,$D32/VLOOKUP($C32,Données!$C$19:'Données'!$I$38,7,0)*100),"/"))</f>
        <v/>
      </c>
      <c r="G32" s="42" t="str">
        <f>IF($C32="","",IFERROR(IF(ISNA(VLOOKUP($C32,'Phase GPA'!$C$29:'Phase GPA'!$U$44,11,0)), ,VLOOKUP($C32,'Phase GPA'!$C$29:'Phase GPA'!$U$44,11,0)),0))</f>
        <v/>
      </c>
      <c r="H32" s="44" t="str">
        <f>IF($C32="","",IFERROR(IF(ISNA(VLOOKUP($C32,'Phase GPA'!$C$29:'Phase GPA'!$U$44,12,0)), ,VLOOKUP($C32,'Phase GPA'!$C$29:'Phase GPA'!$U$44,12,0)),0))</f>
        <v/>
      </c>
      <c r="I32" s="45" t="str">
        <f>IF($C32="","",IFERROR(IF(ISNA($H32/VLOOKUP($C32,Données!$C$19:'Données'!$I$38,5,0)), ,$H32/VLOOKUP($C32,Données!$C$19:'Données'!$I$38,5,0))*100,0))</f>
        <v/>
      </c>
      <c r="J32" s="45" t="str">
        <f>IF($C32="","",IFERROR(IF(ISNA($H32/VLOOKUP($C32,Données!$C$19:'Données'!$I$38,6,0)), ,$H32/VLOOKUP($C32,Données!$C$19:'Données'!$I$38,6,0)),"/"))</f>
        <v/>
      </c>
      <c r="K32" s="45" t="str">
        <f>IF($C32="","",IFERROR(IF(ISNA($H32/VLOOKUP($C32,Données!$C$19:'Données'!$I$38,7,0)*100), ,$H32/VLOOKUP($C32,Données!$C$19:'Données'!$I$38,7,0)*100),"/"))</f>
        <v/>
      </c>
      <c r="L32" s="99" t="str">
        <f t="shared" si="0"/>
        <v/>
      </c>
      <c r="M32" s="13"/>
      <c r="N32" s="12"/>
      <c r="O32" s="3"/>
      <c r="P32" s="16"/>
      <c r="Q32" s="1"/>
      <c r="R32" s="1"/>
      <c r="S32" s="55" t="str">
        <f>IF($C32="","",IFERROR(IF(ISNA(VLOOKUP($C32,Données!$C$19:'Données'!$I$38,6,0)), ,VLOOKUP($C32,Données!$C$19:'Données'!$I$38,6,0)),"/"))</f>
        <v/>
      </c>
      <c r="T32" s="55" t="str">
        <f>IF($C32="","",IFERROR(IF(ISNA(VLOOKUP($C32,Données!$C$19:'Données'!$I$38,7,0)), ,VLOOKUP($C32,Données!$C$19:'Données'!$I$38,7,0)),"/"))</f>
        <v/>
      </c>
      <c r="U32" s="55" t="str">
        <f>IF($C32="","",IFERROR(IF(ISNA(VLOOKUP($C32,Données!$C$19:'Données'!$I$38,5,0)), ,VLOOKUP($C32,Données!$C$19:'Données'!$I$38,5,0)),"/"))</f>
        <v/>
      </c>
      <c r="V32" s="55" t="str">
        <f t="shared" si="2"/>
        <v/>
      </c>
      <c r="W32" s="50">
        <f t="shared" si="1"/>
        <v>0</v>
      </c>
      <c r="X32" s="73"/>
      <c r="Y32" s="73"/>
      <c r="Z32" s="73"/>
      <c r="AA32" s="73"/>
      <c r="AB32" s="73"/>
    </row>
    <row r="33" spans="1:28" ht="50.1" customHeight="1" x14ac:dyDescent="0.25">
      <c r="A33" s="1"/>
      <c r="B33" s="1"/>
      <c r="C33" s="15"/>
      <c r="D33" s="42" t="str">
        <f>IF($C33="","",IFERROR(IF(ISNA(VLOOKUP($C33,'Phase GPA'!$C$29:'Phase GPA'!$U$44,10,0)), ,VLOOKUP($C33,'Phase GPA'!$C$29:'Phase GPA'!$U$44,10,0)),0))</f>
        <v/>
      </c>
      <c r="E33" s="43" t="str">
        <f>IF($C33="","",IFERROR(IF(ISNA($D33/VLOOKUP($C33,Données!$C$19:'Données'!$I$38,6,0)), ,$D33/VLOOKUP($C33,Données!$C$19:'Données'!$I$38,6,0)),"/"))</f>
        <v/>
      </c>
      <c r="F33" s="43" t="str">
        <f>IF($C33="","",IFERROR(IF(ISNA($D33/VLOOKUP($C33,Données!$C$19:'Données'!$I$38,7,0)*100), ,$D33/VLOOKUP($C33,Données!$C$19:'Données'!$I$38,7,0)*100),"/"))</f>
        <v/>
      </c>
      <c r="G33" s="42" t="str">
        <f>IF($C33="","",IFERROR(IF(ISNA(VLOOKUP($C33,'Phase GPA'!$C$29:'Phase GPA'!$U$44,11,0)), ,VLOOKUP($C33,'Phase GPA'!$C$29:'Phase GPA'!$U$44,11,0)),0))</f>
        <v/>
      </c>
      <c r="H33" s="44" t="str">
        <f>IF($C33="","",IFERROR(IF(ISNA(VLOOKUP($C33,'Phase GPA'!$C$29:'Phase GPA'!$U$44,12,0)), ,VLOOKUP($C33,'Phase GPA'!$C$29:'Phase GPA'!$U$44,12,0)),0))</f>
        <v/>
      </c>
      <c r="I33" s="45" t="str">
        <f>IF($C33="","",IFERROR(IF(ISNA($H33/VLOOKUP($C33,Données!$C$19:'Données'!$I$38,5,0)), ,$H33/VLOOKUP($C33,Données!$C$19:'Données'!$I$38,5,0))*100,0))</f>
        <v/>
      </c>
      <c r="J33" s="45" t="str">
        <f>IF($C33="","",IFERROR(IF(ISNA($H33/VLOOKUP($C33,Données!$C$19:'Données'!$I$38,6,0)), ,$H33/VLOOKUP($C33,Données!$C$19:'Données'!$I$38,6,0)),"/"))</f>
        <v/>
      </c>
      <c r="K33" s="45" t="str">
        <f>IF($C33="","",IFERROR(IF(ISNA($H33/VLOOKUP($C33,Données!$C$19:'Données'!$I$38,7,0)*100), ,$H33/VLOOKUP($C33,Données!$C$19:'Données'!$I$38,7,0)*100),"/"))</f>
        <v/>
      </c>
      <c r="L33" s="99" t="str">
        <f t="shared" si="0"/>
        <v/>
      </c>
      <c r="M33" s="13"/>
      <c r="N33" s="12"/>
      <c r="O33" s="3"/>
      <c r="P33" s="16"/>
      <c r="Q33" s="1"/>
      <c r="R33" s="1"/>
      <c r="S33" s="55" t="str">
        <f>IF($C33="","",IFERROR(IF(ISNA(VLOOKUP($C33,Données!$C$19:'Données'!$I$38,6,0)), ,VLOOKUP($C33,Données!$C$19:'Données'!$I$38,6,0)),"/"))</f>
        <v/>
      </c>
      <c r="T33" s="55" t="str">
        <f>IF($C33="","",IFERROR(IF(ISNA(VLOOKUP($C33,Données!$C$19:'Données'!$I$38,7,0)), ,VLOOKUP($C33,Données!$C$19:'Données'!$I$38,7,0)),"/"))</f>
        <v/>
      </c>
      <c r="U33" s="55" t="str">
        <f>IF($C33="","",IFERROR(IF(ISNA(VLOOKUP($C33,Données!$C$19:'Données'!$I$38,5,0)), ,VLOOKUP($C33,Données!$C$19:'Données'!$I$38,5,0)),"/"))</f>
        <v/>
      </c>
      <c r="V33" s="55" t="str">
        <f t="shared" si="2"/>
        <v/>
      </c>
      <c r="W33" s="50">
        <f t="shared" si="1"/>
        <v>0</v>
      </c>
      <c r="X33" s="73"/>
      <c r="Y33" s="73"/>
      <c r="Z33" s="73"/>
      <c r="AA33" s="73"/>
      <c r="AB33" s="73"/>
    </row>
    <row r="34" spans="1:28" ht="50.1" customHeight="1" x14ac:dyDescent="0.25">
      <c r="A34" s="1"/>
      <c r="B34" s="1"/>
      <c r="C34" s="15"/>
      <c r="D34" s="42" t="str">
        <f>IF($C34="","",IFERROR(IF(ISNA(VLOOKUP($C34,'Phase GPA'!$C$29:'Phase GPA'!$U$44,10,0)), ,VLOOKUP($C34,'Phase GPA'!$C$29:'Phase GPA'!$U$44,10,0)),0))</f>
        <v/>
      </c>
      <c r="E34" s="43" t="str">
        <f>IF($C34="","",IFERROR(IF(ISNA($D34/VLOOKUP($C34,Données!$C$19:'Données'!$I$38,6,0)), ,$D34/VLOOKUP($C34,Données!$C$19:'Données'!$I$38,6,0)),"/"))</f>
        <v/>
      </c>
      <c r="F34" s="43" t="str">
        <f>IF($C34="","",IFERROR(IF(ISNA($D34/VLOOKUP($C34,Données!$C$19:'Données'!$I$38,7,0)*100), ,$D34/VLOOKUP($C34,Données!$C$19:'Données'!$I$38,7,0)*100),"/"))</f>
        <v/>
      </c>
      <c r="G34" s="42" t="str">
        <f>IF($C34="","",IFERROR(IF(ISNA(VLOOKUP($C34,'Phase GPA'!$C$29:'Phase GPA'!$U$44,11,0)), ,VLOOKUP($C34,'Phase GPA'!$C$29:'Phase GPA'!$U$44,11,0)),0))</f>
        <v/>
      </c>
      <c r="H34" s="44" t="str">
        <f>IF($C34="","",IFERROR(IF(ISNA(VLOOKUP($C34,'Phase GPA'!$C$29:'Phase GPA'!$U$44,12,0)), ,VLOOKUP($C34,'Phase GPA'!$C$29:'Phase GPA'!$U$44,12,0)),0))</f>
        <v/>
      </c>
      <c r="I34" s="45" t="str">
        <f>IF($C34="","",IFERROR(IF(ISNA($H34/VLOOKUP($C34,Données!$C$19:'Données'!$I$38,5,0)), ,$H34/VLOOKUP($C34,Données!$C$19:'Données'!$I$38,5,0))*100,0))</f>
        <v/>
      </c>
      <c r="J34" s="45" t="str">
        <f>IF($C34="","",IFERROR(IF(ISNA($H34/VLOOKUP($C34,Données!$C$19:'Données'!$I$38,6,0)), ,$H34/VLOOKUP($C34,Données!$C$19:'Données'!$I$38,6,0)),"/"))</f>
        <v/>
      </c>
      <c r="K34" s="45" t="str">
        <f>IF($C34="","",IFERROR(IF(ISNA($H34/VLOOKUP($C34,Données!$C$19:'Données'!$I$38,7,0)*100), ,$H34/VLOOKUP($C34,Données!$C$19:'Données'!$I$38,7,0)*100),"/"))</f>
        <v/>
      </c>
      <c r="L34" s="99" t="str">
        <f t="shared" si="0"/>
        <v/>
      </c>
      <c r="M34" s="13"/>
      <c r="N34" s="12"/>
      <c r="O34" s="3"/>
      <c r="P34" s="16"/>
      <c r="Q34" s="1"/>
      <c r="R34" s="1"/>
      <c r="S34" s="55" t="str">
        <f>IF($C34="","",IFERROR(IF(ISNA(VLOOKUP($C34,Données!$C$19:'Données'!$I$38,6,0)), ,VLOOKUP($C34,Données!$C$19:'Données'!$I$38,6,0)),"/"))</f>
        <v/>
      </c>
      <c r="T34" s="55" t="str">
        <f>IF($C34="","",IFERROR(IF(ISNA(VLOOKUP($C34,Données!$C$19:'Données'!$I$38,7,0)), ,VLOOKUP($C34,Données!$C$19:'Données'!$I$38,7,0)),"/"))</f>
        <v/>
      </c>
      <c r="U34" s="55" t="str">
        <f>IF($C34="","",IFERROR(IF(ISNA(VLOOKUP($C34,Données!$C$19:'Données'!$I$38,5,0)), ,VLOOKUP($C34,Données!$C$19:'Données'!$I$38,5,0)),"/"))</f>
        <v/>
      </c>
      <c r="V34" s="55" t="str">
        <f t="shared" si="2"/>
        <v/>
      </c>
      <c r="W34" s="50">
        <f t="shared" si="1"/>
        <v>0</v>
      </c>
      <c r="X34" s="73"/>
      <c r="Y34" s="73"/>
      <c r="Z34" s="73"/>
      <c r="AA34" s="73"/>
      <c r="AB34" s="73"/>
    </row>
    <row r="35" spans="1:28" ht="50.1" customHeight="1" x14ac:dyDescent="0.25">
      <c r="A35" s="1"/>
      <c r="B35" s="1"/>
      <c r="C35" s="15"/>
      <c r="D35" s="42" t="str">
        <f>IF($C35="","",IFERROR(IF(ISNA(VLOOKUP($C35,'Phase GPA'!$C$29:'Phase GPA'!$U$44,10,0)), ,VLOOKUP($C35,'Phase GPA'!$C$29:'Phase GPA'!$U$44,10,0)),0))</f>
        <v/>
      </c>
      <c r="E35" s="43" t="str">
        <f>IF($C35="","",IFERROR(IF(ISNA($D35/VLOOKUP($C35,Données!$C$19:'Données'!$I$38,6,0)), ,$D35/VLOOKUP($C35,Données!$C$19:'Données'!$I$38,6,0)),"/"))</f>
        <v/>
      </c>
      <c r="F35" s="43" t="str">
        <f>IF($C35="","",IFERROR(IF(ISNA($D35/VLOOKUP($C35,Données!$C$19:'Données'!$I$38,7,0)*100), ,$D35/VLOOKUP($C35,Données!$C$19:'Données'!$I$38,7,0)*100),"/"))</f>
        <v/>
      </c>
      <c r="G35" s="42" t="str">
        <f>IF($C35="","",IFERROR(IF(ISNA(VLOOKUP($C35,'Phase GPA'!$C$29:'Phase GPA'!$U$44,11,0)), ,VLOOKUP($C35,'Phase GPA'!$C$29:'Phase GPA'!$U$44,11,0)),0))</f>
        <v/>
      </c>
      <c r="H35" s="44" t="str">
        <f>IF($C35="","",IFERROR(IF(ISNA(VLOOKUP($C35,'Phase GPA'!$C$29:'Phase GPA'!$U$44,12,0)), ,VLOOKUP($C35,'Phase GPA'!$C$29:'Phase GPA'!$U$44,12,0)),0))</f>
        <v/>
      </c>
      <c r="I35" s="45" t="str">
        <f>IF($C35="","",IFERROR(IF(ISNA($H35/VLOOKUP($C35,Données!$C$19:'Données'!$I$38,5,0)), ,$H35/VLOOKUP($C35,Données!$C$19:'Données'!$I$38,5,0))*100,0))</f>
        <v/>
      </c>
      <c r="J35" s="45" t="str">
        <f>IF($C35="","",IFERROR(IF(ISNA($H35/VLOOKUP($C35,Données!$C$19:'Données'!$I$38,6,0)), ,$H35/VLOOKUP($C35,Données!$C$19:'Données'!$I$38,6,0)),"/"))</f>
        <v/>
      </c>
      <c r="K35" s="45" t="str">
        <f>IF($C35="","",IFERROR(IF(ISNA($H35/VLOOKUP($C35,Données!$C$19:'Données'!$I$38,7,0)*100), ,$H35/VLOOKUP($C35,Données!$C$19:'Données'!$I$38,7,0)*100),"/"))</f>
        <v/>
      </c>
      <c r="L35" s="99" t="str">
        <f t="shared" si="0"/>
        <v/>
      </c>
      <c r="M35" s="13"/>
      <c r="N35" s="12"/>
      <c r="O35" s="3"/>
      <c r="P35" s="16"/>
      <c r="Q35" s="1"/>
      <c r="R35" s="1"/>
      <c r="S35" s="55" t="str">
        <f>IF($C35="","",IFERROR(IF(ISNA(VLOOKUP($C35,Données!$C$19:'Données'!$I$38,6,0)), ,VLOOKUP($C35,Données!$C$19:'Données'!$I$38,6,0)),"/"))</f>
        <v/>
      </c>
      <c r="T35" s="55" t="str">
        <f>IF($C35="","",IFERROR(IF(ISNA(VLOOKUP($C35,Données!$C$19:'Données'!$I$38,7,0)), ,VLOOKUP($C35,Données!$C$19:'Données'!$I$38,7,0)),"/"))</f>
        <v/>
      </c>
      <c r="U35" s="55" t="str">
        <f>IF($C35="","",IFERROR(IF(ISNA(VLOOKUP($C35,Données!$C$19:'Données'!$I$38,5,0)), ,VLOOKUP($C35,Données!$C$19:'Données'!$I$38,5,0)),"/"))</f>
        <v/>
      </c>
      <c r="V35" s="55" t="str">
        <f t="shared" si="2"/>
        <v/>
      </c>
      <c r="W35" s="50">
        <f t="shared" si="1"/>
        <v>0</v>
      </c>
      <c r="X35" s="73"/>
      <c r="Y35" s="73"/>
      <c r="Z35" s="73"/>
      <c r="AA35" s="73"/>
      <c r="AB35" s="73"/>
    </row>
    <row r="36" spans="1:28" ht="50.1" customHeight="1" x14ac:dyDescent="0.25">
      <c r="A36" s="1"/>
      <c r="B36" s="1"/>
      <c r="C36" s="15"/>
      <c r="D36" s="42" t="str">
        <f>IF($C36="","",IFERROR(IF(ISNA(VLOOKUP($C36,'Phase GPA'!$C$29:'Phase GPA'!$U$44,10,0)), ,VLOOKUP($C36,'Phase GPA'!$C$29:'Phase GPA'!$U$44,10,0)),0))</f>
        <v/>
      </c>
      <c r="E36" s="43" t="str">
        <f>IF($C36="","",IFERROR(IF(ISNA($D36/VLOOKUP($C36,Données!$C$19:'Données'!$I$38,6,0)), ,$D36/VLOOKUP($C36,Données!$C$19:'Données'!$I$38,6,0)),"/"))</f>
        <v/>
      </c>
      <c r="F36" s="43" t="str">
        <f>IF($C36="","",IFERROR(IF(ISNA($D36/VLOOKUP($C36,Données!$C$19:'Données'!$I$38,7,0)*100), ,$D36/VLOOKUP($C36,Données!$C$19:'Données'!$I$38,7,0)*100),"/"))</f>
        <v/>
      </c>
      <c r="G36" s="42" t="str">
        <f>IF($C36="","",IFERROR(IF(ISNA(VLOOKUP($C36,'Phase GPA'!$C$29:'Phase GPA'!$U$44,11,0)), ,VLOOKUP($C36,'Phase GPA'!$C$29:'Phase GPA'!$U$44,11,0)),0))</f>
        <v/>
      </c>
      <c r="H36" s="44" t="str">
        <f>IF($C36="","",IFERROR(IF(ISNA(VLOOKUP($C36,'Phase GPA'!$C$29:'Phase GPA'!$U$44,12,0)), ,VLOOKUP($C36,'Phase GPA'!$C$29:'Phase GPA'!$U$44,12,0)),0))</f>
        <v/>
      </c>
      <c r="I36" s="45" t="str">
        <f>IF($C36="","",IFERROR(IF(ISNA($H36/VLOOKUP($C36,Données!$C$19:'Données'!$I$38,5,0)), ,$H36/VLOOKUP($C36,Données!$C$19:'Données'!$I$38,5,0))*100,0))</f>
        <v/>
      </c>
      <c r="J36" s="45" t="str">
        <f>IF($C36="","",IFERROR(IF(ISNA($H36/VLOOKUP($C36,Données!$C$19:'Données'!$I$38,6,0)), ,$H36/VLOOKUP($C36,Données!$C$19:'Données'!$I$38,6,0)),"/"))</f>
        <v/>
      </c>
      <c r="K36" s="45" t="str">
        <f>IF($C36="","",IFERROR(IF(ISNA($H36/VLOOKUP($C36,Données!$C$19:'Données'!$I$38,7,0)*100), ,$H36/VLOOKUP($C36,Données!$C$19:'Données'!$I$38,7,0)*100),"/"))</f>
        <v/>
      </c>
      <c r="L36" s="99" t="str">
        <f t="shared" si="0"/>
        <v/>
      </c>
      <c r="M36" s="13"/>
      <c r="N36" s="12"/>
      <c r="O36" s="3"/>
      <c r="P36" s="16"/>
      <c r="Q36" s="1"/>
      <c r="R36" s="1"/>
      <c r="S36" s="55" t="str">
        <f>IF($C36="","",IFERROR(IF(ISNA(VLOOKUP($C36,Données!$C$19:'Données'!$I$38,6,0)), ,VLOOKUP($C36,Données!$C$19:'Données'!$I$38,6,0)),"/"))</f>
        <v/>
      </c>
      <c r="T36" s="55" t="str">
        <f>IF($C36="","",IFERROR(IF(ISNA(VLOOKUP($C36,Données!$C$19:'Données'!$I$38,7,0)), ,VLOOKUP($C36,Données!$C$19:'Données'!$I$38,7,0)),"/"))</f>
        <v/>
      </c>
      <c r="U36" s="55" t="str">
        <f>IF($C36="","",IFERROR(IF(ISNA(VLOOKUP($C36,Données!$C$19:'Données'!$I$38,5,0)), ,VLOOKUP($C36,Données!$C$19:'Données'!$I$38,5,0)),"/"))</f>
        <v/>
      </c>
      <c r="V36" s="55" t="str">
        <f t="shared" si="2"/>
        <v/>
      </c>
      <c r="W36" s="50">
        <f t="shared" si="1"/>
        <v>0</v>
      </c>
      <c r="X36" s="73"/>
      <c r="Y36" s="73"/>
      <c r="Z36" s="73"/>
      <c r="AA36" s="73"/>
      <c r="AB36" s="73"/>
    </row>
    <row r="37" spans="1:28" ht="50.1" customHeight="1" x14ac:dyDescent="0.25">
      <c r="A37" s="1"/>
      <c r="B37" s="1"/>
      <c r="C37" s="15"/>
      <c r="D37" s="42" t="str">
        <f>IF($C37="","",IFERROR(IF(ISNA(VLOOKUP($C37,'Phase GPA'!$C$29:'Phase GPA'!$U$44,10,0)), ,VLOOKUP($C37,'Phase GPA'!$C$29:'Phase GPA'!$U$44,10,0)),0))</f>
        <v/>
      </c>
      <c r="E37" s="43" t="str">
        <f>IF($C37="","",IFERROR(IF(ISNA($D37/VLOOKUP($C37,Données!$C$19:'Données'!$I$38,6,0)), ,$D37/VLOOKUP($C37,Données!$C$19:'Données'!$I$38,6,0)),"/"))</f>
        <v/>
      </c>
      <c r="F37" s="43" t="str">
        <f>IF($C37="","",IFERROR(IF(ISNA($D37/VLOOKUP($C37,Données!$C$19:'Données'!$I$38,7,0)*100), ,$D37/VLOOKUP($C37,Données!$C$19:'Données'!$I$38,7,0)*100),"/"))</f>
        <v/>
      </c>
      <c r="G37" s="42" t="str">
        <f>IF($C37="","",IFERROR(IF(ISNA(VLOOKUP($C37,'Phase GPA'!$C$29:'Phase GPA'!$U$44,11,0)), ,VLOOKUP($C37,'Phase GPA'!$C$29:'Phase GPA'!$U$44,11,0)),0))</f>
        <v/>
      </c>
      <c r="H37" s="44" t="str">
        <f>IF($C37="","",IFERROR(IF(ISNA(VLOOKUP($C37,'Phase GPA'!$C$29:'Phase GPA'!$U$44,12,0)), ,VLOOKUP($C37,'Phase GPA'!$C$29:'Phase GPA'!$U$44,12,0)),0))</f>
        <v/>
      </c>
      <c r="I37" s="45" t="str">
        <f>IF($C37="","",IFERROR(IF(ISNA($H37/VLOOKUP($C37,Données!$C$19:'Données'!$I$38,5,0)), ,$H37/VLOOKUP($C37,Données!$C$19:'Données'!$I$38,5,0))*100,0))</f>
        <v/>
      </c>
      <c r="J37" s="45" t="str">
        <f>IF($C37="","",IFERROR(IF(ISNA($H37/VLOOKUP($C37,Données!$C$19:'Données'!$I$38,6,0)), ,$H37/VLOOKUP($C37,Données!$C$19:'Données'!$I$38,6,0)),"/"))</f>
        <v/>
      </c>
      <c r="K37" s="45" t="str">
        <f>IF($C37="","",IFERROR(IF(ISNA($H37/VLOOKUP($C37,Données!$C$19:'Données'!$I$38,7,0)*100), ,$H37/VLOOKUP($C37,Données!$C$19:'Données'!$I$38,7,0)*100),"/"))</f>
        <v/>
      </c>
      <c r="L37" s="99" t="str">
        <f t="shared" si="0"/>
        <v/>
      </c>
      <c r="M37" s="13"/>
      <c r="N37" s="12"/>
      <c r="O37" s="3"/>
      <c r="P37" s="16"/>
      <c r="Q37" s="1"/>
      <c r="R37" s="1"/>
      <c r="S37" s="55" t="str">
        <f>IF($C37="","",IFERROR(IF(ISNA(VLOOKUP($C37,Données!$C$19:'Données'!$I$38,6,0)), ,VLOOKUP($C37,Données!$C$19:'Données'!$I$38,6,0)),"/"))</f>
        <v/>
      </c>
      <c r="T37" s="55" t="str">
        <f>IF($C37="","",IFERROR(IF(ISNA(VLOOKUP($C37,Données!$C$19:'Données'!$I$38,7,0)), ,VLOOKUP($C37,Données!$C$19:'Données'!$I$38,7,0)),"/"))</f>
        <v/>
      </c>
      <c r="U37" s="55" t="str">
        <f>IF($C37="","",IFERROR(IF(ISNA(VLOOKUP($C37,Données!$C$19:'Données'!$I$38,5,0)), ,VLOOKUP($C37,Données!$C$19:'Données'!$I$38,5,0)),"/"))</f>
        <v/>
      </c>
      <c r="V37" s="55" t="str">
        <f t="shared" si="2"/>
        <v/>
      </c>
      <c r="W37" s="50">
        <f t="shared" si="1"/>
        <v>0</v>
      </c>
      <c r="X37" s="73"/>
      <c r="Y37" s="73"/>
      <c r="Z37" s="73"/>
      <c r="AA37" s="73"/>
      <c r="AB37" s="73"/>
    </row>
    <row r="38" spans="1:28" ht="50.1" customHeight="1" x14ac:dyDescent="0.25">
      <c r="A38" s="1"/>
      <c r="B38" s="1"/>
      <c r="C38" s="15"/>
      <c r="D38" s="42" t="str">
        <f>IF($C38="","",IFERROR(IF(ISNA(VLOOKUP($C38,'Phase GPA'!$C$29:'Phase GPA'!$U$44,10,0)), ,VLOOKUP($C38,'Phase GPA'!$C$29:'Phase GPA'!$U$44,10,0)),0))</f>
        <v/>
      </c>
      <c r="E38" s="43" t="str">
        <f>IF($C38="","",IFERROR(IF(ISNA($D38/VLOOKUP($C38,Données!$C$19:'Données'!$I$38,6,0)), ,$D38/VLOOKUP($C38,Données!$C$19:'Données'!$I$38,6,0)),"/"))</f>
        <v/>
      </c>
      <c r="F38" s="43" t="str">
        <f>IF($C38="","",IFERROR(IF(ISNA($D38/VLOOKUP($C38,Données!$C$19:'Données'!$I$38,7,0)*100), ,$D38/VLOOKUP($C38,Données!$C$19:'Données'!$I$38,7,0)*100),"/"))</f>
        <v/>
      </c>
      <c r="G38" s="42" t="str">
        <f>IF($C38="","",IFERROR(IF(ISNA(VLOOKUP($C38,'Phase GPA'!$C$29:'Phase GPA'!$U$44,11,0)), ,VLOOKUP($C38,'Phase GPA'!$C$29:'Phase GPA'!$U$44,11,0)),0))</f>
        <v/>
      </c>
      <c r="H38" s="44" t="str">
        <f>IF($C38="","",IFERROR(IF(ISNA(VLOOKUP($C38,'Phase GPA'!$C$29:'Phase GPA'!$U$44,12,0)), ,VLOOKUP($C38,'Phase GPA'!$C$29:'Phase GPA'!$U$44,12,0)),0))</f>
        <v/>
      </c>
      <c r="I38" s="45" t="str">
        <f>IF($C38="","",IFERROR(IF(ISNA($H38/VLOOKUP($C38,Données!$C$19:'Données'!$I$38,5,0)), ,$H38/VLOOKUP($C38,Données!$C$19:'Données'!$I$38,5,0))*100,0))</f>
        <v/>
      </c>
      <c r="J38" s="45" t="str">
        <f>IF($C38="","",IFERROR(IF(ISNA($H38/VLOOKUP($C38,Données!$C$19:'Données'!$I$38,6,0)), ,$H38/VLOOKUP($C38,Données!$C$19:'Données'!$I$38,6,0)),"/"))</f>
        <v/>
      </c>
      <c r="K38" s="45" t="str">
        <f>IF($C38="","",IFERROR(IF(ISNA($H38/VLOOKUP($C38,Données!$C$19:'Données'!$I$38,7,0)*100), ,$H38/VLOOKUP($C38,Données!$C$19:'Données'!$I$38,7,0)*100),"/"))</f>
        <v/>
      </c>
      <c r="L38" s="99" t="str">
        <f t="shared" si="0"/>
        <v/>
      </c>
      <c r="M38" s="13"/>
      <c r="N38" s="12"/>
      <c r="O38" s="3"/>
      <c r="P38" s="16"/>
      <c r="Q38" s="1"/>
      <c r="R38" s="1"/>
      <c r="S38" s="55" t="str">
        <f>IF($C38="","",IFERROR(IF(ISNA(VLOOKUP($C38,Données!$C$19:'Données'!$I$38,6,0)), ,VLOOKUP($C38,Données!$C$19:'Données'!$I$38,6,0)),"/"))</f>
        <v/>
      </c>
      <c r="T38" s="55" t="str">
        <f>IF($C38="","",IFERROR(IF(ISNA(VLOOKUP($C38,Données!$C$19:'Données'!$I$38,7,0)), ,VLOOKUP($C38,Données!$C$19:'Données'!$I$38,7,0)),"/"))</f>
        <v/>
      </c>
      <c r="U38" s="55" t="str">
        <f>IF($C38="","",IFERROR(IF(ISNA(VLOOKUP($C38,Données!$C$19:'Données'!$I$38,5,0)), ,VLOOKUP($C38,Données!$C$19:'Données'!$I$38,5,0)),"/"))</f>
        <v/>
      </c>
      <c r="V38" s="55" t="str">
        <f t="shared" si="2"/>
        <v/>
      </c>
      <c r="W38" s="50">
        <f t="shared" si="1"/>
        <v>0</v>
      </c>
      <c r="X38" s="73"/>
      <c r="Y38" s="73"/>
      <c r="Z38" s="73"/>
      <c r="AA38" s="73"/>
      <c r="AB38" s="73"/>
    </row>
    <row r="39" spans="1:28" ht="50.1" customHeight="1" x14ac:dyDescent="0.25">
      <c r="A39" s="1"/>
      <c r="B39" s="1"/>
      <c r="C39" s="15"/>
      <c r="D39" s="42" t="str">
        <f>IF($C39="","",IFERROR(IF(ISNA(VLOOKUP($C39,'Phase GPA'!$C$29:'Phase GPA'!$U$44,10,0)), ,VLOOKUP($C39,'Phase GPA'!$C$29:'Phase GPA'!$U$44,10,0)),0))</f>
        <v/>
      </c>
      <c r="E39" s="43" t="str">
        <f>IF($C39="","",IFERROR(IF(ISNA($D39/VLOOKUP($C39,Données!$C$19:'Données'!$I$38,6,0)), ,$D39/VLOOKUP($C39,Données!$C$19:'Données'!$I$38,6,0)),"/"))</f>
        <v/>
      </c>
      <c r="F39" s="43" t="str">
        <f>IF($C39="","",IFERROR(IF(ISNA($D39/VLOOKUP($C39,Données!$C$19:'Données'!$I$38,7,0)*100), ,$D39/VLOOKUP($C39,Données!$C$19:'Données'!$I$38,7,0)*100),"/"))</f>
        <v/>
      </c>
      <c r="G39" s="42" t="str">
        <f>IF($C39="","",IFERROR(IF(ISNA(VLOOKUP($C39,'Phase GPA'!$C$29:'Phase GPA'!$U$44,11,0)), ,VLOOKUP($C39,'Phase GPA'!$C$29:'Phase GPA'!$U$44,11,0)),0))</f>
        <v/>
      </c>
      <c r="H39" s="44" t="str">
        <f>IF($C39="","",IFERROR(IF(ISNA(VLOOKUP($C39,'Phase GPA'!$C$29:'Phase GPA'!$U$44,12,0)), ,VLOOKUP($C39,'Phase GPA'!$C$29:'Phase GPA'!$U$44,12,0)),0))</f>
        <v/>
      </c>
      <c r="I39" s="45" t="str">
        <f>IF($C39="","",IFERROR(IF(ISNA($H39/VLOOKUP($C39,Données!$C$19:'Données'!$I$38,5,0)), ,$H39/VLOOKUP($C39,Données!$C$19:'Données'!$I$38,5,0))*100,0))</f>
        <v/>
      </c>
      <c r="J39" s="45" t="str">
        <f>IF($C39="","",IFERROR(IF(ISNA($H39/VLOOKUP($C39,Données!$C$19:'Données'!$I$38,6,0)), ,$H39/VLOOKUP($C39,Données!$C$19:'Données'!$I$38,6,0)),"/"))</f>
        <v/>
      </c>
      <c r="K39" s="45" t="str">
        <f>IF($C39="","",IFERROR(IF(ISNA($H39/VLOOKUP($C39,Données!$C$19:'Données'!$I$38,7,0)*100), ,$H39/VLOOKUP($C39,Données!$C$19:'Données'!$I$38,7,0)*100),"/"))</f>
        <v/>
      </c>
      <c r="L39" s="99" t="str">
        <f t="shared" si="0"/>
        <v/>
      </c>
      <c r="M39" s="13"/>
      <c r="N39" s="12"/>
      <c r="O39" s="3"/>
      <c r="P39" s="16"/>
      <c r="Q39" s="1"/>
      <c r="R39" s="1"/>
      <c r="S39" s="55" t="str">
        <f>IF($C39="","",IFERROR(IF(ISNA(VLOOKUP($C39,Données!$C$19:'Données'!$I$38,6,0)), ,VLOOKUP($C39,Données!$C$19:'Données'!$I$38,6,0)),"/"))</f>
        <v/>
      </c>
      <c r="T39" s="55" t="str">
        <f>IF($C39="","",IFERROR(IF(ISNA(VLOOKUP($C39,Données!$C$19:'Données'!$I$38,7,0)), ,VLOOKUP($C39,Données!$C$19:'Données'!$I$38,7,0)),"/"))</f>
        <v/>
      </c>
      <c r="U39" s="55" t="str">
        <f>IF($C39="","",IFERROR(IF(ISNA(VLOOKUP($C39,Données!$C$19:'Données'!$I$38,5,0)), ,VLOOKUP($C39,Données!$C$19:'Données'!$I$38,5,0)),"/"))</f>
        <v/>
      </c>
      <c r="V39" s="55" t="str">
        <f t="shared" si="2"/>
        <v/>
      </c>
      <c r="W39" s="50">
        <f t="shared" si="1"/>
        <v>0</v>
      </c>
      <c r="X39" s="73"/>
      <c r="Y39" s="73"/>
      <c r="Z39" s="73"/>
      <c r="AA39" s="73"/>
      <c r="AB39" s="73"/>
    </row>
    <row r="40" spans="1:28" ht="50.1" customHeight="1" x14ac:dyDescent="0.25">
      <c r="A40" s="1"/>
      <c r="B40" s="1"/>
      <c r="C40" s="15"/>
      <c r="D40" s="42" t="str">
        <f>IF($C40="","",IFERROR(IF(ISNA(VLOOKUP($C40,'Phase GPA'!$C$29:'Phase GPA'!$U$44,10,0)), ,VLOOKUP($C40,'Phase GPA'!$C$29:'Phase GPA'!$U$44,10,0)),0))</f>
        <v/>
      </c>
      <c r="E40" s="43" t="str">
        <f>IF($C40="","",IFERROR(IF(ISNA($D40/VLOOKUP($C40,Données!$C$19:'Données'!$I$38,6,0)), ,$D40/VLOOKUP($C40,Données!$C$19:'Données'!$I$38,6,0)),"/"))</f>
        <v/>
      </c>
      <c r="F40" s="43" t="str">
        <f>IF($C40="","",IFERROR(IF(ISNA($D40/VLOOKUP($C40,Données!$C$19:'Données'!$I$38,7,0)*100), ,$D40/VLOOKUP($C40,Données!$C$19:'Données'!$I$38,7,0)*100),"/"))</f>
        <v/>
      </c>
      <c r="G40" s="42" t="str">
        <f>IF($C40="","",IFERROR(IF(ISNA(VLOOKUP($C40,'Phase GPA'!$C$29:'Phase GPA'!$U$44,11,0)), ,VLOOKUP($C40,'Phase GPA'!$C$29:'Phase GPA'!$U$44,11,0)),0))</f>
        <v/>
      </c>
      <c r="H40" s="44" t="str">
        <f>IF($C40="","",IFERROR(IF(ISNA(VLOOKUP($C40,'Phase GPA'!$C$29:'Phase GPA'!$U$44,12,0)), ,VLOOKUP($C40,'Phase GPA'!$C$29:'Phase GPA'!$U$44,12,0)),0))</f>
        <v/>
      </c>
      <c r="I40" s="45" t="str">
        <f>IF($C40="","",IFERROR(IF(ISNA($H40/VLOOKUP($C40,Données!$C$19:'Données'!$I$38,5,0)), ,$H40/VLOOKUP($C40,Données!$C$19:'Données'!$I$38,5,0))*100,0))</f>
        <v/>
      </c>
      <c r="J40" s="45" t="str">
        <f>IF($C40="","",IFERROR(IF(ISNA($H40/VLOOKUP($C40,Données!$C$19:'Données'!$I$38,6,0)), ,$H40/VLOOKUP($C40,Données!$C$19:'Données'!$I$38,6,0)),"/"))</f>
        <v/>
      </c>
      <c r="K40" s="45" t="str">
        <f>IF($C40="","",IFERROR(IF(ISNA($H40/VLOOKUP($C40,Données!$C$19:'Données'!$I$38,7,0)*100), ,$H40/VLOOKUP($C40,Données!$C$19:'Données'!$I$38,7,0)*100),"/"))</f>
        <v/>
      </c>
      <c r="L40" s="99" t="str">
        <f t="shared" si="0"/>
        <v/>
      </c>
      <c r="M40" s="13"/>
      <c r="N40" s="12"/>
      <c r="O40" s="3"/>
      <c r="P40" s="16"/>
      <c r="Q40" s="1"/>
      <c r="R40" s="1"/>
      <c r="S40" s="55" t="str">
        <f>IF($C40="","",IFERROR(IF(ISNA(VLOOKUP($C40,Données!$C$19:'Données'!$I$38,6,0)), ,VLOOKUP($C40,Données!$C$19:'Données'!$I$38,6,0)),"/"))</f>
        <v/>
      </c>
      <c r="T40" s="55" t="str">
        <f>IF($C40="","",IFERROR(IF(ISNA(VLOOKUP($C40,Données!$C$19:'Données'!$I$38,7,0)), ,VLOOKUP($C40,Données!$C$19:'Données'!$I$38,7,0)),"/"))</f>
        <v/>
      </c>
      <c r="U40" s="55" t="str">
        <f>IF($C40="","",IFERROR(IF(ISNA(VLOOKUP($C40,Données!$C$19:'Données'!$I$38,5,0)), ,VLOOKUP($C40,Données!$C$19:'Données'!$I$38,5,0)),"/"))</f>
        <v/>
      </c>
      <c r="V40" s="55" t="str">
        <f t="shared" si="2"/>
        <v/>
      </c>
      <c r="W40" s="50">
        <f t="shared" si="1"/>
        <v>0</v>
      </c>
      <c r="X40" s="73"/>
      <c r="Y40" s="73"/>
      <c r="Z40" s="73"/>
      <c r="AA40" s="73"/>
      <c r="AB40" s="73"/>
    </row>
    <row r="41" spans="1:28" ht="50.1" customHeight="1" x14ac:dyDescent="0.25">
      <c r="A41" s="1"/>
      <c r="B41" s="1"/>
      <c r="C41" s="15"/>
      <c r="D41" s="42" t="str">
        <f>IF($C41="","",IFERROR(IF(ISNA(VLOOKUP($C41,'Phase GPA'!$C$29:'Phase GPA'!$U$44,10,0)), ,VLOOKUP($C41,'Phase GPA'!$C$29:'Phase GPA'!$U$44,10,0)),0))</f>
        <v/>
      </c>
      <c r="E41" s="43" t="str">
        <f>IF($C41="","",IFERROR(IF(ISNA($D41/VLOOKUP($C41,Données!$C$19:'Données'!$I$38,6,0)), ,$D41/VLOOKUP($C41,Données!$C$19:'Données'!$I$38,6,0)),"/"))</f>
        <v/>
      </c>
      <c r="F41" s="43" t="str">
        <f>IF($C41="","",IFERROR(IF(ISNA($D41/VLOOKUP($C41,Données!$C$19:'Données'!$I$38,7,0)*100), ,$D41/VLOOKUP($C41,Données!$C$19:'Données'!$I$38,7,0)*100),"/"))</f>
        <v/>
      </c>
      <c r="G41" s="42" t="str">
        <f>IF($C41="","",IFERROR(IF(ISNA(VLOOKUP($C41,'Phase GPA'!$C$29:'Phase GPA'!$U$44,11,0)), ,VLOOKUP($C41,'Phase GPA'!$C$29:'Phase GPA'!$U$44,11,0)),0))</f>
        <v/>
      </c>
      <c r="H41" s="44" t="str">
        <f>IF($C41="","",IFERROR(IF(ISNA(VLOOKUP($C41,'Phase GPA'!$C$29:'Phase GPA'!$U$44,12,0)), ,VLOOKUP($C41,'Phase GPA'!$C$29:'Phase GPA'!$U$44,12,0)),0))</f>
        <v/>
      </c>
      <c r="I41" s="45" t="str">
        <f>IF($C41="","",IFERROR(IF(ISNA($H41/VLOOKUP($C41,Données!$C$19:'Données'!$I$38,5,0)), ,$H41/VLOOKUP($C41,Données!$C$19:'Données'!$I$38,5,0))*100,0))</f>
        <v/>
      </c>
      <c r="J41" s="45" t="str">
        <f>IF($C41="","",IFERROR(IF(ISNA($H41/VLOOKUP($C41,Données!$C$19:'Données'!$I$38,6,0)), ,$H41/VLOOKUP($C41,Données!$C$19:'Données'!$I$38,6,0)),"/"))</f>
        <v/>
      </c>
      <c r="K41" s="45" t="str">
        <f>IF($C41="","",IFERROR(IF(ISNA($H41/VLOOKUP($C41,Données!$C$19:'Données'!$I$38,7,0)*100), ,$H41/VLOOKUP($C41,Données!$C$19:'Données'!$I$38,7,0)*100),"/"))</f>
        <v/>
      </c>
      <c r="L41" s="99" t="str">
        <f t="shared" si="0"/>
        <v/>
      </c>
      <c r="M41" s="13"/>
      <c r="N41" s="12"/>
      <c r="O41" s="3"/>
      <c r="P41" s="16"/>
      <c r="Q41" s="1"/>
      <c r="R41" s="1"/>
      <c r="S41" s="55" t="str">
        <f>IF($C41="","",IFERROR(IF(ISNA(VLOOKUP($C41,Données!$C$19:'Données'!$I$38,6,0)), ,VLOOKUP($C41,Données!$C$19:'Données'!$I$38,6,0)),"/"))</f>
        <v/>
      </c>
      <c r="T41" s="55" t="str">
        <f>IF($C41="","",IFERROR(IF(ISNA(VLOOKUP($C41,Données!$C$19:'Données'!$I$38,7,0)), ,VLOOKUP($C41,Données!$C$19:'Données'!$I$38,7,0)),"/"))</f>
        <v/>
      </c>
      <c r="U41" s="55" t="str">
        <f>IF($C41="","",IFERROR(IF(ISNA(VLOOKUP($C41,Données!$C$19:'Données'!$I$38,5,0)), ,VLOOKUP($C41,Données!$C$19:'Données'!$I$38,5,0)),"/"))</f>
        <v/>
      </c>
      <c r="V41" s="55" t="str">
        <f t="shared" si="2"/>
        <v/>
      </c>
      <c r="W41" s="50">
        <f t="shared" si="1"/>
        <v>0</v>
      </c>
      <c r="X41" s="73"/>
      <c r="Y41" s="73"/>
      <c r="Z41" s="73"/>
      <c r="AA41" s="73"/>
      <c r="AB41" s="73"/>
    </row>
    <row r="42" spans="1:28" ht="50.1" customHeight="1" x14ac:dyDescent="0.25">
      <c r="A42" s="1"/>
      <c r="B42" s="1"/>
      <c r="C42" s="15"/>
      <c r="D42" s="42" t="str">
        <f>IF($C42="","",IFERROR(IF(ISNA(VLOOKUP($C42,'Phase GPA'!$C$29:'Phase GPA'!$U$44,10,0)), ,VLOOKUP($C42,'Phase GPA'!$C$29:'Phase GPA'!$U$44,10,0)),0))</f>
        <v/>
      </c>
      <c r="E42" s="43" t="str">
        <f>IF($C42="","",IFERROR(IF(ISNA($D42/VLOOKUP($C42,Données!$C$19:'Données'!$I$38,6,0)), ,$D42/VLOOKUP($C42,Données!$C$19:'Données'!$I$38,6,0)),"/"))</f>
        <v/>
      </c>
      <c r="F42" s="43" t="str">
        <f>IF($C42="","",IFERROR(IF(ISNA($D42/VLOOKUP($C42,Données!$C$19:'Données'!$I$38,7,0)*100), ,$D42/VLOOKUP($C42,Données!$C$19:'Données'!$I$38,7,0)*100),"/"))</f>
        <v/>
      </c>
      <c r="G42" s="42" t="str">
        <f>IF($C42="","",IFERROR(IF(ISNA(VLOOKUP($C42,'Phase GPA'!$C$29:'Phase GPA'!$U$44,11,0)), ,VLOOKUP($C42,'Phase GPA'!$C$29:'Phase GPA'!$U$44,11,0)),0))</f>
        <v/>
      </c>
      <c r="H42" s="44" t="str">
        <f>IF($C42="","",IFERROR(IF(ISNA(VLOOKUP($C42,'Phase GPA'!$C$29:'Phase GPA'!$U$44,12,0)), ,VLOOKUP($C42,'Phase GPA'!$C$29:'Phase GPA'!$U$44,12,0)),0))</f>
        <v/>
      </c>
      <c r="I42" s="45" t="str">
        <f>IF($C42="","",IFERROR(IF(ISNA($H42/VLOOKUP($C42,Données!$C$19:'Données'!$I$38,5,0)), ,$H42/VLOOKUP($C42,Données!$C$19:'Données'!$I$38,5,0))*100,0))</f>
        <v/>
      </c>
      <c r="J42" s="45" t="str">
        <f>IF($C42="","",IFERROR(IF(ISNA($H42/VLOOKUP($C42,Données!$C$19:'Données'!$I$38,6,0)), ,$H42/VLOOKUP($C42,Données!$C$19:'Données'!$I$38,6,0)),"/"))</f>
        <v/>
      </c>
      <c r="K42" s="45" t="str">
        <f>IF($C42="","",IFERROR(IF(ISNA($H42/VLOOKUP($C42,Données!$C$19:'Données'!$I$38,7,0)*100), ,$H42/VLOOKUP($C42,Données!$C$19:'Données'!$I$38,7,0)*100),"/"))</f>
        <v/>
      </c>
      <c r="L42" s="99" t="str">
        <f t="shared" si="0"/>
        <v/>
      </c>
      <c r="M42" s="13"/>
      <c r="N42" s="12"/>
      <c r="O42" s="3"/>
      <c r="P42" s="16"/>
      <c r="Q42" s="1"/>
      <c r="R42" s="1"/>
      <c r="S42" s="55" t="str">
        <f>IF($C42="","",IFERROR(IF(ISNA(VLOOKUP($C42,Données!$C$19:'Données'!$I$38,6,0)), ,VLOOKUP($C42,Données!$C$19:'Données'!$I$38,6,0)),"/"))</f>
        <v/>
      </c>
      <c r="T42" s="55" t="str">
        <f>IF($C42="","",IFERROR(IF(ISNA(VLOOKUP($C42,Données!$C$19:'Données'!$I$38,7,0)), ,VLOOKUP($C42,Données!$C$19:'Données'!$I$38,7,0)),"/"))</f>
        <v/>
      </c>
      <c r="U42" s="55" t="str">
        <f>IF($C42="","",IFERROR(IF(ISNA(VLOOKUP($C42,Données!$C$19:'Données'!$I$38,5,0)), ,VLOOKUP($C42,Données!$C$19:'Données'!$I$38,5,0)),"/"))</f>
        <v/>
      </c>
      <c r="V42" s="55" t="str">
        <f t="shared" si="2"/>
        <v/>
      </c>
      <c r="W42" s="50">
        <f t="shared" si="1"/>
        <v>0</v>
      </c>
      <c r="X42" s="73"/>
      <c r="Y42" s="73"/>
      <c r="Z42" s="73"/>
      <c r="AA42" s="73"/>
      <c r="AB42" s="73"/>
    </row>
    <row r="43" spans="1:28" ht="50.1" customHeight="1" x14ac:dyDescent="0.25">
      <c r="A43" s="1"/>
      <c r="B43" s="1"/>
      <c r="C43" s="15"/>
      <c r="D43" s="42" t="str">
        <f>IF($C43="","",IFERROR(IF(ISNA(VLOOKUP($C43,'Phase GPA'!$C$29:'Phase GPA'!$U$44,10,0)), ,VLOOKUP($C43,'Phase GPA'!$C$29:'Phase GPA'!$U$44,10,0)),0))</f>
        <v/>
      </c>
      <c r="E43" s="43" t="str">
        <f>IF($C43="","",IFERROR(IF(ISNA($D43/VLOOKUP($C43,Données!$C$19:'Données'!$I$38,6,0)), ,$D43/VLOOKUP($C43,Données!$C$19:'Données'!$I$38,6,0)),"/"))</f>
        <v/>
      </c>
      <c r="F43" s="43" t="str">
        <f>IF($C43="","",IFERROR(IF(ISNA($D43/VLOOKUP($C43,Données!$C$19:'Données'!$I$38,7,0)*100), ,$D43/VLOOKUP($C43,Données!$C$19:'Données'!$I$38,7,0)*100),"/"))</f>
        <v/>
      </c>
      <c r="G43" s="42" t="str">
        <f>IF($C43="","",IFERROR(IF(ISNA(VLOOKUP($C43,'Phase GPA'!$C$29:'Phase GPA'!$U$44,11,0)), ,VLOOKUP($C43,'Phase GPA'!$C$29:'Phase GPA'!$U$44,11,0)),0))</f>
        <v/>
      </c>
      <c r="H43" s="44" t="str">
        <f>IF($C43="","",IFERROR(IF(ISNA(VLOOKUP($C43,'Phase GPA'!$C$29:'Phase GPA'!$U$44,12,0)), ,VLOOKUP($C43,'Phase GPA'!$C$29:'Phase GPA'!$U$44,12,0)),0))</f>
        <v/>
      </c>
      <c r="I43" s="45" t="str">
        <f>IF($C43="","",IFERROR(IF(ISNA($H43/VLOOKUP($C43,Données!$C$19:'Données'!$I$38,5,0)), ,$H43/VLOOKUP($C43,Données!$C$19:'Données'!$I$38,5,0))*100,0))</f>
        <v/>
      </c>
      <c r="J43" s="45" t="str">
        <f>IF($C43="","",IFERROR(IF(ISNA($H43/VLOOKUP($C43,Données!$C$19:'Données'!$I$38,6,0)), ,$H43/VLOOKUP($C43,Données!$C$19:'Données'!$I$38,6,0)),"/"))</f>
        <v/>
      </c>
      <c r="K43" s="45" t="str">
        <f>IF($C43="","",IFERROR(IF(ISNA($H43/VLOOKUP($C43,Données!$C$19:'Données'!$I$38,7,0)*100), ,$H43/VLOOKUP($C43,Données!$C$19:'Données'!$I$38,7,0)*100),"/"))</f>
        <v/>
      </c>
      <c r="L43" s="99" t="str">
        <f t="shared" si="0"/>
        <v/>
      </c>
      <c r="M43" s="13"/>
      <c r="N43" s="12"/>
      <c r="O43" s="3"/>
      <c r="P43" s="16"/>
      <c r="Q43" s="1"/>
      <c r="R43" s="1"/>
      <c r="S43" s="55" t="str">
        <f>IF($C43="","",IFERROR(IF(ISNA(VLOOKUP($C43,Données!$C$19:'Données'!$I$38,6,0)), ,VLOOKUP($C43,Données!$C$19:'Données'!$I$38,6,0)),"/"))</f>
        <v/>
      </c>
      <c r="T43" s="55" t="str">
        <f>IF($C43="","",IFERROR(IF(ISNA(VLOOKUP($C43,Données!$C$19:'Données'!$I$38,7,0)), ,VLOOKUP($C43,Données!$C$19:'Données'!$I$38,7,0)),"/"))</f>
        <v/>
      </c>
      <c r="U43" s="55" t="str">
        <f>IF($C43="","",IFERROR(IF(ISNA(VLOOKUP($C43,Données!$C$19:'Données'!$I$38,5,0)), ,VLOOKUP($C43,Données!$C$19:'Données'!$I$38,5,0)),"/"))</f>
        <v/>
      </c>
      <c r="V43" s="55" t="str">
        <f t="shared" si="2"/>
        <v/>
      </c>
      <c r="W43" s="50">
        <f t="shared" si="1"/>
        <v>0</v>
      </c>
      <c r="X43" s="73"/>
      <c r="Y43" s="73"/>
      <c r="Z43" s="73"/>
      <c r="AA43" s="73"/>
      <c r="AB43" s="73"/>
    </row>
    <row r="44" spans="1:28" ht="50.1" customHeight="1" x14ac:dyDescent="0.25">
      <c r="A44" s="1"/>
      <c r="B44" s="1"/>
      <c r="C44" s="57" t="s">
        <v>50</v>
      </c>
      <c r="D44" s="58">
        <f>SUM(D29:D43)</f>
        <v>0</v>
      </c>
      <c r="E44" s="60" t="str">
        <f>IF(S44=0,"/",D44/S44)</f>
        <v>/</v>
      </c>
      <c r="F44" s="60" t="str">
        <f>IF(T44=0,"/",D44/T44*100)</f>
        <v>/</v>
      </c>
      <c r="G44" s="58" t="str">
        <f>IFERROR(V44/D44,"/")</f>
        <v>/</v>
      </c>
      <c r="H44" s="62">
        <f>SUM(H29:H43)</f>
        <v>0</v>
      </c>
      <c r="I44" s="66" t="str">
        <f>IFERROR(H44/U44*100,"/")</f>
        <v>/</v>
      </c>
      <c r="J44" s="66" t="str">
        <f>IF(S44=0,"/",H44/S44)</f>
        <v>/</v>
      </c>
      <c r="K44" s="60" t="str">
        <f>IF(T44=0,"/",H44/T44*100)</f>
        <v>/</v>
      </c>
      <c r="L44" s="100">
        <f>IFERROR(H44/D44,0)</f>
        <v>0</v>
      </c>
      <c r="M44" s="68"/>
      <c r="N44" s="69"/>
      <c r="O44" s="3"/>
      <c r="P44" s="16"/>
      <c r="Q44" s="1"/>
      <c r="R44" s="1"/>
      <c r="S44" s="75">
        <f>SUM(S29:S43)</f>
        <v>0</v>
      </c>
      <c r="T44" s="75">
        <f>SUM(T29:T43)</f>
        <v>0</v>
      </c>
      <c r="U44" s="75">
        <f>SUM(U29:U43)</f>
        <v>0</v>
      </c>
      <c r="V44" s="50">
        <f>SUM(V29:V43)</f>
        <v>0</v>
      </c>
      <c r="W44" s="75">
        <f>SUM(W29:W43)</f>
        <v>0</v>
      </c>
      <c r="X44" s="73"/>
      <c r="Y44" s="73"/>
      <c r="Z44" s="73"/>
      <c r="AA44" s="73"/>
      <c r="AB44" s="73"/>
    </row>
    <row r="45" spans="1:28" ht="15" customHeight="1" x14ac:dyDescent="0.25">
      <c r="A45" s="1"/>
      <c r="B45" s="1"/>
      <c r="C45" s="10"/>
      <c r="D45" s="10"/>
      <c r="E45" s="10"/>
      <c r="F45" s="10"/>
      <c r="G45" s="10"/>
      <c r="H45" s="10"/>
      <c r="I45" s="10"/>
      <c r="J45" s="10"/>
      <c r="K45" s="10"/>
      <c r="L45" s="10"/>
      <c r="M45" s="10"/>
      <c r="N45" s="10"/>
      <c r="O45" s="11"/>
      <c r="P45" s="4"/>
      <c r="Q45" s="1"/>
      <c r="R45" s="1"/>
    </row>
    <row r="46" spans="1:28" ht="15" customHeight="1" x14ac:dyDescent="0.25">
      <c r="A46" s="1"/>
      <c r="B46" s="1"/>
      <c r="C46" s="5"/>
      <c r="D46" s="10"/>
      <c r="E46" s="10"/>
      <c r="F46" s="10"/>
      <c r="G46" s="10"/>
      <c r="H46" s="10"/>
      <c r="I46" s="10"/>
      <c r="J46" s="10"/>
      <c r="K46" s="10"/>
      <c r="L46" s="10"/>
      <c r="M46" s="10"/>
      <c r="N46" s="10"/>
      <c r="O46" s="11"/>
      <c r="P46" s="30"/>
      <c r="Q46" s="1"/>
      <c r="R46" s="1"/>
    </row>
    <row r="47" spans="1:28" ht="15" customHeight="1" x14ac:dyDescent="0.25">
      <c r="A47" s="1"/>
      <c r="B47" s="1"/>
      <c r="C47" s="5"/>
      <c r="D47" s="10"/>
      <c r="E47" s="10"/>
      <c r="F47" s="10"/>
      <c r="G47" s="10"/>
      <c r="H47" s="10"/>
      <c r="I47" s="10"/>
      <c r="J47" s="10"/>
      <c r="K47" s="10"/>
      <c r="L47" s="10"/>
      <c r="M47" s="10"/>
      <c r="N47" s="10"/>
      <c r="O47" s="11"/>
      <c r="P47" s="29"/>
      <c r="Q47" s="1"/>
      <c r="R47" s="1"/>
    </row>
    <row r="48" spans="1:28" ht="15" customHeight="1" x14ac:dyDescent="0.25">
      <c r="A48" s="1"/>
      <c r="B48" s="1"/>
      <c r="C48" s="10"/>
      <c r="D48" s="10"/>
      <c r="E48" s="10"/>
      <c r="F48" s="10"/>
      <c r="G48" s="10"/>
      <c r="H48" s="10"/>
      <c r="I48" s="10"/>
      <c r="J48" s="10"/>
      <c r="K48" s="10"/>
      <c r="L48" s="10"/>
      <c r="M48" s="10"/>
      <c r="N48" s="10"/>
      <c r="O48" s="11"/>
      <c r="P48" s="29"/>
      <c r="Q48" s="1"/>
      <c r="R48" s="1"/>
    </row>
    <row r="49" spans="1:19" ht="15" customHeight="1" x14ac:dyDescent="0.25">
      <c r="A49" s="1"/>
      <c r="B49" s="1"/>
      <c r="C49" s="6"/>
      <c r="D49" s="6"/>
      <c r="E49" s="10"/>
      <c r="F49" s="10"/>
      <c r="G49" s="10"/>
      <c r="H49" s="10"/>
      <c r="I49" s="10"/>
      <c r="J49" s="10"/>
      <c r="K49" s="10"/>
      <c r="L49" s="10"/>
      <c r="M49" s="10"/>
      <c r="N49" s="10"/>
      <c r="O49" s="11"/>
      <c r="P49" s="29"/>
      <c r="Q49" s="1"/>
      <c r="R49" s="1"/>
    </row>
    <row r="50" spans="1:19" ht="15" customHeight="1" x14ac:dyDescent="0.25">
      <c r="A50" s="1"/>
      <c r="B50" s="1"/>
      <c r="C50" s="1"/>
      <c r="D50" s="1"/>
      <c r="E50" s="1"/>
      <c r="F50" s="1"/>
      <c r="G50" s="1"/>
      <c r="H50" s="1"/>
      <c r="I50" s="1"/>
      <c r="J50" s="1"/>
      <c r="K50" s="1"/>
      <c r="L50" s="1"/>
      <c r="M50" s="1"/>
      <c r="N50" s="1"/>
      <c r="O50" s="1"/>
      <c r="P50" s="1"/>
      <c r="Q50" s="1"/>
      <c r="R50" s="1"/>
      <c r="S50" s="1"/>
    </row>
    <row r="51" spans="1:19" x14ac:dyDescent="0.25">
      <c r="A51" s="1"/>
      <c r="B51" s="1"/>
      <c r="C51" s="143" t="str">
        <f ca="1">Données!$C$45</f>
        <v>CR Point bimestriel PA Version 22.4 20190227 EVREUX</v>
      </c>
      <c r="D51" s="143"/>
      <c r="E51" s="143"/>
      <c r="F51" s="143"/>
      <c r="G51" s="143"/>
      <c r="H51" s="143"/>
      <c r="I51" s="143"/>
      <c r="J51" s="143"/>
      <c r="K51" s="143"/>
      <c r="L51" s="143"/>
      <c r="M51" s="143"/>
      <c r="N51" s="143"/>
      <c r="O51" s="143"/>
      <c r="P51" s="143"/>
      <c r="Q51" s="143"/>
      <c r="R51" s="1"/>
      <c r="S51" s="1"/>
    </row>
    <row r="53" spans="1:19" ht="5.0999999999999996" customHeight="1" x14ac:dyDescent="0.25"/>
  </sheetData>
  <sheetProtection algorithmName="SHA-512" hashValue="npR8Qg3SrV8JHbKLayfhAP7/I8+qaa1i7SRtBNNL7wEuGyV497wHq1MbyQ3gIKwK1zPP3UicyWssfDs+r9gwUA==" saltValue="XVQ+sQOWHwkH4t/CSVusfA==" spinCount="100000" sheet="1" objects="1" scenarios="1"/>
  <protectedRanges>
    <protectedRange sqref="P29:P44" name="Plage3"/>
    <protectedRange sqref="M29:N43" name="Plage2"/>
    <protectedRange sqref="C29:C43" name="Plage1"/>
  </protectedRanges>
  <mergeCells count="14">
    <mergeCell ref="C51:Q51"/>
    <mergeCell ref="P25:P28"/>
    <mergeCell ref="I25:I28"/>
    <mergeCell ref="J25:J28"/>
    <mergeCell ref="K25:K28"/>
    <mergeCell ref="L25:L28"/>
    <mergeCell ref="M25:M28"/>
    <mergeCell ref="N25:N28"/>
    <mergeCell ref="H25:H28"/>
    <mergeCell ref="C25:C28"/>
    <mergeCell ref="D25:D28"/>
    <mergeCell ref="E25:E28"/>
    <mergeCell ref="F25:F28"/>
    <mergeCell ref="G25:G28"/>
  </mergeCells>
  <conditionalFormatting sqref="E29:E43">
    <cfRule type="cellIs" dxfId="77" priority="10" operator="lessThanOrEqual">
      <formula>1</formula>
    </cfRule>
    <cfRule type="containsText" dxfId="76" priority="12" operator="containsText" text="/">
      <formula>NOT(ISERROR(SEARCH("/",E29)))</formula>
    </cfRule>
    <cfRule type="cellIs" dxfId="75" priority="13" operator="greaterThan">
      <formula>1</formula>
    </cfRule>
  </conditionalFormatting>
  <conditionalFormatting sqref="E44">
    <cfRule type="cellIs" dxfId="74" priority="5" operator="lessThanOrEqual">
      <formula>1</formula>
    </cfRule>
    <cfRule type="containsText" dxfId="73" priority="7" operator="containsText" text="/">
      <formula>NOT(ISERROR(SEARCH("/",E44)))</formula>
    </cfRule>
    <cfRule type="cellIs" dxfId="72" priority="8" operator="greaterThan">
      <formula>1</formula>
    </cfRule>
  </conditionalFormatting>
  <conditionalFormatting sqref="G29:G44">
    <cfRule type="containsText" dxfId="71" priority="1" operator="containsText" text="/">
      <formula>NOT(ISERROR(SEARCH("/",G29)))</formula>
    </cfRule>
    <cfRule type="cellIs" dxfId="70" priority="2" operator="lessThanOrEqual">
      <formula>15</formula>
    </cfRule>
    <cfRule type="cellIs" dxfId="69" priority="3" operator="greaterThan">
      <formula>15</formula>
    </cfRule>
  </conditionalFormatting>
  <dataValidations count="1">
    <dataValidation type="list" allowBlank="1" showInputMessage="1" showErrorMessage="1" sqref="C45">
      <formula1>#REF!</formula1>
    </dataValidation>
  </dataValidations>
  <printOptions horizontalCentered="1"/>
  <pageMargins left="0" right="0" top="0" bottom="1.3779527559055118" header="0.31496062992125984" footer="0.31496062992125984"/>
  <pageSetup paperSize="8" scale="56" orientation="landscape" r:id="rId1"/>
  <headerFooter>
    <oddFooter>&amp;C&amp;G</oddFooter>
  </headerFooter>
  <drawing r:id="rId2"/>
  <legacyDrawing r:id="rId3"/>
  <legacyDrawingHF r:id="rId4"/>
  <extLst>
    <ext xmlns:x14="http://schemas.microsoft.com/office/spreadsheetml/2009/9/main" uri="{CCE6A557-97BC-4b89-ADB6-D9C93CAAB3DF}">
      <x14:dataValidations xmlns:xm="http://schemas.microsoft.com/office/excel/2006/main" count="1">
        <x14:dataValidation type="list" allowBlank="1" showInputMessage="1" showErrorMessage="1">
          <x14:formula1>
            <xm:f>OFFSET('Phase GPA'!$ED$29:$ED43,0,0,COUNTA('Phase GPA'!$ED$19:$ED$43),1)</xm:f>
          </x14:formula1>
          <xm:sqref>C29:C43</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pageSetUpPr fitToPage="1"/>
  </sheetPr>
  <dimension ref="A1:AB53"/>
  <sheetViews>
    <sheetView showGridLines="0" zoomScaleNormal="100" workbookViewId="0"/>
  </sheetViews>
  <sheetFormatPr baseColWidth="10" defaultColWidth="11.42578125" defaultRowHeight="15" x14ac:dyDescent="0.25"/>
  <cols>
    <col min="1" max="2" width="0.85546875" customWidth="1"/>
    <col min="3" max="3" width="55.7109375" customWidth="1"/>
    <col min="4" max="14" width="15.7109375" customWidth="1"/>
    <col min="15" max="15" width="1.7109375" customWidth="1"/>
    <col min="16" max="16" width="104.7109375" customWidth="1"/>
    <col min="17" max="18" width="0.85546875" customWidth="1"/>
  </cols>
  <sheetData>
    <row r="1" spans="1:19" ht="5.0999999999999996" customHeight="1" x14ac:dyDescent="0.25">
      <c r="A1" s="1"/>
      <c r="B1" s="1"/>
      <c r="C1" s="1"/>
      <c r="D1" s="1"/>
      <c r="E1" s="1"/>
      <c r="F1" s="1"/>
      <c r="G1" s="1"/>
      <c r="H1" s="1"/>
      <c r="I1" s="1"/>
      <c r="J1" s="1"/>
      <c r="K1" s="1"/>
      <c r="L1" s="1"/>
      <c r="M1" s="1"/>
      <c r="N1" s="1"/>
      <c r="O1" s="1"/>
      <c r="P1" s="1"/>
      <c r="Q1" s="1"/>
      <c r="R1" s="1"/>
    </row>
    <row r="2" spans="1:19" x14ac:dyDescent="0.25">
      <c r="A2" s="1"/>
      <c r="B2" s="1"/>
      <c r="C2" s="7"/>
      <c r="D2" s="7"/>
      <c r="E2" s="7"/>
      <c r="F2" s="7"/>
      <c r="G2" s="7"/>
      <c r="H2" s="7"/>
      <c r="I2" s="7"/>
      <c r="J2" s="7"/>
      <c r="K2" s="7"/>
      <c r="L2" s="7"/>
      <c r="M2" s="7"/>
      <c r="N2" s="7"/>
      <c r="O2" s="7"/>
      <c r="P2" s="7"/>
      <c r="Q2" s="7"/>
      <c r="R2" s="7"/>
      <c r="S2" s="8"/>
    </row>
    <row r="3" spans="1:19" x14ac:dyDescent="0.25">
      <c r="A3" s="1"/>
      <c r="B3" s="1"/>
      <c r="C3" s="7"/>
      <c r="D3" s="7"/>
      <c r="E3" s="7"/>
      <c r="F3" s="7"/>
      <c r="G3" s="7"/>
      <c r="H3" s="7"/>
      <c r="I3" s="7"/>
      <c r="J3" s="7"/>
      <c r="K3" s="7"/>
      <c r="L3" s="7"/>
      <c r="M3" s="7"/>
      <c r="N3" s="7"/>
      <c r="O3" s="7"/>
      <c r="P3" s="7"/>
      <c r="Q3" s="7"/>
      <c r="R3" s="7"/>
      <c r="S3" s="8"/>
    </row>
    <row r="4" spans="1:19" x14ac:dyDescent="0.25">
      <c r="A4" s="1"/>
      <c r="B4" s="1"/>
      <c r="C4" s="7"/>
      <c r="D4" s="7"/>
      <c r="E4" s="7"/>
      <c r="F4" s="7"/>
      <c r="G4" s="7"/>
      <c r="H4" s="7"/>
      <c r="I4" s="7"/>
      <c r="J4" s="7"/>
      <c r="K4" s="7"/>
      <c r="L4" s="7"/>
      <c r="M4" s="7"/>
      <c r="N4" s="7"/>
      <c r="O4" s="7"/>
      <c r="P4" s="7"/>
      <c r="Q4" s="7"/>
      <c r="R4" s="7"/>
      <c r="S4" s="8"/>
    </row>
    <row r="5" spans="1:19" x14ac:dyDescent="0.25">
      <c r="A5" s="1"/>
      <c r="B5" s="1"/>
      <c r="C5" s="7"/>
      <c r="D5" s="7"/>
      <c r="E5" s="7"/>
      <c r="F5" s="7"/>
      <c r="G5" s="7"/>
      <c r="H5" s="7"/>
      <c r="I5" s="7"/>
      <c r="J5" s="7"/>
      <c r="K5" s="7"/>
      <c r="L5" s="7"/>
      <c r="M5" s="7"/>
      <c r="N5" s="7"/>
      <c r="O5" s="7"/>
      <c r="P5" s="7"/>
      <c r="Q5" s="7"/>
      <c r="R5" s="7"/>
      <c r="S5" s="8"/>
    </row>
    <row r="6" spans="1:19" x14ac:dyDescent="0.25">
      <c r="A6" s="1"/>
      <c r="B6" s="1"/>
      <c r="C6" s="7"/>
      <c r="D6" s="7"/>
      <c r="E6" s="7"/>
      <c r="F6" s="7"/>
      <c r="G6" s="7"/>
      <c r="H6" s="7"/>
      <c r="I6" s="7"/>
      <c r="J6" s="7"/>
      <c r="K6" s="7"/>
      <c r="L6" s="7"/>
      <c r="M6" s="7"/>
      <c r="N6" s="7"/>
      <c r="O6" s="7"/>
      <c r="P6" s="7"/>
      <c r="Q6" s="7"/>
      <c r="R6" s="7"/>
      <c r="S6" s="8"/>
    </row>
    <row r="7" spans="1:19" x14ac:dyDescent="0.25">
      <c r="A7" s="1"/>
      <c r="B7" s="1"/>
      <c r="C7" s="7"/>
      <c r="D7" s="7"/>
      <c r="E7" s="7"/>
      <c r="F7" s="7"/>
      <c r="G7" s="7"/>
      <c r="H7" s="7"/>
      <c r="I7" s="7"/>
      <c r="J7" s="7"/>
      <c r="K7" s="7"/>
      <c r="L7" s="7"/>
      <c r="M7" s="7"/>
      <c r="N7" s="7"/>
      <c r="O7" s="7"/>
      <c r="P7" s="7"/>
      <c r="Q7" s="7"/>
      <c r="R7" s="7"/>
      <c r="S7" s="8"/>
    </row>
    <row r="8" spans="1:19" x14ac:dyDescent="0.25">
      <c r="A8" s="1"/>
      <c r="B8" s="1"/>
      <c r="C8" s="7"/>
      <c r="D8" s="7"/>
      <c r="E8" s="7"/>
      <c r="F8" s="7"/>
      <c r="G8" s="7"/>
      <c r="H8" s="7"/>
      <c r="I8" s="7"/>
      <c r="J8" s="7"/>
      <c r="K8" s="7"/>
      <c r="L8" s="7"/>
      <c r="M8" s="7"/>
      <c r="N8" s="7"/>
      <c r="O8" s="7"/>
      <c r="P8" s="7"/>
      <c r="Q8" s="7"/>
      <c r="R8" s="7"/>
      <c r="S8" s="8"/>
    </row>
    <row r="9" spans="1:19" x14ac:dyDescent="0.25">
      <c r="A9" s="1"/>
      <c r="B9" s="1"/>
      <c r="C9" s="7"/>
      <c r="D9" s="7"/>
      <c r="E9" s="7"/>
      <c r="F9" s="7"/>
      <c r="G9" s="7"/>
      <c r="H9" s="7"/>
      <c r="I9" s="7"/>
      <c r="J9" s="7"/>
      <c r="K9" s="7"/>
      <c r="L9" s="7"/>
      <c r="M9" s="7"/>
      <c r="N9" s="7"/>
      <c r="O9" s="7"/>
      <c r="P9" s="7"/>
      <c r="Q9" s="7"/>
      <c r="R9" s="7"/>
      <c r="S9" s="8"/>
    </row>
    <row r="10" spans="1:19" x14ac:dyDescent="0.25">
      <c r="A10" s="1"/>
      <c r="B10" s="1"/>
      <c r="C10" s="7"/>
      <c r="D10" s="7"/>
      <c r="E10" s="7"/>
      <c r="F10" s="7"/>
      <c r="G10" s="7"/>
      <c r="H10" s="7"/>
      <c r="I10" s="7"/>
      <c r="J10" s="7"/>
      <c r="K10" s="7"/>
      <c r="L10" s="7"/>
      <c r="M10" s="7"/>
      <c r="N10" s="7"/>
      <c r="O10" s="7"/>
      <c r="P10" s="7"/>
      <c r="Q10" s="7"/>
      <c r="R10" s="7"/>
      <c r="S10" s="8"/>
    </row>
    <row r="20" spans="1:28" x14ac:dyDescent="0.25">
      <c r="A20" s="1"/>
      <c r="B20" s="1"/>
      <c r="C20" s="4"/>
      <c r="D20" s="4"/>
      <c r="E20" s="4"/>
      <c r="F20" s="4"/>
      <c r="G20" s="4"/>
      <c r="H20" s="4"/>
      <c r="I20" s="4"/>
      <c r="J20" s="4"/>
      <c r="K20" s="4"/>
      <c r="L20" s="4"/>
      <c r="M20" s="4"/>
      <c r="N20" s="4"/>
      <c r="O20" s="4"/>
      <c r="P20" s="4"/>
      <c r="Q20" s="1"/>
      <c r="R20" s="1"/>
      <c r="S20" s="1"/>
    </row>
    <row r="21" spans="1:28" x14ac:dyDescent="0.25">
      <c r="A21" s="1"/>
      <c r="B21" s="1"/>
      <c r="C21" s="4"/>
      <c r="D21" s="4"/>
      <c r="E21" s="4"/>
      <c r="F21" s="4"/>
      <c r="G21" s="4"/>
      <c r="H21" s="4"/>
      <c r="I21" s="4"/>
      <c r="J21" s="4"/>
      <c r="K21" s="4"/>
      <c r="L21" s="4"/>
      <c r="M21" s="4"/>
      <c r="N21" s="4"/>
      <c r="O21" s="4"/>
      <c r="P21" s="4"/>
      <c r="Q21" s="1"/>
      <c r="R21" s="1"/>
      <c r="S21" s="1"/>
    </row>
    <row r="22" spans="1:28" x14ac:dyDescent="0.25">
      <c r="A22" s="1"/>
      <c r="B22" s="1"/>
      <c r="C22" s="4"/>
      <c r="D22" s="4"/>
      <c r="E22" s="4"/>
      <c r="F22" s="4"/>
      <c r="G22" s="4"/>
      <c r="H22" s="4"/>
      <c r="I22" s="4"/>
      <c r="J22" s="4"/>
      <c r="K22" s="4"/>
      <c r="L22" s="4"/>
      <c r="M22" s="4"/>
      <c r="N22" s="4"/>
      <c r="O22" s="4"/>
      <c r="P22" s="4"/>
      <c r="Q22" s="1"/>
      <c r="R22" s="1"/>
      <c r="S22" s="1"/>
    </row>
    <row r="23" spans="1:28" x14ac:dyDescent="0.25">
      <c r="A23" s="1"/>
      <c r="B23" s="1"/>
      <c r="C23" s="4"/>
      <c r="D23" s="4"/>
      <c r="E23" s="4"/>
      <c r="F23" s="4"/>
      <c r="G23" s="4"/>
      <c r="H23" s="4"/>
      <c r="I23" s="4"/>
      <c r="J23" s="4"/>
      <c r="K23" s="4"/>
      <c r="L23" s="4"/>
      <c r="M23" s="4"/>
      <c r="N23" s="4"/>
      <c r="O23" s="4"/>
      <c r="P23" s="4"/>
      <c r="Q23" s="1"/>
      <c r="R23" s="1"/>
      <c r="S23" s="1"/>
    </row>
    <row r="24" spans="1:28" x14ac:dyDescent="0.25">
      <c r="A24" s="1"/>
      <c r="B24" s="1"/>
      <c r="C24" s="4"/>
      <c r="D24" s="4"/>
      <c r="E24" s="4"/>
      <c r="F24" s="4"/>
      <c r="G24" s="4"/>
      <c r="H24" s="4"/>
      <c r="I24" s="4"/>
      <c r="J24" s="4"/>
      <c r="K24" s="4"/>
      <c r="L24" s="4"/>
      <c r="M24" s="4"/>
      <c r="N24" s="4"/>
      <c r="O24" s="4"/>
      <c r="P24" s="4"/>
      <c r="Q24" s="1"/>
      <c r="R24" s="1"/>
      <c r="S24" s="1"/>
    </row>
    <row r="25" spans="1:28" ht="15" customHeight="1" x14ac:dyDescent="0.25">
      <c r="A25" s="1"/>
      <c r="B25" s="1"/>
      <c r="C25" s="125" t="s">
        <v>7</v>
      </c>
      <c r="D25" s="154" t="s">
        <v>13</v>
      </c>
      <c r="E25" s="154" t="s">
        <v>22</v>
      </c>
      <c r="F25" s="154" t="s">
        <v>73</v>
      </c>
      <c r="G25" s="154" t="s">
        <v>31</v>
      </c>
      <c r="H25" s="154" t="s">
        <v>14</v>
      </c>
      <c r="I25" s="154" t="s">
        <v>20</v>
      </c>
      <c r="J25" s="154" t="s">
        <v>23</v>
      </c>
      <c r="K25" s="154" t="s">
        <v>74</v>
      </c>
      <c r="L25" s="154" t="s">
        <v>15</v>
      </c>
      <c r="M25" s="125" t="s">
        <v>16</v>
      </c>
      <c r="N25" s="125" t="s">
        <v>38</v>
      </c>
      <c r="O25" s="2"/>
      <c r="P25" s="125" t="s">
        <v>43</v>
      </c>
      <c r="Q25" s="1"/>
      <c r="R25" s="1"/>
    </row>
    <row r="26" spans="1:28" x14ac:dyDescent="0.25">
      <c r="A26" s="1"/>
      <c r="B26" s="1"/>
      <c r="C26" s="126"/>
      <c r="D26" s="155"/>
      <c r="E26" s="155"/>
      <c r="F26" s="155"/>
      <c r="G26" s="155"/>
      <c r="H26" s="155"/>
      <c r="I26" s="155"/>
      <c r="J26" s="155"/>
      <c r="K26" s="155"/>
      <c r="L26" s="155"/>
      <c r="M26" s="126"/>
      <c r="N26" s="126"/>
      <c r="O26" s="2"/>
      <c r="P26" s="126"/>
      <c r="Q26" s="1"/>
      <c r="R26" s="1"/>
    </row>
    <row r="27" spans="1:28" ht="15" customHeight="1" x14ac:dyDescent="0.25">
      <c r="A27" s="1"/>
      <c r="B27" s="1"/>
      <c r="C27" s="126"/>
      <c r="D27" s="155"/>
      <c r="E27" s="155"/>
      <c r="F27" s="155"/>
      <c r="G27" s="155"/>
      <c r="H27" s="155"/>
      <c r="I27" s="155"/>
      <c r="J27" s="155"/>
      <c r="K27" s="155"/>
      <c r="L27" s="155"/>
      <c r="M27" s="126"/>
      <c r="N27" s="126"/>
      <c r="O27" s="9"/>
      <c r="P27" s="126"/>
      <c r="Q27" s="1"/>
      <c r="R27" s="1"/>
    </row>
    <row r="28" spans="1:28" x14ac:dyDescent="0.25">
      <c r="A28" s="1"/>
      <c r="B28" s="1"/>
      <c r="C28" s="127"/>
      <c r="D28" s="156"/>
      <c r="E28" s="156"/>
      <c r="F28" s="156"/>
      <c r="G28" s="156"/>
      <c r="H28" s="156"/>
      <c r="I28" s="156"/>
      <c r="J28" s="156"/>
      <c r="K28" s="156"/>
      <c r="L28" s="156"/>
      <c r="M28" s="127"/>
      <c r="N28" s="127"/>
      <c r="O28" s="9"/>
      <c r="P28" s="127"/>
      <c r="Q28" s="1"/>
      <c r="R28" s="1"/>
    </row>
    <row r="29" spans="1:28" ht="50.1" customHeight="1" x14ac:dyDescent="0.25">
      <c r="A29" s="1"/>
      <c r="B29" s="1"/>
      <c r="C29" s="15"/>
      <c r="D29" s="42" t="str">
        <f>IF($C29="","",IFERROR(IF(ISNA(VLOOKUP($C29,'Phase GPA'!$C$29:'Phase GPA'!$U$44,10,0)), ,VLOOKUP($C29,'Phase GPA'!$C$29:'Phase GPA'!$U$44,10,0)),0))</f>
        <v/>
      </c>
      <c r="E29" s="43" t="str">
        <f>IF($C29="","",IFERROR(IF(ISNA($D29/S29RECHERCHEV($C29,Données!$C$19:'Données'!$I$38,6,0)), ,$D29/VLOOKUP($C29,Données!$C$19:'Données'!$I$38,6,0)),"/"))</f>
        <v/>
      </c>
      <c r="F29" s="43" t="str">
        <f>IF($C29="","",IFERROR(IF(ISNA($D29/VLOOKUP($C29,Données!$C$19:'Données'!$I$38,7,0)*100), ,$D29/VLOOKUP($C29,Données!$C$19:'Données'!$I$38,7,0)*100),"/"))</f>
        <v/>
      </c>
      <c r="G29" s="42" t="str">
        <f>IF($C29="","",IFERROR(IF(ISNA(VLOOKUP($C29,'Phase GPA'!$C$29:'Phase GPA'!$U$44,11,0)), ,VLOOKUP($C29,'Phase GPA'!$C$29:'Phase GPA'!$U$44,11,0)),0))</f>
        <v/>
      </c>
      <c r="H29" s="44" t="str">
        <f>IF($C29="","",IFERROR(IF(ISNA(VLOOKUP($C29,'Phase GPA'!$C$29:'Phase GPA'!$U$44,12,0)), ,VLOOKUP($C29,'Phase GPA'!$C$29:'Phase GPA'!$U$44,12,0)),0))</f>
        <v/>
      </c>
      <c r="I29" s="45" t="str">
        <f>IF($C29="","",IFERROR(IF(ISNA($H29/VLOOKUP($C29,Données!$C$19:'Données'!$I$38,5,0)), ,$H29/VLOOKUP($C29,Données!$C$19:'Données'!$I$38,5,0))*100,0))</f>
        <v/>
      </c>
      <c r="J29" s="45" t="str">
        <f>IF($C29="","",IFERROR(IF(ISNA($H29/VLOOKUP($C29,Données!$C$19:'Données'!$I$38,6,0)), ,$H29/VLOOKUP($C29,Données!$C$19:'Données'!$I$38,6,0)),"/"))</f>
        <v/>
      </c>
      <c r="K29" s="45" t="str">
        <f>IF($C29="","",IFERROR(IF(ISNA($H29/VLOOKUP($C29,Données!$C$19:'Données'!$I$38,7,0)*100), ,$H29/VLOOKUP($C29,Données!$C$19:'Données'!$I$38,7,0)*100),"/"))</f>
        <v/>
      </c>
      <c r="L29" s="99" t="str">
        <f>IF($D29=0,"/",IF($C29="","",IFERROR(($H29/$D29),0)))</f>
        <v/>
      </c>
      <c r="M29" s="13"/>
      <c r="N29" s="12"/>
      <c r="O29" s="3"/>
      <c r="P29" s="16"/>
      <c r="Q29" s="1"/>
      <c r="R29" s="1"/>
      <c r="S29" s="55" t="str">
        <f>IF($C29="","",IFERROR(IF(ISNA(VLOOKUP($C29,Données!$C$19:'Données'!$I$38,6,0)), ,VLOOKUP($C29,Données!$C$19:'Données'!$I$38,6,0)),"/"))</f>
        <v/>
      </c>
      <c r="T29" s="55" t="str">
        <f>IF($C29="","",IFERROR(IF(ISNA(VLOOKUP($C29,Données!$C$19:'Données'!$I$38,7,0)), ,VLOOKUP($C29,Données!$C$19:'Données'!$I$38,7,0)),"/"))</f>
        <v/>
      </c>
      <c r="U29" s="55" t="str">
        <f>IF($C29="","",IFERROR(IF(ISNA(VLOOKUP($C29,Données!$C$19:'Données'!$I$38,5,0)), ,VLOOKUP($C29,Données!$C$19:'Données'!$I$38,5,0)),"/"))</f>
        <v/>
      </c>
      <c r="V29" s="55" t="str">
        <f>IF($C29="","",IFERROR(IF(ISNA($D29*$G29), ,$D29*$G29),"/"))</f>
        <v/>
      </c>
      <c r="W29" s="50">
        <f>IF($C29&lt;&gt;"",1,0)</f>
        <v>0</v>
      </c>
      <c r="X29" s="73"/>
      <c r="Y29" s="73"/>
      <c r="Z29" s="73"/>
      <c r="AA29" s="73"/>
      <c r="AB29" s="73"/>
    </row>
    <row r="30" spans="1:28" ht="50.1" customHeight="1" x14ac:dyDescent="0.25">
      <c r="A30" s="1"/>
      <c r="B30" s="1"/>
      <c r="C30" s="15"/>
      <c r="D30" s="42" t="str">
        <f>IF($C30="","",IFERROR(IF(ISNA(VLOOKUP($C30,'Phase GPA'!$C$29:'Phase GPA'!$U$44,10,0)), ,VLOOKUP($C30,'Phase GPA'!$C$29:'Phase GPA'!$U$44,10,0)),0))</f>
        <v/>
      </c>
      <c r="E30" s="43" t="str">
        <f>IF($C30="","",IFERROR(IF(ISNA($D30/VLOOKUP($C30,Données!$C$19:'Données'!$I$38,6,0)), ,$D30/VLOOKUP($C30,Données!$C$19:'Données'!$I$38,6,0)),"/"))</f>
        <v/>
      </c>
      <c r="F30" s="43" t="str">
        <f>IF($C30="","",IFERROR(IF(ISNA($D30/VLOOKUP($C30,Données!$C$19:'Données'!$I$38,7,0)*100), ,$D30/VLOOKUP($C30,Données!$C$19:'Données'!$I$38,7,0)*100),"/"))</f>
        <v/>
      </c>
      <c r="G30" s="42" t="str">
        <f>IF($C30="","",IFERROR(IF(ISNA(VLOOKUP($C30,'Phase GPA'!$C$29:'Phase GPA'!$U$44,11,0)), ,VLOOKUP($C30,'Phase GPA'!$C$29:'Phase GPA'!$U$44,11,0)),0))</f>
        <v/>
      </c>
      <c r="H30" s="44" t="str">
        <f>IF($C30="","",IFERROR(IF(ISNA(VLOOKUP($C30,'Phase GPA'!$C$29:'Phase GPA'!$U$44,12,0)), ,VLOOKUP($C30,'Phase GPA'!$C$29:'Phase GPA'!$U$44,12,0)),0))</f>
        <v/>
      </c>
      <c r="I30" s="45" t="str">
        <f>IF($C30="","",IFERROR(IF(ISNA($H30/VLOOKUP($C30,Données!$C$19:'Données'!$I$38,5,0)), ,$H30/VLOOKUP($C30,Données!$C$19:'Données'!$I$38,5,0))*100,0))</f>
        <v/>
      </c>
      <c r="J30" s="45" t="str">
        <f>IF($C30="","",IFERROR(IF(ISNA($H30/VLOOKUP($C30,Données!$C$19:'Données'!$I$38,6,0)), ,$H30/VLOOKUP($C30,Données!$C$19:'Données'!$I$38,6,0)),"/"))</f>
        <v/>
      </c>
      <c r="K30" s="45" t="str">
        <f>IF($C30="","",IFERROR(IF(ISNA($H30/VLOOKUP($C30,Données!$C$19:'Données'!$I$38,7,0)*100), ,$H30/VLOOKUP($C30,Données!$C$19:'Données'!$I$38,7,0)*100),"/"))</f>
        <v/>
      </c>
      <c r="L30" s="99" t="str">
        <f t="shared" ref="L30:L43" si="0">IF($D30=0,"/",IF($C30="","",IFERROR(($H30/$D30),0)))</f>
        <v/>
      </c>
      <c r="M30" s="13"/>
      <c r="N30" s="12"/>
      <c r="O30" s="3"/>
      <c r="P30" s="16"/>
      <c r="Q30" s="1"/>
      <c r="R30" s="1"/>
      <c r="S30" s="55" t="str">
        <f>IF($C30="","",IFERROR(IF(ISNA(VLOOKUP($C30,Données!$C$19:'Données'!$I$38,6,0)), ,VLOOKUP($C30,Données!$C$19:'Données'!$I$38,6,0)),"/"))</f>
        <v/>
      </c>
      <c r="T30" s="55" t="str">
        <f>IF($C30="","",IFERROR(IF(ISNA(VLOOKUP($C30,Données!$C$19:'Données'!$I$38,7,0)), ,VLOOKUP($C30,Données!$C$19:'Données'!$I$38,7,0)),"/"))</f>
        <v/>
      </c>
      <c r="U30" s="55" t="str">
        <f>IF($C30="","",IFERROR(IF(ISNA(VLOOKUP($C30,Données!$C$19:'Données'!$I$38,5,0)), ,VLOOKUP($C30,Données!$C$19:'Données'!$I$38,5,0)),"/"))</f>
        <v/>
      </c>
      <c r="V30" s="55" t="str">
        <f>IF($C30="","",IFERROR(IF(ISNA($D30*$G30), ,$D30*$G30),"/"))</f>
        <v/>
      </c>
      <c r="W30" s="50">
        <f t="shared" ref="W30:W43" si="1">IF($C30&lt;&gt;"",1,0)</f>
        <v>0</v>
      </c>
      <c r="X30" s="73"/>
      <c r="Y30" s="73"/>
      <c r="Z30" s="73"/>
      <c r="AA30" s="73"/>
      <c r="AB30" s="73"/>
    </row>
    <row r="31" spans="1:28" ht="50.1" customHeight="1" x14ac:dyDescent="0.25">
      <c r="A31" s="1"/>
      <c r="B31" s="1"/>
      <c r="C31" s="15"/>
      <c r="D31" s="42" t="str">
        <f>IF($C31="","",IFERROR(IF(ISNA(VLOOKUP($C31,'Phase GPA'!$C$29:'Phase GPA'!$U$44,10,0)), ,VLOOKUP($C31,'Phase GPA'!$C$29:'Phase GPA'!$U$44,10,0)),0))</f>
        <v/>
      </c>
      <c r="E31" s="43" t="str">
        <f>IF($C31="","",IFERROR(IF(ISNA($D31/VLOOKUP($C31,Données!$C$19:'Données'!$I$38,6,0)), ,$D31/VLOOKUP($C31,Données!$C$19:'Données'!$I$38,6,0)),"/"))</f>
        <v/>
      </c>
      <c r="F31" s="43" t="str">
        <f>IF($C31="","",IFERROR(IF(ISNA($D31/VLOOKUP($C31,Données!$C$19:'Données'!$I$38,7,0)*100), ,$D31/VLOOKUP($C31,Données!$C$19:'Données'!$I$38,7,0)*100),"/"))</f>
        <v/>
      </c>
      <c r="G31" s="42" t="str">
        <f>IF($C31="","",IFERROR(IF(ISNA(VLOOKUP($C31,'Phase GPA'!$C$29:'Phase GPA'!$U$44,11,0)), ,VLOOKUP($C31,'Phase GPA'!$C$29:'Phase GPA'!$U$44,11,0)),0))</f>
        <v/>
      </c>
      <c r="H31" s="44" t="str">
        <f>IF($C31="","",IFERROR(IF(ISNA(VLOOKUP($C31,'Phase GPA'!$C$29:'Phase GPA'!$U$44,12,0)), ,VLOOKUP($C31,'Phase GPA'!$C$29:'Phase GPA'!$U$44,12,0)),0))</f>
        <v/>
      </c>
      <c r="I31" s="45" t="str">
        <f>IF($C31="","",IFERROR(IF(ISNA($H31/VLOOKUP($C31,Données!$C$19:'Données'!$I$38,5,0)), ,$H31/VLOOKUP($C31,Données!$C$19:'Données'!$I$38,5,0))*100,0))</f>
        <v/>
      </c>
      <c r="J31" s="45" t="str">
        <f>IF($C31="","",IFERROR(IF(ISNA($H31/VLOOKUP($C31,Données!$C$19:'Données'!$I$38,6,0)), ,$H31/VLOOKUP($C31,Données!$C$19:'Données'!$I$38,6,0)),"/"))</f>
        <v/>
      </c>
      <c r="K31" s="45" t="str">
        <f>IF($C31="","",IFERROR(IF(ISNA($H31/VLOOKUP($C31,Données!$C$19:'Données'!$I$38,7,0)*100), ,$H31/VLOOKUP($C31,Données!$C$19:'Données'!$I$38,7,0)*100),"/"))</f>
        <v/>
      </c>
      <c r="L31" s="99" t="str">
        <f t="shared" si="0"/>
        <v/>
      </c>
      <c r="M31" s="13"/>
      <c r="N31" s="12"/>
      <c r="O31" s="3"/>
      <c r="P31" s="16"/>
      <c r="Q31" s="1"/>
      <c r="R31" s="1"/>
      <c r="S31" s="55" t="str">
        <f>IF($C31="","",IFERROR(IF(ISNA(VLOOKUP($C31,Données!$C$19:'Données'!$I$38,6,0)), ,VLOOKUP($C31,Données!$C$19:'Données'!$I$38,6,0)),"/"))</f>
        <v/>
      </c>
      <c r="T31" s="55" t="str">
        <f>IF($C31="","",IFERROR(IF(ISNA(VLOOKUP($C31,Données!$C$19:'Données'!$I$38,7,0)), ,VLOOKUP($C31,Données!$C$19:'Données'!$I$38,7,0)),"/"))</f>
        <v/>
      </c>
      <c r="U31" s="55" t="str">
        <f>IF($C31="","",IFERROR(IF(ISNA(VLOOKUP($C31,Données!$C$19:'Données'!$I$38,5,0)), ,VLOOKUP($C31,Données!$C$19:'Données'!$I$38,5,0)),"/"))</f>
        <v/>
      </c>
      <c r="V31" s="55" t="str">
        <f t="shared" ref="V31:V43" si="2">IF($C31="","",IFERROR(IF(ISNA($D31*$G31), ,$D31*$G31),"/"))</f>
        <v/>
      </c>
      <c r="W31" s="50">
        <f t="shared" si="1"/>
        <v>0</v>
      </c>
      <c r="X31" s="73"/>
      <c r="Y31" s="73"/>
      <c r="Z31" s="73"/>
      <c r="AA31" s="73"/>
      <c r="AB31" s="73"/>
    </row>
    <row r="32" spans="1:28" ht="50.1" customHeight="1" x14ac:dyDescent="0.25">
      <c r="A32" s="1"/>
      <c r="B32" s="1"/>
      <c r="C32" s="15"/>
      <c r="D32" s="42" t="str">
        <f>IF($C32="","",IFERROR(IF(ISNA(VLOOKUP($C32,'Phase GPA'!$C$29:'Phase GPA'!$U$44,10,0)), ,VLOOKUP($C32,'Phase GPA'!$C$29:'Phase GPA'!$U$44,10,0)),0))</f>
        <v/>
      </c>
      <c r="E32" s="43" t="str">
        <f>IF($C32="","",IFERROR(IF(ISNA($D32/VLOOKUP($C32,Données!$C$19:'Données'!$I$38,6,0)), ,$D32/VLOOKUP($C32,Données!$C$19:'Données'!$I$38,6,0)),"/"))</f>
        <v/>
      </c>
      <c r="F32" s="43" t="str">
        <f>IF($C32="","",IFERROR(IF(ISNA($D32/VLOOKUP($C32,Données!$C$19:'Données'!$I$38,7,0)*100), ,$D32/VLOOKUP($C32,Données!$C$19:'Données'!$I$38,7,0)*100),"/"))</f>
        <v/>
      </c>
      <c r="G32" s="42" t="str">
        <f>IF($C32="","",IFERROR(IF(ISNA(VLOOKUP($C32,'Phase GPA'!$C$29:'Phase GPA'!$U$44,11,0)), ,VLOOKUP($C32,'Phase GPA'!$C$29:'Phase GPA'!$U$44,11,0)),0))</f>
        <v/>
      </c>
      <c r="H32" s="44" t="str">
        <f>IF($C32="","",IFERROR(IF(ISNA(VLOOKUP($C32,'Phase GPA'!$C$29:'Phase GPA'!$U$44,12,0)), ,VLOOKUP($C32,'Phase GPA'!$C$29:'Phase GPA'!$U$44,12,0)),0))</f>
        <v/>
      </c>
      <c r="I32" s="45" t="str">
        <f>IF($C32="","",IFERROR(IF(ISNA($H32/VLOOKUP($C32,Données!$C$19:'Données'!$I$38,5,0)), ,$H32/VLOOKUP($C32,Données!$C$19:'Données'!$I$38,5,0))*100,0))</f>
        <v/>
      </c>
      <c r="J32" s="45" t="str">
        <f>IF($C32="","",IFERROR(IF(ISNA($H32/VLOOKUP($C32,Données!$C$19:'Données'!$I$38,6,0)), ,$H32/VLOOKUP($C32,Données!$C$19:'Données'!$I$38,6,0)),"/"))</f>
        <v/>
      </c>
      <c r="K32" s="45" t="str">
        <f>IF($C32="","",IFERROR(IF(ISNA($H32/VLOOKUP($C32,Données!$C$19:'Données'!$I$38,7,0)*100), ,$H32/VLOOKUP($C32,Données!$C$19:'Données'!$I$38,7,0)*100),"/"))</f>
        <v/>
      </c>
      <c r="L32" s="99" t="str">
        <f t="shared" si="0"/>
        <v/>
      </c>
      <c r="M32" s="13"/>
      <c r="N32" s="12"/>
      <c r="O32" s="3"/>
      <c r="P32" s="16"/>
      <c r="Q32" s="1"/>
      <c r="R32" s="1"/>
      <c r="S32" s="55" t="str">
        <f>IF($C32="","",IFERROR(IF(ISNA(VLOOKUP($C32,Données!$C$19:'Données'!$I$38,6,0)), ,VLOOKUP($C32,Données!$C$19:'Données'!$I$38,6,0)),"/"))</f>
        <v/>
      </c>
      <c r="T32" s="55" t="str">
        <f>IF($C32="","",IFERROR(IF(ISNA(VLOOKUP($C32,Données!$C$19:'Données'!$I$38,7,0)), ,VLOOKUP($C32,Données!$C$19:'Données'!$I$38,7,0)),"/"))</f>
        <v/>
      </c>
      <c r="U32" s="55" t="str">
        <f>IF($C32="","",IFERROR(IF(ISNA(VLOOKUP($C32,Données!$C$19:'Données'!$I$38,5,0)), ,VLOOKUP($C32,Données!$C$19:'Données'!$I$38,5,0)),"/"))</f>
        <v/>
      </c>
      <c r="V32" s="55" t="str">
        <f t="shared" si="2"/>
        <v/>
      </c>
      <c r="W32" s="50">
        <f t="shared" si="1"/>
        <v>0</v>
      </c>
      <c r="X32" s="73"/>
      <c r="Y32" s="73"/>
      <c r="Z32" s="73"/>
      <c r="AA32" s="73"/>
      <c r="AB32" s="73"/>
    </row>
    <row r="33" spans="1:28" ht="50.1" customHeight="1" x14ac:dyDescent="0.25">
      <c r="A33" s="1"/>
      <c r="B33" s="1"/>
      <c r="C33" s="15"/>
      <c r="D33" s="42" t="str">
        <f>IF($C33="","",IFERROR(IF(ISNA(VLOOKUP($C33,'Phase GPA'!$C$29:'Phase GPA'!$U$44,10,0)), ,VLOOKUP($C33,'Phase GPA'!$C$29:'Phase GPA'!$U$44,10,0)),0))</f>
        <v/>
      </c>
      <c r="E33" s="43" t="str">
        <f>IF($C33="","",IFERROR(IF(ISNA($D33/VLOOKUP($C33,Données!$C$19:'Données'!$I$38,6,0)), ,$D33/VLOOKUP($C33,Données!$C$19:'Données'!$I$38,6,0)),"/"))</f>
        <v/>
      </c>
      <c r="F33" s="43" t="str">
        <f>IF($C33="","",IFERROR(IF(ISNA($D33/VLOOKUP($C33,Données!$C$19:'Données'!$I$38,7,0)*100), ,$D33/VLOOKUP($C33,Données!$C$19:'Données'!$I$38,7,0)*100),"/"))</f>
        <v/>
      </c>
      <c r="G33" s="42" t="str">
        <f>IF($C33="","",IFERROR(IF(ISNA(VLOOKUP($C33,'Phase GPA'!$C$29:'Phase GPA'!$U$44,11,0)), ,VLOOKUP($C33,'Phase GPA'!$C$29:'Phase GPA'!$U$44,11,0)),0))</f>
        <v/>
      </c>
      <c r="H33" s="44" t="str">
        <f>IF($C33="","",IFERROR(IF(ISNA(VLOOKUP($C33,'Phase GPA'!$C$29:'Phase GPA'!$U$44,12,0)), ,VLOOKUP($C33,'Phase GPA'!$C$29:'Phase GPA'!$U$44,12,0)),0))</f>
        <v/>
      </c>
      <c r="I33" s="45" t="str">
        <f>IF($C33="","",IFERROR(IF(ISNA($H33/VLOOKUP($C33,Données!$C$19:'Données'!$I$38,5,0)), ,$H33/VLOOKUP($C33,Données!$C$19:'Données'!$I$38,5,0))*100,0))</f>
        <v/>
      </c>
      <c r="J33" s="45" t="str">
        <f>IF($C33="","",IFERROR(IF(ISNA($H33/VLOOKUP($C33,Données!$C$19:'Données'!$I$38,6,0)), ,$H33/VLOOKUP($C33,Données!$C$19:'Données'!$I$38,6,0)),"/"))</f>
        <v/>
      </c>
      <c r="K33" s="45" t="str">
        <f>IF($C33="","",IFERROR(IF(ISNA($H33/VLOOKUP($C33,Données!$C$19:'Données'!$I$38,7,0)*100), ,$H33/VLOOKUP($C33,Données!$C$19:'Données'!$I$38,7,0)*100),"/"))</f>
        <v/>
      </c>
      <c r="L33" s="99" t="str">
        <f t="shared" si="0"/>
        <v/>
      </c>
      <c r="M33" s="13"/>
      <c r="N33" s="12"/>
      <c r="O33" s="3"/>
      <c r="P33" s="16"/>
      <c r="Q33" s="1"/>
      <c r="R33" s="1"/>
      <c r="S33" s="55" t="str">
        <f>IF($C33="","",IFERROR(IF(ISNA(VLOOKUP($C33,Données!$C$19:'Données'!$I$38,6,0)), ,VLOOKUP($C33,Données!$C$19:'Données'!$I$38,6,0)),"/"))</f>
        <v/>
      </c>
      <c r="T33" s="55" t="str">
        <f>IF($C33="","",IFERROR(IF(ISNA(VLOOKUP($C33,Données!$C$19:'Données'!$I$38,7,0)), ,VLOOKUP($C33,Données!$C$19:'Données'!$I$38,7,0)),"/"))</f>
        <v/>
      </c>
      <c r="U33" s="55" t="str">
        <f>IF($C33="","",IFERROR(IF(ISNA(VLOOKUP($C33,Données!$C$19:'Données'!$I$38,5,0)), ,VLOOKUP($C33,Données!$C$19:'Données'!$I$38,5,0)),"/"))</f>
        <v/>
      </c>
      <c r="V33" s="55" t="str">
        <f t="shared" si="2"/>
        <v/>
      </c>
      <c r="W33" s="50">
        <f t="shared" si="1"/>
        <v>0</v>
      </c>
      <c r="X33" s="73"/>
      <c r="Y33" s="73"/>
      <c r="Z33" s="73"/>
      <c r="AA33" s="73"/>
      <c r="AB33" s="73"/>
    </row>
    <row r="34" spans="1:28" ht="50.1" customHeight="1" x14ac:dyDescent="0.25">
      <c r="A34" s="1"/>
      <c r="B34" s="1"/>
      <c r="C34" s="15"/>
      <c r="D34" s="42" t="str">
        <f>IF($C34="","",IFERROR(IF(ISNA(VLOOKUP($C34,'Phase GPA'!$C$29:'Phase GPA'!$U$44,10,0)), ,VLOOKUP($C34,'Phase GPA'!$C$29:'Phase GPA'!$U$44,10,0)),0))</f>
        <v/>
      </c>
      <c r="E34" s="43" t="str">
        <f>IF($C34="","",IFERROR(IF(ISNA($D34/VLOOKUP($C34,Données!$C$19:'Données'!$I$38,6,0)), ,$D34/VLOOKUP($C34,Données!$C$19:'Données'!$I$38,6,0)),"/"))</f>
        <v/>
      </c>
      <c r="F34" s="43" t="str">
        <f>IF($C34="","",IFERROR(IF(ISNA($D34/VLOOKUP($C34,Données!$C$19:'Données'!$I$38,7,0)*100), ,$D34/VLOOKUP($C34,Données!$C$19:'Données'!$I$38,7,0)*100),"/"))</f>
        <v/>
      </c>
      <c r="G34" s="42" t="str">
        <f>IF($C34="","",IFERROR(IF(ISNA(VLOOKUP($C34,'Phase GPA'!$C$29:'Phase GPA'!$U$44,11,0)), ,VLOOKUP($C34,'Phase GPA'!$C$29:'Phase GPA'!$U$44,11,0)),0))</f>
        <v/>
      </c>
      <c r="H34" s="44" t="str">
        <f>IF($C34="","",IFERROR(IF(ISNA(VLOOKUP($C34,'Phase GPA'!$C$29:'Phase GPA'!$U$44,12,0)), ,VLOOKUP($C34,'Phase GPA'!$C$29:'Phase GPA'!$U$44,12,0)),0))</f>
        <v/>
      </c>
      <c r="I34" s="45" t="str">
        <f>IF($C34="","",IFERROR(IF(ISNA($H34/VLOOKUP($C34,Données!$C$19:'Données'!$I$38,5,0)), ,$H34/VLOOKUP($C34,Données!$C$19:'Données'!$I$38,5,0))*100,0))</f>
        <v/>
      </c>
      <c r="J34" s="45" t="str">
        <f>IF($C34="","",IFERROR(IF(ISNA($H34/VLOOKUP($C34,Données!$C$19:'Données'!$I$38,6,0)), ,$H34/VLOOKUP($C34,Données!$C$19:'Données'!$I$38,6,0)),"/"))</f>
        <v/>
      </c>
      <c r="K34" s="45" t="str">
        <f>IF($C34="","",IFERROR(IF(ISNA($H34/VLOOKUP($C34,Données!$C$19:'Données'!$I$38,7,0)*100), ,$H34/VLOOKUP($C34,Données!$C$19:'Données'!$I$38,7,0)*100),"/"))</f>
        <v/>
      </c>
      <c r="L34" s="99" t="str">
        <f t="shared" si="0"/>
        <v/>
      </c>
      <c r="M34" s="13"/>
      <c r="N34" s="12"/>
      <c r="O34" s="3"/>
      <c r="P34" s="16"/>
      <c r="Q34" s="1"/>
      <c r="R34" s="1"/>
      <c r="S34" s="55" t="str">
        <f>IF($C34="","",IFERROR(IF(ISNA(VLOOKUP($C34,Données!$C$19:'Données'!$I$38,6,0)), ,VLOOKUP($C34,Données!$C$19:'Données'!$I$38,6,0)),"/"))</f>
        <v/>
      </c>
      <c r="T34" s="55" t="str">
        <f>IF($C34="","",IFERROR(IF(ISNA(VLOOKUP($C34,Données!$C$19:'Données'!$I$38,7,0)), ,VLOOKUP($C34,Données!$C$19:'Données'!$I$38,7,0)),"/"))</f>
        <v/>
      </c>
      <c r="U34" s="55" t="str">
        <f>IF($C34="","",IFERROR(IF(ISNA(VLOOKUP($C34,Données!$C$19:'Données'!$I$38,5,0)), ,VLOOKUP($C34,Données!$C$19:'Données'!$I$38,5,0)),"/"))</f>
        <v/>
      </c>
      <c r="V34" s="55" t="str">
        <f t="shared" si="2"/>
        <v/>
      </c>
      <c r="W34" s="50">
        <f t="shared" si="1"/>
        <v>0</v>
      </c>
      <c r="X34" s="73"/>
      <c r="Y34" s="73"/>
      <c r="Z34" s="73"/>
      <c r="AA34" s="73"/>
      <c r="AB34" s="73"/>
    </row>
    <row r="35" spans="1:28" ht="50.1" customHeight="1" x14ac:dyDescent="0.25">
      <c r="A35" s="1"/>
      <c r="B35" s="1"/>
      <c r="C35" s="15"/>
      <c r="D35" s="42" t="str">
        <f>IF($C35="","",IFERROR(IF(ISNA(VLOOKUP($C35,'Phase GPA'!$C$29:'Phase GPA'!$U$44,10,0)), ,VLOOKUP($C35,'Phase GPA'!$C$29:'Phase GPA'!$U$44,10,0)),0))</f>
        <v/>
      </c>
      <c r="E35" s="43" t="str">
        <f>IF($C35="","",IFERROR(IF(ISNA($D35/VLOOKUP($C35,Données!$C$19:'Données'!$I$38,6,0)), ,$D35/VLOOKUP($C35,Données!$C$19:'Données'!$I$38,6,0)),"/"))</f>
        <v/>
      </c>
      <c r="F35" s="43" t="str">
        <f>IF($C35="","",IFERROR(IF(ISNA($D35/VLOOKUP($C35,Données!$C$19:'Données'!$I$38,7,0)*100), ,$D35/VLOOKUP($C35,Données!$C$19:'Données'!$I$38,7,0)*100),"/"))</f>
        <v/>
      </c>
      <c r="G35" s="42" t="str">
        <f>IF($C35="","",IFERROR(IF(ISNA(VLOOKUP($C35,'Phase GPA'!$C$29:'Phase GPA'!$U$44,11,0)), ,VLOOKUP($C35,'Phase GPA'!$C$29:'Phase GPA'!$U$44,11,0)),0))</f>
        <v/>
      </c>
      <c r="H35" s="44" t="str">
        <f>IF($C35="","",IFERROR(IF(ISNA(VLOOKUP($C35,'Phase GPA'!$C$29:'Phase GPA'!$U$44,12,0)), ,VLOOKUP($C35,'Phase GPA'!$C$29:'Phase GPA'!$U$44,12,0)),0))</f>
        <v/>
      </c>
      <c r="I35" s="45" t="str">
        <f>IF($C35="","",IFERROR(IF(ISNA($H35/VLOOKUP($C35,Données!$C$19:'Données'!$I$38,5,0)), ,$H35/VLOOKUP($C35,Données!$C$19:'Données'!$I$38,5,0))*100,0))</f>
        <v/>
      </c>
      <c r="J35" s="45" t="str">
        <f>IF($C35="","",IFERROR(IF(ISNA($H35/VLOOKUP($C35,Données!$C$19:'Données'!$I$38,6,0)), ,$H35/VLOOKUP($C35,Données!$C$19:'Données'!$I$38,6,0)),"/"))</f>
        <v/>
      </c>
      <c r="K35" s="45" t="str">
        <f>IF($C35="","",IFERROR(IF(ISNA($H35/VLOOKUP($C35,Données!$C$19:'Données'!$I$38,7,0)*100), ,$H35/VLOOKUP($C35,Données!$C$19:'Données'!$I$38,7,0)*100),"/"))</f>
        <v/>
      </c>
      <c r="L35" s="99" t="str">
        <f t="shared" si="0"/>
        <v/>
      </c>
      <c r="M35" s="13"/>
      <c r="N35" s="12"/>
      <c r="O35" s="3"/>
      <c r="P35" s="16"/>
      <c r="Q35" s="1"/>
      <c r="R35" s="1"/>
      <c r="S35" s="55" t="str">
        <f>IF($C35="","",IFERROR(IF(ISNA(VLOOKUP($C35,Données!$C$19:'Données'!$I$38,6,0)), ,VLOOKUP($C35,Données!$C$19:'Données'!$I$38,6,0)),"/"))</f>
        <v/>
      </c>
      <c r="T35" s="55" t="str">
        <f>IF($C35="","",IFERROR(IF(ISNA(VLOOKUP($C35,Données!$C$19:'Données'!$I$38,7,0)), ,VLOOKUP($C35,Données!$C$19:'Données'!$I$38,7,0)),"/"))</f>
        <v/>
      </c>
      <c r="U35" s="55" t="str">
        <f>IF($C35="","",IFERROR(IF(ISNA(VLOOKUP($C35,Données!$C$19:'Données'!$I$38,5,0)), ,VLOOKUP($C35,Données!$C$19:'Données'!$I$38,5,0)),"/"))</f>
        <v/>
      </c>
      <c r="V35" s="55" t="str">
        <f t="shared" si="2"/>
        <v/>
      </c>
      <c r="W35" s="50">
        <f t="shared" si="1"/>
        <v>0</v>
      </c>
      <c r="X35" s="73"/>
      <c r="Y35" s="73"/>
      <c r="Z35" s="73"/>
      <c r="AA35" s="73"/>
      <c r="AB35" s="73"/>
    </row>
    <row r="36" spans="1:28" ht="50.1" customHeight="1" x14ac:dyDescent="0.25">
      <c r="A36" s="1"/>
      <c r="B36" s="1"/>
      <c r="C36" s="15"/>
      <c r="D36" s="42" t="str">
        <f>IF($C36="","",IFERROR(IF(ISNA(VLOOKUP($C36,'Phase GPA'!$C$29:'Phase GPA'!$U$44,10,0)), ,VLOOKUP($C36,'Phase GPA'!$C$29:'Phase GPA'!$U$44,10,0)),0))</f>
        <v/>
      </c>
      <c r="E36" s="43" t="str">
        <f>IF($C36="","",IFERROR(IF(ISNA($D36/VLOOKUP($C36,Données!$C$19:'Données'!$I$38,6,0)), ,$D36/VLOOKUP($C36,Données!$C$19:'Données'!$I$38,6,0)),"/"))</f>
        <v/>
      </c>
      <c r="F36" s="43" t="str">
        <f>IF($C36="","",IFERROR(IF(ISNA($D36/VLOOKUP($C36,Données!$C$19:'Données'!$I$38,7,0)*100), ,$D36/VLOOKUP($C36,Données!$C$19:'Données'!$I$38,7,0)*100),"/"))</f>
        <v/>
      </c>
      <c r="G36" s="42" t="str">
        <f>IF($C36="","",IFERROR(IF(ISNA(VLOOKUP($C36,'Phase GPA'!$C$29:'Phase GPA'!$U$44,11,0)), ,VLOOKUP($C36,'Phase GPA'!$C$29:'Phase GPA'!$U$44,11,0)),0))</f>
        <v/>
      </c>
      <c r="H36" s="44" t="str">
        <f>IF($C36="","",IFERROR(IF(ISNA(VLOOKUP($C36,'Phase GPA'!$C$29:'Phase GPA'!$U$44,12,0)), ,VLOOKUP($C36,'Phase GPA'!$C$29:'Phase GPA'!$U$44,12,0)),0))</f>
        <v/>
      </c>
      <c r="I36" s="45" t="str">
        <f>IF($C36="","",IFERROR(IF(ISNA($H36/VLOOKUP($C36,Données!$C$19:'Données'!$I$38,5,0)), ,$H36/VLOOKUP($C36,Données!$C$19:'Données'!$I$38,5,0))*100,0))</f>
        <v/>
      </c>
      <c r="J36" s="45" t="str">
        <f>IF($C36="","",IFERROR(IF(ISNA($H36/VLOOKUP($C36,Données!$C$19:'Données'!$I$38,6,0)), ,$H36/VLOOKUP($C36,Données!$C$19:'Données'!$I$38,6,0)),"/"))</f>
        <v/>
      </c>
      <c r="K36" s="45" t="str">
        <f>IF($C36="","",IFERROR(IF(ISNA($H36/VLOOKUP($C36,Données!$C$19:'Données'!$I$38,7,0)*100), ,$H36/VLOOKUP($C36,Données!$C$19:'Données'!$I$38,7,0)*100),"/"))</f>
        <v/>
      </c>
      <c r="L36" s="99" t="str">
        <f t="shared" si="0"/>
        <v/>
      </c>
      <c r="M36" s="13"/>
      <c r="N36" s="12"/>
      <c r="O36" s="3"/>
      <c r="P36" s="16"/>
      <c r="Q36" s="1"/>
      <c r="R36" s="1"/>
      <c r="S36" s="55" t="str">
        <f>IF($C36="","",IFERROR(IF(ISNA(VLOOKUP($C36,Données!$C$19:'Données'!$I$38,6,0)), ,VLOOKUP($C36,Données!$C$19:'Données'!$I$38,6,0)),"/"))</f>
        <v/>
      </c>
      <c r="T36" s="55" t="str">
        <f>IF($C36="","",IFERROR(IF(ISNA(VLOOKUP($C36,Données!$C$19:'Données'!$I$38,7,0)), ,VLOOKUP($C36,Données!$C$19:'Données'!$I$38,7,0)),"/"))</f>
        <v/>
      </c>
      <c r="U36" s="55" t="str">
        <f>IF($C36="","",IFERROR(IF(ISNA(VLOOKUP($C36,Données!$C$19:'Données'!$I$38,5,0)), ,VLOOKUP($C36,Données!$C$19:'Données'!$I$38,5,0)),"/"))</f>
        <v/>
      </c>
      <c r="V36" s="55" t="str">
        <f t="shared" si="2"/>
        <v/>
      </c>
      <c r="W36" s="50">
        <f t="shared" si="1"/>
        <v>0</v>
      </c>
      <c r="X36" s="73"/>
      <c r="Y36" s="73"/>
      <c r="Z36" s="73"/>
      <c r="AA36" s="73"/>
      <c r="AB36" s="73"/>
    </row>
    <row r="37" spans="1:28" ht="50.1" customHeight="1" x14ac:dyDescent="0.25">
      <c r="A37" s="1"/>
      <c r="B37" s="1"/>
      <c r="C37" s="15"/>
      <c r="D37" s="42" t="str">
        <f>IF($C37="","",IFERROR(IF(ISNA(VLOOKUP($C37,'Phase GPA'!$C$29:'Phase GPA'!$U$44,10,0)), ,VLOOKUP($C37,'Phase GPA'!$C$29:'Phase GPA'!$U$44,10,0)),0))</f>
        <v/>
      </c>
      <c r="E37" s="43" t="str">
        <f>IF($C37="","",IFERROR(IF(ISNA($D37/VLOOKUP($C37,Données!$C$19:'Données'!$I$38,6,0)), ,$D37/VLOOKUP($C37,Données!$C$19:'Données'!$I$38,6,0)),"/"))</f>
        <v/>
      </c>
      <c r="F37" s="43" t="str">
        <f>IF($C37="","",IFERROR(IF(ISNA($D37/VLOOKUP($C37,Données!$C$19:'Données'!$I$38,7,0)*100), ,$D37/VLOOKUP($C37,Données!$C$19:'Données'!$I$38,7,0)*100),"/"))</f>
        <v/>
      </c>
      <c r="G37" s="42" t="str">
        <f>IF($C37="","",IFERROR(IF(ISNA(VLOOKUP($C37,'Phase GPA'!$C$29:'Phase GPA'!$U$44,11,0)), ,VLOOKUP($C37,'Phase GPA'!$C$29:'Phase GPA'!$U$44,11,0)),0))</f>
        <v/>
      </c>
      <c r="H37" s="44" t="str">
        <f>IF($C37="","",IFERROR(IF(ISNA(VLOOKUP($C37,'Phase GPA'!$C$29:'Phase GPA'!$U$44,12,0)), ,VLOOKUP($C37,'Phase GPA'!$C$29:'Phase GPA'!$U$44,12,0)),0))</f>
        <v/>
      </c>
      <c r="I37" s="45" t="str">
        <f>IF($C37="","",IFERROR(IF(ISNA($H37/VLOOKUP($C37,Données!$C$19:'Données'!$I$38,5,0)), ,$H37/VLOOKUP($C37,Données!$C$19:'Données'!$I$38,5,0))*100,0))</f>
        <v/>
      </c>
      <c r="J37" s="45" t="str">
        <f>IF($C37="","",IFERROR(IF(ISNA($H37/VLOOKUP($C37,Données!$C$19:'Données'!$I$38,6,0)), ,$H37/VLOOKUP($C37,Données!$C$19:'Données'!$I$38,6,0)),"/"))</f>
        <v/>
      </c>
      <c r="K37" s="45" t="str">
        <f>IF($C37="","",IFERROR(IF(ISNA($H37/VLOOKUP($C37,Données!$C$19:'Données'!$I$38,7,0)*100), ,$H37/VLOOKUP($C37,Données!$C$19:'Données'!$I$38,7,0)*100),"/"))</f>
        <v/>
      </c>
      <c r="L37" s="99" t="str">
        <f t="shared" si="0"/>
        <v/>
      </c>
      <c r="M37" s="13"/>
      <c r="N37" s="12"/>
      <c r="O37" s="3"/>
      <c r="P37" s="16"/>
      <c r="Q37" s="1"/>
      <c r="R37" s="1"/>
      <c r="S37" s="55" t="str">
        <f>IF($C37="","",IFERROR(IF(ISNA(VLOOKUP($C37,Données!$C$19:'Données'!$I$38,6,0)), ,VLOOKUP($C37,Données!$C$19:'Données'!$I$38,6,0)),"/"))</f>
        <v/>
      </c>
      <c r="T37" s="55" t="str">
        <f>IF($C37="","",IFERROR(IF(ISNA(VLOOKUP($C37,Données!$C$19:'Données'!$I$38,7,0)), ,VLOOKUP($C37,Données!$C$19:'Données'!$I$38,7,0)),"/"))</f>
        <v/>
      </c>
      <c r="U37" s="55" t="str">
        <f>IF($C37="","",IFERROR(IF(ISNA(VLOOKUP($C37,Données!$C$19:'Données'!$I$38,5,0)), ,VLOOKUP($C37,Données!$C$19:'Données'!$I$38,5,0)),"/"))</f>
        <v/>
      </c>
      <c r="V37" s="55" t="str">
        <f t="shared" si="2"/>
        <v/>
      </c>
      <c r="W37" s="50">
        <f t="shared" si="1"/>
        <v>0</v>
      </c>
      <c r="X37" s="73"/>
      <c r="Y37" s="73"/>
      <c r="Z37" s="73"/>
      <c r="AA37" s="73"/>
      <c r="AB37" s="73"/>
    </row>
    <row r="38" spans="1:28" ht="50.1" customHeight="1" x14ac:dyDescent="0.25">
      <c r="A38" s="1"/>
      <c r="B38" s="1"/>
      <c r="C38" s="15"/>
      <c r="D38" s="42" t="str">
        <f>IF($C38="","",IFERROR(IF(ISNA(VLOOKUP($C38,'Phase GPA'!$C$29:'Phase GPA'!$U$44,10,0)), ,VLOOKUP($C38,'Phase GPA'!$C$29:'Phase GPA'!$U$44,10,0)),0))</f>
        <v/>
      </c>
      <c r="E38" s="43" t="str">
        <f>IF($C38="","",IFERROR(IF(ISNA($D38/VLOOKUP($C38,Données!$C$19:'Données'!$I$38,6,0)), ,$D38/VLOOKUP($C38,Données!$C$19:'Données'!$I$38,6,0)),"/"))</f>
        <v/>
      </c>
      <c r="F38" s="43" t="str">
        <f>IF($C38="","",IFERROR(IF(ISNA($D38/VLOOKUP($C38,Données!$C$19:'Données'!$I$38,7,0)*100), ,$D38/VLOOKUP($C38,Données!$C$19:'Données'!$I$38,7,0)*100),"/"))</f>
        <v/>
      </c>
      <c r="G38" s="42" t="str">
        <f>IF($C38="","",IFERROR(IF(ISNA(VLOOKUP($C38,'Phase GPA'!$C$29:'Phase GPA'!$U$44,11,0)), ,VLOOKUP($C38,'Phase GPA'!$C$29:'Phase GPA'!$U$44,11,0)),0))</f>
        <v/>
      </c>
      <c r="H38" s="44" t="str">
        <f>IF($C38="","",IFERROR(IF(ISNA(VLOOKUP($C38,'Phase GPA'!$C$29:'Phase GPA'!$U$44,12,0)), ,VLOOKUP($C38,'Phase GPA'!$C$29:'Phase GPA'!$U$44,12,0)),0))</f>
        <v/>
      </c>
      <c r="I38" s="45" t="str">
        <f>IF($C38="","",IFERROR(IF(ISNA($H38/VLOOKUP($C38,Données!$C$19:'Données'!$I$38,5,0)), ,$H38/VLOOKUP($C38,Données!$C$19:'Données'!$I$38,5,0))*100,0))</f>
        <v/>
      </c>
      <c r="J38" s="45" t="str">
        <f>IF($C38="","",IFERROR(IF(ISNA($H38/VLOOKUP($C38,Données!$C$19:'Données'!$I$38,6,0)), ,$H38/VLOOKUP($C38,Données!$C$19:'Données'!$I$38,6,0)),"/"))</f>
        <v/>
      </c>
      <c r="K38" s="45" t="str">
        <f>IF($C38="","",IFERROR(IF(ISNA($H38/VLOOKUP($C38,Données!$C$19:'Données'!$I$38,7,0)*100), ,$H38/VLOOKUP($C38,Données!$C$19:'Données'!$I$38,7,0)*100),"/"))</f>
        <v/>
      </c>
      <c r="L38" s="99" t="str">
        <f t="shared" si="0"/>
        <v/>
      </c>
      <c r="M38" s="13"/>
      <c r="N38" s="12"/>
      <c r="O38" s="3"/>
      <c r="P38" s="16"/>
      <c r="Q38" s="1"/>
      <c r="R38" s="1"/>
      <c r="S38" s="55" t="str">
        <f>IF($C38="","",IFERROR(IF(ISNA(VLOOKUP($C38,Données!$C$19:'Données'!$I$38,6,0)), ,VLOOKUP($C38,Données!$C$19:'Données'!$I$38,6,0)),"/"))</f>
        <v/>
      </c>
      <c r="T38" s="55" t="str">
        <f>IF($C38="","",IFERROR(IF(ISNA(VLOOKUP($C38,Données!$C$19:'Données'!$I$38,7,0)), ,VLOOKUP($C38,Données!$C$19:'Données'!$I$38,7,0)),"/"))</f>
        <v/>
      </c>
      <c r="U38" s="55" t="str">
        <f>IF($C38="","",IFERROR(IF(ISNA(VLOOKUP($C38,Données!$C$19:'Données'!$I$38,5,0)), ,VLOOKUP($C38,Données!$C$19:'Données'!$I$38,5,0)),"/"))</f>
        <v/>
      </c>
      <c r="V38" s="55" t="str">
        <f t="shared" si="2"/>
        <v/>
      </c>
      <c r="W38" s="50">
        <f t="shared" si="1"/>
        <v>0</v>
      </c>
      <c r="X38" s="73"/>
      <c r="Y38" s="73"/>
      <c r="Z38" s="73"/>
      <c r="AA38" s="73"/>
      <c r="AB38" s="73"/>
    </row>
    <row r="39" spans="1:28" ht="50.1" customHeight="1" x14ac:dyDescent="0.25">
      <c r="A39" s="1"/>
      <c r="B39" s="1"/>
      <c r="C39" s="15"/>
      <c r="D39" s="42" t="str">
        <f>IF($C39="","",IFERROR(IF(ISNA(VLOOKUP($C39,'Phase GPA'!$C$29:'Phase GPA'!$U$44,10,0)), ,VLOOKUP($C39,'Phase GPA'!$C$29:'Phase GPA'!$U$44,10,0)),0))</f>
        <v/>
      </c>
      <c r="E39" s="43" t="str">
        <f>IF($C39="","",IFERROR(IF(ISNA($D39/VLOOKUP($C39,Données!$C$19:'Données'!$I$38,6,0)), ,$D39/VLOOKUP($C39,Données!$C$19:'Données'!$I$38,6,0)),"/"))</f>
        <v/>
      </c>
      <c r="F39" s="43" t="str">
        <f>IF($C39="","",IFERROR(IF(ISNA($D39/VLOOKUP($C39,Données!$C$19:'Données'!$I$38,7,0)*100), ,$D39/VLOOKUP($C39,Données!$C$19:'Données'!$I$38,7,0)*100),"/"))</f>
        <v/>
      </c>
      <c r="G39" s="42" t="str">
        <f>IF($C39="","",IFERROR(IF(ISNA(VLOOKUP($C39,'Phase GPA'!$C$29:'Phase GPA'!$U$44,11,0)), ,VLOOKUP($C39,'Phase GPA'!$C$29:'Phase GPA'!$U$44,11,0)),0))</f>
        <v/>
      </c>
      <c r="H39" s="44" t="str">
        <f>IF($C39="","",IFERROR(IF(ISNA(VLOOKUP($C39,'Phase GPA'!$C$29:'Phase GPA'!$U$44,12,0)), ,VLOOKUP($C39,'Phase GPA'!$C$29:'Phase GPA'!$U$44,12,0)),0))</f>
        <v/>
      </c>
      <c r="I39" s="45" t="str">
        <f>IF($C39="","",IFERROR(IF(ISNA($H39/VLOOKUP($C39,Données!$C$19:'Données'!$I$38,5,0)), ,$H39/VLOOKUP($C39,Données!$C$19:'Données'!$I$38,5,0))*100,0))</f>
        <v/>
      </c>
      <c r="J39" s="45" t="str">
        <f>IF($C39="","",IFERROR(IF(ISNA($H39/VLOOKUP($C39,Données!$C$19:'Données'!$I$38,6,0)), ,$H39/VLOOKUP($C39,Données!$C$19:'Données'!$I$38,6,0)),"/"))</f>
        <v/>
      </c>
      <c r="K39" s="45" t="str">
        <f>IF($C39="","",IFERROR(IF(ISNA($H39/VLOOKUP($C39,Données!$C$19:'Données'!$I$38,7,0)*100), ,$H39/VLOOKUP($C39,Données!$C$19:'Données'!$I$38,7,0)*100),"/"))</f>
        <v/>
      </c>
      <c r="L39" s="99" t="str">
        <f t="shared" si="0"/>
        <v/>
      </c>
      <c r="M39" s="13"/>
      <c r="N39" s="12"/>
      <c r="O39" s="3"/>
      <c r="P39" s="16"/>
      <c r="Q39" s="1"/>
      <c r="R39" s="1"/>
      <c r="S39" s="55" t="str">
        <f>IF($C39="","",IFERROR(IF(ISNA(VLOOKUP($C39,Données!$C$19:'Données'!$I$38,6,0)), ,VLOOKUP($C39,Données!$C$19:'Données'!$I$38,6,0)),"/"))</f>
        <v/>
      </c>
      <c r="T39" s="55" t="str">
        <f>IF($C39="","",IFERROR(IF(ISNA(VLOOKUP($C39,Données!$C$19:'Données'!$I$38,7,0)), ,VLOOKUP($C39,Données!$C$19:'Données'!$I$38,7,0)),"/"))</f>
        <v/>
      </c>
      <c r="U39" s="55" t="str">
        <f>IF($C39="","",IFERROR(IF(ISNA(VLOOKUP($C39,Données!$C$19:'Données'!$I$38,5,0)), ,VLOOKUP($C39,Données!$C$19:'Données'!$I$38,5,0)),"/"))</f>
        <v/>
      </c>
      <c r="V39" s="55" t="str">
        <f t="shared" si="2"/>
        <v/>
      </c>
      <c r="W39" s="50">
        <f t="shared" si="1"/>
        <v>0</v>
      </c>
      <c r="X39" s="73"/>
      <c r="Y39" s="73"/>
      <c r="Z39" s="73"/>
      <c r="AA39" s="73"/>
      <c r="AB39" s="73"/>
    </row>
    <row r="40" spans="1:28" ht="50.1" customHeight="1" x14ac:dyDescent="0.25">
      <c r="A40" s="1"/>
      <c r="B40" s="1"/>
      <c r="C40" s="15"/>
      <c r="D40" s="42" t="str">
        <f>IF($C40="","",IFERROR(IF(ISNA(VLOOKUP($C40,'Phase GPA'!$C$29:'Phase GPA'!$U$44,10,0)), ,VLOOKUP($C40,'Phase GPA'!$C$29:'Phase GPA'!$U$44,10,0)),0))</f>
        <v/>
      </c>
      <c r="E40" s="43" t="str">
        <f>IF($C40="","",IFERROR(IF(ISNA($D40/VLOOKUP($C40,Données!$C$19:'Données'!$I$38,6,0)), ,$D40/VLOOKUP($C40,Données!$C$19:'Données'!$I$38,6,0)),"/"))</f>
        <v/>
      </c>
      <c r="F40" s="43" t="str">
        <f>IF($C40="","",IFERROR(IF(ISNA($D40/VLOOKUP($C40,Données!$C$19:'Données'!$I$38,7,0)*100), ,$D40/VLOOKUP($C40,Données!$C$19:'Données'!$I$38,7,0)*100),"/"))</f>
        <v/>
      </c>
      <c r="G40" s="42" t="str">
        <f>IF($C40="","",IFERROR(IF(ISNA(VLOOKUP($C40,'Phase GPA'!$C$29:'Phase GPA'!$U$44,11,0)), ,VLOOKUP($C40,'Phase GPA'!$C$29:'Phase GPA'!$U$44,11,0)),0))</f>
        <v/>
      </c>
      <c r="H40" s="44" t="str">
        <f>IF($C40="","",IFERROR(IF(ISNA(VLOOKUP($C40,'Phase GPA'!$C$29:'Phase GPA'!$U$44,12,0)), ,VLOOKUP($C40,'Phase GPA'!$C$29:'Phase GPA'!$U$44,12,0)),0))</f>
        <v/>
      </c>
      <c r="I40" s="45" t="str">
        <f>IF($C40="","",IFERROR(IF(ISNA($H40/VLOOKUP($C40,Données!$C$19:'Données'!$I$38,5,0)), ,$H40/VLOOKUP($C40,Données!$C$19:'Données'!$I$38,5,0))*100,0))</f>
        <v/>
      </c>
      <c r="J40" s="45" t="str">
        <f>IF($C40="","",IFERROR(IF(ISNA($H40/VLOOKUP($C40,Données!$C$19:'Données'!$I$38,6,0)), ,$H40/VLOOKUP($C40,Données!$C$19:'Données'!$I$38,6,0)),"/"))</f>
        <v/>
      </c>
      <c r="K40" s="45" t="str">
        <f>IF($C40="","",IFERROR(IF(ISNA($H40/VLOOKUP($C40,Données!$C$19:'Données'!$I$38,7,0)*100), ,$H40/VLOOKUP($C40,Données!$C$19:'Données'!$I$38,7,0)*100),"/"))</f>
        <v/>
      </c>
      <c r="L40" s="99" t="str">
        <f t="shared" si="0"/>
        <v/>
      </c>
      <c r="M40" s="13"/>
      <c r="N40" s="12"/>
      <c r="O40" s="3"/>
      <c r="P40" s="16"/>
      <c r="Q40" s="1"/>
      <c r="R40" s="1"/>
      <c r="S40" s="55" t="str">
        <f>IF($C40="","",IFERROR(IF(ISNA(VLOOKUP($C40,Données!$C$19:'Données'!$I$38,6,0)), ,VLOOKUP($C40,Données!$C$19:'Données'!$I$38,6,0)),"/"))</f>
        <v/>
      </c>
      <c r="T40" s="55" t="str">
        <f>IF($C40="","",IFERROR(IF(ISNA(VLOOKUP($C40,Données!$C$19:'Données'!$I$38,7,0)), ,VLOOKUP($C40,Données!$C$19:'Données'!$I$38,7,0)),"/"))</f>
        <v/>
      </c>
      <c r="U40" s="55" t="str">
        <f>IF($C40="","",IFERROR(IF(ISNA(VLOOKUP($C40,Données!$C$19:'Données'!$I$38,5,0)), ,VLOOKUP($C40,Données!$C$19:'Données'!$I$38,5,0)),"/"))</f>
        <v/>
      </c>
      <c r="V40" s="55" t="str">
        <f t="shared" si="2"/>
        <v/>
      </c>
      <c r="W40" s="50">
        <f t="shared" si="1"/>
        <v>0</v>
      </c>
      <c r="X40" s="73"/>
      <c r="Y40" s="73"/>
      <c r="Z40" s="73"/>
      <c r="AA40" s="73"/>
      <c r="AB40" s="73"/>
    </row>
    <row r="41" spans="1:28" ht="50.1" customHeight="1" x14ac:dyDescent="0.25">
      <c r="A41" s="1"/>
      <c r="B41" s="1"/>
      <c r="C41" s="15"/>
      <c r="D41" s="42" t="str">
        <f>IF($C41="","",IFERROR(IF(ISNA(VLOOKUP($C41,'Phase GPA'!$C$29:'Phase GPA'!$U$44,10,0)), ,VLOOKUP($C41,'Phase GPA'!$C$29:'Phase GPA'!$U$44,10,0)),0))</f>
        <v/>
      </c>
      <c r="E41" s="43" t="str">
        <f>IF($C41="","",IFERROR(IF(ISNA($D41/VLOOKUP($C41,Données!$C$19:'Données'!$I$38,6,0)), ,$D41/VLOOKUP($C41,Données!$C$19:'Données'!$I$38,6,0)),"/"))</f>
        <v/>
      </c>
      <c r="F41" s="43" t="str">
        <f>IF($C41="","",IFERROR(IF(ISNA($D41/VLOOKUP($C41,Données!$C$19:'Données'!$I$38,7,0)*100), ,$D41/VLOOKUP($C41,Données!$C$19:'Données'!$I$38,7,0)*100),"/"))</f>
        <v/>
      </c>
      <c r="G41" s="42" t="str">
        <f>IF($C41="","",IFERROR(IF(ISNA(VLOOKUP($C41,'Phase GPA'!$C$29:'Phase GPA'!$U$44,11,0)), ,VLOOKUP($C41,'Phase GPA'!$C$29:'Phase GPA'!$U$44,11,0)),0))</f>
        <v/>
      </c>
      <c r="H41" s="44" t="str">
        <f>IF($C41="","",IFERROR(IF(ISNA(VLOOKUP($C41,'Phase GPA'!$C$29:'Phase GPA'!$U$44,12,0)), ,VLOOKUP($C41,'Phase GPA'!$C$29:'Phase GPA'!$U$44,12,0)),0))</f>
        <v/>
      </c>
      <c r="I41" s="45" t="str">
        <f>IF($C41="","",IFERROR(IF(ISNA($H41/VLOOKUP($C41,Données!$C$19:'Données'!$I$38,5,0)), ,$H41/VLOOKUP($C41,Données!$C$19:'Données'!$I$38,5,0))*100,0))</f>
        <v/>
      </c>
      <c r="J41" s="45" t="str">
        <f>IF($C41="","",IFERROR(IF(ISNA($H41/VLOOKUP($C41,Données!$C$19:'Données'!$I$38,6,0)), ,$H41/VLOOKUP($C41,Données!$C$19:'Données'!$I$38,6,0)),"/"))</f>
        <v/>
      </c>
      <c r="K41" s="45" t="str">
        <f>IF($C41="","",IFERROR(IF(ISNA($H41/VLOOKUP($C41,Données!$C$19:'Données'!$I$38,7,0)*100), ,$H41/VLOOKUP($C41,Données!$C$19:'Données'!$I$38,7,0)*100),"/"))</f>
        <v/>
      </c>
      <c r="L41" s="99" t="str">
        <f t="shared" si="0"/>
        <v/>
      </c>
      <c r="M41" s="13"/>
      <c r="N41" s="12"/>
      <c r="O41" s="3"/>
      <c r="P41" s="16"/>
      <c r="Q41" s="1"/>
      <c r="R41" s="1"/>
      <c r="S41" s="55" t="str">
        <f>IF($C41="","",IFERROR(IF(ISNA(VLOOKUP($C41,Données!$C$19:'Données'!$I$38,6,0)), ,VLOOKUP($C41,Données!$C$19:'Données'!$I$38,6,0)),"/"))</f>
        <v/>
      </c>
      <c r="T41" s="55" t="str">
        <f>IF($C41="","",IFERROR(IF(ISNA(VLOOKUP($C41,Données!$C$19:'Données'!$I$38,7,0)), ,VLOOKUP($C41,Données!$C$19:'Données'!$I$38,7,0)),"/"))</f>
        <v/>
      </c>
      <c r="U41" s="55" t="str">
        <f>IF($C41="","",IFERROR(IF(ISNA(VLOOKUP($C41,Données!$C$19:'Données'!$I$38,5,0)), ,VLOOKUP($C41,Données!$C$19:'Données'!$I$38,5,0)),"/"))</f>
        <v/>
      </c>
      <c r="V41" s="55" t="str">
        <f t="shared" si="2"/>
        <v/>
      </c>
      <c r="W41" s="50">
        <f t="shared" si="1"/>
        <v>0</v>
      </c>
      <c r="X41" s="73"/>
      <c r="Y41" s="73"/>
      <c r="Z41" s="73"/>
      <c r="AA41" s="73"/>
      <c r="AB41" s="73"/>
    </row>
    <row r="42" spans="1:28" ht="50.1" customHeight="1" x14ac:dyDescent="0.25">
      <c r="A42" s="1"/>
      <c r="B42" s="1"/>
      <c r="C42" s="15"/>
      <c r="D42" s="42" t="str">
        <f>IF($C42="","",IFERROR(IF(ISNA(VLOOKUP($C42,'Phase GPA'!$C$29:'Phase GPA'!$U$44,10,0)), ,VLOOKUP($C42,'Phase GPA'!$C$29:'Phase GPA'!$U$44,10,0)),0))</f>
        <v/>
      </c>
      <c r="E42" s="43" t="str">
        <f>IF($C42="","",IFERROR(IF(ISNA($D42/VLOOKUP($C42,Données!$C$19:'Données'!$I$38,6,0)), ,$D42/VLOOKUP($C42,Données!$C$19:'Données'!$I$38,6,0)),"/"))</f>
        <v/>
      </c>
      <c r="F42" s="43" t="str">
        <f>IF($C42="","",IFERROR(IF(ISNA($D42/VLOOKUP($C42,Données!$C$19:'Données'!$I$38,7,0)*100), ,$D42/VLOOKUP($C42,Données!$C$19:'Données'!$I$38,7,0)*100),"/"))</f>
        <v/>
      </c>
      <c r="G42" s="42" t="str">
        <f>IF($C42="","",IFERROR(IF(ISNA(VLOOKUP($C42,'Phase GPA'!$C$29:'Phase GPA'!$U$44,11,0)), ,VLOOKUP($C42,'Phase GPA'!$C$29:'Phase GPA'!$U$44,11,0)),0))</f>
        <v/>
      </c>
      <c r="H42" s="44" t="str">
        <f>IF($C42="","",IFERROR(IF(ISNA(VLOOKUP($C42,'Phase GPA'!$C$29:'Phase GPA'!$U$44,12,0)), ,VLOOKUP($C42,'Phase GPA'!$C$29:'Phase GPA'!$U$44,12,0)),0))</f>
        <v/>
      </c>
      <c r="I42" s="45" t="str">
        <f>IF($C42="","",IFERROR(IF(ISNA($H42/VLOOKUP($C42,Données!$C$19:'Données'!$I$38,5,0)), ,$H42/VLOOKUP($C42,Données!$C$19:'Données'!$I$38,5,0))*100,0))</f>
        <v/>
      </c>
      <c r="J42" s="45" t="str">
        <f>IF($C42="","",IFERROR(IF(ISNA($H42/VLOOKUP($C42,Données!$C$19:'Données'!$I$38,6,0)), ,$H42/VLOOKUP($C42,Données!$C$19:'Données'!$I$38,6,0)),"/"))</f>
        <v/>
      </c>
      <c r="K42" s="45" t="str">
        <f>IF($C42="","",IFERROR(IF(ISNA($H42/VLOOKUP($C42,Données!$C$19:'Données'!$I$38,7,0)*100), ,$H42/VLOOKUP($C42,Données!$C$19:'Données'!$I$38,7,0)*100),"/"))</f>
        <v/>
      </c>
      <c r="L42" s="99" t="str">
        <f t="shared" si="0"/>
        <v/>
      </c>
      <c r="M42" s="13"/>
      <c r="N42" s="12"/>
      <c r="O42" s="3"/>
      <c r="P42" s="16"/>
      <c r="Q42" s="1"/>
      <c r="R42" s="1"/>
      <c r="S42" s="55" t="str">
        <f>IF($C42="","",IFERROR(IF(ISNA(VLOOKUP($C42,Données!$C$19:'Données'!$I$38,6,0)), ,VLOOKUP($C42,Données!$C$19:'Données'!$I$38,6,0)),"/"))</f>
        <v/>
      </c>
      <c r="T42" s="55" t="str">
        <f>IF($C42="","",IFERROR(IF(ISNA(VLOOKUP($C42,Données!$C$19:'Données'!$I$38,7,0)), ,VLOOKUP($C42,Données!$C$19:'Données'!$I$38,7,0)),"/"))</f>
        <v/>
      </c>
      <c r="U42" s="55" t="str">
        <f>IF($C42="","",IFERROR(IF(ISNA(VLOOKUP($C42,Données!$C$19:'Données'!$I$38,5,0)), ,VLOOKUP($C42,Données!$C$19:'Données'!$I$38,5,0)),"/"))</f>
        <v/>
      </c>
      <c r="V42" s="55" t="str">
        <f t="shared" si="2"/>
        <v/>
      </c>
      <c r="W42" s="50">
        <f t="shared" si="1"/>
        <v>0</v>
      </c>
      <c r="X42" s="73"/>
      <c r="Y42" s="73"/>
      <c r="Z42" s="73"/>
      <c r="AA42" s="73"/>
      <c r="AB42" s="73"/>
    </row>
    <row r="43" spans="1:28" ht="50.1" customHeight="1" x14ac:dyDescent="0.25">
      <c r="A43" s="1"/>
      <c r="B43" s="1"/>
      <c r="C43" s="15"/>
      <c r="D43" s="42" t="str">
        <f>IF($C43="","",IFERROR(IF(ISNA(VLOOKUP($C43,'Phase GPA'!$C$29:'Phase GPA'!$U$44,10,0)), ,VLOOKUP($C43,'Phase GPA'!$C$29:'Phase GPA'!$U$44,10,0)),0))</f>
        <v/>
      </c>
      <c r="E43" s="43" t="str">
        <f>IF($C43="","",IFERROR(IF(ISNA($D43/VLOOKUP($C43,Données!$C$19:'Données'!$I$38,6,0)), ,$D43/VLOOKUP($C43,Données!$C$19:'Données'!$I$38,6,0)),"/"))</f>
        <v/>
      </c>
      <c r="F43" s="43" t="str">
        <f>IF($C43="","",IFERROR(IF(ISNA($D43/VLOOKUP($C43,Données!$C$19:'Données'!$I$38,7,0)*100), ,$D43/VLOOKUP($C43,Données!$C$19:'Données'!$I$38,7,0)*100),"/"))</f>
        <v/>
      </c>
      <c r="G43" s="42" t="str">
        <f>IF($C43="","",IFERROR(IF(ISNA(VLOOKUP($C43,'Phase GPA'!$C$29:'Phase GPA'!$U$44,11,0)), ,VLOOKUP($C43,'Phase GPA'!$C$29:'Phase GPA'!$U$44,11,0)),0))</f>
        <v/>
      </c>
      <c r="H43" s="44" t="str">
        <f>IF($C43="","",IFERROR(IF(ISNA(VLOOKUP($C43,'Phase GPA'!$C$29:'Phase GPA'!$U$44,12,0)), ,VLOOKUP($C43,'Phase GPA'!$C$29:'Phase GPA'!$U$44,12,0)),0))</f>
        <v/>
      </c>
      <c r="I43" s="45" t="str">
        <f>IF($C43="","",IFERROR(IF(ISNA($H43/VLOOKUP($C43,Données!$C$19:'Données'!$I$38,5,0)), ,$H43/VLOOKUP($C43,Données!$C$19:'Données'!$I$38,5,0))*100,0))</f>
        <v/>
      </c>
      <c r="J43" s="45" t="str">
        <f>IF($C43="","",IFERROR(IF(ISNA($H43/VLOOKUP($C43,Données!$C$19:'Données'!$I$38,6,0)), ,$H43/VLOOKUP($C43,Données!$C$19:'Données'!$I$38,6,0)),"/"))</f>
        <v/>
      </c>
      <c r="K43" s="45" t="str">
        <f>IF($C43="","",IFERROR(IF(ISNA($H43/VLOOKUP($C43,Données!$C$19:'Données'!$I$38,7,0)*100), ,$H43/VLOOKUP($C43,Données!$C$19:'Données'!$I$38,7,0)*100),"/"))</f>
        <v/>
      </c>
      <c r="L43" s="99" t="str">
        <f t="shared" si="0"/>
        <v/>
      </c>
      <c r="M43" s="13"/>
      <c r="N43" s="12"/>
      <c r="O43" s="3"/>
      <c r="P43" s="16"/>
      <c r="Q43" s="1"/>
      <c r="R43" s="1"/>
      <c r="S43" s="55" t="str">
        <f>IF($C43="","",IFERROR(IF(ISNA(VLOOKUP($C43,Données!$C$19:'Données'!$I$38,6,0)), ,VLOOKUP($C43,Données!$C$19:'Données'!$I$38,6,0)),"/"))</f>
        <v/>
      </c>
      <c r="T43" s="55" t="str">
        <f>IF($C43="","",IFERROR(IF(ISNA(VLOOKUP($C43,Données!$C$19:'Données'!$I$38,7,0)), ,VLOOKUP($C43,Données!$C$19:'Données'!$I$38,7,0)),"/"))</f>
        <v/>
      </c>
      <c r="U43" s="55" t="str">
        <f>IF($C43="","",IFERROR(IF(ISNA(VLOOKUP($C43,Données!$C$19:'Données'!$I$38,5,0)), ,VLOOKUP($C43,Données!$C$19:'Données'!$I$38,5,0)),"/"))</f>
        <v/>
      </c>
      <c r="V43" s="55" t="str">
        <f t="shared" si="2"/>
        <v/>
      </c>
      <c r="W43" s="50">
        <f t="shared" si="1"/>
        <v>0</v>
      </c>
      <c r="X43" s="73"/>
      <c r="Y43" s="73"/>
      <c r="Z43" s="73"/>
      <c r="AA43" s="73"/>
      <c r="AB43" s="73"/>
    </row>
    <row r="44" spans="1:28" ht="50.1" customHeight="1" x14ac:dyDescent="0.25">
      <c r="A44" s="1"/>
      <c r="B44" s="1"/>
      <c r="C44" s="57" t="s">
        <v>50</v>
      </c>
      <c r="D44" s="58">
        <f>SUM(D29:D43)</f>
        <v>0</v>
      </c>
      <c r="E44" s="60" t="str">
        <f>IF(S44=0,"/",D44/S44)</f>
        <v>/</v>
      </c>
      <c r="F44" s="60" t="str">
        <f>IF(T44=0,"/",D44/T44*100)</f>
        <v>/</v>
      </c>
      <c r="G44" s="58" t="str">
        <f>IFERROR(V44/D44,"/")</f>
        <v>/</v>
      </c>
      <c r="H44" s="62">
        <f>SUM(H29:H43)</f>
        <v>0</v>
      </c>
      <c r="I44" s="66" t="str">
        <f>IFERROR(H44/U44*100,"/")</f>
        <v>/</v>
      </c>
      <c r="J44" s="66" t="str">
        <f>IF(S44=0,"/",H44/S44)</f>
        <v>/</v>
      </c>
      <c r="K44" s="60" t="str">
        <f>IF(T44=0,"/",H44/T44*100)</f>
        <v>/</v>
      </c>
      <c r="L44" s="100">
        <f>IFERROR(H44/D44,0)</f>
        <v>0</v>
      </c>
      <c r="M44" s="68"/>
      <c r="N44" s="69"/>
      <c r="O44" s="3"/>
      <c r="P44" s="16"/>
      <c r="Q44" s="1"/>
      <c r="R44" s="1"/>
      <c r="S44" s="75">
        <f>SUM(S29:S43)</f>
        <v>0</v>
      </c>
      <c r="T44" s="75">
        <f>SUM(T29:T43)</f>
        <v>0</v>
      </c>
      <c r="U44" s="75">
        <f>SUM(U29:U43)</f>
        <v>0</v>
      </c>
      <c r="V44" s="50">
        <f>SUM(V29:V43)</f>
        <v>0</v>
      </c>
      <c r="W44" s="75">
        <f>SUM(W29:W43)</f>
        <v>0</v>
      </c>
      <c r="X44" s="73"/>
      <c r="Y44" s="73"/>
      <c r="Z44" s="73"/>
      <c r="AA44" s="73"/>
      <c r="AB44" s="73"/>
    </row>
    <row r="45" spans="1:28" ht="15" customHeight="1" x14ac:dyDescent="0.25">
      <c r="A45" s="1"/>
      <c r="B45" s="1"/>
      <c r="C45" s="10"/>
      <c r="D45" s="10"/>
      <c r="E45" s="10"/>
      <c r="F45" s="10"/>
      <c r="G45" s="10"/>
      <c r="H45" s="10"/>
      <c r="I45" s="10"/>
      <c r="J45" s="10"/>
      <c r="K45" s="10"/>
      <c r="L45" s="10"/>
      <c r="M45" s="10"/>
      <c r="N45" s="10"/>
      <c r="O45" s="11"/>
      <c r="P45" s="4"/>
      <c r="Q45" s="1"/>
      <c r="R45" s="1"/>
    </row>
    <row r="46" spans="1:28" ht="15" customHeight="1" x14ac:dyDescent="0.25">
      <c r="A46" s="1"/>
      <c r="B46" s="1"/>
      <c r="C46" s="5"/>
      <c r="D46" s="10"/>
      <c r="E46" s="10"/>
      <c r="F46" s="10"/>
      <c r="G46" s="10"/>
      <c r="H46" s="10"/>
      <c r="I46" s="10"/>
      <c r="J46" s="10"/>
      <c r="K46" s="10"/>
      <c r="L46" s="10"/>
      <c r="M46" s="10"/>
      <c r="N46" s="10"/>
      <c r="O46" s="11"/>
      <c r="P46" s="30"/>
      <c r="Q46" s="1"/>
      <c r="R46" s="1"/>
    </row>
    <row r="47" spans="1:28" ht="15" customHeight="1" x14ac:dyDescent="0.25">
      <c r="A47" s="1"/>
      <c r="B47" s="1"/>
      <c r="C47" s="5"/>
      <c r="D47" s="10"/>
      <c r="E47" s="10"/>
      <c r="F47" s="10"/>
      <c r="G47" s="10"/>
      <c r="H47" s="10"/>
      <c r="I47" s="10"/>
      <c r="J47" s="10"/>
      <c r="K47" s="10"/>
      <c r="L47" s="10"/>
      <c r="M47" s="10"/>
      <c r="N47" s="10"/>
      <c r="O47" s="11"/>
      <c r="P47" s="29"/>
      <c r="Q47" s="1"/>
      <c r="R47" s="1"/>
    </row>
    <row r="48" spans="1:28" ht="15" customHeight="1" x14ac:dyDescent="0.25">
      <c r="A48" s="1"/>
      <c r="B48" s="1"/>
      <c r="C48" s="10"/>
      <c r="D48" s="10"/>
      <c r="E48" s="10"/>
      <c r="F48" s="10"/>
      <c r="G48" s="10"/>
      <c r="H48" s="10"/>
      <c r="I48" s="10"/>
      <c r="J48" s="10"/>
      <c r="K48" s="10"/>
      <c r="L48" s="10"/>
      <c r="M48" s="10"/>
      <c r="N48" s="10"/>
      <c r="O48" s="11"/>
      <c r="P48" s="29"/>
      <c r="Q48" s="1"/>
      <c r="R48" s="1"/>
    </row>
    <row r="49" spans="1:19" ht="15" customHeight="1" x14ac:dyDescent="0.25">
      <c r="A49" s="1"/>
      <c r="B49" s="1"/>
      <c r="C49" s="6"/>
      <c r="D49" s="6"/>
      <c r="E49" s="10"/>
      <c r="F49" s="10"/>
      <c r="G49" s="10"/>
      <c r="H49" s="10"/>
      <c r="I49" s="10"/>
      <c r="J49" s="10"/>
      <c r="K49" s="10"/>
      <c r="L49" s="10"/>
      <c r="M49" s="10"/>
      <c r="N49" s="10"/>
      <c r="O49" s="11"/>
      <c r="P49" s="29"/>
      <c r="Q49" s="1"/>
      <c r="R49" s="1"/>
    </row>
    <row r="50" spans="1:19" ht="15" customHeight="1" x14ac:dyDescent="0.25">
      <c r="A50" s="1"/>
      <c r="B50" s="1"/>
      <c r="C50" s="1"/>
      <c r="D50" s="1"/>
      <c r="E50" s="1"/>
      <c r="F50" s="1"/>
      <c r="G50" s="1"/>
      <c r="H50" s="1"/>
      <c r="I50" s="1"/>
      <c r="J50" s="1"/>
      <c r="K50" s="1"/>
      <c r="L50" s="1"/>
      <c r="M50" s="1"/>
      <c r="N50" s="1"/>
      <c r="O50" s="1"/>
      <c r="P50" s="1"/>
      <c r="Q50" s="1"/>
      <c r="R50" s="1"/>
      <c r="S50" s="1"/>
    </row>
    <row r="51" spans="1:19" x14ac:dyDescent="0.25">
      <c r="A51" s="1"/>
      <c r="B51" s="1"/>
      <c r="C51" s="143" t="str">
        <f ca="1">Données!$C$45</f>
        <v>CR Point bimestriel PA Version 22.4 20190227 EVREUX</v>
      </c>
      <c r="D51" s="143"/>
      <c r="E51" s="143"/>
      <c r="F51" s="143"/>
      <c r="G51" s="143"/>
      <c r="H51" s="143"/>
      <c r="I51" s="143"/>
      <c r="J51" s="143"/>
      <c r="K51" s="143"/>
      <c r="L51" s="143"/>
      <c r="M51" s="143"/>
      <c r="N51" s="143"/>
      <c r="O51" s="143"/>
      <c r="P51" s="143"/>
      <c r="Q51" s="143"/>
      <c r="R51" s="1"/>
      <c r="S51" s="1"/>
    </row>
    <row r="53" spans="1:19" ht="5.0999999999999996" customHeight="1" x14ac:dyDescent="0.25"/>
  </sheetData>
  <sheetProtection algorithmName="SHA-512" hashValue="gBF4xIP3tt+DSL28QNDzY1VXhdIiGWACdl061/5wlukfCFr4HpwCViqqyWVoKy0Nd8o8ZLfUN1+8mkVTEz5UDA==" saltValue="NfpwSRPKi1JUKqI41Wsbuw==" spinCount="100000" sheet="1" objects="1" scenarios="1"/>
  <protectedRanges>
    <protectedRange sqref="P29:P44" name="Plage3"/>
    <protectedRange sqref="M29:N43" name="Plage2"/>
    <protectedRange sqref="C29:C43" name="Plage1"/>
  </protectedRanges>
  <mergeCells count="14">
    <mergeCell ref="C51:Q51"/>
    <mergeCell ref="P25:P28"/>
    <mergeCell ref="I25:I28"/>
    <mergeCell ref="J25:J28"/>
    <mergeCell ref="K25:K28"/>
    <mergeCell ref="L25:L28"/>
    <mergeCell ref="M25:M28"/>
    <mergeCell ref="N25:N28"/>
    <mergeCell ref="H25:H28"/>
    <mergeCell ref="C25:C28"/>
    <mergeCell ref="D25:D28"/>
    <mergeCell ref="E25:E28"/>
    <mergeCell ref="F25:F28"/>
    <mergeCell ref="G25:G28"/>
  </mergeCells>
  <conditionalFormatting sqref="E29:E43">
    <cfRule type="cellIs" dxfId="68" priority="10" operator="lessThanOrEqual">
      <formula>1</formula>
    </cfRule>
    <cfRule type="containsText" dxfId="67" priority="12" operator="containsText" text="/">
      <formula>NOT(ISERROR(SEARCH("/",E29)))</formula>
    </cfRule>
    <cfRule type="cellIs" dxfId="66" priority="13" operator="greaterThan">
      <formula>1</formula>
    </cfRule>
  </conditionalFormatting>
  <conditionalFormatting sqref="E44">
    <cfRule type="cellIs" dxfId="65" priority="5" operator="lessThanOrEqual">
      <formula>1</formula>
    </cfRule>
    <cfRule type="containsText" dxfId="64" priority="7" operator="containsText" text="/">
      <formula>NOT(ISERROR(SEARCH("/",E44)))</formula>
    </cfRule>
    <cfRule type="cellIs" dxfId="63" priority="8" operator="greaterThan">
      <formula>1</formula>
    </cfRule>
  </conditionalFormatting>
  <conditionalFormatting sqref="G29:G44">
    <cfRule type="containsText" dxfId="62" priority="1" operator="containsText" text="/">
      <formula>NOT(ISERROR(SEARCH("/",G29)))</formula>
    </cfRule>
    <cfRule type="cellIs" dxfId="61" priority="2" operator="lessThanOrEqual">
      <formula>15</formula>
    </cfRule>
    <cfRule type="cellIs" dxfId="60" priority="3" operator="greaterThan">
      <formula>15</formula>
    </cfRule>
  </conditionalFormatting>
  <dataValidations count="1">
    <dataValidation type="list" allowBlank="1" showInputMessage="1" showErrorMessage="1" sqref="C45">
      <formula1>#REF!</formula1>
    </dataValidation>
  </dataValidations>
  <printOptions horizontalCentered="1"/>
  <pageMargins left="0" right="0" top="0" bottom="1.3779527559055118" header="0.31496062992125984" footer="0.31496062992125984"/>
  <pageSetup paperSize="8" scale="56" orientation="landscape" r:id="rId1"/>
  <headerFooter>
    <oddFooter>&amp;C&amp;G</oddFooter>
  </headerFooter>
  <drawing r:id="rId2"/>
  <legacyDrawing r:id="rId3"/>
  <legacyDrawingHF r:id="rId4"/>
  <extLst>
    <ext xmlns:x14="http://schemas.microsoft.com/office/spreadsheetml/2009/9/main" uri="{CCE6A557-97BC-4b89-ADB6-D9C93CAAB3DF}">
      <x14:dataValidations xmlns:xm="http://schemas.microsoft.com/office/excel/2006/main" count="1">
        <x14:dataValidation type="list" allowBlank="1" showInputMessage="1" showErrorMessage="1">
          <x14:formula1>
            <xm:f>OFFSET('Phase GPA'!$EE$29:$EE43,0,0,COUNTA('Phase GPA'!$EE$19:$EE$43),1)</xm:f>
          </x14:formula1>
          <xm:sqref>C29:C43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L40"/>
  <sheetViews>
    <sheetView showGridLines="0" topLeftCell="G19" zoomScaleNormal="100" workbookViewId="0">
      <selection activeCell="H23" sqref="H23"/>
    </sheetView>
  </sheetViews>
  <sheetFormatPr baseColWidth="10" defaultRowHeight="15" x14ac:dyDescent="0.25"/>
  <cols>
    <col min="1" max="2" width="0.85546875" customWidth="1"/>
    <col min="3" max="4" width="15.7109375" customWidth="1"/>
    <col min="5" max="5" width="55.7109375" customWidth="1"/>
    <col min="6" max="6" width="90.7109375" customWidth="1"/>
    <col min="7" max="7" width="106.7109375" customWidth="1"/>
    <col min="8" max="8" width="30.7109375" customWidth="1"/>
    <col min="9" max="10" width="15.7109375" customWidth="1"/>
    <col min="11" max="12" width="0.85546875" customWidth="1"/>
  </cols>
  <sheetData>
    <row r="1" spans="1:12" ht="5.0999999999999996" customHeight="1" x14ac:dyDescent="0.25">
      <c r="A1" s="1"/>
      <c r="B1" s="1"/>
      <c r="C1" s="1"/>
      <c r="D1" s="1"/>
      <c r="E1" s="1"/>
      <c r="F1" s="1"/>
      <c r="G1" s="1"/>
      <c r="H1" s="1"/>
      <c r="I1" s="1"/>
      <c r="J1" s="1"/>
      <c r="K1" s="1"/>
      <c r="L1" s="1"/>
    </row>
    <row r="2" spans="1:12" x14ac:dyDescent="0.25">
      <c r="A2" s="1"/>
      <c r="B2" s="1"/>
      <c r="C2" s="7"/>
      <c r="D2" s="7"/>
      <c r="E2" s="7"/>
      <c r="F2" s="7"/>
      <c r="G2" s="7"/>
      <c r="H2" s="7"/>
      <c r="I2" s="7"/>
      <c r="J2" s="7"/>
      <c r="K2" s="7"/>
      <c r="L2" s="7"/>
    </row>
    <row r="3" spans="1:12" x14ac:dyDescent="0.25">
      <c r="A3" s="1"/>
      <c r="B3" s="1"/>
      <c r="C3" s="7"/>
      <c r="D3" s="7"/>
      <c r="E3" s="7"/>
      <c r="F3" s="7"/>
      <c r="G3" s="7"/>
      <c r="H3" s="7"/>
      <c r="I3" s="7"/>
      <c r="J3" s="7"/>
      <c r="K3" s="7"/>
      <c r="L3" s="7"/>
    </row>
    <row r="4" spans="1:12" x14ac:dyDescent="0.25">
      <c r="A4" s="1"/>
      <c r="B4" s="1"/>
      <c r="C4" s="7"/>
      <c r="D4" s="7"/>
      <c r="E4" s="7"/>
      <c r="F4" s="7"/>
      <c r="G4" s="7"/>
      <c r="H4" s="7"/>
      <c r="I4" s="7"/>
      <c r="J4" s="7"/>
      <c r="K4" s="7"/>
      <c r="L4" s="7"/>
    </row>
    <row r="5" spans="1:12" x14ac:dyDescent="0.25">
      <c r="A5" s="1"/>
      <c r="B5" s="1"/>
      <c r="C5" s="7"/>
      <c r="D5" s="7"/>
      <c r="E5" s="7"/>
      <c r="F5" s="7"/>
      <c r="G5" s="7"/>
      <c r="H5" s="7"/>
      <c r="I5" s="7"/>
      <c r="J5" s="7"/>
      <c r="K5" s="7"/>
      <c r="L5" s="7"/>
    </row>
    <row r="6" spans="1:12" x14ac:dyDescent="0.25">
      <c r="A6" s="1"/>
      <c r="B6" s="1"/>
      <c r="C6" s="7"/>
      <c r="D6" s="7"/>
      <c r="E6" s="7"/>
      <c r="F6" s="7"/>
      <c r="G6" s="7"/>
      <c r="H6" s="7"/>
      <c r="I6" s="7"/>
      <c r="J6" s="7"/>
      <c r="K6" s="7"/>
      <c r="L6" s="7"/>
    </row>
    <row r="7" spans="1:12" x14ac:dyDescent="0.25">
      <c r="A7" s="1"/>
      <c r="B7" s="1"/>
      <c r="C7" s="7"/>
      <c r="D7" s="7"/>
      <c r="E7" s="7"/>
      <c r="F7" s="7"/>
      <c r="G7" s="7"/>
      <c r="H7" s="7"/>
      <c r="I7" s="7"/>
      <c r="J7" s="7"/>
      <c r="K7" s="7"/>
      <c r="L7" s="7"/>
    </row>
    <row r="8" spans="1:12" x14ac:dyDescent="0.25">
      <c r="A8" s="1"/>
      <c r="B8" s="1"/>
      <c r="C8" s="7"/>
      <c r="D8" s="7"/>
      <c r="E8" s="7"/>
      <c r="F8" s="7"/>
      <c r="G8" s="7"/>
      <c r="H8" s="7"/>
      <c r="I8" s="7"/>
      <c r="J8" s="7"/>
      <c r="K8" s="7"/>
      <c r="L8" s="7"/>
    </row>
    <row r="9" spans="1:12" x14ac:dyDescent="0.25">
      <c r="A9" s="1"/>
      <c r="B9" s="1"/>
      <c r="C9" s="7"/>
      <c r="D9" s="7"/>
      <c r="E9" s="7"/>
      <c r="F9" s="7"/>
      <c r="G9" s="7"/>
      <c r="H9" s="7"/>
      <c r="I9" s="7"/>
      <c r="J9" s="7"/>
      <c r="K9" s="7"/>
      <c r="L9" s="7"/>
    </row>
    <row r="10" spans="1:12" x14ac:dyDescent="0.25">
      <c r="A10" s="1"/>
      <c r="B10" s="1"/>
      <c r="C10" s="7"/>
      <c r="D10" s="7"/>
      <c r="E10" s="7"/>
      <c r="F10" s="7"/>
      <c r="G10" s="7"/>
      <c r="H10" s="7"/>
      <c r="I10" s="7"/>
      <c r="J10" s="7"/>
      <c r="K10" s="7"/>
      <c r="L10" s="7"/>
    </row>
    <row r="12" spans="1:12" x14ac:dyDescent="0.25">
      <c r="C12" s="160" t="s">
        <v>11</v>
      </c>
      <c r="D12" s="160" t="s">
        <v>3</v>
      </c>
      <c r="E12" s="157" t="s">
        <v>0</v>
      </c>
      <c r="F12" s="160" t="s">
        <v>8</v>
      </c>
      <c r="G12" s="160" t="s">
        <v>9</v>
      </c>
      <c r="H12" s="157" t="s">
        <v>10</v>
      </c>
      <c r="I12" s="157" t="s">
        <v>4</v>
      </c>
      <c r="J12" s="157" t="s">
        <v>37</v>
      </c>
    </row>
    <row r="13" spans="1:12" x14ac:dyDescent="0.25">
      <c r="C13" s="161"/>
      <c r="D13" s="161"/>
      <c r="E13" s="158"/>
      <c r="F13" s="161"/>
      <c r="G13" s="161"/>
      <c r="H13" s="158"/>
      <c r="I13" s="158"/>
      <c r="J13" s="158"/>
    </row>
    <row r="14" spans="1:12" x14ac:dyDescent="0.25">
      <c r="C14" s="161"/>
      <c r="D14" s="161"/>
      <c r="E14" s="158"/>
      <c r="F14" s="161"/>
      <c r="G14" s="161"/>
      <c r="H14" s="158"/>
      <c r="I14" s="158"/>
      <c r="J14" s="158"/>
    </row>
    <row r="15" spans="1:12" x14ac:dyDescent="0.25">
      <c r="C15" s="164"/>
      <c r="D15" s="164"/>
      <c r="E15" s="163"/>
      <c r="F15" s="162"/>
      <c r="G15" s="162"/>
      <c r="H15" s="163"/>
      <c r="I15" s="163"/>
      <c r="J15" s="159"/>
    </row>
    <row r="16" spans="1:12" ht="50.1" customHeight="1" x14ac:dyDescent="0.25">
      <c r="C16" s="112" t="s">
        <v>87</v>
      </c>
      <c r="D16" s="113">
        <v>43445</v>
      </c>
      <c r="E16" s="112" t="s">
        <v>92</v>
      </c>
      <c r="F16" s="114" t="s">
        <v>94</v>
      </c>
      <c r="G16" s="114" t="s">
        <v>95</v>
      </c>
      <c r="H16" s="112" t="s">
        <v>96</v>
      </c>
      <c r="I16" s="112"/>
      <c r="J16" s="112"/>
    </row>
    <row r="17" spans="3:10" ht="50.1" customHeight="1" x14ac:dyDescent="0.25">
      <c r="C17" s="116" t="s">
        <v>87</v>
      </c>
      <c r="D17" s="117">
        <v>43445</v>
      </c>
      <c r="E17" s="115" t="s">
        <v>90</v>
      </c>
      <c r="F17" s="118" t="s">
        <v>97</v>
      </c>
      <c r="G17" s="118" t="s">
        <v>98</v>
      </c>
      <c r="H17" s="116" t="s">
        <v>96</v>
      </c>
      <c r="I17" s="115"/>
      <c r="J17" s="115"/>
    </row>
    <row r="18" spans="3:10" ht="50.1" customHeight="1" x14ac:dyDescent="0.25">
      <c r="C18" s="121" t="s">
        <v>87</v>
      </c>
      <c r="D18" s="122">
        <v>43445</v>
      </c>
      <c r="E18" s="119" t="s">
        <v>90</v>
      </c>
      <c r="F18" s="120" t="s">
        <v>99</v>
      </c>
      <c r="G18" s="120" t="s">
        <v>100</v>
      </c>
      <c r="H18" s="121" t="s">
        <v>96</v>
      </c>
      <c r="I18" s="119"/>
      <c r="J18" s="119"/>
    </row>
    <row r="19" spans="3:10" ht="50.1" customHeight="1" x14ac:dyDescent="0.25">
      <c r="C19" s="121" t="s">
        <v>87</v>
      </c>
      <c r="D19" s="122">
        <v>43445</v>
      </c>
      <c r="E19" s="119" t="s">
        <v>90</v>
      </c>
      <c r="F19" s="120" t="s">
        <v>101</v>
      </c>
      <c r="G19" s="120" t="s">
        <v>102</v>
      </c>
      <c r="H19" s="121" t="s">
        <v>96</v>
      </c>
      <c r="I19" s="119"/>
      <c r="J19" s="119"/>
    </row>
    <row r="20" spans="3:10" ht="50.1" customHeight="1" x14ac:dyDescent="0.25">
      <c r="C20" s="121" t="s">
        <v>87</v>
      </c>
      <c r="D20" s="122">
        <v>43445</v>
      </c>
      <c r="E20" s="119" t="s">
        <v>90</v>
      </c>
      <c r="F20" s="120" t="s">
        <v>103</v>
      </c>
      <c r="G20" s="123" t="s">
        <v>104</v>
      </c>
      <c r="H20" s="121" t="s">
        <v>105</v>
      </c>
      <c r="I20" s="119"/>
      <c r="J20" s="119"/>
    </row>
    <row r="21" spans="3:10" ht="50.1" customHeight="1" x14ac:dyDescent="0.25">
      <c r="C21" s="121" t="s">
        <v>87</v>
      </c>
      <c r="D21" s="122">
        <v>43445</v>
      </c>
      <c r="E21" s="119" t="s">
        <v>88</v>
      </c>
      <c r="F21" s="120" t="s">
        <v>106</v>
      </c>
      <c r="G21" s="120" t="s">
        <v>107</v>
      </c>
      <c r="H21" s="121" t="s">
        <v>96</v>
      </c>
      <c r="I21" s="119"/>
      <c r="J21" s="119"/>
    </row>
    <row r="22" spans="3:10" ht="50.1" customHeight="1" x14ac:dyDescent="0.25">
      <c r="C22" s="121" t="s">
        <v>87</v>
      </c>
      <c r="D22" s="35">
        <v>43523</v>
      </c>
      <c r="E22" s="121" t="s">
        <v>88</v>
      </c>
      <c r="F22" s="52" t="s">
        <v>114</v>
      </c>
      <c r="G22" s="52" t="s">
        <v>115</v>
      </c>
      <c r="H22" s="34" t="s">
        <v>116</v>
      </c>
      <c r="I22" s="34"/>
      <c r="J22" s="34"/>
    </row>
    <row r="23" spans="3:10" ht="50.1" customHeight="1" x14ac:dyDescent="0.25">
      <c r="C23" s="34" t="s">
        <v>87</v>
      </c>
      <c r="D23" s="122">
        <v>43523</v>
      </c>
      <c r="E23" s="34" t="s">
        <v>92</v>
      </c>
      <c r="F23" s="114" t="s">
        <v>117</v>
      </c>
      <c r="G23" s="52" t="s">
        <v>118</v>
      </c>
      <c r="H23" s="121" t="s">
        <v>116</v>
      </c>
      <c r="I23" s="34"/>
      <c r="J23" s="34"/>
    </row>
    <row r="24" spans="3:10" ht="50.1" customHeight="1" x14ac:dyDescent="0.25">
      <c r="C24" s="34"/>
      <c r="D24" s="35"/>
      <c r="E24" s="34"/>
      <c r="F24" s="52"/>
      <c r="G24" s="53"/>
      <c r="H24" s="34"/>
      <c r="I24" s="34"/>
      <c r="J24" s="34"/>
    </row>
    <row r="25" spans="3:10" ht="50.1" customHeight="1" x14ac:dyDescent="0.25">
      <c r="C25" s="34"/>
      <c r="D25" s="35"/>
      <c r="E25" s="34"/>
      <c r="F25" s="52"/>
      <c r="G25" s="52"/>
      <c r="H25" s="34"/>
      <c r="I25" s="34"/>
      <c r="J25" s="34"/>
    </row>
    <row r="26" spans="3:10" ht="50.1" customHeight="1" x14ac:dyDescent="0.25">
      <c r="C26" s="12"/>
      <c r="D26" s="12"/>
      <c r="E26" s="12"/>
      <c r="F26" s="14"/>
      <c r="G26" s="14"/>
      <c r="H26" s="12"/>
      <c r="I26" s="12"/>
      <c r="J26" s="54"/>
    </row>
    <row r="27" spans="3:10" ht="50.1" customHeight="1" x14ac:dyDescent="0.25">
      <c r="C27" s="12"/>
      <c r="D27" s="12"/>
      <c r="E27" s="12"/>
      <c r="F27" s="14"/>
      <c r="G27" s="14"/>
      <c r="H27" s="12"/>
      <c r="I27" s="12"/>
      <c r="J27" s="54"/>
    </row>
    <row r="28" spans="3:10" ht="50.1" customHeight="1" x14ac:dyDescent="0.25">
      <c r="C28" s="12"/>
      <c r="D28" s="12"/>
      <c r="E28" s="12"/>
      <c r="F28" s="14"/>
      <c r="G28" s="14"/>
      <c r="H28" s="12"/>
      <c r="I28" s="12"/>
      <c r="J28" s="54"/>
    </row>
    <row r="29" spans="3:10" ht="50.1" customHeight="1" x14ac:dyDescent="0.25">
      <c r="C29" s="12"/>
      <c r="D29" s="12"/>
      <c r="E29" s="12"/>
      <c r="F29" s="14"/>
      <c r="G29" s="14"/>
      <c r="H29" s="12"/>
      <c r="I29" s="12"/>
      <c r="J29" s="54"/>
    </row>
    <row r="30" spans="3:10" ht="50.1" customHeight="1" x14ac:dyDescent="0.25">
      <c r="C30" s="12"/>
      <c r="D30" s="12"/>
      <c r="E30" s="12"/>
      <c r="F30" s="14"/>
      <c r="G30" s="14"/>
      <c r="H30" s="12"/>
      <c r="I30" s="12"/>
      <c r="J30" s="54"/>
    </row>
    <row r="31" spans="3:10" ht="50.1" customHeight="1" x14ac:dyDescent="0.25">
      <c r="C31" s="12"/>
      <c r="D31" s="12"/>
      <c r="E31" s="12"/>
      <c r="F31" s="14"/>
      <c r="G31" s="14"/>
      <c r="H31" s="12"/>
      <c r="I31" s="12"/>
      <c r="J31" s="54"/>
    </row>
    <row r="32" spans="3:10" ht="50.1" customHeight="1" x14ac:dyDescent="0.25">
      <c r="C32" s="12"/>
      <c r="D32" s="12"/>
      <c r="E32" s="12"/>
      <c r="F32" s="14"/>
      <c r="G32" s="14"/>
      <c r="H32" s="12"/>
      <c r="I32" s="12"/>
      <c r="J32" s="54"/>
    </row>
    <row r="33" spans="3:10" ht="50.1" customHeight="1" x14ac:dyDescent="0.25">
      <c r="C33" s="12"/>
      <c r="D33" s="12"/>
      <c r="E33" s="12"/>
      <c r="F33" s="14"/>
      <c r="G33" s="14"/>
      <c r="H33" s="12"/>
      <c r="I33" s="12"/>
      <c r="J33" s="54"/>
    </row>
    <row r="34" spans="3:10" ht="50.1" customHeight="1" x14ac:dyDescent="0.25">
      <c r="C34" s="12"/>
      <c r="D34" s="12"/>
      <c r="E34" s="12"/>
      <c r="F34" s="14"/>
      <c r="G34" s="14"/>
      <c r="H34" s="12"/>
      <c r="I34" s="12"/>
      <c r="J34" s="54"/>
    </row>
    <row r="35" spans="3:10" ht="50.1" customHeight="1" x14ac:dyDescent="0.25">
      <c r="C35" s="12"/>
      <c r="D35" s="12"/>
      <c r="E35" s="12"/>
      <c r="F35" s="14"/>
      <c r="G35" s="14"/>
      <c r="H35" s="12"/>
      <c r="I35" s="12"/>
      <c r="J35" s="54"/>
    </row>
    <row r="36" spans="3:10" ht="50.1" customHeight="1" x14ac:dyDescent="0.25">
      <c r="C36" s="12"/>
      <c r="D36" s="12"/>
      <c r="E36" s="12"/>
      <c r="F36" s="14"/>
      <c r="G36" s="14"/>
      <c r="H36" s="12"/>
      <c r="I36" s="12"/>
      <c r="J36" s="54"/>
    </row>
    <row r="37" spans="3:10" ht="15" customHeight="1" x14ac:dyDescent="0.25"/>
    <row r="38" spans="3:10" x14ac:dyDescent="0.25">
      <c r="C38" s="143" t="str">
        <f ca="1">Données!$C$45</f>
        <v>CR Point bimestriel PA Version 22.4 20190227 EVREUX</v>
      </c>
      <c r="D38" s="143"/>
      <c r="E38" s="143"/>
      <c r="F38" s="143"/>
      <c r="G38" s="143"/>
      <c r="H38" s="143"/>
      <c r="I38" s="143"/>
      <c r="J38" s="143"/>
    </row>
    <row r="40" spans="3:10" ht="5.0999999999999996" customHeight="1" x14ac:dyDescent="0.25"/>
  </sheetData>
  <sheetProtection algorithmName="SHA-512" hashValue="BXgjfQ//U/w7F9l2eEPXoAcp3jHvrkMrLjgtk2j1d4BRO51TnsMe9c1/QPsVul1yMmpvcgkNrxmSh3At/pfqtw==" saltValue="WMWwAlanph9zYF+/mfikuw==" spinCount="100000" sheet="1" objects="1" scenarios="1"/>
  <protectedRanges>
    <protectedRange sqref="C16:J36" name="Plage1"/>
  </protectedRanges>
  <mergeCells count="9">
    <mergeCell ref="C38:J38"/>
    <mergeCell ref="J12:J15"/>
    <mergeCell ref="G12:G15"/>
    <mergeCell ref="H12:H15"/>
    <mergeCell ref="C12:C15"/>
    <mergeCell ref="E12:E15"/>
    <mergeCell ref="F12:F15"/>
    <mergeCell ref="D12:D15"/>
    <mergeCell ref="I12:I15"/>
  </mergeCells>
  <printOptions horizontalCentered="1"/>
  <pageMargins left="0" right="0" top="0" bottom="1.3779527559055118" header="0.31496062992125984" footer="0.31496062992125984"/>
  <pageSetup paperSize="8" scale="57" orientation="landscape" r:id="rId1"/>
  <headerFooter>
    <oddFooter>&amp;C&amp;G</oddFooter>
  </headerFooter>
  <drawing r:id="rId2"/>
  <legacyDrawingHF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OFFSET(Données!$C$19:$C$38,0,0,COUNTA(Données!$C$19:$C$38),1)</xm:f>
          </x14:formula1>
          <xm:sqref>E16:E36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
  <sheetViews>
    <sheetView workbookViewId="0"/>
  </sheetViews>
  <sheetFormatPr baseColWidth="10" defaultRowHeight="15" x14ac:dyDescent="0.25"/>
  <sheetData/>
  <printOptions horizontalCentered="1"/>
  <pageMargins left="0" right="0" top="0" bottom="1.3779527559055118" header="0.31496062992125984" footer="0.31496062992125984"/>
  <pageSetup paperSize="8" orientation="landscape" r:id="rId1"/>
  <headerFooter>
    <oddFooter>&amp;C&amp;G</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J40"/>
  <sheetViews>
    <sheetView showGridLines="0" zoomScaleNormal="100" workbookViewId="0"/>
  </sheetViews>
  <sheetFormatPr baseColWidth="10" defaultRowHeight="15" x14ac:dyDescent="0.25"/>
  <cols>
    <col min="1" max="1" width="5.7109375" customWidth="1"/>
    <col min="2" max="2" width="50.7109375" customWidth="1"/>
    <col min="3" max="5" width="15.7109375" customWidth="1"/>
    <col min="6" max="6" width="5.7109375" customWidth="1"/>
    <col min="7" max="7" width="50.7109375" customWidth="1"/>
    <col min="8" max="10" width="15.7109375" customWidth="1"/>
    <col min="11" max="11" width="5.7109375" customWidth="1"/>
  </cols>
  <sheetData>
    <row r="1" spans="2:10" ht="20.100000000000001" customHeight="1" x14ac:dyDescent="0.25">
      <c r="B1" s="8"/>
      <c r="C1" s="8"/>
      <c r="D1" s="8"/>
      <c r="E1" s="8"/>
    </row>
    <row r="2" spans="2:10" ht="20.100000000000001" customHeight="1" x14ac:dyDescent="0.25">
      <c r="B2" s="110" t="str">
        <f>CONCATENATE("Agence : ",'Feuille Saisie'!B3)</f>
        <v>Agence : EVREUX</v>
      </c>
      <c r="C2" s="8"/>
      <c r="D2" s="8"/>
      <c r="E2" s="8"/>
    </row>
    <row r="3" spans="2:10" ht="20.100000000000001" customHeight="1" x14ac:dyDescent="0.25">
      <c r="B3" s="102"/>
      <c r="C3" s="77"/>
      <c r="D3" s="77"/>
      <c r="E3" s="77"/>
      <c r="G3" s="76"/>
    </row>
    <row r="4" spans="2:10" ht="20.100000000000001" customHeight="1" x14ac:dyDescent="0.25">
      <c r="B4" s="76" t="str">
        <f>CONCATENATE("Indicateurs mesurés en ",TEXT('Feuille Saisie'!$B$4,"aaaa"), " pour ce périmètre :")</f>
        <v>Indicateurs mesurés en 2019 pour ce périmètre :</v>
      </c>
      <c r="C4" s="77"/>
      <c r="D4" s="77"/>
      <c r="E4" s="77"/>
      <c r="G4" s="76" t="str">
        <f>CONCATENATE("Indicateurs mesurés en ",TEXT('Feuille Saisie'!$B$4,"aaaa"), " pour ce périmètre pour les opérations avec la phase GPA clôturée :")</f>
        <v>Indicateurs mesurés en 2019 pour ce périmètre pour les opérations avec la phase GPA clôturée :</v>
      </c>
    </row>
    <row r="5" spans="2:10" ht="20.100000000000001" customHeight="1" x14ac:dyDescent="0.25">
      <c r="B5" s="77"/>
      <c r="C5" s="77"/>
      <c r="D5" s="77"/>
      <c r="E5" s="77"/>
    </row>
    <row r="6" spans="2:10" ht="30" customHeight="1" x14ac:dyDescent="0.25">
      <c r="B6" s="78" t="s">
        <v>51</v>
      </c>
      <c r="C6" s="78" t="s">
        <v>52</v>
      </c>
      <c r="D6" s="78" t="s">
        <v>53</v>
      </c>
      <c r="E6" s="78" t="s">
        <v>54</v>
      </c>
      <c r="G6" s="78" t="s">
        <v>51</v>
      </c>
      <c r="H6" s="78" t="s">
        <v>52</v>
      </c>
      <c r="I6" s="78" t="s">
        <v>53</v>
      </c>
      <c r="J6" s="78" t="s">
        <v>54</v>
      </c>
    </row>
    <row r="7" spans="2:10" ht="20.100000000000001" customHeight="1" x14ac:dyDescent="0.25">
      <c r="B7" s="79" t="s">
        <v>55</v>
      </c>
      <c r="C7" s="92">
        <f>IFERROR('Phase GPA'!$I$44,"/")</f>
        <v>545.5</v>
      </c>
      <c r="D7" s="79"/>
      <c r="E7" s="79"/>
      <c r="G7" s="79" t="s">
        <v>55</v>
      </c>
      <c r="H7" s="92" t="str">
        <f>IFERROR('Phase GPA'!$CY$44/'Phase GPA'!$CZ$44,"/")</f>
        <v>/</v>
      </c>
      <c r="I7" s="79"/>
      <c r="J7" s="79"/>
    </row>
    <row r="8" spans="2:10" ht="20.100000000000001" customHeight="1" x14ac:dyDescent="0.25">
      <c r="B8" s="80" t="s">
        <v>56</v>
      </c>
      <c r="C8" s="111">
        <f>IF($E$8=0,"/",$D$8/$E$8)</f>
        <v>2.0076335877862594</v>
      </c>
      <c r="D8" s="111">
        <f>'Bilan intermédiaire GPA HN'!$D$44</f>
        <v>263</v>
      </c>
      <c r="E8" s="111">
        <f>'Bilan intermédiaire GPA HN'!$S$44</f>
        <v>131</v>
      </c>
      <c r="G8" s="80" t="s">
        <v>56</v>
      </c>
      <c r="H8" s="111" t="str">
        <f>IF($J$8=0,"/",$I$8/$J$8)</f>
        <v>/</v>
      </c>
      <c r="I8" s="111">
        <f>'Bilan final GPA HN'!$D$44</f>
        <v>0</v>
      </c>
      <c r="J8" s="111">
        <f>'Bilan final GPA HN'!$S$44</f>
        <v>0</v>
      </c>
    </row>
    <row r="9" spans="2:10" ht="20.100000000000001" customHeight="1" x14ac:dyDescent="0.25">
      <c r="B9" s="80" t="s">
        <v>57</v>
      </c>
      <c r="C9" s="111">
        <f>IF($E$9=0,"/",$D$9/$E$9)</f>
        <v>2.3201856148491878E-2</v>
      </c>
      <c r="D9" s="111">
        <f>'Bilan intermédiaire GPA HR'!$D$44</f>
        <v>20</v>
      </c>
      <c r="E9" s="111">
        <f>'Bilan intermédiaire GPA HR'!$S$44</f>
        <v>862</v>
      </c>
      <c r="G9" s="80" t="s">
        <v>57</v>
      </c>
      <c r="H9" s="111" t="str">
        <f>IF($J$9=0,"/",$I$9/$J$9)</f>
        <v>/</v>
      </c>
      <c r="I9" s="111">
        <f>'Bilan final GPA HR'!$D$44</f>
        <v>0</v>
      </c>
      <c r="J9" s="111">
        <f>'Bilan final GPA HR'!$S$44</f>
        <v>0</v>
      </c>
    </row>
    <row r="10" spans="2:10" ht="20.100000000000001" customHeight="1" x14ac:dyDescent="0.25">
      <c r="B10" s="80" t="s">
        <v>58</v>
      </c>
      <c r="C10" s="111" t="str">
        <f>IF($E$10=0,"/",$D$10/$E$10*100)</f>
        <v>/</v>
      </c>
      <c r="D10" s="111">
        <f>'Bilan intermédiaire GPA OF'!$D$44+'Bilan intermédiaire GPA IE'!$D$44</f>
        <v>0</v>
      </c>
      <c r="E10" s="111">
        <f>'Bilan intermédiaire GPA OF'!$T$44+'Bilan intermédiaire GPA IE'!$T$44</f>
        <v>0</v>
      </c>
      <c r="G10" s="80" t="s">
        <v>58</v>
      </c>
      <c r="H10" s="111" t="str">
        <f>IF($J$10=0,"/",$I$10/$J$10*100)</f>
        <v>/</v>
      </c>
      <c r="I10" s="111">
        <f>'Bilan final GPA OF'!$D$44+'Bilan final GPA IE'!$D$44</f>
        <v>0</v>
      </c>
      <c r="J10" s="111">
        <f>'Bilan final GPA OF'!$T$44+'Bilan final GPA IE'!$T$44</f>
        <v>0</v>
      </c>
    </row>
    <row r="11" spans="2:10" ht="20.100000000000001" customHeight="1" x14ac:dyDescent="0.25">
      <c r="B11" s="79" t="s">
        <v>59</v>
      </c>
      <c r="C11" s="93">
        <f>IFERROR('Phase GPA'!$M$44,"/")</f>
        <v>22.943462897526501</v>
      </c>
      <c r="D11" s="79"/>
      <c r="E11" s="79"/>
      <c r="G11" s="79" t="s">
        <v>59</v>
      </c>
      <c r="H11" s="93" t="str">
        <f>IFERROR(('Bilan final GPA HN'!$V$44+'Bilan final GPA HR'!$V$44+'Bilan final GPA OF'!$V$44+'Bilan final GPA IE'!$V$44)/('Bilan final GPA HN'!$D$44+'Bilan final GPA HR'!$D$44+'Bilan final GPA OF'!$D$44+'Bilan final GPA IE'!$D$44),"/")</f>
        <v>/</v>
      </c>
      <c r="I11" s="79"/>
      <c r="J11" s="79"/>
    </row>
    <row r="12" spans="2:10" ht="20.100000000000001" customHeight="1" x14ac:dyDescent="0.25">
      <c r="B12" s="81" t="s">
        <v>60</v>
      </c>
      <c r="C12" s="94">
        <f>'Phase GPA'!$N$44/1000</f>
        <v>48.517000000000003</v>
      </c>
      <c r="D12" s="81"/>
      <c r="E12" s="81"/>
      <c r="G12" s="81" t="s">
        <v>60</v>
      </c>
      <c r="H12" s="94">
        <f>('Bilan final GPA HN'!$H$44+'Bilan final GPA HR'!$H$44+'Bilan final GPA OF'!$H$44+'Bilan final GPA IE'!$H$44)/1000</f>
        <v>0</v>
      </c>
      <c r="I12" s="81"/>
      <c r="J12" s="81"/>
    </row>
    <row r="13" spans="2:10" ht="20.100000000000001" customHeight="1" x14ac:dyDescent="0.25">
      <c r="B13" s="81" t="s">
        <v>61</v>
      </c>
      <c r="C13" s="94">
        <f>IFERROR($D$13/$E$13*100,"/")</f>
        <v>0.13398044847012042</v>
      </c>
      <c r="D13" s="94">
        <f>$C$12</f>
        <v>48.517000000000003</v>
      </c>
      <c r="E13" s="94">
        <f>('Bilan intermédiaire GPA HN'!$U$44+'Bilan intermédiaire GPA HR'!$U$44+'Bilan intermédiaire GPA OF'!$U$44+'Bilan intermédiaire GPA IE'!$U$44)/1000</f>
        <v>36212</v>
      </c>
      <c r="G13" s="81" t="s">
        <v>61</v>
      </c>
      <c r="H13" s="94" t="str">
        <f>IFERROR($I$13/$J$13*100,"/")</f>
        <v>/</v>
      </c>
      <c r="I13" s="94">
        <f>$H$12</f>
        <v>0</v>
      </c>
      <c r="J13" s="94">
        <f>('Bilan final GPA HN'!$U$44+'Bilan final GPA HR'!$U$44+'Bilan final GPA OF'!$U$44+'Bilan final GPA IE'!$U$44)/1000</f>
        <v>0</v>
      </c>
    </row>
    <row r="14" spans="2:10" ht="20.100000000000001" customHeight="1" x14ac:dyDescent="0.25">
      <c r="B14" s="89" t="s">
        <v>76</v>
      </c>
      <c r="C14" s="95">
        <f>'Phase GPA'!$AK$44</f>
        <v>2</v>
      </c>
      <c r="D14" s="82"/>
      <c r="E14" s="82"/>
      <c r="G14" s="89" t="s">
        <v>76</v>
      </c>
      <c r="H14" s="95">
        <f>'Phase GPA'!$AW$44</f>
        <v>0</v>
      </c>
      <c r="I14" s="82"/>
      <c r="J14" s="82"/>
    </row>
    <row r="15" spans="2:10" ht="20.100000000000001" customHeight="1" x14ac:dyDescent="0.25">
      <c r="B15" s="82" t="s">
        <v>62</v>
      </c>
      <c r="C15" s="95">
        <f>IFERROR('Phase GPA'!$K$44,"/")</f>
        <v>132.5</v>
      </c>
      <c r="D15" s="82"/>
      <c r="E15" s="82"/>
      <c r="G15" s="82" t="s">
        <v>62</v>
      </c>
      <c r="H15" s="95" t="str">
        <f>IFERROR('Phase GPA'!$AX$44/'Phase GPA'!$AW$44,"/")</f>
        <v>/</v>
      </c>
      <c r="I15" s="82"/>
      <c r="J15" s="82"/>
    </row>
    <row r="16" spans="2:10" ht="20.100000000000001" customHeight="1" x14ac:dyDescent="0.25">
      <c r="B16" s="89" t="s">
        <v>77</v>
      </c>
      <c r="C16" s="95">
        <f>'Phase GPA'!$AL$44</f>
        <v>0</v>
      </c>
      <c r="D16" s="82"/>
      <c r="E16" s="82"/>
      <c r="G16" s="89" t="s">
        <v>77</v>
      </c>
      <c r="H16" s="95">
        <f>'Phase GPA'!$AY$44</f>
        <v>0</v>
      </c>
      <c r="I16" s="82"/>
      <c r="J16" s="82"/>
    </row>
    <row r="17" spans="2:10" ht="20.100000000000001" customHeight="1" x14ac:dyDescent="0.25">
      <c r="B17" s="82" t="s">
        <v>63</v>
      </c>
      <c r="C17" s="95" t="str">
        <f>IFERROR('Phase GPA'!$U$44,"/")</f>
        <v>/</v>
      </c>
      <c r="D17" s="82"/>
      <c r="E17" s="82"/>
      <c r="G17" s="82" t="s">
        <v>63</v>
      </c>
      <c r="H17" s="95" t="str">
        <f>IFERROR('Phase GPA'!$AZ$44/'Phase GPA'!$AY$44,"/")</f>
        <v>/</v>
      </c>
      <c r="I17" s="82"/>
      <c r="J17" s="82"/>
    </row>
    <row r="18" spans="2:10" ht="20.100000000000001" customHeight="1" x14ac:dyDescent="0.25">
      <c r="B18" s="83"/>
      <c r="C18" s="77"/>
      <c r="D18" s="77"/>
      <c r="E18" s="77"/>
    </row>
    <row r="19" spans="2:10" ht="20.100000000000001" customHeight="1" x14ac:dyDescent="0.25">
      <c r="B19" s="109" t="s">
        <v>64</v>
      </c>
      <c r="C19" s="77"/>
      <c r="D19" s="77"/>
      <c r="E19" s="77"/>
      <c r="G19" s="109" t="s">
        <v>64</v>
      </c>
      <c r="H19" s="77"/>
      <c r="I19" s="77"/>
    </row>
    <row r="20" spans="2:10" ht="20.100000000000001" customHeight="1" x14ac:dyDescent="0.25">
      <c r="B20" s="83" t="s">
        <v>65</v>
      </c>
      <c r="C20" s="83"/>
      <c r="D20" s="83"/>
      <c r="E20" s="77"/>
      <c r="G20" s="83" t="s">
        <v>65</v>
      </c>
      <c r="H20" s="83"/>
      <c r="I20" s="83"/>
    </row>
    <row r="21" spans="2:10" ht="20.100000000000001" customHeight="1" x14ac:dyDescent="0.25">
      <c r="B21" s="84" t="s">
        <v>66</v>
      </c>
      <c r="C21" s="85">
        <f>Données!$R$39</f>
        <v>4</v>
      </c>
      <c r="D21" s="77"/>
      <c r="E21" s="77"/>
      <c r="G21" s="84" t="s">
        <v>66</v>
      </c>
      <c r="H21" s="86">
        <f>'Bilan final GPA HN'!$W$44</f>
        <v>0</v>
      </c>
      <c r="I21" s="77"/>
    </row>
    <row r="22" spans="2:10" ht="20.100000000000001" customHeight="1" x14ac:dyDescent="0.25">
      <c r="B22" s="84" t="s">
        <v>67</v>
      </c>
      <c r="C22" s="85">
        <f>Données!$S$39</f>
        <v>2</v>
      </c>
      <c r="D22" s="77"/>
      <c r="E22" s="77"/>
      <c r="G22" s="84" t="s">
        <v>67</v>
      </c>
      <c r="H22" s="86">
        <f>'Bilan final GPA HR'!$W$44</f>
        <v>0</v>
      </c>
      <c r="I22" s="77"/>
    </row>
    <row r="23" spans="2:10" ht="20.100000000000001" customHeight="1" x14ac:dyDescent="0.25">
      <c r="B23" s="84" t="s">
        <v>68</v>
      </c>
      <c r="C23" s="85">
        <f>Données!$T$39</f>
        <v>0</v>
      </c>
      <c r="D23" s="77"/>
      <c r="E23" s="77"/>
      <c r="G23" s="84" t="s">
        <v>68</v>
      </c>
      <c r="H23" s="86">
        <f>'Bilan final GPA OF'!$W$44</f>
        <v>0</v>
      </c>
      <c r="I23" s="77"/>
    </row>
    <row r="24" spans="2:10" ht="20.100000000000001" customHeight="1" x14ac:dyDescent="0.25">
      <c r="B24" s="84" t="s">
        <v>69</v>
      </c>
      <c r="C24" s="85">
        <f>Données!$U$39</f>
        <v>0</v>
      </c>
      <c r="D24" s="77"/>
      <c r="E24" s="77"/>
      <c r="G24" s="84" t="s">
        <v>69</v>
      </c>
      <c r="H24" s="86">
        <f>'Bilan final GPA IE'!$W$44</f>
        <v>0</v>
      </c>
      <c r="I24" s="77"/>
    </row>
    <row r="25" spans="2:10" ht="20.100000000000001" customHeight="1" x14ac:dyDescent="0.25">
      <c r="B25" s="84"/>
      <c r="C25" s="85"/>
      <c r="D25" s="77"/>
      <c r="E25" s="77"/>
      <c r="G25" s="84"/>
      <c r="H25" s="86"/>
      <c r="I25" s="77"/>
    </row>
    <row r="26" spans="2:10" ht="20.100000000000001" customHeight="1" x14ac:dyDescent="0.25">
      <c r="B26" s="76" t="str">
        <f>CONCATENATE("Autres indicateurs mesurés en ",TEXT('Feuille Saisie'!$B$4,"aaaa"), " pour ce périmètre :")</f>
        <v>Autres indicateurs mesurés en 2019 pour ce périmètre :</v>
      </c>
      <c r="C26" s="85"/>
      <c r="D26" s="77"/>
      <c r="E26" s="77"/>
      <c r="G26" s="76" t="str">
        <f>CONCATENATE("Autres indicateurs mesurés en ",TEXT('Feuille Saisie'!$B$4,"aaaa"), " pour ce périmètre :")</f>
        <v>Autres indicateurs mesurés en 2019 pour ce périmètre :</v>
      </c>
      <c r="H26" s="86"/>
      <c r="I26" s="77"/>
    </row>
    <row r="27" spans="2:10" ht="20.100000000000001" customHeight="1" x14ac:dyDescent="0.25">
      <c r="B27" s="84"/>
      <c r="C27" s="85"/>
      <c r="D27" s="77"/>
      <c r="E27" s="77"/>
      <c r="G27" s="84"/>
      <c r="H27" s="86"/>
      <c r="I27" s="77"/>
    </row>
    <row r="28" spans="2:10" ht="20.100000000000001" customHeight="1" x14ac:dyDescent="0.25">
      <c r="B28" s="83" t="str">
        <f>CONCATENATE("     ● Le nombre d'affaires avec une fin de GPA en ",TEXT('Feuille Saisie'!$B$4,"aaaa"), " * :")</f>
        <v xml:space="preserve">     ● Le nombre d'affaires avec une fin de GPA en 2019 * :</v>
      </c>
      <c r="C28" s="83"/>
      <c r="D28" s="86">
        <f>'Phase GPA'!$BH$44</f>
        <v>0</v>
      </c>
      <c r="E28" s="77"/>
      <c r="G28" s="83" t="str">
        <f>CONCATENATE("     ● Le nombre d'affaires avec une fin de GPA en ",TEXT('Feuille Saisie'!$B$4,"aaaa"), " * :")</f>
        <v xml:space="preserve">     ● Le nombre d'affaires avec une fin de GPA en 2019 * :</v>
      </c>
      <c r="H28" s="83"/>
      <c r="I28" s="86">
        <f>'Phase GPA'!$BH$44</f>
        <v>0</v>
      </c>
    </row>
    <row r="29" spans="2:10" ht="20.100000000000001" customHeight="1" x14ac:dyDescent="0.25">
      <c r="B29" s="83" t="s">
        <v>84</v>
      </c>
      <c r="C29" s="77"/>
      <c r="D29" s="86">
        <f>'Phase GPA'!$AR$44</f>
        <v>0</v>
      </c>
      <c r="E29" s="77"/>
      <c r="G29" s="83" t="s">
        <v>84</v>
      </c>
      <c r="H29" s="77"/>
      <c r="I29" s="86">
        <f>'Phase GPA'!$AR$44</f>
        <v>0</v>
      </c>
    </row>
    <row r="30" spans="2:10" ht="20.100000000000001" customHeight="1" x14ac:dyDescent="0.25">
      <c r="B30" s="83" t="str">
        <f>CONCATENATE("     ● Le nombre d'affaires réceptionnées sans réserve en ",TEXT('Feuille Saisie'!$B$4,"aaaa"), " * :")</f>
        <v xml:space="preserve">     ● Le nombre d'affaires réceptionnées sans réserve en 2019 * :</v>
      </c>
      <c r="C30" s="8"/>
      <c r="D30" s="86">
        <f>'Phase GPA'!$DH$44</f>
        <v>0</v>
      </c>
      <c r="E30" s="8"/>
      <c r="G30" s="83" t="str">
        <f>CONCATENATE("     ● Le nombre d'affaires réceptionnées sans réserve en ",TEXT('Feuille Saisie'!$B$4,"aaaa"), " * :")</f>
        <v xml:space="preserve">     ● Le nombre d'affaires réceptionnées sans réserve en 2019 * :</v>
      </c>
      <c r="H30" s="8"/>
      <c r="I30" s="86">
        <f>'Phase GPA'!$DH$44</f>
        <v>0</v>
      </c>
      <c r="J30" s="105"/>
    </row>
    <row r="31" spans="2:10" ht="20.100000000000001" customHeight="1" x14ac:dyDescent="0.25">
      <c r="B31" s="72"/>
      <c r="C31" s="107" t="s">
        <v>79</v>
      </c>
      <c r="D31" s="91" t="str">
        <f>IFERROR('Phase GPA'!$DH$44/'Phase GPA'!$DJ$44,"/")</f>
        <v>/</v>
      </c>
      <c r="E31" s="8"/>
      <c r="G31" s="72"/>
      <c r="H31" s="107" t="s">
        <v>79</v>
      </c>
      <c r="I31" s="91" t="str">
        <f>IFERROR('Phase GPA'!$DH$44/'Phase GPA'!$DJ$44,"/")</f>
        <v>/</v>
      </c>
      <c r="J31" s="105"/>
    </row>
    <row r="32" spans="2:10" ht="20.100000000000001" customHeight="1" x14ac:dyDescent="0.25">
      <c r="B32" s="83" t="str">
        <f>CONCATENATE("     ● Le nombre d'affaires avec une passation technique réalisée en ",TEXT('Feuille Saisie'!$B$4,"aaaa"), " * :")</f>
        <v xml:space="preserve">     ● Le nombre d'affaires avec une passation technique réalisée en 2019 * :</v>
      </c>
      <c r="C32" s="77"/>
      <c r="D32" s="86">
        <f>'Phase GPA'!$DE$44</f>
        <v>1</v>
      </c>
      <c r="E32" s="8"/>
      <c r="G32" s="83" t="str">
        <f>CONCATENATE("     ● Le nombre d'affaires avec une passation technique réalisée en ",TEXT('Feuille Saisie'!$B$4,"aaaa"), " * :")</f>
        <v xml:space="preserve">     ● Le nombre d'affaires avec une passation technique réalisée en 2019 * :</v>
      </c>
      <c r="H32" s="77"/>
      <c r="I32" s="86">
        <f>'Phase GPA'!$DE$44</f>
        <v>1</v>
      </c>
      <c r="J32" s="105"/>
    </row>
    <row r="33" spans="2:10" ht="20.100000000000001" customHeight="1" x14ac:dyDescent="0.25">
      <c r="B33" s="83"/>
      <c r="C33" s="84" t="s">
        <v>81</v>
      </c>
      <c r="D33" s="108">
        <f>IFERROR('Phase GPA'!$DK$44/'Phase GPA'!$DE$44,"/")</f>
        <v>120</v>
      </c>
      <c r="E33" s="8"/>
      <c r="G33" s="83"/>
      <c r="H33" s="84" t="s">
        <v>81</v>
      </c>
      <c r="I33" s="108">
        <f>IFERROR('Phase GPA'!$DK$44/'Phase GPA'!$DE$44,"/")</f>
        <v>120</v>
      </c>
      <c r="J33" s="105"/>
    </row>
    <row r="34" spans="2:10" ht="20.100000000000001" customHeight="1" x14ac:dyDescent="0.25">
      <c r="B34" s="83" t="str">
        <f>CONCATENATE("     ● Le nombre d'affaires avec une passation administrative réalisée en ",TEXT('Feuille Saisie'!$B$4,"aaaa"), " * :")</f>
        <v xml:space="preserve">     ● Le nombre d'affaires avec une passation administrative réalisée en 2019 * :</v>
      </c>
      <c r="C34" s="77"/>
      <c r="D34" s="86">
        <f>'Phase GPA'!$DN$44</f>
        <v>0</v>
      </c>
      <c r="E34" s="8"/>
      <c r="G34" s="83" t="str">
        <f>CONCATENATE("     ● Le nombre d'affaires avec une passation administrative réalisée en ",TEXT('Feuille Saisie'!$B$4,"aaaa"), " * :")</f>
        <v xml:space="preserve">     ● Le nombre d'affaires avec une passation administrative réalisée en 2019 * :</v>
      </c>
      <c r="H34" s="77"/>
      <c r="I34" s="86">
        <f>'Phase GPA'!$DN$44</f>
        <v>0</v>
      </c>
      <c r="J34" s="105"/>
    </row>
    <row r="35" spans="2:10" ht="20.100000000000001" customHeight="1" x14ac:dyDescent="0.25">
      <c r="B35" s="83"/>
      <c r="C35" s="84" t="s">
        <v>81</v>
      </c>
      <c r="D35" s="108" t="str">
        <f>IFERROR('Phase GPA'!$DO$44/'Phase GPA'!$DN$44,"/")</f>
        <v>/</v>
      </c>
      <c r="E35" s="8"/>
      <c r="G35" s="83"/>
      <c r="H35" s="84" t="s">
        <v>81</v>
      </c>
      <c r="I35" s="108" t="str">
        <f>IFERROR('Phase GPA'!$DO$44/'Phase GPA'!$DN$44,"/")</f>
        <v>/</v>
      </c>
      <c r="J35" s="105"/>
    </row>
    <row r="36" spans="2:10" x14ac:dyDescent="0.25">
      <c r="B36" s="83" t="s">
        <v>86</v>
      </c>
      <c r="C36" s="8"/>
      <c r="D36" s="86">
        <f>'Phase GPA'!$BB$44</f>
        <v>1</v>
      </c>
      <c r="G36" s="83" t="s">
        <v>85</v>
      </c>
      <c r="H36" s="87"/>
      <c r="I36" s="86">
        <f>'Phase GPA'!$BD$44</f>
        <v>0</v>
      </c>
    </row>
    <row r="37" spans="2:10" x14ac:dyDescent="0.25">
      <c r="B37" s="72"/>
      <c r="C37" s="107" t="s">
        <v>79</v>
      </c>
      <c r="D37" s="91">
        <f>IFERROR('Phase GPA'!$BB$44/'Phase GPA'!$BC$44,"/")</f>
        <v>0.33333333333333331</v>
      </c>
      <c r="G37" s="72"/>
      <c r="H37" s="107" t="s">
        <v>79</v>
      </c>
      <c r="I37" s="91" t="str">
        <f>IFERROR('Phase GPA'!$BD$44/'Phase GPA'!$BE$44,"/")</f>
        <v>/</v>
      </c>
    </row>
    <row r="39" spans="2:10" x14ac:dyDescent="0.25">
      <c r="B39" s="72" t="s">
        <v>82</v>
      </c>
      <c r="C39" s="8"/>
      <c r="D39" s="8"/>
      <c r="E39" s="8"/>
      <c r="F39" s="8"/>
      <c r="G39" s="72" t="s">
        <v>82</v>
      </c>
    </row>
    <row r="40" spans="2:10" x14ac:dyDescent="0.25">
      <c r="B40" s="72" t="s">
        <v>83</v>
      </c>
      <c r="C40" s="8"/>
      <c r="D40" s="8"/>
      <c r="E40" s="8"/>
      <c r="F40" s="8"/>
      <c r="G40" s="72" t="s">
        <v>83</v>
      </c>
    </row>
  </sheetData>
  <sheetProtection algorithmName="SHA-512" hashValue="fXEX10qL+ulk5oNngIOXsd3Asu4Cjj6JHKVDCE3oMk0YmC+s5K+Cq/diBkMZTh3CBlJ9633vEs8ubSn/J1sw4A==" saltValue="c+QyOnFQoCAUjScHlDveGQ==" spinCount="100000" sheet="1" objects="1" scenarios="1"/>
  <printOptions horizontalCentered="1"/>
  <pageMargins left="0" right="0" top="0" bottom="1.3779527559055118" header="0.31496062992125984" footer="0.31496062992125984"/>
  <pageSetup paperSize="8" orientation="landscape" r:id="rId1"/>
  <headerFooter>
    <oddFooter>&amp;C&amp;G</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pageSetUpPr fitToPage="1"/>
  </sheetPr>
  <dimension ref="A1:V51"/>
  <sheetViews>
    <sheetView showGridLines="0" zoomScaleNormal="100" workbookViewId="0"/>
  </sheetViews>
  <sheetFormatPr baseColWidth="10" defaultColWidth="11.42578125" defaultRowHeight="15" x14ac:dyDescent="0.25"/>
  <cols>
    <col min="1" max="2" width="0.85546875" customWidth="1"/>
    <col min="3" max="3" width="55.7109375" customWidth="1"/>
    <col min="4" max="14" width="15.7109375" customWidth="1"/>
    <col min="15" max="15" width="1.7109375" customWidth="1"/>
    <col min="16" max="16" width="104.7109375" customWidth="1"/>
    <col min="17" max="18" width="0.85546875" customWidth="1"/>
  </cols>
  <sheetData>
    <row r="1" spans="1:19" ht="5.0999999999999996" customHeight="1" x14ac:dyDescent="0.25">
      <c r="A1" s="1"/>
      <c r="B1" s="1"/>
      <c r="C1" s="1"/>
      <c r="D1" s="1"/>
      <c r="E1" s="1"/>
      <c r="F1" s="1"/>
      <c r="G1" s="1"/>
      <c r="H1" s="1"/>
      <c r="I1" s="1"/>
      <c r="J1" s="1"/>
      <c r="K1" s="1"/>
      <c r="L1" s="1"/>
      <c r="M1" s="1"/>
      <c r="N1" s="1"/>
      <c r="O1" s="1"/>
      <c r="P1" s="1"/>
      <c r="Q1" s="1"/>
      <c r="R1" s="1"/>
    </row>
    <row r="2" spans="1:19" x14ac:dyDescent="0.25">
      <c r="A2" s="1"/>
      <c r="B2" s="1"/>
      <c r="C2" s="7"/>
      <c r="D2" s="7"/>
      <c r="E2" s="7"/>
      <c r="F2" s="7"/>
      <c r="G2" s="7"/>
      <c r="H2" s="7"/>
      <c r="I2" s="7"/>
      <c r="J2" s="7"/>
      <c r="K2" s="7"/>
      <c r="L2" s="7"/>
      <c r="M2" s="7"/>
      <c r="N2" s="7"/>
      <c r="O2" s="7"/>
      <c r="P2" s="7"/>
      <c r="Q2" s="7"/>
      <c r="R2" s="7"/>
      <c r="S2" s="8"/>
    </row>
    <row r="3" spans="1:19" x14ac:dyDescent="0.25">
      <c r="A3" s="1"/>
      <c r="B3" s="1"/>
      <c r="C3" s="7"/>
      <c r="D3" s="7"/>
      <c r="E3" s="7"/>
      <c r="F3" s="7"/>
      <c r="G3" s="7"/>
      <c r="H3" s="7"/>
      <c r="I3" s="7"/>
      <c r="J3" s="7"/>
      <c r="K3" s="7"/>
      <c r="L3" s="7"/>
      <c r="M3" s="7"/>
      <c r="N3" s="7"/>
      <c r="O3" s="7"/>
      <c r="P3" s="7"/>
      <c r="Q3" s="7"/>
      <c r="R3" s="7"/>
      <c r="S3" s="8"/>
    </row>
    <row r="4" spans="1:19" x14ac:dyDescent="0.25">
      <c r="A4" s="1"/>
      <c r="B4" s="1"/>
      <c r="C4" s="7"/>
      <c r="D4" s="7"/>
      <c r="E4" s="7"/>
      <c r="F4" s="7"/>
      <c r="G4" s="7"/>
      <c r="H4" s="7"/>
      <c r="I4" s="7"/>
      <c r="J4" s="7"/>
      <c r="K4" s="7"/>
      <c r="L4" s="7"/>
      <c r="M4" s="7"/>
      <c r="N4" s="7"/>
      <c r="O4" s="7"/>
      <c r="P4" s="7"/>
      <c r="Q4" s="7"/>
      <c r="R4" s="7"/>
      <c r="S4" s="8"/>
    </row>
    <row r="5" spans="1:19" x14ac:dyDescent="0.25">
      <c r="A5" s="1"/>
      <c r="B5" s="1"/>
      <c r="C5" s="7"/>
      <c r="D5" s="7"/>
      <c r="E5" s="7"/>
      <c r="F5" s="7"/>
      <c r="G5" s="7"/>
      <c r="H5" s="7"/>
      <c r="I5" s="7"/>
      <c r="J5" s="7"/>
      <c r="K5" s="7"/>
      <c r="L5" s="7"/>
      <c r="M5" s="7"/>
      <c r="N5" s="7"/>
      <c r="O5" s="7"/>
      <c r="P5" s="7"/>
      <c r="Q5" s="7"/>
      <c r="R5" s="7"/>
      <c r="S5" s="8"/>
    </row>
    <row r="6" spans="1:19" x14ac:dyDescent="0.25">
      <c r="A6" s="1"/>
      <c r="B6" s="1"/>
      <c r="C6" s="7"/>
      <c r="D6" s="7"/>
      <c r="E6" s="7"/>
      <c r="F6" s="7"/>
      <c r="G6" s="7"/>
      <c r="H6" s="7"/>
      <c r="I6" s="7"/>
      <c r="J6" s="7"/>
      <c r="K6" s="7"/>
      <c r="L6" s="7"/>
      <c r="M6" s="7"/>
      <c r="N6" s="7"/>
      <c r="O6" s="7"/>
      <c r="P6" s="7"/>
      <c r="Q6" s="7"/>
      <c r="R6" s="7"/>
      <c r="S6" s="8"/>
    </row>
    <row r="7" spans="1:19" x14ac:dyDescent="0.25">
      <c r="A7" s="1"/>
      <c r="B7" s="1"/>
      <c r="C7" s="7"/>
      <c r="D7" s="7"/>
      <c r="E7" s="7"/>
      <c r="F7" s="7"/>
      <c r="G7" s="7"/>
      <c r="H7" s="7"/>
      <c r="I7" s="7"/>
      <c r="J7" s="7"/>
      <c r="K7" s="7"/>
      <c r="L7" s="7"/>
      <c r="M7" s="7"/>
      <c r="N7" s="7"/>
      <c r="O7" s="7"/>
      <c r="P7" s="7"/>
      <c r="Q7" s="7"/>
      <c r="R7" s="7"/>
      <c r="S7" s="8"/>
    </row>
    <row r="8" spans="1:19" x14ac:dyDescent="0.25">
      <c r="A8" s="1"/>
      <c r="B8" s="1"/>
      <c r="C8" s="7"/>
      <c r="D8" s="7"/>
      <c r="E8" s="7"/>
      <c r="F8" s="7"/>
      <c r="G8" s="7"/>
      <c r="H8" s="7"/>
      <c r="I8" s="7"/>
      <c r="J8" s="7"/>
      <c r="K8" s="7"/>
      <c r="L8" s="7"/>
      <c r="M8" s="7"/>
      <c r="N8" s="7"/>
      <c r="O8" s="7"/>
      <c r="P8" s="7"/>
      <c r="Q8" s="7"/>
      <c r="R8" s="7"/>
      <c r="S8" s="8"/>
    </row>
    <row r="9" spans="1:19" x14ac:dyDescent="0.25">
      <c r="A9" s="1"/>
      <c r="B9" s="1"/>
      <c r="C9" s="7"/>
      <c r="D9" s="7"/>
      <c r="E9" s="7"/>
      <c r="F9" s="7"/>
      <c r="G9" s="7"/>
      <c r="H9" s="7"/>
      <c r="I9" s="7"/>
      <c r="J9" s="7"/>
      <c r="K9" s="7"/>
      <c r="L9" s="7"/>
      <c r="M9" s="7"/>
      <c r="N9" s="7"/>
      <c r="O9" s="7"/>
      <c r="P9" s="7"/>
      <c r="Q9" s="7"/>
      <c r="R9" s="7"/>
      <c r="S9" s="8"/>
    </row>
    <row r="10" spans="1:19" x14ac:dyDescent="0.25">
      <c r="A10" s="1"/>
      <c r="B10" s="1"/>
      <c r="C10" s="7"/>
      <c r="D10" s="7"/>
      <c r="E10" s="7"/>
      <c r="F10" s="7"/>
      <c r="G10" s="7"/>
      <c r="H10" s="7"/>
      <c r="I10" s="7"/>
      <c r="J10" s="7"/>
      <c r="K10" s="7"/>
      <c r="L10" s="7"/>
      <c r="M10" s="7"/>
      <c r="N10" s="7"/>
      <c r="O10" s="7"/>
      <c r="P10" s="7"/>
      <c r="Q10" s="7"/>
      <c r="R10" s="7"/>
      <c r="S10" s="8"/>
    </row>
    <row r="20" spans="1:22" x14ac:dyDescent="0.25">
      <c r="A20" s="1"/>
      <c r="B20" s="1"/>
      <c r="C20" s="4"/>
      <c r="D20" s="4"/>
      <c r="E20" s="4"/>
      <c r="F20" s="4"/>
      <c r="G20" s="4"/>
      <c r="H20" s="4"/>
      <c r="I20" s="4"/>
      <c r="J20" s="4"/>
      <c r="K20" s="4"/>
      <c r="L20" s="4"/>
      <c r="M20" s="4"/>
      <c r="N20" s="4"/>
      <c r="O20" s="4"/>
      <c r="P20" s="4"/>
      <c r="Q20" s="1"/>
      <c r="R20" s="1"/>
      <c r="S20" s="1"/>
    </row>
    <row r="21" spans="1:22" x14ac:dyDescent="0.25">
      <c r="A21" s="1"/>
      <c r="B21" s="1"/>
      <c r="C21" s="4"/>
      <c r="D21" s="4"/>
      <c r="E21" s="4"/>
      <c r="F21" s="4"/>
      <c r="G21" s="4"/>
      <c r="H21" s="4"/>
      <c r="I21" s="4"/>
      <c r="J21" s="4"/>
      <c r="K21" s="4"/>
      <c r="L21" s="4"/>
      <c r="M21" s="4"/>
      <c r="N21" s="4"/>
      <c r="O21" s="4"/>
      <c r="P21" s="4"/>
      <c r="Q21" s="1"/>
      <c r="R21" s="1"/>
      <c r="S21" s="1"/>
    </row>
    <row r="22" spans="1:22" x14ac:dyDescent="0.25">
      <c r="A22" s="1"/>
      <c r="B22" s="1"/>
      <c r="C22" s="4"/>
      <c r="D22" s="4"/>
      <c r="E22" s="4"/>
      <c r="F22" s="4"/>
      <c r="G22" s="4"/>
      <c r="H22" s="4"/>
      <c r="I22" s="4"/>
      <c r="J22" s="4"/>
      <c r="K22" s="4"/>
      <c r="L22" s="4"/>
      <c r="M22" s="4"/>
      <c r="N22" s="4"/>
      <c r="O22" s="4"/>
      <c r="P22" s="4"/>
      <c r="Q22" s="1"/>
      <c r="R22" s="1"/>
      <c r="S22" s="1"/>
    </row>
    <row r="23" spans="1:22" x14ac:dyDescent="0.25">
      <c r="A23" s="1"/>
      <c r="B23" s="1"/>
      <c r="C23" s="4"/>
      <c r="D23" s="4"/>
      <c r="E23" s="4"/>
      <c r="F23" s="4"/>
      <c r="G23" s="4"/>
      <c r="H23" s="4"/>
      <c r="I23" s="4"/>
      <c r="J23" s="4"/>
      <c r="K23" s="4"/>
      <c r="L23" s="4"/>
      <c r="M23" s="4"/>
      <c r="N23" s="4"/>
      <c r="O23" s="4"/>
      <c r="P23" s="4"/>
      <c r="Q23" s="1"/>
      <c r="R23" s="1"/>
      <c r="S23" s="1"/>
    </row>
    <row r="24" spans="1:22" x14ac:dyDescent="0.25">
      <c r="A24" s="1"/>
      <c r="B24" s="1"/>
      <c r="C24" s="4"/>
      <c r="D24" s="4"/>
      <c r="E24" s="4"/>
      <c r="F24" s="4"/>
      <c r="G24" s="4"/>
      <c r="H24" s="4"/>
      <c r="I24" s="4"/>
      <c r="J24" s="4"/>
      <c r="K24" s="4"/>
      <c r="L24" s="4"/>
      <c r="M24" s="4"/>
      <c r="N24" s="4"/>
      <c r="O24" s="4"/>
      <c r="P24" s="4"/>
      <c r="Q24" s="1"/>
      <c r="R24" s="1"/>
      <c r="S24" s="1"/>
    </row>
    <row r="25" spans="1:22" ht="15" customHeight="1" x14ac:dyDescent="0.25">
      <c r="A25" s="1"/>
      <c r="B25" s="1"/>
      <c r="C25" s="154" t="s">
        <v>7</v>
      </c>
      <c r="D25" s="154" t="s">
        <v>13</v>
      </c>
      <c r="E25" s="154" t="s">
        <v>22</v>
      </c>
      <c r="F25" s="154" t="s">
        <v>73</v>
      </c>
      <c r="G25" s="154" t="s">
        <v>31</v>
      </c>
      <c r="H25" s="154" t="s">
        <v>14</v>
      </c>
      <c r="I25" s="154" t="s">
        <v>20</v>
      </c>
      <c r="J25" s="154" t="s">
        <v>23</v>
      </c>
      <c r="K25" s="154" t="s">
        <v>74</v>
      </c>
      <c r="L25" s="154" t="s">
        <v>15</v>
      </c>
      <c r="M25" s="125" t="s">
        <v>16</v>
      </c>
      <c r="N25" s="125" t="s">
        <v>38</v>
      </c>
      <c r="O25" s="2"/>
      <c r="P25" s="125" t="s">
        <v>43</v>
      </c>
      <c r="Q25" s="1"/>
      <c r="R25" s="1"/>
    </row>
    <row r="26" spans="1:22" x14ac:dyDescent="0.25">
      <c r="A26" s="1"/>
      <c r="B26" s="1"/>
      <c r="C26" s="155"/>
      <c r="D26" s="155"/>
      <c r="E26" s="155"/>
      <c r="F26" s="155"/>
      <c r="G26" s="155"/>
      <c r="H26" s="155"/>
      <c r="I26" s="155"/>
      <c r="J26" s="155"/>
      <c r="K26" s="155"/>
      <c r="L26" s="155"/>
      <c r="M26" s="126"/>
      <c r="N26" s="126"/>
      <c r="O26" s="2"/>
      <c r="P26" s="126"/>
      <c r="Q26" s="1"/>
      <c r="R26" s="1"/>
    </row>
    <row r="27" spans="1:22" ht="15" customHeight="1" x14ac:dyDescent="0.25">
      <c r="A27" s="1"/>
      <c r="B27" s="1"/>
      <c r="C27" s="155"/>
      <c r="D27" s="155"/>
      <c r="E27" s="155"/>
      <c r="F27" s="155"/>
      <c r="G27" s="155"/>
      <c r="H27" s="155"/>
      <c r="I27" s="155"/>
      <c r="J27" s="155"/>
      <c r="K27" s="155"/>
      <c r="L27" s="155"/>
      <c r="M27" s="126"/>
      <c r="N27" s="126"/>
      <c r="O27" s="9"/>
      <c r="P27" s="126"/>
      <c r="Q27" s="1"/>
      <c r="R27" s="1"/>
    </row>
    <row r="28" spans="1:22" x14ac:dyDescent="0.25">
      <c r="A28" s="1"/>
      <c r="B28" s="1"/>
      <c r="C28" s="156"/>
      <c r="D28" s="156"/>
      <c r="E28" s="156"/>
      <c r="F28" s="156"/>
      <c r="G28" s="156"/>
      <c r="H28" s="156"/>
      <c r="I28" s="156"/>
      <c r="J28" s="156"/>
      <c r="K28" s="156"/>
      <c r="L28" s="156"/>
      <c r="M28" s="127"/>
      <c r="N28" s="127"/>
      <c r="O28" s="9"/>
      <c r="P28" s="127"/>
      <c r="Q28" s="1"/>
      <c r="R28" s="1"/>
    </row>
    <row r="29" spans="1:22" ht="50.1" customHeight="1" x14ac:dyDescent="0.25">
      <c r="A29" s="1"/>
      <c r="B29" s="1"/>
      <c r="C29" s="88" t="str">
        <f>IF('Phase GPA'!$AT29="HN",'Phase GPA'!$C29,"/")</f>
        <v>/</v>
      </c>
      <c r="D29" s="42" t="str">
        <f>IF($C29="/","",IF($C29="","",IFERROR(IF(ISNA(VLOOKUP($C29,'Phase GPA'!$C$29:'Phase GPA'!$U$44,10,0)), ,VLOOKUP($C29,'Phase GPA'!$C$29:'Phase GPA'!$U$44,10,0)),0)))</f>
        <v/>
      </c>
      <c r="E29" s="43" t="str">
        <f>IF($C29="/","",IF($C29="","",IFERROR(IF(ISNA($D29/VLOOKUP($C29,Données!$C$19:'Données'!$I$38,6,0)), ,$D29/VLOOKUP($C29,Données!$C$19:'Données'!$I$38,6,0)),"/")))</f>
        <v/>
      </c>
      <c r="F29" s="43" t="str">
        <f>IF($C29="/","",IF($C29="","",IFERROR(IF(ISNA($D29/VLOOKUP($C29,Données!$C$19:'Données'!$I$38,7,0)*100), ,$D29/VLOOKUP($C29,Données!$C$19:'Données'!$I$38,7,0)*100),"/")))</f>
        <v/>
      </c>
      <c r="G29" s="42" t="str">
        <f>IF($C29="/","",IF($C29="","",IFERROR(IF(ISNA(VLOOKUP($C29,'Phase GPA'!$C$29:'Phase GPA'!$U$44,11,0)), ,VLOOKUP($C29,'Phase GPA'!$C$29:'Phase GPA'!$U$44,11,0)),0)))</f>
        <v/>
      </c>
      <c r="H29" s="45" t="str">
        <f>IF($C29="/","",IF($C29="","",IFERROR(IF(ISNA(VLOOKUP($C29,'Phase GPA'!$C$29:'Phase GPA'!$U$44,12,0)), ,VLOOKUP($C29,'Phase GPA'!$C$29:'Phase GPA'!$U$44,12,0)),0)))</f>
        <v/>
      </c>
      <c r="I29" s="45" t="str">
        <f>IF($C29="/","",IF($C29="","",IFERROR(IF(ISNA($H29/VLOOKUP($C29,Données!$C$19:'Données'!$I$38,5,0)), ,$H29/VLOOKUP($C29,Données!$C$19:'Données'!$I$38,5,0))*100,0)))</f>
        <v/>
      </c>
      <c r="J29" s="45" t="str">
        <f>IF($C29="/","",IF($C29="","",IFERROR(IF(ISNA($H29/VLOOKUP($C29,Données!$C$19:'Données'!$I$38,6,0)), ,$H29/VLOOKUP($C29,Données!$C$19:'Données'!$I$38,6,0)),"/")))</f>
        <v/>
      </c>
      <c r="K29" s="45" t="str">
        <f>IF($C29="/","",IF($C29="","",IFERROR(IF(ISNA($H29/VLOOKUP($C29,Données!$C$19:'Données'!$I$38,7,0)*100), ,$H29/VLOOKUP($C29,Données!$C$19:'Données'!$I$38,7,0)*100),"/")))</f>
        <v/>
      </c>
      <c r="L29" s="46" t="str">
        <f>IF($C29="/","",IF($D29=0,"/",IF($C29="","",IFERROR(($H29/$D29),0))))</f>
        <v/>
      </c>
      <c r="M29" s="13"/>
      <c r="N29" s="12"/>
      <c r="O29" s="3"/>
      <c r="P29" s="16"/>
      <c r="Q29" s="1"/>
      <c r="R29" s="1"/>
      <c r="S29" s="55">
        <f>IF($C29="","",IFERROR(IF(ISNA(VLOOKUP($C29,Données!$C$19:'Données'!$I$38,6,0)), ,VLOOKUP($C29,Données!$C$19:'Données'!$I$38,6,0)),"/"))</f>
        <v>0</v>
      </c>
      <c r="T29" s="55">
        <f>IF($C29="","",IFERROR(IF(ISNA(VLOOKUP($C29,Données!$C$19:'Données'!$I$38,7,0)), ,VLOOKUP($C29,Données!$C$19:'Données'!$I$38,7,0)),"/"))</f>
        <v>0</v>
      </c>
      <c r="U29" s="55">
        <f>IF($C29="","",IFERROR(IF(ISNA(VLOOKUP($C29,Données!$C$19:'Données'!$I$38,5,0)), ,VLOOKUP($C29,Données!$C$19:'Données'!$I$38,5,0)),"/"))</f>
        <v>0</v>
      </c>
      <c r="V29" s="55" t="str">
        <f>IF($C29="","",IFERROR(IF(ISNA($D29*$G29), ,$D29*$G29),"/"))</f>
        <v>/</v>
      </c>
    </row>
    <row r="30" spans="1:22" ht="50.1" customHeight="1" x14ac:dyDescent="0.25">
      <c r="A30" s="1"/>
      <c r="B30" s="1"/>
      <c r="C30" s="88" t="str">
        <f>IF('Phase GPA'!$AT30="HN",'Phase GPA'!$C30,"/")</f>
        <v>BOIS GUILLAUME - CARRE D'OR 33 lgts</v>
      </c>
      <c r="D30" s="42">
        <f>IF($C30="/","",IF($C30="","",IFERROR(IF(ISNA(VLOOKUP($C30,'Phase GPA'!$C$29:'Phase GPA'!$U$44,10,0)), ,VLOOKUP($C30,'Phase GPA'!$C$29:'Phase GPA'!$U$44,10,0)),0)))</f>
        <v>30</v>
      </c>
      <c r="E30" s="43">
        <f>IF($C30="/","",IF($C30="","",IFERROR(IF(ISNA($D30/VLOOKUP($C30,Données!$C$19:'Données'!$I$38,6,0)), ,$D30/VLOOKUP($C30,Données!$C$19:'Données'!$I$38,6,0)),"/")))</f>
        <v>0.90909090909090906</v>
      </c>
      <c r="F30" s="43" t="str">
        <f>IF($C30="/","",IF($C30="","",IFERROR(IF(ISNA($D30/VLOOKUP($C30,Données!$C$19:'Données'!$I$38,7,0)*100), ,$D30/VLOOKUP($C30,Données!$C$19:'Données'!$I$38,7,0)*100),"/")))</f>
        <v>/</v>
      </c>
      <c r="G30" s="42">
        <f>IF($C30="/","",IF($C30="","",IFERROR(IF(ISNA(VLOOKUP($C30,'Phase GPA'!$C$29:'Phase GPA'!$U$44,11,0)), ,VLOOKUP($C30,'Phase GPA'!$C$29:'Phase GPA'!$U$44,11,0)),0)))</f>
        <v>14</v>
      </c>
      <c r="H30" s="45">
        <f>IF($C30="/","",IF($C30="","",IFERROR(IF(ISNA(VLOOKUP($C30,'Phase GPA'!$C$29:'Phase GPA'!$U$44,12,0)), ,VLOOKUP($C30,'Phase GPA'!$C$29:'Phase GPA'!$U$44,12,0)),0)))</f>
        <v>6708</v>
      </c>
      <c r="I30" s="45">
        <f>IF($C30="/","",IF($C30="","",IFERROR(IF(ISNA($H30/VLOOKUP($C30,Données!$C$19:'Données'!$I$38,5,0)), ,$H30/VLOOKUP($C30,Données!$C$19:'Données'!$I$38,5,0))*100,0)))</f>
        <v>0.14318036286019212</v>
      </c>
      <c r="J30" s="45">
        <f>IF($C30="/","",IF($C30="","",IFERROR(IF(ISNA($H30/VLOOKUP($C30,Données!$C$19:'Données'!$I$38,6,0)), ,$H30/VLOOKUP($C30,Données!$C$19:'Données'!$I$38,6,0)),"/")))</f>
        <v>203.27272727272728</v>
      </c>
      <c r="K30" s="45" t="str">
        <f>IF($C30="/","",IF($C30="","",IFERROR(IF(ISNA($H30/VLOOKUP($C30,Données!$C$19:'Données'!$I$38,7,0)*100), ,$H30/VLOOKUP($C30,Données!$C$19:'Données'!$I$38,7,0)*100),"/")))</f>
        <v>/</v>
      </c>
      <c r="L30" s="46">
        <f t="shared" ref="L30:L43" si="0">IF($C30="/","",IF($D30=0,"/",IF($C30="","",IFERROR(($H30/$D30),0))))</f>
        <v>223.6</v>
      </c>
      <c r="M30" s="13"/>
      <c r="N30" s="12"/>
      <c r="O30" s="3"/>
      <c r="P30" s="16"/>
      <c r="Q30" s="1"/>
      <c r="R30" s="1"/>
      <c r="S30" s="55">
        <f>IF($C30="","",IFERROR(IF(ISNA(VLOOKUP($C30,Données!$C$19:'Données'!$I$38,6,0)), ,VLOOKUP($C30,Données!$C$19:'Données'!$I$38,6,0)),"/"))</f>
        <v>33</v>
      </c>
      <c r="T30" s="55">
        <f>IF($C30="","",IFERROR(IF(ISNA(VLOOKUP($C30,Données!$C$19:'Données'!$I$38,7,0)), ,VLOOKUP($C30,Données!$C$19:'Données'!$I$38,7,0)),"/"))</f>
        <v>0</v>
      </c>
      <c r="U30" s="55">
        <f>IF($C30="","",IFERROR(IF(ISNA(VLOOKUP($C30,Données!$C$19:'Données'!$I$38,5,0)), ,VLOOKUP($C30,Données!$C$19:'Données'!$I$38,5,0)),"/"))</f>
        <v>4685000</v>
      </c>
      <c r="V30" s="55">
        <f>IF($C30="","",IFERROR(IF(ISNA($D30*$G30), ,$D30*$G30),"/"))</f>
        <v>420</v>
      </c>
    </row>
    <row r="31" spans="1:22" ht="50.1" customHeight="1" x14ac:dyDescent="0.25">
      <c r="A31" s="1"/>
      <c r="B31" s="1"/>
      <c r="C31" s="88" t="str">
        <f>IF('Phase GPA'!$AT31="HN",'Phase GPA'!$C31,"/")</f>
        <v>VAL DE REUIL - Eco-Village ZAC DES NOES</v>
      </c>
      <c r="D31" s="42">
        <f>IF($C31="/","",IF($C31="","",IFERROR(IF(ISNA(VLOOKUP($C31,'Phase GPA'!$C$29:'Phase GPA'!$U$44,10,0)), ,VLOOKUP($C31,'Phase GPA'!$C$29:'Phase GPA'!$U$44,10,0)),0)))</f>
        <v>233</v>
      </c>
      <c r="E31" s="43">
        <f>IF($C31="/","",IF($C31="","",IFERROR(IF(ISNA($D31/VLOOKUP($C31,Données!$C$19:'Données'!$I$38,6,0)), ,$D31/VLOOKUP($C31,Données!$C$19:'Données'!$I$38,6,0)),"/")))</f>
        <v>2.3775510204081631</v>
      </c>
      <c r="F31" s="43" t="str">
        <f>IF($C31="/","",IF($C31="","",IFERROR(IF(ISNA($D31/VLOOKUP($C31,Données!$C$19:'Données'!$I$38,7,0)*100), ,$D31/VLOOKUP($C31,Données!$C$19:'Données'!$I$38,7,0)*100),"/")))</f>
        <v>/</v>
      </c>
      <c r="G31" s="42">
        <f>IF($C31="/","",IF($C31="","",IFERROR(IF(ISNA(VLOOKUP($C31,'Phase GPA'!$C$29:'Phase GPA'!$U$44,11,0)), ,VLOOKUP($C31,'Phase GPA'!$C$29:'Phase GPA'!$U$44,11,0)),0)))</f>
        <v>21</v>
      </c>
      <c r="H31" s="45">
        <f>IF($C31="/","",IF($C31="","",IFERROR(IF(ISNA(VLOOKUP($C31,'Phase GPA'!$C$29:'Phase GPA'!$U$44,12,0)), ,VLOOKUP($C31,'Phase GPA'!$C$29:'Phase GPA'!$U$44,12,0)),0)))</f>
        <v>41565</v>
      </c>
      <c r="I31" s="45">
        <f>IF($C31="/","",IF($C31="","",IFERROR(IF(ISNA($H31/VLOOKUP($C31,Données!$C$19:'Données'!$I$38,5,0)), ,$H31/VLOOKUP($C31,Données!$C$19:'Données'!$I$38,5,0))*100,0)))</f>
        <v>0.25532895140979178</v>
      </c>
      <c r="J31" s="45">
        <f>IF($C31="/","",IF($C31="","",IFERROR(IF(ISNA($H31/VLOOKUP($C31,Données!$C$19:'Données'!$I$38,6,0)), ,$H31/VLOOKUP($C31,Données!$C$19:'Données'!$I$38,6,0)),"/")))</f>
        <v>424.13265306122452</v>
      </c>
      <c r="K31" s="45" t="str">
        <f>IF($C31="/","",IF($C31="","",IFERROR(IF(ISNA($H31/VLOOKUP($C31,Données!$C$19:'Données'!$I$38,7,0)*100), ,$H31/VLOOKUP($C31,Données!$C$19:'Données'!$I$38,7,0)*100),"/")))</f>
        <v>/</v>
      </c>
      <c r="L31" s="46">
        <f t="shared" si="0"/>
        <v>178.39055793991417</v>
      </c>
      <c r="M31" s="13"/>
      <c r="N31" s="12"/>
      <c r="O31" s="3"/>
      <c r="P31" s="16"/>
      <c r="Q31" s="1"/>
      <c r="R31" s="1"/>
      <c r="S31" s="55">
        <f>IF($C31="","",IFERROR(IF(ISNA(VLOOKUP($C31,Données!$C$19:'Données'!$I$38,6,0)), ,VLOOKUP($C31,Données!$C$19:'Données'!$I$38,6,0)),"/"))</f>
        <v>98</v>
      </c>
      <c r="T31" s="55">
        <f>IF($C31="","",IFERROR(IF(ISNA(VLOOKUP($C31,Données!$C$19:'Données'!$I$38,7,0)), ,VLOOKUP($C31,Données!$C$19:'Données'!$I$38,7,0)),"/"))</f>
        <v>0</v>
      </c>
      <c r="U31" s="55">
        <f>IF($C31="","",IFERROR(IF(ISNA(VLOOKUP($C31,Données!$C$19:'Données'!$I$38,5,0)), ,VLOOKUP($C31,Données!$C$19:'Données'!$I$38,5,0)),"/"))</f>
        <v>16279000</v>
      </c>
      <c r="V31" s="55">
        <f t="shared" ref="V31:V43" si="1">IF($C31="","",IFERROR(IF(ISNA($D31*$G31), ,$D31*$G31),"/"))</f>
        <v>4893</v>
      </c>
    </row>
    <row r="32" spans="1:22" ht="50.1" customHeight="1" x14ac:dyDescent="0.25">
      <c r="A32" s="1"/>
      <c r="B32" s="1"/>
      <c r="C32" s="88" t="str">
        <f>IF('Phase GPA'!$AT32="HN",'Phase GPA'!$C32,"/")</f>
        <v>/</v>
      </c>
      <c r="D32" s="42" t="str">
        <f>IF($C32="/","",IF($C32="","",IFERROR(IF(ISNA(VLOOKUP($C32,'Phase GPA'!$C$29:'Phase GPA'!$U$44,10,0)), ,VLOOKUP($C32,'Phase GPA'!$C$29:'Phase GPA'!$U$44,10,0)),0)))</f>
        <v/>
      </c>
      <c r="E32" s="43" t="str">
        <f>IF($C32="/","",IF($C32="","",IFERROR(IF(ISNA($D32/VLOOKUP($C32,Données!$C$19:'Données'!$I$38,6,0)), ,$D32/VLOOKUP($C32,Données!$C$19:'Données'!$I$38,6,0)),"/")))</f>
        <v/>
      </c>
      <c r="F32" s="43" t="str">
        <f>IF($C32="/","",IF($C32="","",IFERROR(IF(ISNA($D32/VLOOKUP($C32,Données!$C$19:'Données'!$I$38,7,0)*100), ,$D32/VLOOKUP($C32,Données!$C$19:'Données'!$I$38,7,0)*100),"/")))</f>
        <v/>
      </c>
      <c r="G32" s="42" t="str">
        <f>IF($C32="/","",IF($C32="","",IFERROR(IF(ISNA(VLOOKUP($C32,'Phase GPA'!$C$29:'Phase GPA'!$U$44,11,0)), ,VLOOKUP($C32,'Phase GPA'!$C$29:'Phase GPA'!$U$44,11,0)),0)))</f>
        <v/>
      </c>
      <c r="H32" s="45" t="str">
        <f>IF($C32="/","",IF($C32="","",IFERROR(IF(ISNA(VLOOKUP($C32,'Phase GPA'!$C$29:'Phase GPA'!$U$44,12,0)), ,VLOOKUP($C32,'Phase GPA'!$C$29:'Phase GPA'!$U$44,12,0)),0)))</f>
        <v/>
      </c>
      <c r="I32" s="45" t="str">
        <f>IF($C32="/","",IF($C32="","",IFERROR(IF(ISNA($H32/VLOOKUP($C32,Données!$C$19:'Données'!$I$38,5,0)), ,$H32/VLOOKUP($C32,Données!$C$19:'Données'!$I$38,5,0))*100,0)))</f>
        <v/>
      </c>
      <c r="J32" s="45" t="str">
        <f>IF($C32="/","",IF($C32="","",IFERROR(IF(ISNA($H32/VLOOKUP($C32,Données!$C$19:'Données'!$I$38,6,0)), ,$H32/VLOOKUP($C32,Données!$C$19:'Données'!$I$38,6,0)),"/")))</f>
        <v/>
      </c>
      <c r="K32" s="45" t="str">
        <f>IF($C32="/","",IF($C32="","",IFERROR(IF(ISNA($H32/VLOOKUP($C32,Données!$C$19:'Données'!$I$38,7,0)*100), ,$H32/VLOOKUP($C32,Données!$C$19:'Données'!$I$38,7,0)*100),"/")))</f>
        <v/>
      </c>
      <c r="L32" s="46" t="str">
        <f t="shared" si="0"/>
        <v/>
      </c>
      <c r="M32" s="13"/>
      <c r="N32" s="12"/>
      <c r="O32" s="3"/>
      <c r="P32" s="16"/>
      <c r="Q32" s="1"/>
      <c r="R32" s="1"/>
      <c r="S32" s="55">
        <f>IF($C32="","",IFERROR(IF(ISNA(VLOOKUP($C32,Données!$C$19:'Données'!$I$38,6,0)), ,VLOOKUP($C32,Données!$C$19:'Données'!$I$38,6,0)),"/"))</f>
        <v>0</v>
      </c>
      <c r="T32" s="55">
        <f>IF($C32="","",IFERROR(IF(ISNA(VLOOKUP($C32,Données!$C$19:'Données'!$I$38,7,0)), ,VLOOKUP($C32,Données!$C$19:'Données'!$I$38,7,0)),"/"))</f>
        <v>0</v>
      </c>
      <c r="U32" s="55">
        <f>IF($C32="","",IFERROR(IF(ISNA(VLOOKUP($C32,Données!$C$19:'Données'!$I$38,5,0)), ,VLOOKUP($C32,Données!$C$19:'Données'!$I$38,5,0)),"/"))</f>
        <v>0</v>
      </c>
      <c r="V32" s="55" t="str">
        <f t="shared" si="1"/>
        <v>/</v>
      </c>
    </row>
    <row r="33" spans="1:22" ht="50.1" customHeight="1" x14ac:dyDescent="0.25">
      <c r="A33" s="1"/>
      <c r="B33" s="1"/>
      <c r="C33" s="88" t="str">
        <f>IF('Phase GPA'!$AT33="HN",'Phase GPA'!$C33,"/")</f>
        <v>/</v>
      </c>
      <c r="D33" s="42" t="str">
        <f>IF($C33="/","",IF($C33="","",IFERROR(IF(ISNA(VLOOKUP($C33,'Phase GPA'!$C$29:'Phase GPA'!$U$44,10,0)), ,VLOOKUP($C33,'Phase GPA'!$C$29:'Phase GPA'!$U$44,10,0)),0)))</f>
        <v/>
      </c>
      <c r="E33" s="43" t="str">
        <f>IF($C33="/","",IF($C33="","",IFERROR(IF(ISNA($D33/VLOOKUP($C33,Données!$C$19:'Données'!$I$38,6,0)), ,$D33/VLOOKUP($C33,Données!$C$19:'Données'!$I$38,6,0)),"/")))</f>
        <v/>
      </c>
      <c r="F33" s="43" t="str">
        <f>IF($C33="/","",IF($C33="","",IFERROR(IF(ISNA($D33/VLOOKUP($C33,Données!$C$19:'Données'!$I$38,7,0)*100), ,$D33/VLOOKUP($C33,Données!$C$19:'Données'!$I$38,7,0)*100),"/")))</f>
        <v/>
      </c>
      <c r="G33" s="42" t="str">
        <f>IF($C33="/","",IF($C33="","",IFERROR(IF(ISNA(VLOOKUP($C33,'Phase GPA'!$C$29:'Phase GPA'!$U$44,11,0)), ,VLOOKUP($C33,'Phase GPA'!$C$29:'Phase GPA'!$U$44,11,0)),0)))</f>
        <v/>
      </c>
      <c r="H33" s="45" t="str">
        <f>IF($C33="/","",IF($C33="","",IFERROR(IF(ISNA(VLOOKUP($C33,'Phase GPA'!$C$29:'Phase GPA'!$U$44,12,0)), ,VLOOKUP($C33,'Phase GPA'!$C$29:'Phase GPA'!$U$44,12,0)),0)))</f>
        <v/>
      </c>
      <c r="I33" s="45" t="str">
        <f>IF($C33="/","",IF($C33="","",IFERROR(IF(ISNA($H33/VLOOKUP($C33,Données!$C$19:'Données'!$I$38,5,0)), ,$H33/VLOOKUP($C33,Données!$C$19:'Données'!$I$38,5,0))*100,0)))</f>
        <v/>
      </c>
      <c r="J33" s="45" t="str">
        <f>IF($C33="/","",IF($C33="","",IFERROR(IF(ISNA($H33/VLOOKUP($C33,Données!$C$19:'Données'!$I$38,6,0)), ,$H33/VLOOKUP($C33,Données!$C$19:'Données'!$I$38,6,0)),"/")))</f>
        <v/>
      </c>
      <c r="K33" s="45" t="str">
        <f>IF($C33="/","",IF($C33="","",IFERROR(IF(ISNA($H33/VLOOKUP($C33,Données!$C$19:'Données'!$I$38,7,0)*100), ,$H33/VLOOKUP($C33,Données!$C$19:'Données'!$I$38,7,0)*100),"/")))</f>
        <v/>
      </c>
      <c r="L33" s="46" t="str">
        <f t="shared" si="0"/>
        <v/>
      </c>
      <c r="M33" s="13"/>
      <c r="N33" s="12"/>
      <c r="O33" s="3"/>
      <c r="P33" s="16"/>
      <c r="Q33" s="1"/>
      <c r="R33" s="1"/>
      <c r="S33" s="55">
        <f>IF($C33="","",IFERROR(IF(ISNA(VLOOKUP($C33,Données!$C$19:'Données'!$I$38,6,0)), ,VLOOKUP($C33,Données!$C$19:'Données'!$I$38,6,0)),"/"))</f>
        <v>0</v>
      </c>
      <c r="T33" s="55">
        <f>IF($C33="","",IFERROR(IF(ISNA(VLOOKUP($C33,Données!$C$19:'Données'!$I$38,7,0)), ,VLOOKUP($C33,Données!$C$19:'Données'!$I$38,7,0)),"/"))</f>
        <v>0</v>
      </c>
      <c r="U33" s="55">
        <f>IF($C33="","",IFERROR(IF(ISNA(VLOOKUP($C33,Données!$C$19:'Données'!$I$38,5,0)), ,VLOOKUP($C33,Données!$C$19:'Données'!$I$38,5,0)),"/"))</f>
        <v>0</v>
      </c>
      <c r="V33" s="55" t="str">
        <f t="shared" si="1"/>
        <v>/</v>
      </c>
    </row>
    <row r="34" spans="1:22" ht="50.1" customHeight="1" x14ac:dyDescent="0.25">
      <c r="A34" s="1"/>
      <c r="B34" s="1"/>
      <c r="C34" s="88" t="str">
        <f>IF('Phase GPA'!$AT34="HN",'Phase GPA'!$C34,"/")</f>
        <v>/</v>
      </c>
      <c r="D34" s="42" t="str">
        <f>IF($C34="/","",IF($C34="","",IFERROR(IF(ISNA(VLOOKUP($C34,'Phase GPA'!$C$29:'Phase GPA'!$U$44,10,0)), ,VLOOKUP($C34,'Phase GPA'!$C$29:'Phase GPA'!$U$44,10,0)),0)))</f>
        <v/>
      </c>
      <c r="E34" s="43" t="str">
        <f>IF($C34="/","",IF($C34="","",IFERROR(IF(ISNA($D34/VLOOKUP($C34,Données!$C$19:'Données'!$I$38,6,0)), ,$D34/VLOOKUP($C34,Données!$C$19:'Données'!$I$38,6,0)),"/")))</f>
        <v/>
      </c>
      <c r="F34" s="43" t="str">
        <f>IF($C34="/","",IF($C34="","",IFERROR(IF(ISNA($D34/VLOOKUP($C34,Données!$C$19:'Données'!$I$38,7,0)*100), ,$D34/VLOOKUP($C34,Données!$C$19:'Données'!$I$38,7,0)*100),"/")))</f>
        <v/>
      </c>
      <c r="G34" s="42" t="str">
        <f>IF($C34="/","",IF($C34="","",IFERROR(IF(ISNA(VLOOKUP($C34,'Phase GPA'!$C$29:'Phase GPA'!$U$44,11,0)), ,VLOOKUP($C34,'Phase GPA'!$C$29:'Phase GPA'!$U$44,11,0)),0)))</f>
        <v/>
      </c>
      <c r="H34" s="45" t="str">
        <f>IF($C34="/","",IF($C34="","",IFERROR(IF(ISNA(VLOOKUP($C34,'Phase GPA'!$C$29:'Phase GPA'!$U$44,12,0)), ,VLOOKUP($C34,'Phase GPA'!$C$29:'Phase GPA'!$U$44,12,0)),0)))</f>
        <v/>
      </c>
      <c r="I34" s="45" t="str">
        <f>IF($C34="/","",IF($C34="","",IFERROR(IF(ISNA($H34/VLOOKUP($C34,Données!$C$19:'Données'!$I$38,5,0)), ,$H34/VLOOKUP($C34,Données!$C$19:'Données'!$I$38,5,0))*100,0)))</f>
        <v/>
      </c>
      <c r="J34" s="45" t="str">
        <f>IF($C34="/","",IF($C34="","",IFERROR(IF(ISNA($H34/VLOOKUP($C34,Données!$C$19:'Données'!$I$38,6,0)), ,$H34/VLOOKUP($C34,Données!$C$19:'Données'!$I$38,6,0)),"/")))</f>
        <v/>
      </c>
      <c r="K34" s="45" t="str">
        <f>IF($C34="/","",IF($C34="","",IFERROR(IF(ISNA($H34/VLOOKUP($C34,Données!$C$19:'Données'!$I$38,7,0)*100), ,$H34/VLOOKUP($C34,Données!$C$19:'Données'!$I$38,7,0)*100),"/")))</f>
        <v/>
      </c>
      <c r="L34" s="46" t="str">
        <f t="shared" si="0"/>
        <v/>
      </c>
      <c r="M34" s="13"/>
      <c r="N34" s="12"/>
      <c r="O34" s="3"/>
      <c r="P34" s="16"/>
      <c r="Q34" s="1"/>
      <c r="R34" s="1"/>
      <c r="S34" s="55">
        <f>IF($C34="","",IFERROR(IF(ISNA(VLOOKUP($C34,Données!$C$19:'Données'!$I$38,6,0)), ,VLOOKUP($C34,Données!$C$19:'Données'!$I$38,6,0)),"/"))</f>
        <v>0</v>
      </c>
      <c r="T34" s="55">
        <f>IF($C34="","",IFERROR(IF(ISNA(VLOOKUP($C34,Données!$C$19:'Données'!$I$38,7,0)), ,VLOOKUP($C34,Données!$C$19:'Données'!$I$38,7,0)),"/"))</f>
        <v>0</v>
      </c>
      <c r="U34" s="55">
        <f>IF($C34="","",IFERROR(IF(ISNA(VLOOKUP($C34,Données!$C$19:'Données'!$I$38,5,0)), ,VLOOKUP($C34,Données!$C$19:'Données'!$I$38,5,0)),"/"))</f>
        <v>0</v>
      </c>
      <c r="V34" s="55" t="str">
        <f t="shared" si="1"/>
        <v>/</v>
      </c>
    </row>
    <row r="35" spans="1:22" ht="50.1" customHeight="1" x14ac:dyDescent="0.25">
      <c r="A35" s="1"/>
      <c r="B35" s="1"/>
      <c r="C35" s="88" t="str">
        <f>IF('Phase GPA'!$AT35="HN",'Phase GPA'!$C35,"/")</f>
        <v>/</v>
      </c>
      <c r="D35" s="42" t="str">
        <f>IF($C35="/","",IF($C35="","",IFERROR(IF(ISNA(VLOOKUP($C35,'Phase GPA'!$C$29:'Phase GPA'!$U$44,10,0)), ,VLOOKUP($C35,'Phase GPA'!$C$29:'Phase GPA'!$U$44,10,0)),0)))</f>
        <v/>
      </c>
      <c r="E35" s="43" t="str">
        <f>IF($C35="/","",IF($C35="","",IFERROR(IF(ISNA($D35/VLOOKUP($C35,Données!$C$19:'Données'!$I$38,6,0)), ,$D35/VLOOKUP($C35,Données!$C$19:'Données'!$I$38,6,0)),"/")))</f>
        <v/>
      </c>
      <c r="F35" s="43" t="str">
        <f>IF($C35="/","",IF($C35="","",IFERROR(IF(ISNA($D35/VLOOKUP($C35,Données!$C$19:'Données'!$I$38,7,0)*100), ,$D35/VLOOKUP($C35,Données!$C$19:'Données'!$I$38,7,0)*100),"/")))</f>
        <v/>
      </c>
      <c r="G35" s="42" t="str">
        <f>IF($C35="/","",IF($C35="","",IFERROR(IF(ISNA(VLOOKUP($C35,'Phase GPA'!$C$29:'Phase GPA'!$U$44,11,0)), ,VLOOKUP($C35,'Phase GPA'!$C$29:'Phase GPA'!$U$44,11,0)),0)))</f>
        <v/>
      </c>
      <c r="H35" s="45" t="str">
        <f>IF($C35="/","",IF($C35="","",IFERROR(IF(ISNA(VLOOKUP($C35,'Phase GPA'!$C$29:'Phase GPA'!$U$44,12,0)), ,VLOOKUP($C35,'Phase GPA'!$C$29:'Phase GPA'!$U$44,12,0)),0)))</f>
        <v/>
      </c>
      <c r="I35" s="45" t="str">
        <f>IF($C35="/","",IF($C35="","",IFERROR(IF(ISNA($H35/VLOOKUP($C35,Données!$C$19:'Données'!$I$38,5,0)), ,$H35/VLOOKUP($C35,Données!$C$19:'Données'!$I$38,5,0))*100,0)))</f>
        <v/>
      </c>
      <c r="J35" s="45" t="str">
        <f>IF($C35="/","",IF($C35="","",IFERROR(IF(ISNA($H35/VLOOKUP($C35,Données!$C$19:'Données'!$I$38,6,0)), ,$H35/VLOOKUP($C35,Données!$C$19:'Données'!$I$38,6,0)),"/")))</f>
        <v/>
      </c>
      <c r="K35" s="45" t="str">
        <f>IF($C35="/","",IF($C35="","",IFERROR(IF(ISNA($H35/VLOOKUP($C35,Données!$C$19:'Données'!$I$38,7,0)*100), ,$H35/VLOOKUP($C35,Données!$C$19:'Données'!$I$38,7,0)*100),"/")))</f>
        <v/>
      </c>
      <c r="L35" s="46" t="str">
        <f t="shared" si="0"/>
        <v/>
      </c>
      <c r="M35" s="13"/>
      <c r="N35" s="12"/>
      <c r="O35" s="3"/>
      <c r="P35" s="16"/>
      <c r="Q35" s="1"/>
      <c r="R35" s="1"/>
      <c r="S35" s="55">
        <f>IF($C35="","",IFERROR(IF(ISNA(VLOOKUP($C35,Données!$C$19:'Données'!$I$38,6,0)), ,VLOOKUP($C35,Données!$C$19:'Données'!$I$38,6,0)),"/"))</f>
        <v>0</v>
      </c>
      <c r="T35" s="55">
        <f>IF($C35="","",IFERROR(IF(ISNA(VLOOKUP($C35,Données!$C$19:'Données'!$I$38,7,0)), ,VLOOKUP($C35,Données!$C$19:'Données'!$I$38,7,0)),"/"))</f>
        <v>0</v>
      </c>
      <c r="U35" s="55">
        <f>IF($C35="","",IFERROR(IF(ISNA(VLOOKUP($C35,Données!$C$19:'Données'!$I$38,5,0)), ,VLOOKUP($C35,Données!$C$19:'Données'!$I$38,5,0)),"/"))</f>
        <v>0</v>
      </c>
      <c r="V35" s="55" t="str">
        <f t="shared" si="1"/>
        <v>/</v>
      </c>
    </row>
    <row r="36" spans="1:22" ht="50.1" customHeight="1" x14ac:dyDescent="0.25">
      <c r="A36" s="1"/>
      <c r="B36" s="1"/>
      <c r="C36" s="88" t="str">
        <f>IF('Phase GPA'!$AT36="HN",'Phase GPA'!$C36,"/")</f>
        <v>/</v>
      </c>
      <c r="D36" s="42" t="str">
        <f>IF($C36="/","",IF($C36="","",IFERROR(IF(ISNA(VLOOKUP($C36,'Phase GPA'!$C$29:'Phase GPA'!$U$44,10,0)), ,VLOOKUP($C36,'Phase GPA'!$C$29:'Phase GPA'!$U$44,10,0)),0)))</f>
        <v/>
      </c>
      <c r="E36" s="43" t="str">
        <f>IF($C36="/","",IF($C36="","",IFERROR(IF(ISNA($D36/VLOOKUP($C36,Données!$C$19:'Données'!$I$38,6,0)), ,$D36/VLOOKUP($C36,Données!$C$19:'Données'!$I$38,6,0)),"/")))</f>
        <v/>
      </c>
      <c r="F36" s="43" t="str">
        <f>IF($C36="/","",IF($C36="","",IFERROR(IF(ISNA($D36/VLOOKUP($C36,Données!$C$19:'Données'!$I$38,7,0)*100), ,$D36/VLOOKUP($C36,Données!$C$19:'Données'!$I$38,7,0)*100),"/")))</f>
        <v/>
      </c>
      <c r="G36" s="42" t="str">
        <f>IF($C36="/","",IF($C36="","",IFERROR(IF(ISNA(VLOOKUP($C36,'Phase GPA'!$C$29:'Phase GPA'!$U$44,11,0)), ,VLOOKUP($C36,'Phase GPA'!$C$29:'Phase GPA'!$U$44,11,0)),0)))</f>
        <v/>
      </c>
      <c r="H36" s="45" t="str">
        <f>IF($C36="/","",IF($C36="","",IFERROR(IF(ISNA(VLOOKUP($C36,'Phase GPA'!$C$29:'Phase GPA'!$U$44,12,0)), ,VLOOKUP($C36,'Phase GPA'!$C$29:'Phase GPA'!$U$44,12,0)),0)))</f>
        <v/>
      </c>
      <c r="I36" s="45" t="str">
        <f>IF($C36="/","",IF($C36="","",IFERROR(IF(ISNA($H36/VLOOKUP($C36,Données!$C$19:'Données'!$I$38,5,0)), ,$H36/VLOOKUP($C36,Données!$C$19:'Données'!$I$38,5,0))*100,0)))</f>
        <v/>
      </c>
      <c r="J36" s="45" t="str">
        <f>IF($C36="/","",IF($C36="","",IFERROR(IF(ISNA($H36/VLOOKUP($C36,Données!$C$19:'Données'!$I$38,6,0)), ,$H36/VLOOKUP($C36,Données!$C$19:'Données'!$I$38,6,0)),"/")))</f>
        <v/>
      </c>
      <c r="K36" s="45" t="str">
        <f>IF($C36="/","",IF($C36="","",IFERROR(IF(ISNA($H36/VLOOKUP($C36,Données!$C$19:'Données'!$I$38,7,0)*100), ,$H36/VLOOKUP($C36,Données!$C$19:'Données'!$I$38,7,0)*100),"/")))</f>
        <v/>
      </c>
      <c r="L36" s="46" t="str">
        <f t="shared" si="0"/>
        <v/>
      </c>
      <c r="M36" s="13"/>
      <c r="N36" s="12"/>
      <c r="O36" s="3"/>
      <c r="P36" s="16"/>
      <c r="Q36" s="1"/>
      <c r="R36" s="1"/>
      <c r="S36" s="55">
        <f>IF($C36="","",IFERROR(IF(ISNA(VLOOKUP($C36,Données!$C$19:'Données'!$I$38,6,0)), ,VLOOKUP($C36,Données!$C$19:'Données'!$I$38,6,0)),"/"))</f>
        <v>0</v>
      </c>
      <c r="T36" s="55">
        <f>IF($C36="","",IFERROR(IF(ISNA(VLOOKUP($C36,Données!$C$19:'Données'!$I$38,7,0)), ,VLOOKUP($C36,Données!$C$19:'Données'!$I$38,7,0)),"/"))</f>
        <v>0</v>
      </c>
      <c r="U36" s="55">
        <f>IF($C36="","",IFERROR(IF(ISNA(VLOOKUP($C36,Données!$C$19:'Données'!$I$38,5,0)), ,VLOOKUP($C36,Données!$C$19:'Données'!$I$38,5,0)),"/"))</f>
        <v>0</v>
      </c>
      <c r="V36" s="55" t="str">
        <f t="shared" si="1"/>
        <v>/</v>
      </c>
    </row>
    <row r="37" spans="1:22" ht="50.1" customHeight="1" x14ac:dyDescent="0.25">
      <c r="A37" s="1"/>
      <c r="B37" s="1"/>
      <c r="C37" s="88" t="str">
        <f>IF('Phase GPA'!$AT37="HN",'Phase GPA'!$C37,"/")</f>
        <v>/</v>
      </c>
      <c r="D37" s="42" t="str">
        <f>IF($C37="/","",IF($C37="","",IFERROR(IF(ISNA(VLOOKUP($C37,'Phase GPA'!$C$29:'Phase GPA'!$U$44,10,0)), ,VLOOKUP($C37,'Phase GPA'!$C$29:'Phase GPA'!$U$44,10,0)),0)))</f>
        <v/>
      </c>
      <c r="E37" s="43" t="str">
        <f>IF($C37="/","",IF($C37="","",IFERROR(IF(ISNA($D37/VLOOKUP($C37,Données!$C$19:'Données'!$I$38,6,0)), ,$D37/VLOOKUP($C37,Données!$C$19:'Données'!$I$38,6,0)),"/")))</f>
        <v/>
      </c>
      <c r="F37" s="43" t="str">
        <f>IF($C37="/","",IF($C37="","",IFERROR(IF(ISNA($D37/VLOOKUP($C37,Données!$C$19:'Données'!$I$38,7,0)*100), ,$D37/VLOOKUP($C37,Données!$C$19:'Données'!$I$38,7,0)*100),"/")))</f>
        <v/>
      </c>
      <c r="G37" s="42" t="str">
        <f>IF($C37="/","",IF($C37="","",IFERROR(IF(ISNA(VLOOKUP($C37,'Phase GPA'!$C$29:'Phase GPA'!$U$44,11,0)), ,VLOOKUP($C37,'Phase GPA'!$C$29:'Phase GPA'!$U$44,11,0)),0)))</f>
        <v/>
      </c>
      <c r="H37" s="45" t="str">
        <f>IF($C37="/","",IF($C37="","",IFERROR(IF(ISNA(VLOOKUP($C37,'Phase GPA'!$C$29:'Phase GPA'!$U$44,12,0)), ,VLOOKUP($C37,'Phase GPA'!$C$29:'Phase GPA'!$U$44,12,0)),0)))</f>
        <v/>
      </c>
      <c r="I37" s="45" t="str">
        <f>IF($C37="/","",IF($C37="","",IFERROR(IF(ISNA($H37/VLOOKUP($C37,Données!$C$19:'Données'!$I$38,5,0)), ,$H37/VLOOKUP($C37,Données!$C$19:'Données'!$I$38,5,0))*100,0)))</f>
        <v/>
      </c>
      <c r="J37" s="45" t="str">
        <f>IF($C37="/","",IF($C37="","",IFERROR(IF(ISNA($H37/VLOOKUP($C37,Données!$C$19:'Données'!$I$38,6,0)), ,$H37/VLOOKUP($C37,Données!$C$19:'Données'!$I$38,6,0)),"/")))</f>
        <v/>
      </c>
      <c r="K37" s="45" t="str">
        <f>IF($C37="/","",IF($C37="","",IFERROR(IF(ISNA($H37/VLOOKUP($C37,Données!$C$19:'Données'!$I$38,7,0)*100), ,$H37/VLOOKUP($C37,Données!$C$19:'Données'!$I$38,7,0)*100),"/")))</f>
        <v/>
      </c>
      <c r="L37" s="46" t="str">
        <f t="shared" si="0"/>
        <v/>
      </c>
      <c r="M37" s="13"/>
      <c r="N37" s="12"/>
      <c r="O37" s="3"/>
      <c r="P37" s="16"/>
      <c r="Q37" s="1"/>
      <c r="R37" s="1"/>
      <c r="S37" s="55">
        <f>IF($C37="","",IFERROR(IF(ISNA(VLOOKUP($C37,Données!$C$19:'Données'!$I$38,6,0)), ,VLOOKUP($C37,Données!$C$19:'Données'!$I$38,6,0)),"/"))</f>
        <v>0</v>
      </c>
      <c r="T37" s="55">
        <f>IF($C37="","",IFERROR(IF(ISNA(VLOOKUP($C37,Données!$C$19:'Données'!$I$38,7,0)), ,VLOOKUP($C37,Données!$C$19:'Données'!$I$38,7,0)),"/"))</f>
        <v>0</v>
      </c>
      <c r="U37" s="55">
        <f>IF($C37="","",IFERROR(IF(ISNA(VLOOKUP($C37,Données!$C$19:'Données'!$I$38,5,0)), ,VLOOKUP($C37,Données!$C$19:'Données'!$I$38,5,0)),"/"))</f>
        <v>0</v>
      </c>
      <c r="V37" s="55" t="str">
        <f t="shared" si="1"/>
        <v>/</v>
      </c>
    </row>
    <row r="38" spans="1:22" ht="50.1" customHeight="1" x14ac:dyDescent="0.25">
      <c r="A38" s="1"/>
      <c r="B38" s="1"/>
      <c r="C38" s="88" t="str">
        <f>IF('Phase GPA'!$AT38="HN",'Phase GPA'!$C38,"/")</f>
        <v>/</v>
      </c>
      <c r="D38" s="42" t="str">
        <f>IF($C38="/","",IF($C38="","",IFERROR(IF(ISNA(VLOOKUP($C38,'Phase GPA'!$C$29:'Phase GPA'!$U$44,10,0)), ,VLOOKUP($C38,'Phase GPA'!$C$29:'Phase GPA'!$U$44,10,0)),0)))</f>
        <v/>
      </c>
      <c r="E38" s="43" t="str">
        <f>IF($C38="/","",IF($C38="","",IFERROR(IF(ISNA($D38/VLOOKUP($C38,Données!$C$19:'Données'!$I$38,6,0)), ,$D38/VLOOKUP($C38,Données!$C$19:'Données'!$I$38,6,0)),"/")))</f>
        <v/>
      </c>
      <c r="F38" s="43" t="str">
        <f>IF($C38="/","",IF($C38="","",IFERROR(IF(ISNA($D38/VLOOKUP($C38,Données!$C$19:'Données'!$I$38,7,0)*100), ,$D38/VLOOKUP($C38,Données!$C$19:'Données'!$I$38,7,0)*100),"/")))</f>
        <v/>
      </c>
      <c r="G38" s="42" t="str">
        <f>IF($C38="/","",IF($C38="","",IFERROR(IF(ISNA(VLOOKUP($C38,'Phase GPA'!$C$29:'Phase GPA'!$U$44,11,0)), ,VLOOKUP($C38,'Phase GPA'!$C$29:'Phase GPA'!$U$44,11,0)),0)))</f>
        <v/>
      </c>
      <c r="H38" s="45" t="str">
        <f>IF($C38="/","",IF($C38="","",IFERROR(IF(ISNA(VLOOKUP($C38,'Phase GPA'!$C$29:'Phase GPA'!$U$44,12,0)), ,VLOOKUP($C38,'Phase GPA'!$C$29:'Phase GPA'!$U$44,12,0)),0)))</f>
        <v/>
      </c>
      <c r="I38" s="45" t="str">
        <f>IF($C38="/","",IF($C38="","",IFERROR(IF(ISNA($H38/VLOOKUP($C38,Données!$C$19:'Données'!$I$38,5,0)), ,$H38/VLOOKUP($C38,Données!$C$19:'Données'!$I$38,5,0))*100,0)))</f>
        <v/>
      </c>
      <c r="J38" s="45" t="str">
        <f>IF($C38="/","",IF($C38="","",IFERROR(IF(ISNA($H38/VLOOKUP($C38,Données!$C$19:'Données'!$I$38,6,0)), ,$H38/VLOOKUP($C38,Données!$C$19:'Données'!$I$38,6,0)),"/")))</f>
        <v/>
      </c>
      <c r="K38" s="45" t="str">
        <f>IF($C38="/","",IF($C38="","",IFERROR(IF(ISNA($H38/VLOOKUP($C38,Données!$C$19:'Données'!$I$38,7,0)*100), ,$H38/VLOOKUP($C38,Données!$C$19:'Données'!$I$38,7,0)*100),"/")))</f>
        <v/>
      </c>
      <c r="L38" s="46" t="str">
        <f t="shared" si="0"/>
        <v/>
      </c>
      <c r="M38" s="13"/>
      <c r="N38" s="12"/>
      <c r="O38" s="3"/>
      <c r="P38" s="16"/>
      <c r="Q38" s="1"/>
      <c r="R38" s="1"/>
      <c r="S38" s="55">
        <f>IF($C38="","",IFERROR(IF(ISNA(VLOOKUP($C38,Données!$C$19:'Données'!$I$38,6,0)), ,VLOOKUP($C38,Données!$C$19:'Données'!$I$38,6,0)),"/"))</f>
        <v>0</v>
      </c>
      <c r="T38" s="55">
        <f>IF($C38="","",IFERROR(IF(ISNA(VLOOKUP($C38,Données!$C$19:'Données'!$I$38,7,0)), ,VLOOKUP($C38,Données!$C$19:'Données'!$I$38,7,0)),"/"))</f>
        <v>0</v>
      </c>
      <c r="U38" s="55">
        <f>IF($C38="","",IFERROR(IF(ISNA(VLOOKUP($C38,Données!$C$19:'Données'!$I$38,5,0)), ,VLOOKUP($C38,Données!$C$19:'Données'!$I$38,5,0)),"/"))</f>
        <v>0</v>
      </c>
      <c r="V38" s="55" t="str">
        <f t="shared" si="1"/>
        <v>/</v>
      </c>
    </row>
    <row r="39" spans="1:22" ht="50.1" customHeight="1" x14ac:dyDescent="0.25">
      <c r="A39" s="1"/>
      <c r="B39" s="1"/>
      <c r="C39" s="88" t="str">
        <f>IF('Phase GPA'!$AT39="HN",'Phase GPA'!$C39,"/")</f>
        <v>/</v>
      </c>
      <c r="D39" s="42" t="str">
        <f>IF($C39="/","",IF($C39="","",IFERROR(IF(ISNA(VLOOKUP($C39,'Phase GPA'!$C$29:'Phase GPA'!$U$44,10,0)), ,VLOOKUP($C39,'Phase GPA'!$C$29:'Phase GPA'!$U$44,10,0)),0)))</f>
        <v/>
      </c>
      <c r="E39" s="43" t="str">
        <f>IF($C39="/","",IF($C39="","",IFERROR(IF(ISNA($D39/VLOOKUP($C39,Données!$C$19:'Données'!$I$38,6,0)), ,$D39/VLOOKUP($C39,Données!$C$19:'Données'!$I$38,6,0)),"/")))</f>
        <v/>
      </c>
      <c r="F39" s="43" t="str">
        <f>IF($C39="/","",IF($C39="","",IFERROR(IF(ISNA($D39/VLOOKUP($C39,Données!$C$19:'Données'!$I$38,7,0)*100), ,$D39/VLOOKUP($C39,Données!$C$19:'Données'!$I$38,7,0)*100),"/")))</f>
        <v/>
      </c>
      <c r="G39" s="42" t="str">
        <f>IF($C39="/","",IF($C39="","",IFERROR(IF(ISNA(VLOOKUP($C39,'Phase GPA'!$C$29:'Phase GPA'!$U$44,11,0)), ,VLOOKUP($C39,'Phase GPA'!$C$29:'Phase GPA'!$U$44,11,0)),0)))</f>
        <v/>
      </c>
      <c r="H39" s="45" t="str">
        <f>IF($C39="/","",IF($C39="","",IFERROR(IF(ISNA(VLOOKUP($C39,'Phase GPA'!$C$29:'Phase GPA'!$U$44,12,0)), ,VLOOKUP($C39,'Phase GPA'!$C$29:'Phase GPA'!$U$44,12,0)),0)))</f>
        <v/>
      </c>
      <c r="I39" s="45" t="str">
        <f>IF($C39="/","",IF($C39="","",IFERROR(IF(ISNA($H39/VLOOKUP($C39,Données!$C$19:'Données'!$I$38,5,0)), ,$H39/VLOOKUP($C39,Données!$C$19:'Données'!$I$38,5,0))*100,0)))</f>
        <v/>
      </c>
      <c r="J39" s="45" t="str">
        <f>IF($C39="/","",IF($C39="","",IFERROR(IF(ISNA($H39/VLOOKUP($C39,Données!$C$19:'Données'!$I$38,6,0)), ,$H39/VLOOKUP($C39,Données!$C$19:'Données'!$I$38,6,0)),"/")))</f>
        <v/>
      </c>
      <c r="K39" s="45" t="str">
        <f>IF($C39="/","",IF($C39="","",IFERROR(IF(ISNA($H39/VLOOKUP($C39,Données!$C$19:'Données'!$I$38,7,0)*100), ,$H39/VLOOKUP($C39,Données!$C$19:'Données'!$I$38,7,0)*100),"/")))</f>
        <v/>
      </c>
      <c r="L39" s="46" t="str">
        <f t="shared" si="0"/>
        <v/>
      </c>
      <c r="M39" s="13"/>
      <c r="N39" s="12"/>
      <c r="O39" s="3"/>
      <c r="P39" s="16"/>
      <c r="Q39" s="1"/>
      <c r="R39" s="1"/>
      <c r="S39" s="55">
        <f>IF($C39="","",IFERROR(IF(ISNA(VLOOKUP($C39,Données!$C$19:'Données'!$I$38,6,0)), ,VLOOKUP($C39,Données!$C$19:'Données'!$I$38,6,0)),"/"))</f>
        <v>0</v>
      </c>
      <c r="T39" s="55">
        <f>IF($C39="","",IFERROR(IF(ISNA(VLOOKUP($C39,Données!$C$19:'Données'!$I$38,7,0)), ,VLOOKUP($C39,Données!$C$19:'Données'!$I$38,7,0)),"/"))</f>
        <v>0</v>
      </c>
      <c r="U39" s="55">
        <f>IF($C39="","",IFERROR(IF(ISNA(VLOOKUP($C39,Données!$C$19:'Données'!$I$38,5,0)), ,VLOOKUP($C39,Données!$C$19:'Données'!$I$38,5,0)),"/"))</f>
        <v>0</v>
      </c>
      <c r="V39" s="55" t="str">
        <f t="shared" si="1"/>
        <v>/</v>
      </c>
    </row>
    <row r="40" spans="1:22" ht="50.1" customHeight="1" x14ac:dyDescent="0.25">
      <c r="A40" s="1"/>
      <c r="B40" s="1"/>
      <c r="C40" s="88" t="str">
        <f>IF('Phase GPA'!$AT40="HN",'Phase GPA'!$C40,"/")</f>
        <v>/</v>
      </c>
      <c r="D40" s="42" t="str">
        <f>IF($C40="/","",IF($C40="","",IFERROR(IF(ISNA(VLOOKUP($C40,'Phase GPA'!$C$29:'Phase GPA'!$U$44,10,0)), ,VLOOKUP($C40,'Phase GPA'!$C$29:'Phase GPA'!$U$44,10,0)),0)))</f>
        <v/>
      </c>
      <c r="E40" s="43" t="str">
        <f>IF($C40="/","",IF($C40="","",IFERROR(IF(ISNA($D40/VLOOKUP($C40,Données!$C$19:'Données'!$I$38,6,0)), ,$D40/VLOOKUP($C40,Données!$C$19:'Données'!$I$38,6,0)),"/")))</f>
        <v/>
      </c>
      <c r="F40" s="43" t="str">
        <f>IF($C40="/","",IF($C40="","",IFERROR(IF(ISNA($D40/VLOOKUP($C40,Données!$C$19:'Données'!$I$38,7,0)*100), ,$D40/VLOOKUP($C40,Données!$C$19:'Données'!$I$38,7,0)*100),"/")))</f>
        <v/>
      </c>
      <c r="G40" s="42" t="str">
        <f>IF($C40="/","",IF($C40="","",IFERROR(IF(ISNA(VLOOKUP($C40,'Phase GPA'!$C$29:'Phase GPA'!$U$44,11,0)), ,VLOOKUP($C40,'Phase GPA'!$C$29:'Phase GPA'!$U$44,11,0)),0)))</f>
        <v/>
      </c>
      <c r="H40" s="45" t="str">
        <f>IF($C40="/","",IF($C40="","",IFERROR(IF(ISNA(VLOOKUP($C40,'Phase GPA'!$C$29:'Phase GPA'!$U$44,12,0)), ,VLOOKUP($C40,'Phase GPA'!$C$29:'Phase GPA'!$U$44,12,0)),0)))</f>
        <v/>
      </c>
      <c r="I40" s="45" t="str">
        <f>IF($C40="/","",IF($C40="","",IFERROR(IF(ISNA($H40/VLOOKUP($C40,Données!$C$19:'Données'!$I$38,5,0)), ,$H40/VLOOKUP($C40,Données!$C$19:'Données'!$I$38,5,0))*100,0)))</f>
        <v/>
      </c>
      <c r="J40" s="45" t="str">
        <f>IF($C40="/","",IF($C40="","",IFERROR(IF(ISNA($H40/VLOOKUP($C40,Données!$C$19:'Données'!$I$38,6,0)), ,$H40/VLOOKUP($C40,Données!$C$19:'Données'!$I$38,6,0)),"/")))</f>
        <v/>
      </c>
      <c r="K40" s="45" t="str">
        <f>IF($C40="/","",IF($C40="","",IFERROR(IF(ISNA($H40/VLOOKUP($C40,Données!$C$19:'Données'!$I$38,7,0)*100), ,$H40/VLOOKUP($C40,Données!$C$19:'Données'!$I$38,7,0)*100),"/")))</f>
        <v/>
      </c>
      <c r="L40" s="46" t="str">
        <f t="shared" si="0"/>
        <v/>
      </c>
      <c r="M40" s="13"/>
      <c r="N40" s="12"/>
      <c r="O40" s="3"/>
      <c r="P40" s="16"/>
      <c r="Q40" s="1"/>
      <c r="R40" s="1"/>
      <c r="S40" s="55">
        <f>IF($C40="","",IFERROR(IF(ISNA(VLOOKUP($C40,Données!$C$19:'Données'!$I$38,6,0)), ,VLOOKUP($C40,Données!$C$19:'Données'!$I$38,6,0)),"/"))</f>
        <v>0</v>
      </c>
      <c r="T40" s="55">
        <f>IF($C40="","",IFERROR(IF(ISNA(VLOOKUP($C40,Données!$C$19:'Données'!$I$38,7,0)), ,VLOOKUP($C40,Données!$C$19:'Données'!$I$38,7,0)),"/"))</f>
        <v>0</v>
      </c>
      <c r="U40" s="55">
        <f>IF($C40="","",IFERROR(IF(ISNA(VLOOKUP($C40,Données!$C$19:'Données'!$I$38,5,0)), ,VLOOKUP($C40,Données!$C$19:'Données'!$I$38,5,0)),"/"))</f>
        <v>0</v>
      </c>
      <c r="V40" s="55" t="str">
        <f t="shared" si="1"/>
        <v>/</v>
      </c>
    </row>
    <row r="41" spans="1:22" ht="50.1" customHeight="1" x14ac:dyDescent="0.25">
      <c r="A41" s="1"/>
      <c r="B41" s="1"/>
      <c r="C41" s="88" t="str">
        <f>IF('Phase GPA'!$AT41="HN",'Phase GPA'!$C41,"/")</f>
        <v>/</v>
      </c>
      <c r="D41" s="42" t="str">
        <f>IF($C41="/","",IF($C41="","",IFERROR(IF(ISNA(VLOOKUP($C41,'Phase GPA'!$C$29:'Phase GPA'!$U$44,10,0)), ,VLOOKUP($C41,'Phase GPA'!$C$29:'Phase GPA'!$U$44,10,0)),0)))</f>
        <v/>
      </c>
      <c r="E41" s="43" t="str">
        <f>IF($C41="/","",IF($C41="","",IFERROR(IF(ISNA($D41/VLOOKUP($C41,Données!$C$19:'Données'!$I$38,6,0)), ,$D41/VLOOKUP($C41,Données!$C$19:'Données'!$I$38,6,0)),"/")))</f>
        <v/>
      </c>
      <c r="F41" s="43" t="str">
        <f>IF($C41="/","",IF($C41="","",IFERROR(IF(ISNA($D41/VLOOKUP($C41,Données!$C$19:'Données'!$I$38,7,0)*100), ,$D41/VLOOKUP($C41,Données!$C$19:'Données'!$I$38,7,0)*100),"/")))</f>
        <v/>
      </c>
      <c r="G41" s="42" t="str">
        <f>IF($C41="/","",IF($C41="","",IFERROR(IF(ISNA(VLOOKUP($C41,'Phase GPA'!$C$29:'Phase GPA'!$U$44,11,0)), ,VLOOKUP($C41,'Phase GPA'!$C$29:'Phase GPA'!$U$44,11,0)),0)))</f>
        <v/>
      </c>
      <c r="H41" s="45" t="str">
        <f>IF($C41="/","",IF($C41="","",IFERROR(IF(ISNA(VLOOKUP($C41,'Phase GPA'!$C$29:'Phase GPA'!$U$44,12,0)), ,VLOOKUP($C41,'Phase GPA'!$C$29:'Phase GPA'!$U$44,12,0)),0)))</f>
        <v/>
      </c>
      <c r="I41" s="45" t="str">
        <f>IF($C41="/","",IF($C41="","",IFERROR(IF(ISNA($H41/VLOOKUP($C41,Données!$C$19:'Données'!$I$38,5,0)), ,$H41/VLOOKUP($C41,Données!$C$19:'Données'!$I$38,5,0))*100,0)))</f>
        <v/>
      </c>
      <c r="J41" s="45" t="str">
        <f>IF($C41="/","",IF($C41="","",IFERROR(IF(ISNA($H41/VLOOKUP($C41,Données!$C$19:'Données'!$I$38,6,0)), ,$H41/VLOOKUP($C41,Données!$C$19:'Données'!$I$38,6,0)),"/")))</f>
        <v/>
      </c>
      <c r="K41" s="45" t="str">
        <f>IF($C41="/","",IF($C41="","",IFERROR(IF(ISNA($H41/VLOOKUP($C41,Données!$C$19:'Données'!$I$38,7,0)*100), ,$H41/VLOOKUP($C41,Données!$C$19:'Données'!$I$38,7,0)*100),"/")))</f>
        <v/>
      </c>
      <c r="L41" s="46" t="str">
        <f t="shared" si="0"/>
        <v/>
      </c>
      <c r="M41" s="13"/>
      <c r="N41" s="12"/>
      <c r="O41" s="3"/>
      <c r="P41" s="16"/>
      <c r="Q41" s="1"/>
      <c r="R41" s="1"/>
      <c r="S41" s="55">
        <f>IF($C41="","",IFERROR(IF(ISNA(VLOOKUP($C41,Données!$C$19:'Données'!$I$38,6,0)), ,VLOOKUP($C41,Données!$C$19:'Données'!$I$38,6,0)),"/"))</f>
        <v>0</v>
      </c>
      <c r="T41" s="55">
        <f>IF($C41="","",IFERROR(IF(ISNA(VLOOKUP($C41,Données!$C$19:'Données'!$I$38,7,0)), ,VLOOKUP($C41,Données!$C$19:'Données'!$I$38,7,0)),"/"))</f>
        <v>0</v>
      </c>
      <c r="U41" s="55">
        <f>IF($C41="","",IFERROR(IF(ISNA(VLOOKUP($C41,Données!$C$19:'Données'!$I$38,5,0)), ,VLOOKUP($C41,Données!$C$19:'Données'!$I$38,5,0)),"/"))</f>
        <v>0</v>
      </c>
      <c r="V41" s="55" t="str">
        <f t="shared" si="1"/>
        <v>/</v>
      </c>
    </row>
    <row r="42" spans="1:22" ht="50.1" customHeight="1" x14ac:dyDescent="0.25">
      <c r="A42" s="1"/>
      <c r="B42" s="1"/>
      <c r="C42" s="88" t="str">
        <f>IF('Phase GPA'!$AT42="HN",'Phase GPA'!$C42,"/")</f>
        <v>/</v>
      </c>
      <c r="D42" s="42" t="str">
        <f>IF($C42="/","",IF($C42="","",IFERROR(IF(ISNA(VLOOKUP($C42,'Phase GPA'!$C$29:'Phase GPA'!$U$44,10,0)), ,VLOOKUP($C42,'Phase GPA'!$C$29:'Phase GPA'!$U$44,10,0)),0)))</f>
        <v/>
      </c>
      <c r="E42" s="43" t="str">
        <f>IF($C42="/","",IF($C42="","",IFERROR(IF(ISNA($D42/VLOOKUP($C42,Données!$C$19:'Données'!$I$38,6,0)), ,$D42/VLOOKUP($C42,Données!$C$19:'Données'!$I$38,6,0)),"/")))</f>
        <v/>
      </c>
      <c r="F42" s="43" t="str">
        <f>IF($C42="/","",IF($C42="","",IFERROR(IF(ISNA($D42/VLOOKUP($C42,Données!$C$19:'Données'!$I$38,7,0)*100), ,$D42/VLOOKUP($C42,Données!$C$19:'Données'!$I$38,7,0)*100),"/")))</f>
        <v/>
      </c>
      <c r="G42" s="42" t="str">
        <f>IF($C42="/","",IF($C42="","",IFERROR(IF(ISNA(VLOOKUP($C42,'Phase GPA'!$C$29:'Phase GPA'!$U$44,11,0)), ,VLOOKUP($C42,'Phase GPA'!$C$29:'Phase GPA'!$U$44,11,0)),0)))</f>
        <v/>
      </c>
      <c r="H42" s="45" t="str">
        <f>IF($C42="/","",IF($C42="","",IFERROR(IF(ISNA(VLOOKUP($C42,'Phase GPA'!$C$29:'Phase GPA'!$U$44,12,0)), ,VLOOKUP($C42,'Phase GPA'!$C$29:'Phase GPA'!$U$44,12,0)),0)))</f>
        <v/>
      </c>
      <c r="I42" s="45" t="str">
        <f>IF($C42="/","",IF($C42="","",IFERROR(IF(ISNA($H42/VLOOKUP($C42,Données!$C$19:'Données'!$I$38,5,0)), ,$H42/VLOOKUP($C42,Données!$C$19:'Données'!$I$38,5,0))*100,0)))</f>
        <v/>
      </c>
      <c r="J42" s="45" t="str">
        <f>IF($C42="/","",IF($C42="","",IFERROR(IF(ISNA($H42/VLOOKUP($C42,Données!$C$19:'Données'!$I$38,6,0)), ,$H42/VLOOKUP($C42,Données!$C$19:'Données'!$I$38,6,0)),"/")))</f>
        <v/>
      </c>
      <c r="K42" s="45" t="str">
        <f>IF($C42="/","",IF($C42="","",IFERROR(IF(ISNA($H42/VLOOKUP($C42,Données!$C$19:'Données'!$I$38,7,0)*100), ,$H42/VLOOKUP($C42,Données!$C$19:'Données'!$I$38,7,0)*100),"/")))</f>
        <v/>
      </c>
      <c r="L42" s="46" t="str">
        <f t="shared" si="0"/>
        <v/>
      </c>
      <c r="M42" s="13"/>
      <c r="N42" s="12"/>
      <c r="O42" s="3"/>
      <c r="P42" s="16"/>
      <c r="Q42" s="1"/>
      <c r="R42" s="1"/>
      <c r="S42" s="55">
        <f>IF($C42="","",IFERROR(IF(ISNA(VLOOKUP($C42,Données!$C$19:'Données'!$I$38,6,0)), ,VLOOKUP($C42,Données!$C$19:'Données'!$I$38,6,0)),"/"))</f>
        <v>0</v>
      </c>
      <c r="T42" s="55">
        <f>IF($C42="","",IFERROR(IF(ISNA(VLOOKUP($C42,Données!$C$19:'Données'!$I$38,7,0)), ,VLOOKUP($C42,Données!$C$19:'Données'!$I$38,7,0)),"/"))</f>
        <v>0</v>
      </c>
      <c r="U42" s="55">
        <f>IF($C42="","",IFERROR(IF(ISNA(VLOOKUP($C42,Données!$C$19:'Données'!$I$38,5,0)), ,VLOOKUP($C42,Données!$C$19:'Données'!$I$38,5,0)),"/"))</f>
        <v>0</v>
      </c>
      <c r="V42" s="55" t="str">
        <f t="shared" si="1"/>
        <v>/</v>
      </c>
    </row>
    <row r="43" spans="1:22" ht="50.1" customHeight="1" x14ac:dyDescent="0.25">
      <c r="A43" s="1"/>
      <c r="B43" s="1"/>
      <c r="C43" s="88" t="str">
        <f>IF('Phase GPA'!$AT43="HN",'Phase GPA'!$C43,"/")</f>
        <v>/</v>
      </c>
      <c r="D43" s="42" t="str">
        <f>IF($C43="/","",IF($C43="","",IFERROR(IF(ISNA(VLOOKUP($C43,'Phase GPA'!$C$29:'Phase GPA'!$U$44,10,0)), ,VLOOKUP($C43,'Phase GPA'!$C$29:'Phase GPA'!$U$44,10,0)),0)))</f>
        <v/>
      </c>
      <c r="E43" s="43" t="str">
        <f>IF($C43="/","",IF($C43="","",IFERROR(IF(ISNA($D43/VLOOKUP($C43,Données!$C$19:'Données'!$I$38,6,0)), ,$D43/VLOOKUP($C43,Données!$C$19:'Données'!$I$38,6,0)),"/")))</f>
        <v/>
      </c>
      <c r="F43" s="43" t="str">
        <f>IF($C43="/","",IF($C43="","",IFERROR(IF(ISNA($D43/VLOOKUP($C43,Données!$C$19:'Données'!$I$38,7,0)*100), ,$D43/VLOOKUP($C43,Données!$C$19:'Données'!$I$38,7,0)*100),"/")))</f>
        <v/>
      </c>
      <c r="G43" s="42" t="str">
        <f>IF($C43="/","",IF($C43="","",IFERROR(IF(ISNA(VLOOKUP($C43,'Phase GPA'!$C$29:'Phase GPA'!$U$44,11,0)), ,VLOOKUP($C43,'Phase GPA'!$C$29:'Phase GPA'!$U$44,11,0)),0)))</f>
        <v/>
      </c>
      <c r="H43" s="45" t="str">
        <f>IF($C43="/","",IF($C43="","",IFERROR(IF(ISNA(VLOOKUP($C43,'Phase GPA'!$C$29:'Phase GPA'!$U$44,12,0)), ,VLOOKUP($C43,'Phase GPA'!$C$29:'Phase GPA'!$U$44,12,0)),0)))</f>
        <v/>
      </c>
      <c r="I43" s="45" t="str">
        <f>IF($C43="/","",IF($C43="","",IFERROR(IF(ISNA($H43/VLOOKUP($C43,Données!$C$19:'Données'!$I$38,5,0)), ,$H43/VLOOKUP($C43,Données!$C$19:'Données'!$I$38,5,0))*100,0)))</f>
        <v/>
      </c>
      <c r="J43" s="45" t="str">
        <f>IF($C43="/","",IF($C43="","",IFERROR(IF(ISNA($H43/VLOOKUP($C43,Données!$C$19:'Données'!$I$38,6,0)), ,$H43/VLOOKUP($C43,Données!$C$19:'Données'!$I$38,6,0)),"/")))</f>
        <v/>
      </c>
      <c r="K43" s="45" t="str">
        <f>IF($C43="/","",IF($C43="","",IFERROR(IF(ISNA($H43/VLOOKUP($C43,Données!$C$19:'Données'!$I$38,7,0)*100), ,$H43/VLOOKUP($C43,Données!$C$19:'Données'!$I$38,7,0)*100),"/")))</f>
        <v/>
      </c>
      <c r="L43" s="46" t="str">
        <f t="shared" si="0"/>
        <v/>
      </c>
      <c r="M43" s="13"/>
      <c r="N43" s="12"/>
      <c r="O43" s="3"/>
      <c r="P43" s="16"/>
      <c r="Q43" s="1"/>
      <c r="R43" s="1"/>
      <c r="S43" s="55">
        <f>IF($C43="","",IFERROR(IF(ISNA(VLOOKUP($C43,Données!$C$19:'Données'!$I$38,6,0)), ,VLOOKUP($C43,Données!$C$19:'Données'!$I$38,6,0)),"/"))</f>
        <v>0</v>
      </c>
      <c r="T43" s="55">
        <f>IF($C43="","",IFERROR(IF(ISNA(VLOOKUP($C43,Données!$C$19:'Données'!$I$38,7,0)), ,VLOOKUP($C43,Données!$C$19:'Données'!$I$38,7,0)),"/"))</f>
        <v>0</v>
      </c>
      <c r="U43" s="55">
        <f>IF($C43="","",IFERROR(IF(ISNA(VLOOKUP($C43,Données!$C$19:'Données'!$I$38,5,0)), ,VLOOKUP($C43,Données!$C$19:'Données'!$I$38,5,0)),"/"))</f>
        <v>0</v>
      </c>
      <c r="V43" s="55" t="str">
        <f t="shared" si="1"/>
        <v>/</v>
      </c>
    </row>
    <row r="44" spans="1:22" ht="50.1" customHeight="1" x14ac:dyDescent="0.25">
      <c r="A44" s="1"/>
      <c r="B44" s="1"/>
      <c r="C44" s="57" t="s">
        <v>50</v>
      </c>
      <c r="D44" s="58">
        <f>SUM(D29:D43)</f>
        <v>263</v>
      </c>
      <c r="E44" s="60">
        <f>IF(S44=0,"/",D44/S44)</f>
        <v>2.0076335877862594</v>
      </c>
      <c r="F44" s="60" t="str">
        <f>IF(T44=0,"/",D44/T44*100)</f>
        <v>/</v>
      </c>
      <c r="G44" s="58">
        <f>IFERROR(V44/D44,0)</f>
        <v>20.201520912547529</v>
      </c>
      <c r="H44" s="66">
        <f>SUM(H29:H43)</f>
        <v>48273</v>
      </c>
      <c r="I44" s="66">
        <f>IFERROR(H44/U44*100,0)</f>
        <v>0.23026617057813392</v>
      </c>
      <c r="J44" s="66">
        <f>IF(S44=0,"/",H44/S44)</f>
        <v>368.49618320610688</v>
      </c>
      <c r="K44" s="60" t="str">
        <f>IF(T44=0,"/",H44/T44*100)</f>
        <v>/</v>
      </c>
      <c r="L44" s="67">
        <f>IFERROR(H44/D44,0)</f>
        <v>183.54752851711027</v>
      </c>
      <c r="M44" s="68"/>
      <c r="N44" s="69"/>
      <c r="O44" s="3"/>
      <c r="P44" s="16"/>
      <c r="Q44" s="1"/>
      <c r="R44" s="1"/>
      <c r="S44" s="56">
        <f>SUM(S29:S43)</f>
        <v>131</v>
      </c>
      <c r="T44" s="56">
        <f>SUM(T29:T43)</f>
        <v>0</v>
      </c>
      <c r="U44" s="56">
        <f>SUM(U29:U43)</f>
        <v>20964000</v>
      </c>
      <c r="V44" s="39">
        <f>SUM(V29:V43)</f>
        <v>5313</v>
      </c>
    </row>
    <row r="45" spans="1:22" ht="15" customHeight="1" x14ac:dyDescent="0.25">
      <c r="A45" s="1"/>
      <c r="B45" s="1"/>
      <c r="C45" s="10"/>
      <c r="D45" s="10"/>
      <c r="E45" s="10"/>
      <c r="F45" s="10"/>
      <c r="G45" s="10"/>
      <c r="H45" s="10"/>
      <c r="I45" s="10"/>
      <c r="J45" s="10"/>
      <c r="K45" s="10"/>
      <c r="L45" s="10"/>
      <c r="M45" s="10"/>
      <c r="N45" s="10"/>
      <c r="O45" s="11"/>
      <c r="P45" s="4"/>
      <c r="Q45" s="1"/>
      <c r="R45" s="1"/>
    </row>
    <row r="46" spans="1:22" ht="15" customHeight="1" x14ac:dyDescent="0.25">
      <c r="A46" s="1"/>
      <c r="B46" s="1"/>
      <c r="C46" s="5"/>
      <c r="D46" s="10"/>
      <c r="E46" s="10"/>
      <c r="F46" s="10"/>
      <c r="G46" s="10"/>
      <c r="H46" s="10"/>
      <c r="I46" s="10"/>
      <c r="J46" s="10"/>
      <c r="K46" s="10"/>
      <c r="L46" s="10"/>
      <c r="M46" s="10"/>
      <c r="N46" s="10"/>
      <c r="O46" s="11"/>
      <c r="P46" s="30"/>
      <c r="Q46" s="1"/>
      <c r="R46" s="1"/>
    </row>
    <row r="47" spans="1:22" ht="15" customHeight="1" x14ac:dyDescent="0.25">
      <c r="A47" s="1"/>
      <c r="B47" s="1"/>
      <c r="C47" s="5"/>
      <c r="D47" s="10"/>
      <c r="E47" s="10"/>
      <c r="F47" s="10"/>
      <c r="G47" s="10"/>
      <c r="H47" s="10"/>
      <c r="I47" s="10"/>
      <c r="J47" s="10"/>
      <c r="K47" s="10"/>
      <c r="L47" s="10"/>
      <c r="M47" s="10"/>
      <c r="N47" s="10"/>
      <c r="O47" s="11"/>
      <c r="P47" s="29"/>
      <c r="Q47" s="1"/>
      <c r="R47" s="1"/>
    </row>
    <row r="48" spans="1:22" ht="15" customHeight="1" x14ac:dyDescent="0.25">
      <c r="A48" s="1"/>
      <c r="B48" s="1"/>
      <c r="C48" s="10"/>
      <c r="D48" s="10"/>
      <c r="E48" s="10"/>
      <c r="F48" s="10"/>
      <c r="G48" s="10"/>
      <c r="H48" s="10"/>
      <c r="I48" s="10"/>
      <c r="J48" s="10"/>
      <c r="K48" s="10"/>
      <c r="L48" s="10"/>
      <c r="M48" s="10"/>
      <c r="N48" s="10"/>
      <c r="O48" s="11"/>
      <c r="P48" s="29"/>
      <c r="Q48" s="1"/>
      <c r="R48" s="1"/>
    </row>
    <row r="49" spans="1:19" ht="15" customHeight="1" x14ac:dyDescent="0.25">
      <c r="A49" s="1"/>
      <c r="B49" s="1"/>
      <c r="C49" s="6"/>
      <c r="D49" s="6"/>
      <c r="E49" s="10"/>
      <c r="F49" s="10"/>
      <c r="G49" s="10"/>
      <c r="H49" s="10"/>
      <c r="I49" s="10"/>
      <c r="J49" s="10"/>
      <c r="K49" s="10"/>
      <c r="L49" s="10"/>
      <c r="M49" s="10"/>
      <c r="N49" s="10"/>
      <c r="O49" s="11"/>
      <c r="P49" s="29"/>
      <c r="Q49" s="1"/>
      <c r="R49" s="1"/>
    </row>
    <row r="50" spans="1:19" ht="5.0999999999999996" customHeight="1" x14ac:dyDescent="0.25">
      <c r="A50" s="1"/>
      <c r="B50" s="1"/>
      <c r="C50" s="1"/>
      <c r="D50" s="1"/>
      <c r="E50" s="1"/>
      <c r="F50" s="1"/>
      <c r="G50" s="1"/>
      <c r="H50" s="1"/>
      <c r="I50" s="1"/>
      <c r="J50" s="1"/>
      <c r="K50" s="1"/>
      <c r="L50" s="1"/>
      <c r="M50" s="1"/>
      <c r="N50" s="1"/>
      <c r="O50" s="1"/>
      <c r="P50" s="1"/>
      <c r="Q50" s="1"/>
      <c r="R50" s="1"/>
      <c r="S50" s="1"/>
    </row>
    <row r="51" spans="1:19" x14ac:dyDescent="0.25">
      <c r="A51" s="1"/>
      <c r="B51" s="1"/>
      <c r="C51" s="1"/>
      <c r="D51" s="1"/>
      <c r="E51" s="1"/>
      <c r="F51" s="1"/>
      <c r="G51" s="1"/>
      <c r="H51" s="1"/>
      <c r="I51" s="1"/>
      <c r="J51" s="1"/>
      <c r="K51" s="1"/>
      <c r="L51" s="1"/>
      <c r="M51" s="1"/>
      <c r="N51" s="1"/>
      <c r="O51" s="1"/>
      <c r="P51" s="1"/>
      <c r="Q51" s="1"/>
      <c r="R51" s="1"/>
      <c r="S51" s="1"/>
    </row>
  </sheetData>
  <sheetProtection algorithmName="SHA-512" hashValue="Nn0WZgO+Fxyq6i58yFecPDQK+UB35dxr+Ffbm4VUbmumc3p7J4XduoqrbrEYiKr2JH/Z2eeWvwUHbqoxatHIUQ==" saltValue="rzY5Q9y18Sl1kLv1NP4JzQ==" spinCount="100000" sheet="1" objects="1" scenarios="1"/>
  <protectedRanges>
    <protectedRange sqref="M29:N43" name="Plage2"/>
    <protectedRange sqref="P29:P44" name="Plage3"/>
  </protectedRanges>
  <mergeCells count="13">
    <mergeCell ref="P25:P28"/>
    <mergeCell ref="I25:I28"/>
    <mergeCell ref="J25:J28"/>
    <mergeCell ref="K25:K28"/>
    <mergeCell ref="L25:L28"/>
    <mergeCell ref="M25:M28"/>
    <mergeCell ref="N25:N28"/>
    <mergeCell ref="H25:H28"/>
    <mergeCell ref="C25:C28"/>
    <mergeCell ref="D25:D28"/>
    <mergeCell ref="E25:E28"/>
    <mergeCell ref="F25:F28"/>
    <mergeCell ref="G25:G28"/>
  </mergeCells>
  <conditionalFormatting sqref="G44">
    <cfRule type="cellIs" dxfId="59" priority="16" operator="lessThanOrEqual">
      <formula>15</formula>
    </cfRule>
    <cfRule type="cellIs" dxfId="58" priority="18" operator="greaterThan">
      <formula>15</formula>
    </cfRule>
  </conditionalFormatting>
  <conditionalFormatting sqref="E44">
    <cfRule type="cellIs" dxfId="57" priority="17" operator="lessThanOrEqual">
      <formula>1</formula>
    </cfRule>
    <cfRule type="containsText" dxfId="56" priority="19" operator="containsText" text="/">
      <formula>NOT(ISERROR(SEARCH("/",E44)))</formula>
    </cfRule>
    <cfRule type="cellIs" dxfId="55" priority="20" operator="greaterThan">
      <formula>1</formula>
    </cfRule>
  </conditionalFormatting>
  <conditionalFormatting sqref="G29">
    <cfRule type="cellIs" dxfId="54" priority="6" operator="lessThanOrEqual">
      <formula>15</formula>
    </cfRule>
    <cfRule type="cellIs" dxfId="53" priority="8" operator="greaterThan">
      <formula>15</formula>
    </cfRule>
  </conditionalFormatting>
  <conditionalFormatting sqref="E29">
    <cfRule type="cellIs" dxfId="52" priority="7" operator="lessThanOrEqual">
      <formula>1</formula>
    </cfRule>
    <cfRule type="containsText" dxfId="51" priority="9" operator="containsText" text="/">
      <formula>NOT(ISERROR(SEARCH("/",E29)))</formula>
    </cfRule>
    <cfRule type="cellIs" dxfId="50" priority="10" operator="greaterThan">
      <formula>1</formula>
    </cfRule>
  </conditionalFormatting>
  <conditionalFormatting sqref="G30:G43">
    <cfRule type="cellIs" dxfId="49" priority="1" operator="lessThanOrEqual">
      <formula>15</formula>
    </cfRule>
    <cfRule type="cellIs" dxfId="48" priority="3" operator="greaterThan">
      <formula>15</formula>
    </cfRule>
  </conditionalFormatting>
  <conditionalFormatting sqref="E30:E43">
    <cfRule type="cellIs" dxfId="47" priority="2" operator="lessThanOrEqual">
      <formula>1</formula>
    </cfRule>
    <cfRule type="containsText" dxfId="46" priority="4" operator="containsText" text="/">
      <formula>NOT(ISERROR(SEARCH("/",E30)))</formula>
    </cfRule>
    <cfRule type="cellIs" dxfId="45" priority="5" operator="greaterThan">
      <formula>1</formula>
    </cfRule>
  </conditionalFormatting>
  <dataValidations disablePrompts="1" count="1">
    <dataValidation type="list" allowBlank="1" showInputMessage="1" showErrorMessage="1" sqref="C45">
      <formula1>#REF!</formula1>
    </dataValidation>
  </dataValidations>
  <printOptions horizontalCentered="1" verticalCentered="1"/>
  <pageMargins left="0" right="0" top="0" bottom="1.3779527559055118" header="0.31496062992125984" footer="0.31496062992125984"/>
  <pageSetup paperSize="8" scale="58" orientation="landscape" r:id="rId1"/>
  <headerFooter>
    <oddFooter>&amp;C&amp;G</oddFooter>
  </headerFooter>
  <drawing r:id="rId2"/>
  <legacyDrawing r:id="rId3"/>
  <legacyDrawingHF r:id="rId4"/>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pageSetUpPr fitToPage="1"/>
  </sheetPr>
  <dimension ref="A1:V51"/>
  <sheetViews>
    <sheetView showGridLines="0" zoomScaleNormal="100" workbookViewId="0"/>
  </sheetViews>
  <sheetFormatPr baseColWidth="10" defaultColWidth="11.42578125" defaultRowHeight="15" x14ac:dyDescent="0.25"/>
  <cols>
    <col min="1" max="2" width="0.85546875" customWidth="1"/>
    <col min="3" max="3" width="55.7109375" customWidth="1"/>
    <col min="4" max="14" width="15.7109375" customWidth="1"/>
    <col min="15" max="15" width="1.7109375" customWidth="1"/>
    <col min="16" max="16" width="104.7109375" customWidth="1"/>
    <col min="17" max="18" width="0.85546875" customWidth="1"/>
  </cols>
  <sheetData>
    <row r="1" spans="1:19" ht="5.0999999999999996" customHeight="1" x14ac:dyDescent="0.25">
      <c r="A1" s="1"/>
      <c r="B1" s="1"/>
      <c r="C1" s="1"/>
      <c r="D1" s="1"/>
      <c r="E1" s="1"/>
      <c r="F1" s="1"/>
      <c r="G1" s="1"/>
      <c r="H1" s="1"/>
      <c r="I1" s="1"/>
      <c r="J1" s="1"/>
      <c r="K1" s="1"/>
      <c r="L1" s="1"/>
      <c r="M1" s="1"/>
      <c r="N1" s="1"/>
      <c r="O1" s="1"/>
      <c r="P1" s="1"/>
      <c r="Q1" s="1"/>
      <c r="R1" s="1"/>
    </row>
    <row r="2" spans="1:19" x14ac:dyDescent="0.25">
      <c r="A2" s="1"/>
      <c r="B2" s="1"/>
      <c r="C2" s="7"/>
      <c r="D2" s="7"/>
      <c r="E2" s="7"/>
      <c r="F2" s="7"/>
      <c r="G2" s="7"/>
      <c r="H2" s="7"/>
      <c r="I2" s="7"/>
      <c r="J2" s="7"/>
      <c r="K2" s="7"/>
      <c r="L2" s="7"/>
      <c r="M2" s="7"/>
      <c r="N2" s="7"/>
      <c r="O2" s="7"/>
      <c r="P2" s="7"/>
      <c r="Q2" s="7"/>
      <c r="R2" s="7"/>
      <c r="S2" s="8"/>
    </row>
    <row r="3" spans="1:19" x14ac:dyDescent="0.25">
      <c r="A3" s="1"/>
      <c r="B3" s="1"/>
      <c r="C3" s="7"/>
      <c r="D3" s="7"/>
      <c r="E3" s="7"/>
      <c r="F3" s="7"/>
      <c r="G3" s="7"/>
      <c r="H3" s="7"/>
      <c r="I3" s="7"/>
      <c r="J3" s="7"/>
      <c r="K3" s="7"/>
      <c r="L3" s="7"/>
      <c r="M3" s="7"/>
      <c r="N3" s="7"/>
      <c r="O3" s="7"/>
      <c r="P3" s="7"/>
      <c r="Q3" s="7"/>
      <c r="R3" s="7"/>
      <c r="S3" s="8"/>
    </row>
    <row r="4" spans="1:19" x14ac:dyDescent="0.25">
      <c r="A4" s="1"/>
      <c r="B4" s="1"/>
      <c r="C4" s="7"/>
      <c r="D4" s="7"/>
      <c r="E4" s="7"/>
      <c r="F4" s="7"/>
      <c r="G4" s="7"/>
      <c r="H4" s="7"/>
      <c r="I4" s="7"/>
      <c r="J4" s="7"/>
      <c r="K4" s="7"/>
      <c r="L4" s="7"/>
      <c r="M4" s="7"/>
      <c r="N4" s="7"/>
      <c r="O4" s="7"/>
      <c r="P4" s="7"/>
      <c r="Q4" s="7"/>
      <c r="R4" s="7"/>
      <c r="S4" s="8"/>
    </row>
    <row r="5" spans="1:19" x14ac:dyDescent="0.25">
      <c r="A5" s="1"/>
      <c r="B5" s="1"/>
      <c r="C5" s="7"/>
      <c r="D5" s="7"/>
      <c r="E5" s="7"/>
      <c r="F5" s="7"/>
      <c r="G5" s="7"/>
      <c r="H5" s="7"/>
      <c r="I5" s="7"/>
      <c r="J5" s="7"/>
      <c r="K5" s="7"/>
      <c r="L5" s="7"/>
      <c r="M5" s="7"/>
      <c r="N5" s="7"/>
      <c r="O5" s="7"/>
      <c r="P5" s="7"/>
      <c r="Q5" s="7"/>
      <c r="R5" s="7"/>
      <c r="S5" s="8"/>
    </row>
    <row r="6" spans="1:19" x14ac:dyDescent="0.25">
      <c r="A6" s="1"/>
      <c r="B6" s="1"/>
      <c r="C6" s="7"/>
      <c r="D6" s="7"/>
      <c r="E6" s="7"/>
      <c r="F6" s="7"/>
      <c r="G6" s="7"/>
      <c r="H6" s="7"/>
      <c r="I6" s="7"/>
      <c r="J6" s="7"/>
      <c r="K6" s="7"/>
      <c r="L6" s="7"/>
      <c r="M6" s="7"/>
      <c r="N6" s="7"/>
      <c r="O6" s="7"/>
      <c r="P6" s="7"/>
      <c r="Q6" s="7"/>
      <c r="R6" s="7"/>
      <c r="S6" s="8"/>
    </row>
    <row r="7" spans="1:19" x14ac:dyDescent="0.25">
      <c r="A7" s="1"/>
      <c r="B7" s="1"/>
      <c r="C7" s="7"/>
      <c r="D7" s="7"/>
      <c r="E7" s="7"/>
      <c r="F7" s="7"/>
      <c r="G7" s="7"/>
      <c r="H7" s="7"/>
      <c r="I7" s="7"/>
      <c r="J7" s="7"/>
      <c r="K7" s="7"/>
      <c r="L7" s="7"/>
      <c r="M7" s="7"/>
      <c r="N7" s="7"/>
      <c r="O7" s="7"/>
      <c r="P7" s="7"/>
      <c r="Q7" s="7"/>
      <c r="R7" s="7"/>
      <c r="S7" s="8"/>
    </row>
    <row r="8" spans="1:19" x14ac:dyDescent="0.25">
      <c r="A8" s="1"/>
      <c r="B8" s="1"/>
      <c r="C8" s="7"/>
      <c r="D8" s="7"/>
      <c r="E8" s="7"/>
      <c r="F8" s="7"/>
      <c r="G8" s="7"/>
      <c r="H8" s="7"/>
      <c r="I8" s="7"/>
      <c r="J8" s="7"/>
      <c r="K8" s="7"/>
      <c r="L8" s="7"/>
      <c r="M8" s="7"/>
      <c r="N8" s="7"/>
      <c r="O8" s="7"/>
      <c r="P8" s="7"/>
      <c r="Q8" s="7"/>
      <c r="R8" s="7"/>
      <c r="S8" s="8"/>
    </row>
    <row r="9" spans="1:19" x14ac:dyDescent="0.25">
      <c r="A9" s="1"/>
      <c r="B9" s="1"/>
      <c r="C9" s="7"/>
      <c r="D9" s="7"/>
      <c r="E9" s="7"/>
      <c r="F9" s="7"/>
      <c r="G9" s="7"/>
      <c r="H9" s="7"/>
      <c r="I9" s="7"/>
      <c r="J9" s="7"/>
      <c r="K9" s="7"/>
      <c r="L9" s="7"/>
      <c r="M9" s="7"/>
      <c r="N9" s="7"/>
      <c r="O9" s="7"/>
      <c r="P9" s="7"/>
      <c r="Q9" s="7"/>
      <c r="R9" s="7"/>
      <c r="S9" s="8"/>
    </row>
    <row r="10" spans="1:19" x14ac:dyDescent="0.25">
      <c r="A10" s="1"/>
      <c r="B10" s="1"/>
      <c r="C10" s="7"/>
      <c r="D10" s="7"/>
      <c r="E10" s="7"/>
      <c r="F10" s="7"/>
      <c r="G10" s="7"/>
      <c r="H10" s="7"/>
      <c r="I10" s="7"/>
      <c r="J10" s="7"/>
      <c r="K10" s="7"/>
      <c r="L10" s="7"/>
      <c r="M10" s="7"/>
      <c r="N10" s="7"/>
      <c r="O10" s="7"/>
      <c r="P10" s="7"/>
      <c r="Q10" s="7"/>
      <c r="R10" s="7"/>
      <c r="S10" s="8"/>
    </row>
    <row r="20" spans="1:22" x14ac:dyDescent="0.25">
      <c r="A20" s="1"/>
      <c r="B20" s="1"/>
      <c r="C20" s="4"/>
      <c r="D20" s="4"/>
      <c r="E20" s="4"/>
      <c r="F20" s="4"/>
      <c r="G20" s="4"/>
      <c r="H20" s="4"/>
      <c r="I20" s="4"/>
      <c r="J20" s="4"/>
      <c r="K20" s="4"/>
      <c r="L20" s="4"/>
      <c r="M20" s="4"/>
      <c r="N20" s="4"/>
      <c r="O20" s="4"/>
      <c r="P20" s="4"/>
      <c r="Q20" s="1"/>
      <c r="R20" s="1"/>
      <c r="S20" s="1"/>
    </row>
    <row r="21" spans="1:22" x14ac:dyDescent="0.25">
      <c r="A21" s="1"/>
      <c r="B21" s="1"/>
      <c r="C21" s="4"/>
      <c r="D21" s="4"/>
      <c r="E21" s="4"/>
      <c r="F21" s="4"/>
      <c r="G21" s="4"/>
      <c r="H21" s="4"/>
      <c r="I21" s="4"/>
      <c r="J21" s="4"/>
      <c r="K21" s="4"/>
      <c r="L21" s="4"/>
      <c r="M21" s="4"/>
      <c r="N21" s="4"/>
      <c r="O21" s="4"/>
      <c r="P21" s="4"/>
      <c r="Q21" s="1"/>
      <c r="R21" s="1"/>
      <c r="S21" s="1"/>
    </row>
    <row r="22" spans="1:22" x14ac:dyDescent="0.25">
      <c r="A22" s="1"/>
      <c r="B22" s="1"/>
      <c r="C22" s="4"/>
      <c r="D22" s="4"/>
      <c r="E22" s="4"/>
      <c r="F22" s="4"/>
      <c r="G22" s="4"/>
      <c r="H22" s="4"/>
      <c r="I22" s="4"/>
      <c r="J22" s="4"/>
      <c r="K22" s="4"/>
      <c r="L22" s="4"/>
      <c r="M22" s="4"/>
      <c r="N22" s="4"/>
      <c r="O22" s="4"/>
      <c r="P22" s="4"/>
      <c r="Q22" s="1"/>
      <c r="R22" s="1"/>
      <c r="S22" s="1"/>
    </row>
    <row r="23" spans="1:22" x14ac:dyDescent="0.25">
      <c r="A23" s="1"/>
      <c r="B23" s="1"/>
      <c r="C23" s="4"/>
      <c r="D23" s="4"/>
      <c r="E23" s="4"/>
      <c r="F23" s="4"/>
      <c r="G23" s="4"/>
      <c r="H23" s="4"/>
      <c r="I23" s="4"/>
      <c r="J23" s="4"/>
      <c r="K23" s="4"/>
      <c r="L23" s="4"/>
      <c r="M23" s="4"/>
      <c r="N23" s="4"/>
      <c r="O23" s="4"/>
      <c r="P23" s="4"/>
      <c r="Q23" s="1"/>
      <c r="R23" s="1"/>
      <c r="S23" s="1"/>
    </row>
    <row r="24" spans="1:22" x14ac:dyDescent="0.25">
      <c r="A24" s="1"/>
      <c r="B24" s="1"/>
      <c r="C24" s="4"/>
      <c r="D24" s="4"/>
      <c r="E24" s="4"/>
      <c r="F24" s="4"/>
      <c r="G24" s="4"/>
      <c r="H24" s="4"/>
      <c r="I24" s="4"/>
      <c r="J24" s="4"/>
      <c r="K24" s="4"/>
      <c r="L24" s="4"/>
      <c r="M24" s="4"/>
      <c r="N24" s="4"/>
      <c r="O24" s="4"/>
      <c r="P24" s="4"/>
      <c r="Q24" s="1"/>
      <c r="R24" s="1"/>
      <c r="S24" s="1"/>
    </row>
    <row r="25" spans="1:22" ht="15" customHeight="1" x14ac:dyDescent="0.25">
      <c r="A25" s="1"/>
      <c r="B25" s="1"/>
      <c r="C25" s="154" t="s">
        <v>7</v>
      </c>
      <c r="D25" s="154" t="s">
        <v>13</v>
      </c>
      <c r="E25" s="154" t="s">
        <v>22</v>
      </c>
      <c r="F25" s="154" t="s">
        <v>73</v>
      </c>
      <c r="G25" s="154" t="s">
        <v>31</v>
      </c>
      <c r="H25" s="154" t="s">
        <v>14</v>
      </c>
      <c r="I25" s="154" t="s">
        <v>20</v>
      </c>
      <c r="J25" s="154" t="s">
        <v>23</v>
      </c>
      <c r="K25" s="154" t="s">
        <v>74</v>
      </c>
      <c r="L25" s="154" t="s">
        <v>15</v>
      </c>
      <c r="M25" s="125" t="s">
        <v>16</v>
      </c>
      <c r="N25" s="125" t="s">
        <v>38</v>
      </c>
      <c r="O25" s="2"/>
      <c r="P25" s="125" t="s">
        <v>43</v>
      </c>
      <c r="Q25" s="1"/>
      <c r="R25" s="1"/>
    </row>
    <row r="26" spans="1:22" x14ac:dyDescent="0.25">
      <c r="A26" s="1"/>
      <c r="B26" s="1"/>
      <c r="C26" s="155"/>
      <c r="D26" s="155"/>
      <c r="E26" s="155"/>
      <c r="F26" s="155"/>
      <c r="G26" s="155"/>
      <c r="H26" s="155"/>
      <c r="I26" s="155"/>
      <c r="J26" s="155"/>
      <c r="K26" s="155"/>
      <c r="L26" s="155"/>
      <c r="M26" s="126"/>
      <c r="N26" s="126"/>
      <c r="O26" s="2"/>
      <c r="P26" s="126"/>
      <c r="Q26" s="1"/>
      <c r="R26" s="1"/>
    </row>
    <row r="27" spans="1:22" ht="15" customHeight="1" x14ac:dyDescent="0.25">
      <c r="A27" s="1"/>
      <c r="B27" s="1"/>
      <c r="C27" s="155"/>
      <c r="D27" s="155"/>
      <c r="E27" s="155"/>
      <c r="F27" s="155"/>
      <c r="G27" s="155"/>
      <c r="H27" s="155"/>
      <c r="I27" s="155"/>
      <c r="J27" s="155"/>
      <c r="K27" s="155"/>
      <c r="L27" s="155"/>
      <c r="M27" s="126"/>
      <c r="N27" s="126"/>
      <c r="O27" s="9"/>
      <c r="P27" s="126"/>
      <c r="Q27" s="1"/>
      <c r="R27" s="1"/>
    </row>
    <row r="28" spans="1:22" x14ac:dyDescent="0.25">
      <c r="A28" s="1"/>
      <c r="B28" s="1"/>
      <c r="C28" s="156"/>
      <c r="D28" s="156"/>
      <c r="E28" s="156"/>
      <c r="F28" s="156"/>
      <c r="G28" s="156"/>
      <c r="H28" s="156"/>
      <c r="I28" s="156"/>
      <c r="J28" s="156"/>
      <c r="K28" s="156"/>
      <c r="L28" s="156"/>
      <c r="M28" s="127"/>
      <c r="N28" s="127"/>
      <c r="O28" s="9"/>
      <c r="P28" s="127"/>
      <c r="Q28" s="1"/>
      <c r="R28" s="1"/>
    </row>
    <row r="29" spans="1:22" ht="50.1" customHeight="1" x14ac:dyDescent="0.25">
      <c r="A29" s="1"/>
      <c r="B29" s="1"/>
      <c r="C29" s="88" t="str">
        <f>IF('Phase GPA'!$AT29="HR",'Phase GPA'!$C29,"/")</f>
        <v>Territoire ROUEN ELBEUF - CPE 6</v>
      </c>
      <c r="D29" s="42">
        <f>IF($C29="/","",IF($C29="","",IFERROR(IF(ISNA(VLOOKUP($C29,'Phase GPA'!$C$29:'Phase GPA'!$U$44,10,0)), ,VLOOKUP($C29,'Phase GPA'!$C$29:'Phase GPA'!$U$44,10,0)),0)))</f>
        <v>20</v>
      </c>
      <c r="E29" s="43">
        <f>IF($C29="/","",IF($C29="","",IFERROR(IF(ISNA($D29/VLOOKUP($C29,Données!$C$19:'Données'!$I$38,6,0)), ,$D29/VLOOKUP($C29,Données!$C$19:'Données'!$I$38,6,0)),"/")))</f>
        <v>2.3201856148491878E-2</v>
      </c>
      <c r="F29" s="43" t="str">
        <f>IF($C29="/","",IF($C29="","",IFERROR(IF(ISNA($D29/VLOOKUP($C29,Données!$C$19:'Données'!$I$38,7,0)*100), ,$D29/VLOOKUP($C29,Données!$C$19:'Données'!$I$38,7,0)*100),"/")))</f>
        <v>/</v>
      </c>
      <c r="G29" s="42">
        <f>IF($C29="/","",IF($C29="","",IFERROR(IF(ISNA(VLOOKUP($C29,'Phase GPA'!$C$29:'Phase GPA'!$U$44,11,0)), ,VLOOKUP($C29,'Phase GPA'!$C$29:'Phase GPA'!$U$44,11,0)),0)))</f>
        <v>59</v>
      </c>
      <c r="H29" s="45">
        <f>IF($C29="/","",IF($C29="","",IFERROR(IF(ISNA(VLOOKUP($C29,'Phase GPA'!$C$29:'Phase GPA'!$U$44,12,0)), ,VLOOKUP($C29,'Phase GPA'!$C$29:'Phase GPA'!$U$44,12,0)),0)))</f>
        <v>244</v>
      </c>
      <c r="I29" s="45">
        <f>IF($C29="/","",IF($C29="","",IFERROR(IF(ISNA($H29/VLOOKUP($C29,Données!$C$19:'Données'!$I$38,5,0)), ,$H29/VLOOKUP($C29,Données!$C$19:'Données'!$I$38,5,0))*100,0)))</f>
        <v>1.6002098635886674E-3</v>
      </c>
      <c r="J29" s="45">
        <f>IF($C29="/","",IF($C29="","",IFERROR(IF(ISNA($H29/VLOOKUP($C29,Données!$C$19:'Données'!$I$38,6,0)), ,$H29/VLOOKUP($C29,Données!$C$19:'Données'!$I$38,6,0)),"/")))</f>
        <v>0.28306264501160094</v>
      </c>
      <c r="K29" s="45" t="str">
        <f>IF($C29="/","",IF($C29="","",IFERROR(IF(ISNA($H29/VLOOKUP($C29,Données!$C$19:'Données'!$I$38,7,0)*100), ,$H29/VLOOKUP($C29,Données!$C$19:'Données'!$I$38,7,0)*100),"/")))</f>
        <v>/</v>
      </c>
      <c r="L29" s="46">
        <f>IF($C29="/","",IF($D29=0,"/",IF($C29="","",IFERROR(($H29/$D29),0))))</f>
        <v>12.2</v>
      </c>
      <c r="M29" s="13"/>
      <c r="N29" s="12"/>
      <c r="O29" s="3"/>
      <c r="P29" s="16"/>
      <c r="Q29" s="1"/>
      <c r="R29" s="1"/>
      <c r="S29" s="55">
        <f>IF($C29="","",IFERROR(IF(ISNA(VLOOKUP($C29,Données!$C$19:'Données'!$I$38,6,0)), ,VLOOKUP($C29,Données!$C$19:'Données'!$I$38,6,0)),"/"))</f>
        <v>862</v>
      </c>
      <c r="T29" s="55">
        <f>IF($C29="","",IFERROR(IF(ISNA(VLOOKUP($C29,Données!$C$19:'Données'!$I$38,7,0)), ,VLOOKUP($C29,Données!$C$19:'Données'!$I$38,7,0)),"/"))</f>
        <v>0</v>
      </c>
      <c r="U29" s="55">
        <f>IF($C29="","",IFERROR(IF(ISNA(VLOOKUP($C29,Données!$C$19:'Données'!$I$38,5,0)), ,VLOOKUP($C29,Données!$C$19:'Données'!$I$38,5,0)),"/"))</f>
        <v>15248000</v>
      </c>
      <c r="V29" s="55">
        <f>IF($C29="","",IFERROR(IF(ISNA($D29*$G29), ,$D29*$G29),"/"))</f>
        <v>1180</v>
      </c>
    </row>
    <row r="30" spans="1:22" ht="50.1" customHeight="1" x14ac:dyDescent="0.25">
      <c r="A30" s="1"/>
      <c r="B30" s="1"/>
      <c r="C30" s="88" t="str">
        <f>IF('Phase GPA'!$AT30="HR",'Phase GPA'!$C30,"/")</f>
        <v>/</v>
      </c>
      <c r="D30" s="42" t="str">
        <f>IF($C30="/","",IF($C30="","",IFERROR(IF(ISNA(VLOOKUP($C30,'Phase GPA'!$C$29:'Phase GPA'!$U$44,10,0)), ,VLOOKUP($C30,'Phase GPA'!$C$29:'Phase GPA'!$U$44,10,0)),0)))</f>
        <v/>
      </c>
      <c r="E30" s="43" t="str">
        <f>IF($C30="/","",IF($C30="","",IFERROR(IF(ISNA($D30/VLOOKUP($C30,Données!$C$19:'Données'!$I$38,6,0)), ,$D30/VLOOKUP($C30,Données!$C$19:'Données'!$I$38,6,0)),"/")))</f>
        <v/>
      </c>
      <c r="F30" s="43" t="str">
        <f>IF($C30="/","",IF($C30="","",IFERROR(IF(ISNA($D30/VLOOKUP($C30,Données!$C$19:'Données'!$I$38,7,0)*100), ,$D30/VLOOKUP($C30,Données!$C$19:'Données'!$I$38,7,0)*100),"/")))</f>
        <v/>
      </c>
      <c r="G30" s="42" t="str">
        <f>IF($C30="/","",IF($C30="","",IFERROR(IF(ISNA(VLOOKUP($C30,'Phase GPA'!$C$29:'Phase GPA'!$U$44,11,0)), ,VLOOKUP($C30,'Phase GPA'!$C$29:'Phase GPA'!$U$44,11,0)),0)))</f>
        <v/>
      </c>
      <c r="H30" s="45" t="str">
        <f>IF($C30="/","",IF($C30="","",IFERROR(IF(ISNA(VLOOKUP($C30,'Phase GPA'!$C$29:'Phase GPA'!$U$44,12,0)), ,VLOOKUP($C30,'Phase GPA'!$C$29:'Phase GPA'!$U$44,12,0)),0)))</f>
        <v/>
      </c>
      <c r="I30" s="45" t="str">
        <f>IF($C30="/","",IF($C30="","",IFERROR(IF(ISNA($H30/VLOOKUP($C30,Données!$C$19:'Données'!$I$38,5,0)), ,$H30/VLOOKUP($C30,Données!$C$19:'Données'!$I$38,5,0))*100,0)))</f>
        <v/>
      </c>
      <c r="J30" s="45" t="str">
        <f>IF($C30="/","",IF($C30="","",IFERROR(IF(ISNA($H30/VLOOKUP($C30,Données!$C$19:'Données'!$I$38,6,0)), ,$H30/VLOOKUP($C30,Données!$C$19:'Données'!$I$38,6,0)),"/")))</f>
        <v/>
      </c>
      <c r="K30" s="45" t="str">
        <f>IF($C30="/","",IF($C30="","",IFERROR(IF(ISNA($H30/VLOOKUP($C30,Données!$C$19:'Données'!$I$38,7,0)*100), ,$H30/VLOOKUP($C30,Données!$C$19:'Données'!$I$38,7,0)*100),"/")))</f>
        <v/>
      </c>
      <c r="L30" s="46" t="str">
        <f t="shared" ref="L30:L43" si="0">IF($C30="/","",IF($D30=0,"/",IF($C30="","",IFERROR(($H30/$D30),0))))</f>
        <v/>
      </c>
      <c r="M30" s="13"/>
      <c r="N30" s="12"/>
      <c r="O30" s="3"/>
      <c r="P30" s="16"/>
      <c r="Q30" s="1"/>
      <c r="R30" s="1"/>
      <c r="S30" s="55">
        <f>IF($C30="","",IFERROR(IF(ISNA(VLOOKUP($C30,Données!$C$19:'Données'!$I$38,6,0)), ,VLOOKUP($C30,Données!$C$19:'Données'!$I$38,6,0)),"/"))</f>
        <v>0</v>
      </c>
      <c r="T30" s="55">
        <f>IF($C30="","",IFERROR(IF(ISNA(VLOOKUP($C30,Données!$C$19:'Données'!$I$38,7,0)), ,VLOOKUP($C30,Données!$C$19:'Données'!$I$38,7,0)),"/"))</f>
        <v>0</v>
      </c>
      <c r="U30" s="55">
        <f>IF($C30="","",IFERROR(IF(ISNA(VLOOKUP($C30,Données!$C$19:'Données'!$I$38,5,0)), ,VLOOKUP($C30,Données!$C$19:'Données'!$I$38,5,0)),"/"))</f>
        <v>0</v>
      </c>
      <c r="V30" s="55" t="str">
        <f>IF($C30="","",IFERROR(IF(ISNA($D30*$G30), ,$D30*$G30),"/"))</f>
        <v>/</v>
      </c>
    </row>
    <row r="31" spans="1:22" ht="50.1" customHeight="1" x14ac:dyDescent="0.25">
      <c r="A31" s="1"/>
      <c r="B31" s="1"/>
      <c r="C31" s="88" t="str">
        <f>IF('Phase GPA'!$AT31="HR",'Phase GPA'!$C31,"/")</f>
        <v>/</v>
      </c>
      <c r="D31" s="42" t="str">
        <f>IF($C31="/","",IF($C31="","",IFERROR(IF(ISNA(VLOOKUP($C31,'Phase GPA'!$C$29:'Phase GPA'!$U$44,10,0)), ,VLOOKUP($C31,'Phase GPA'!$C$29:'Phase GPA'!$U$44,10,0)),0)))</f>
        <v/>
      </c>
      <c r="E31" s="43" t="str">
        <f>IF($C31="/","",IF($C31="","",IFERROR(IF(ISNA($D31/VLOOKUP($C31,Données!$C$19:'Données'!$I$38,6,0)), ,$D31/VLOOKUP($C31,Données!$C$19:'Données'!$I$38,6,0)),"/")))</f>
        <v/>
      </c>
      <c r="F31" s="43" t="str">
        <f>IF($C31="/","",IF($C31="","",IFERROR(IF(ISNA($D31/VLOOKUP($C31,Données!$C$19:'Données'!$I$38,7,0)*100), ,$D31/VLOOKUP($C31,Données!$C$19:'Données'!$I$38,7,0)*100),"/")))</f>
        <v/>
      </c>
      <c r="G31" s="42" t="str">
        <f>IF($C31="/","",IF($C31="","",IFERROR(IF(ISNA(VLOOKUP($C31,'Phase GPA'!$C$29:'Phase GPA'!$U$44,11,0)), ,VLOOKUP($C31,'Phase GPA'!$C$29:'Phase GPA'!$U$44,11,0)),0)))</f>
        <v/>
      </c>
      <c r="H31" s="45" t="str">
        <f>IF($C31="/","",IF($C31="","",IFERROR(IF(ISNA(VLOOKUP($C31,'Phase GPA'!$C$29:'Phase GPA'!$U$44,12,0)), ,VLOOKUP($C31,'Phase GPA'!$C$29:'Phase GPA'!$U$44,12,0)),0)))</f>
        <v/>
      </c>
      <c r="I31" s="45" t="str">
        <f>IF($C31="/","",IF($C31="","",IFERROR(IF(ISNA($H31/VLOOKUP($C31,Données!$C$19:'Données'!$I$38,5,0)), ,$H31/VLOOKUP($C31,Données!$C$19:'Données'!$I$38,5,0))*100,0)))</f>
        <v/>
      </c>
      <c r="J31" s="45" t="str">
        <f>IF($C31="/","",IF($C31="","",IFERROR(IF(ISNA($H31/VLOOKUP($C31,Données!$C$19:'Données'!$I$38,6,0)), ,$H31/VLOOKUP($C31,Données!$C$19:'Données'!$I$38,6,0)),"/")))</f>
        <v/>
      </c>
      <c r="K31" s="45" t="str">
        <f>IF($C31="/","",IF($C31="","",IFERROR(IF(ISNA($H31/VLOOKUP($C31,Données!$C$19:'Données'!$I$38,7,0)*100), ,$H31/VLOOKUP($C31,Données!$C$19:'Données'!$I$38,7,0)*100),"/")))</f>
        <v/>
      </c>
      <c r="L31" s="46" t="str">
        <f t="shared" si="0"/>
        <v/>
      </c>
      <c r="M31" s="13"/>
      <c r="N31" s="12"/>
      <c r="O31" s="3"/>
      <c r="P31" s="16"/>
      <c r="Q31" s="1"/>
      <c r="R31" s="1"/>
      <c r="S31" s="55">
        <f>IF($C31="","",IFERROR(IF(ISNA(VLOOKUP($C31,Données!$C$19:'Données'!$I$38,6,0)), ,VLOOKUP($C31,Données!$C$19:'Données'!$I$38,6,0)),"/"))</f>
        <v>0</v>
      </c>
      <c r="T31" s="55">
        <f>IF($C31="","",IFERROR(IF(ISNA(VLOOKUP($C31,Données!$C$19:'Données'!$I$38,7,0)), ,VLOOKUP($C31,Données!$C$19:'Données'!$I$38,7,0)),"/"))</f>
        <v>0</v>
      </c>
      <c r="U31" s="55">
        <f>IF($C31="","",IFERROR(IF(ISNA(VLOOKUP($C31,Données!$C$19:'Données'!$I$38,5,0)), ,VLOOKUP($C31,Données!$C$19:'Données'!$I$38,5,0)),"/"))</f>
        <v>0</v>
      </c>
      <c r="V31" s="55" t="str">
        <f t="shared" ref="V31:V43" si="1">IF($C31="","",IFERROR(IF(ISNA($D31*$G31), ,$D31*$G31),"/"))</f>
        <v>/</v>
      </c>
    </row>
    <row r="32" spans="1:22" ht="50.1" customHeight="1" x14ac:dyDescent="0.25">
      <c r="A32" s="1"/>
      <c r="B32" s="1"/>
      <c r="C32" s="88" t="str">
        <f>IF('Phase GPA'!$AT32="HR",'Phase GPA'!$C32,"/")</f>
        <v>/</v>
      </c>
      <c r="D32" s="42" t="str">
        <f>IF($C32="/","",IF($C32="","",IFERROR(IF(ISNA(VLOOKUP($C32,'Phase GPA'!$C$29:'Phase GPA'!$U$44,10,0)), ,VLOOKUP($C32,'Phase GPA'!$C$29:'Phase GPA'!$U$44,10,0)),0)))</f>
        <v/>
      </c>
      <c r="E32" s="43" t="str">
        <f>IF($C32="/","",IF($C32="","",IFERROR(IF(ISNA($D32/VLOOKUP($C32,Données!$C$19:'Données'!$I$38,6,0)), ,$D32/VLOOKUP($C32,Données!$C$19:'Données'!$I$38,6,0)),"/")))</f>
        <v/>
      </c>
      <c r="F32" s="43" t="str">
        <f>IF($C32="/","",IF($C32="","",IFERROR(IF(ISNA($D32/VLOOKUP($C32,Données!$C$19:'Données'!$I$38,7,0)*100), ,$D32/VLOOKUP($C32,Données!$C$19:'Données'!$I$38,7,0)*100),"/")))</f>
        <v/>
      </c>
      <c r="G32" s="42" t="str">
        <f>IF($C32="/","",IF($C32="","",IFERROR(IF(ISNA(VLOOKUP($C32,'Phase GPA'!$C$29:'Phase GPA'!$U$44,11,0)), ,VLOOKUP($C32,'Phase GPA'!$C$29:'Phase GPA'!$U$44,11,0)),0)))</f>
        <v/>
      </c>
      <c r="H32" s="45" t="str">
        <f>IF($C32="/","",IF($C32="","",IFERROR(IF(ISNA(VLOOKUP($C32,'Phase GPA'!$C$29:'Phase GPA'!$U$44,12,0)), ,VLOOKUP($C32,'Phase GPA'!$C$29:'Phase GPA'!$U$44,12,0)),0)))</f>
        <v/>
      </c>
      <c r="I32" s="45" t="str">
        <f>IF($C32="/","",IF($C32="","",IFERROR(IF(ISNA($H32/VLOOKUP($C32,Données!$C$19:'Données'!$I$38,5,0)), ,$H32/VLOOKUP($C32,Données!$C$19:'Données'!$I$38,5,0))*100,0)))</f>
        <v/>
      </c>
      <c r="J32" s="45" t="str">
        <f>IF($C32="/","",IF($C32="","",IFERROR(IF(ISNA($H32/VLOOKUP($C32,Données!$C$19:'Données'!$I$38,6,0)), ,$H32/VLOOKUP($C32,Données!$C$19:'Données'!$I$38,6,0)),"/")))</f>
        <v/>
      </c>
      <c r="K32" s="45" t="str">
        <f>IF($C32="/","",IF($C32="","",IFERROR(IF(ISNA($H32/VLOOKUP($C32,Données!$C$19:'Données'!$I$38,7,0)*100), ,$H32/VLOOKUP($C32,Données!$C$19:'Données'!$I$38,7,0)*100),"/")))</f>
        <v/>
      </c>
      <c r="L32" s="46" t="str">
        <f t="shared" si="0"/>
        <v/>
      </c>
      <c r="M32" s="13"/>
      <c r="N32" s="12"/>
      <c r="O32" s="3"/>
      <c r="P32" s="16"/>
      <c r="Q32" s="1"/>
      <c r="R32" s="1"/>
      <c r="S32" s="55">
        <f>IF($C32="","",IFERROR(IF(ISNA(VLOOKUP($C32,Données!$C$19:'Données'!$I$38,6,0)), ,VLOOKUP($C32,Données!$C$19:'Données'!$I$38,6,0)),"/"))</f>
        <v>0</v>
      </c>
      <c r="T32" s="55">
        <f>IF($C32="","",IFERROR(IF(ISNA(VLOOKUP($C32,Données!$C$19:'Données'!$I$38,7,0)), ,VLOOKUP($C32,Données!$C$19:'Données'!$I$38,7,0)),"/"))</f>
        <v>0</v>
      </c>
      <c r="U32" s="55">
        <f>IF($C32="","",IFERROR(IF(ISNA(VLOOKUP($C32,Données!$C$19:'Données'!$I$38,5,0)), ,VLOOKUP($C32,Données!$C$19:'Données'!$I$38,5,0)),"/"))</f>
        <v>0</v>
      </c>
      <c r="V32" s="55" t="str">
        <f t="shared" si="1"/>
        <v>/</v>
      </c>
    </row>
    <row r="33" spans="1:22" ht="50.1" customHeight="1" x14ac:dyDescent="0.25">
      <c r="A33" s="1"/>
      <c r="B33" s="1"/>
      <c r="C33" s="88" t="str">
        <f>IF('Phase GPA'!$AT33="HR",'Phase GPA'!$C33,"/")</f>
        <v>/</v>
      </c>
      <c r="D33" s="42" t="str">
        <f>IF($C33="/","",IF($C33="","",IFERROR(IF(ISNA(VLOOKUP($C33,'Phase GPA'!$C$29:'Phase GPA'!$U$44,10,0)), ,VLOOKUP($C33,'Phase GPA'!$C$29:'Phase GPA'!$U$44,10,0)),0)))</f>
        <v/>
      </c>
      <c r="E33" s="43" t="str">
        <f>IF($C33="/","",IF($C33="","",IFERROR(IF(ISNA($D33/VLOOKUP($C33,Données!$C$19:'Données'!$I$38,6,0)), ,$D33/VLOOKUP($C33,Données!$C$19:'Données'!$I$38,6,0)),"/")))</f>
        <v/>
      </c>
      <c r="F33" s="43" t="str">
        <f>IF($C33="/","",IF($C33="","",IFERROR(IF(ISNA($D33/VLOOKUP($C33,Données!$C$19:'Données'!$I$38,7,0)*100), ,$D33/VLOOKUP($C33,Données!$C$19:'Données'!$I$38,7,0)*100),"/")))</f>
        <v/>
      </c>
      <c r="G33" s="42" t="str">
        <f>IF($C33="/","",IF($C33="","",IFERROR(IF(ISNA(VLOOKUP($C33,'Phase GPA'!$C$29:'Phase GPA'!$U$44,11,0)), ,VLOOKUP($C33,'Phase GPA'!$C$29:'Phase GPA'!$U$44,11,0)),0)))</f>
        <v/>
      </c>
      <c r="H33" s="45" t="str">
        <f>IF($C33="/","",IF($C33="","",IFERROR(IF(ISNA(VLOOKUP($C33,'Phase GPA'!$C$29:'Phase GPA'!$U$44,12,0)), ,VLOOKUP($C33,'Phase GPA'!$C$29:'Phase GPA'!$U$44,12,0)),0)))</f>
        <v/>
      </c>
      <c r="I33" s="45" t="str">
        <f>IF($C33="/","",IF($C33="","",IFERROR(IF(ISNA($H33/VLOOKUP($C33,Données!$C$19:'Données'!$I$38,5,0)), ,$H33/VLOOKUP($C33,Données!$C$19:'Données'!$I$38,5,0))*100,0)))</f>
        <v/>
      </c>
      <c r="J33" s="45" t="str">
        <f>IF($C33="/","",IF($C33="","",IFERROR(IF(ISNA($H33/VLOOKUP($C33,Données!$C$19:'Données'!$I$38,6,0)), ,$H33/VLOOKUP($C33,Données!$C$19:'Données'!$I$38,6,0)),"/")))</f>
        <v/>
      </c>
      <c r="K33" s="45" t="str">
        <f>IF($C33="/","",IF($C33="","",IFERROR(IF(ISNA($H33/VLOOKUP($C33,Données!$C$19:'Données'!$I$38,7,0)*100), ,$H33/VLOOKUP($C33,Données!$C$19:'Données'!$I$38,7,0)*100),"/")))</f>
        <v/>
      </c>
      <c r="L33" s="46" t="str">
        <f t="shared" si="0"/>
        <v/>
      </c>
      <c r="M33" s="13"/>
      <c r="N33" s="12"/>
      <c r="O33" s="3"/>
      <c r="P33" s="16"/>
      <c r="Q33" s="1"/>
      <c r="R33" s="1"/>
      <c r="S33" s="55">
        <f>IF($C33="","",IFERROR(IF(ISNA(VLOOKUP($C33,Données!$C$19:'Données'!$I$38,6,0)), ,VLOOKUP($C33,Données!$C$19:'Données'!$I$38,6,0)),"/"))</f>
        <v>0</v>
      </c>
      <c r="T33" s="55">
        <f>IF($C33="","",IFERROR(IF(ISNA(VLOOKUP($C33,Données!$C$19:'Données'!$I$38,7,0)), ,VLOOKUP($C33,Données!$C$19:'Données'!$I$38,7,0)),"/"))</f>
        <v>0</v>
      </c>
      <c r="U33" s="55">
        <f>IF($C33="","",IFERROR(IF(ISNA(VLOOKUP($C33,Données!$C$19:'Données'!$I$38,5,0)), ,VLOOKUP($C33,Données!$C$19:'Données'!$I$38,5,0)),"/"))</f>
        <v>0</v>
      </c>
      <c r="V33" s="55" t="str">
        <f t="shared" si="1"/>
        <v>/</v>
      </c>
    </row>
    <row r="34" spans="1:22" ht="50.1" customHeight="1" x14ac:dyDescent="0.25">
      <c r="A34" s="1"/>
      <c r="B34" s="1"/>
      <c r="C34" s="88" t="str">
        <f>IF('Phase GPA'!$AT34="HR",'Phase GPA'!$C34,"/")</f>
        <v>/</v>
      </c>
      <c r="D34" s="42" t="str">
        <f>IF($C34="/","",IF($C34="","",IFERROR(IF(ISNA(VLOOKUP($C34,'Phase GPA'!$C$29:'Phase GPA'!$U$44,10,0)), ,VLOOKUP($C34,'Phase GPA'!$C$29:'Phase GPA'!$U$44,10,0)),0)))</f>
        <v/>
      </c>
      <c r="E34" s="43" t="str">
        <f>IF($C34="/","",IF($C34="","",IFERROR(IF(ISNA($D34/VLOOKUP($C34,Données!$C$19:'Données'!$I$38,6,0)), ,$D34/VLOOKUP($C34,Données!$C$19:'Données'!$I$38,6,0)),"/")))</f>
        <v/>
      </c>
      <c r="F34" s="43" t="str">
        <f>IF($C34="/","",IF($C34="","",IFERROR(IF(ISNA($D34/VLOOKUP($C34,Données!$C$19:'Données'!$I$38,7,0)*100), ,$D34/VLOOKUP($C34,Données!$C$19:'Données'!$I$38,7,0)*100),"/")))</f>
        <v/>
      </c>
      <c r="G34" s="42" t="str">
        <f>IF($C34="/","",IF($C34="","",IFERROR(IF(ISNA(VLOOKUP($C34,'Phase GPA'!$C$29:'Phase GPA'!$U$44,11,0)), ,VLOOKUP($C34,'Phase GPA'!$C$29:'Phase GPA'!$U$44,11,0)),0)))</f>
        <v/>
      </c>
      <c r="H34" s="45" t="str">
        <f>IF($C34="/","",IF($C34="","",IFERROR(IF(ISNA(VLOOKUP($C34,'Phase GPA'!$C$29:'Phase GPA'!$U$44,12,0)), ,VLOOKUP($C34,'Phase GPA'!$C$29:'Phase GPA'!$U$44,12,0)),0)))</f>
        <v/>
      </c>
      <c r="I34" s="45" t="str">
        <f>IF($C34="/","",IF($C34="","",IFERROR(IF(ISNA($H34/VLOOKUP($C34,Données!$C$19:'Données'!$I$38,5,0)), ,$H34/VLOOKUP($C34,Données!$C$19:'Données'!$I$38,5,0))*100,0)))</f>
        <v/>
      </c>
      <c r="J34" s="45" t="str">
        <f>IF($C34="/","",IF($C34="","",IFERROR(IF(ISNA($H34/VLOOKUP($C34,Données!$C$19:'Données'!$I$38,6,0)), ,$H34/VLOOKUP($C34,Données!$C$19:'Données'!$I$38,6,0)),"/")))</f>
        <v/>
      </c>
      <c r="K34" s="45" t="str">
        <f>IF($C34="/","",IF($C34="","",IFERROR(IF(ISNA($H34/VLOOKUP($C34,Données!$C$19:'Données'!$I$38,7,0)*100), ,$H34/VLOOKUP($C34,Données!$C$19:'Données'!$I$38,7,0)*100),"/")))</f>
        <v/>
      </c>
      <c r="L34" s="46" t="str">
        <f t="shared" si="0"/>
        <v/>
      </c>
      <c r="M34" s="13"/>
      <c r="N34" s="12"/>
      <c r="O34" s="3"/>
      <c r="P34" s="16"/>
      <c r="Q34" s="1"/>
      <c r="R34" s="1"/>
      <c r="S34" s="55">
        <f>IF($C34="","",IFERROR(IF(ISNA(VLOOKUP($C34,Données!$C$19:'Données'!$I$38,6,0)), ,VLOOKUP($C34,Données!$C$19:'Données'!$I$38,6,0)),"/"))</f>
        <v>0</v>
      </c>
      <c r="T34" s="55">
        <f>IF($C34="","",IFERROR(IF(ISNA(VLOOKUP($C34,Données!$C$19:'Données'!$I$38,7,0)), ,VLOOKUP($C34,Données!$C$19:'Données'!$I$38,7,0)),"/"))</f>
        <v>0</v>
      </c>
      <c r="U34" s="55">
        <f>IF($C34="","",IFERROR(IF(ISNA(VLOOKUP($C34,Données!$C$19:'Données'!$I$38,5,0)), ,VLOOKUP($C34,Données!$C$19:'Données'!$I$38,5,0)),"/"))</f>
        <v>0</v>
      </c>
      <c r="V34" s="55" t="str">
        <f t="shared" si="1"/>
        <v>/</v>
      </c>
    </row>
    <row r="35" spans="1:22" ht="50.1" customHeight="1" x14ac:dyDescent="0.25">
      <c r="A35" s="1"/>
      <c r="B35" s="1"/>
      <c r="C35" s="88" t="str">
        <f>IF('Phase GPA'!$AT35="HR",'Phase GPA'!$C35,"/")</f>
        <v>/</v>
      </c>
      <c r="D35" s="42" t="str">
        <f>IF($C35="/","",IF($C35="","",IFERROR(IF(ISNA(VLOOKUP($C35,'Phase GPA'!$C$29:'Phase GPA'!$U$44,10,0)), ,VLOOKUP($C35,'Phase GPA'!$C$29:'Phase GPA'!$U$44,10,0)),0)))</f>
        <v/>
      </c>
      <c r="E35" s="43" t="str">
        <f>IF($C35="/","",IF($C35="","",IFERROR(IF(ISNA($D35/VLOOKUP($C35,Données!$C$19:'Données'!$I$38,6,0)), ,$D35/VLOOKUP($C35,Données!$C$19:'Données'!$I$38,6,0)),"/")))</f>
        <v/>
      </c>
      <c r="F35" s="43" t="str">
        <f>IF($C35="/","",IF($C35="","",IFERROR(IF(ISNA($D35/VLOOKUP($C35,Données!$C$19:'Données'!$I$38,7,0)*100), ,$D35/VLOOKUP($C35,Données!$C$19:'Données'!$I$38,7,0)*100),"/")))</f>
        <v/>
      </c>
      <c r="G35" s="42" t="str">
        <f>IF($C35="/","",IF($C35="","",IFERROR(IF(ISNA(VLOOKUP($C35,'Phase GPA'!$C$29:'Phase GPA'!$U$44,11,0)), ,VLOOKUP($C35,'Phase GPA'!$C$29:'Phase GPA'!$U$44,11,0)),0)))</f>
        <v/>
      </c>
      <c r="H35" s="45" t="str">
        <f>IF($C35="/","",IF($C35="","",IFERROR(IF(ISNA(VLOOKUP($C35,'Phase GPA'!$C$29:'Phase GPA'!$U$44,12,0)), ,VLOOKUP($C35,'Phase GPA'!$C$29:'Phase GPA'!$U$44,12,0)),0)))</f>
        <v/>
      </c>
      <c r="I35" s="45" t="str">
        <f>IF($C35="/","",IF($C35="","",IFERROR(IF(ISNA($H35/VLOOKUP($C35,Données!$C$19:'Données'!$I$38,5,0)), ,$H35/VLOOKUP($C35,Données!$C$19:'Données'!$I$38,5,0))*100,0)))</f>
        <v/>
      </c>
      <c r="J35" s="45" t="str">
        <f>IF($C35="/","",IF($C35="","",IFERROR(IF(ISNA($H35/VLOOKUP($C35,Données!$C$19:'Données'!$I$38,6,0)), ,$H35/VLOOKUP($C35,Données!$C$19:'Données'!$I$38,6,0)),"/")))</f>
        <v/>
      </c>
      <c r="K35" s="45" t="str">
        <f>IF($C35="/","",IF($C35="","",IFERROR(IF(ISNA($H35/VLOOKUP($C35,Données!$C$19:'Données'!$I$38,7,0)*100), ,$H35/VLOOKUP($C35,Données!$C$19:'Données'!$I$38,7,0)*100),"/")))</f>
        <v/>
      </c>
      <c r="L35" s="46" t="str">
        <f t="shared" si="0"/>
        <v/>
      </c>
      <c r="M35" s="13"/>
      <c r="N35" s="12"/>
      <c r="O35" s="3"/>
      <c r="P35" s="16"/>
      <c r="Q35" s="1"/>
      <c r="R35" s="1"/>
      <c r="S35" s="55">
        <f>IF($C35="","",IFERROR(IF(ISNA(VLOOKUP($C35,Données!$C$19:'Données'!$I$38,6,0)), ,VLOOKUP($C35,Données!$C$19:'Données'!$I$38,6,0)),"/"))</f>
        <v>0</v>
      </c>
      <c r="T35" s="55">
        <f>IF($C35="","",IFERROR(IF(ISNA(VLOOKUP($C35,Données!$C$19:'Données'!$I$38,7,0)), ,VLOOKUP($C35,Données!$C$19:'Données'!$I$38,7,0)),"/"))</f>
        <v>0</v>
      </c>
      <c r="U35" s="55">
        <f>IF($C35="","",IFERROR(IF(ISNA(VLOOKUP($C35,Données!$C$19:'Données'!$I$38,5,0)), ,VLOOKUP($C35,Données!$C$19:'Données'!$I$38,5,0)),"/"))</f>
        <v>0</v>
      </c>
      <c r="V35" s="55" t="str">
        <f t="shared" si="1"/>
        <v>/</v>
      </c>
    </row>
    <row r="36" spans="1:22" ht="50.1" customHeight="1" x14ac:dyDescent="0.25">
      <c r="A36" s="1"/>
      <c r="B36" s="1"/>
      <c r="C36" s="88" t="str">
        <f>IF('Phase GPA'!$AT36="HR",'Phase GPA'!$C36,"/")</f>
        <v>/</v>
      </c>
      <c r="D36" s="42" t="str">
        <f>IF($C36="/","",IF($C36="","",IFERROR(IF(ISNA(VLOOKUP($C36,'Phase GPA'!$C$29:'Phase GPA'!$U$44,10,0)), ,VLOOKUP($C36,'Phase GPA'!$C$29:'Phase GPA'!$U$44,10,0)),0)))</f>
        <v/>
      </c>
      <c r="E36" s="43" t="str">
        <f>IF($C36="/","",IF($C36="","",IFERROR(IF(ISNA($D36/VLOOKUP($C36,Données!$C$19:'Données'!$I$38,6,0)), ,$D36/VLOOKUP($C36,Données!$C$19:'Données'!$I$38,6,0)),"/")))</f>
        <v/>
      </c>
      <c r="F36" s="43" t="str">
        <f>IF($C36="/","",IF($C36="","",IFERROR(IF(ISNA($D36/VLOOKUP($C36,Données!$C$19:'Données'!$I$38,7,0)*100), ,$D36/VLOOKUP($C36,Données!$C$19:'Données'!$I$38,7,0)*100),"/")))</f>
        <v/>
      </c>
      <c r="G36" s="42" t="str">
        <f>IF($C36="/","",IF($C36="","",IFERROR(IF(ISNA(VLOOKUP($C36,'Phase GPA'!$C$29:'Phase GPA'!$U$44,11,0)), ,VLOOKUP($C36,'Phase GPA'!$C$29:'Phase GPA'!$U$44,11,0)),0)))</f>
        <v/>
      </c>
      <c r="H36" s="45" t="str">
        <f>IF($C36="/","",IF($C36="","",IFERROR(IF(ISNA(VLOOKUP($C36,'Phase GPA'!$C$29:'Phase GPA'!$U$44,12,0)), ,VLOOKUP($C36,'Phase GPA'!$C$29:'Phase GPA'!$U$44,12,0)),0)))</f>
        <v/>
      </c>
      <c r="I36" s="45" t="str">
        <f>IF($C36="/","",IF($C36="","",IFERROR(IF(ISNA($H36/VLOOKUP($C36,Données!$C$19:'Données'!$I$38,5,0)), ,$H36/VLOOKUP($C36,Données!$C$19:'Données'!$I$38,5,0))*100,0)))</f>
        <v/>
      </c>
      <c r="J36" s="45" t="str">
        <f>IF($C36="/","",IF($C36="","",IFERROR(IF(ISNA($H36/VLOOKUP($C36,Données!$C$19:'Données'!$I$38,6,0)), ,$H36/VLOOKUP($C36,Données!$C$19:'Données'!$I$38,6,0)),"/")))</f>
        <v/>
      </c>
      <c r="K36" s="45" t="str">
        <f>IF($C36="/","",IF($C36="","",IFERROR(IF(ISNA($H36/VLOOKUP($C36,Données!$C$19:'Données'!$I$38,7,0)*100), ,$H36/VLOOKUP($C36,Données!$C$19:'Données'!$I$38,7,0)*100),"/")))</f>
        <v/>
      </c>
      <c r="L36" s="46" t="str">
        <f t="shared" si="0"/>
        <v/>
      </c>
      <c r="M36" s="13"/>
      <c r="N36" s="12"/>
      <c r="O36" s="3"/>
      <c r="P36" s="16"/>
      <c r="Q36" s="1"/>
      <c r="R36" s="1"/>
      <c r="S36" s="55">
        <f>IF($C36="","",IFERROR(IF(ISNA(VLOOKUP($C36,Données!$C$19:'Données'!$I$38,6,0)), ,VLOOKUP($C36,Données!$C$19:'Données'!$I$38,6,0)),"/"))</f>
        <v>0</v>
      </c>
      <c r="T36" s="55">
        <f>IF($C36="","",IFERROR(IF(ISNA(VLOOKUP($C36,Données!$C$19:'Données'!$I$38,7,0)), ,VLOOKUP($C36,Données!$C$19:'Données'!$I$38,7,0)),"/"))</f>
        <v>0</v>
      </c>
      <c r="U36" s="55">
        <f>IF($C36="","",IFERROR(IF(ISNA(VLOOKUP($C36,Données!$C$19:'Données'!$I$38,5,0)), ,VLOOKUP($C36,Données!$C$19:'Données'!$I$38,5,0)),"/"))</f>
        <v>0</v>
      </c>
      <c r="V36" s="55" t="str">
        <f t="shared" si="1"/>
        <v>/</v>
      </c>
    </row>
    <row r="37" spans="1:22" ht="50.1" customHeight="1" x14ac:dyDescent="0.25">
      <c r="A37" s="1"/>
      <c r="B37" s="1"/>
      <c r="C37" s="88" t="str">
        <f>IF('Phase GPA'!$AT37="HR",'Phase GPA'!$C37,"/")</f>
        <v>/</v>
      </c>
      <c r="D37" s="42" t="str">
        <f>IF($C37="/","",IF($C37="","",IFERROR(IF(ISNA(VLOOKUP($C37,'Phase GPA'!$C$29:'Phase GPA'!$U$44,10,0)), ,VLOOKUP($C37,'Phase GPA'!$C$29:'Phase GPA'!$U$44,10,0)),0)))</f>
        <v/>
      </c>
      <c r="E37" s="43" t="str">
        <f>IF($C37="/","",IF($C37="","",IFERROR(IF(ISNA($D37/VLOOKUP($C37,Données!$C$19:'Données'!$I$38,6,0)), ,$D37/VLOOKUP($C37,Données!$C$19:'Données'!$I$38,6,0)),"/")))</f>
        <v/>
      </c>
      <c r="F37" s="43" t="str">
        <f>IF($C37="/","",IF($C37="","",IFERROR(IF(ISNA($D37/VLOOKUP($C37,Données!$C$19:'Données'!$I$38,7,0)*100), ,$D37/VLOOKUP($C37,Données!$C$19:'Données'!$I$38,7,0)*100),"/")))</f>
        <v/>
      </c>
      <c r="G37" s="42" t="str">
        <f>IF($C37="/","",IF($C37="","",IFERROR(IF(ISNA(VLOOKUP($C37,'Phase GPA'!$C$29:'Phase GPA'!$U$44,11,0)), ,VLOOKUP($C37,'Phase GPA'!$C$29:'Phase GPA'!$U$44,11,0)),0)))</f>
        <v/>
      </c>
      <c r="H37" s="45" t="str">
        <f>IF($C37="/","",IF($C37="","",IFERROR(IF(ISNA(VLOOKUP($C37,'Phase GPA'!$C$29:'Phase GPA'!$U$44,12,0)), ,VLOOKUP($C37,'Phase GPA'!$C$29:'Phase GPA'!$U$44,12,0)),0)))</f>
        <v/>
      </c>
      <c r="I37" s="45" t="str">
        <f>IF($C37="/","",IF($C37="","",IFERROR(IF(ISNA($H37/VLOOKUP($C37,Données!$C$19:'Données'!$I$38,5,0)), ,$H37/VLOOKUP($C37,Données!$C$19:'Données'!$I$38,5,0))*100,0)))</f>
        <v/>
      </c>
      <c r="J37" s="45" t="str">
        <f>IF($C37="/","",IF($C37="","",IFERROR(IF(ISNA($H37/VLOOKUP($C37,Données!$C$19:'Données'!$I$38,6,0)), ,$H37/VLOOKUP($C37,Données!$C$19:'Données'!$I$38,6,0)),"/")))</f>
        <v/>
      </c>
      <c r="K37" s="45" t="str">
        <f>IF($C37="/","",IF($C37="","",IFERROR(IF(ISNA($H37/VLOOKUP($C37,Données!$C$19:'Données'!$I$38,7,0)*100), ,$H37/VLOOKUP($C37,Données!$C$19:'Données'!$I$38,7,0)*100),"/")))</f>
        <v/>
      </c>
      <c r="L37" s="46" t="str">
        <f t="shared" si="0"/>
        <v/>
      </c>
      <c r="M37" s="13"/>
      <c r="N37" s="12"/>
      <c r="O37" s="3"/>
      <c r="P37" s="16"/>
      <c r="Q37" s="1"/>
      <c r="R37" s="1"/>
      <c r="S37" s="55">
        <f>IF($C37="","",IFERROR(IF(ISNA(VLOOKUP($C37,Données!$C$19:'Données'!$I$38,6,0)), ,VLOOKUP($C37,Données!$C$19:'Données'!$I$38,6,0)),"/"))</f>
        <v>0</v>
      </c>
      <c r="T37" s="55">
        <f>IF($C37="","",IFERROR(IF(ISNA(VLOOKUP($C37,Données!$C$19:'Données'!$I$38,7,0)), ,VLOOKUP($C37,Données!$C$19:'Données'!$I$38,7,0)),"/"))</f>
        <v>0</v>
      </c>
      <c r="U37" s="55">
        <f>IF($C37="","",IFERROR(IF(ISNA(VLOOKUP($C37,Données!$C$19:'Données'!$I$38,5,0)), ,VLOOKUP($C37,Données!$C$19:'Données'!$I$38,5,0)),"/"))</f>
        <v>0</v>
      </c>
      <c r="V37" s="55" t="str">
        <f t="shared" si="1"/>
        <v>/</v>
      </c>
    </row>
    <row r="38" spans="1:22" ht="50.1" customHeight="1" x14ac:dyDescent="0.25">
      <c r="A38" s="1"/>
      <c r="B38" s="1"/>
      <c r="C38" s="88" t="str">
        <f>IF('Phase GPA'!$AT38="HR",'Phase GPA'!$C38,"/")</f>
        <v>/</v>
      </c>
      <c r="D38" s="42" t="str">
        <f>IF($C38="/","",IF($C38="","",IFERROR(IF(ISNA(VLOOKUP($C38,'Phase GPA'!$C$29:'Phase GPA'!$U$44,10,0)), ,VLOOKUP($C38,'Phase GPA'!$C$29:'Phase GPA'!$U$44,10,0)),0)))</f>
        <v/>
      </c>
      <c r="E38" s="43" t="str">
        <f>IF($C38="/","",IF($C38="","",IFERROR(IF(ISNA($D38/VLOOKUP($C38,Données!$C$19:'Données'!$I$38,6,0)), ,$D38/VLOOKUP($C38,Données!$C$19:'Données'!$I$38,6,0)),"/")))</f>
        <v/>
      </c>
      <c r="F38" s="43" t="str">
        <f>IF($C38="/","",IF($C38="","",IFERROR(IF(ISNA($D38/VLOOKUP($C38,Données!$C$19:'Données'!$I$38,7,0)*100), ,$D38/VLOOKUP($C38,Données!$C$19:'Données'!$I$38,7,0)*100),"/")))</f>
        <v/>
      </c>
      <c r="G38" s="42" t="str">
        <f>IF($C38="/","",IF($C38="","",IFERROR(IF(ISNA(VLOOKUP($C38,'Phase GPA'!$C$29:'Phase GPA'!$U$44,11,0)), ,VLOOKUP($C38,'Phase GPA'!$C$29:'Phase GPA'!$U$44,11,0)),0)))</f>
        <v/>
      </c>
      <c r="H38" s="45" t="str">
        <f>IF($C38="/","",IF($C38="","",IFERROR(IF(ISNA(VLOOKUP($C38,'Phase GPA'!$C$29:'Phase GPA'!$U$44,12,0)), ,VLOOKUP($C38,'Phase GPA'!$C$29:'Phase GPA'!$U$44,12,0)),0)))</f>
        <v/>
      </c>
      <c r="I38" s="45" t="str">
        <f>IF($C38="/","",IF($C38="","",IFERROR(IF(ISNA($H38/VLOOKUP($C38,Données!$C$19:'Données'!$I$38,5,0)), ,$H38/VLOOKUP($C38,Données!$C$19:'Données'!$I$38,5,0))*100,0)))</f>
        <v/>
      </c>
      <c r="J38" s="45" t="str">
        <f>IF($C38="/","",IF($C38="","",IFERROR(IF(ISNA($H38/VLOOKUP($C38,Données!$C$19:'Données'!$I$38,6,0)), ,$H38/VLOOKUP($C38,Données!$C$19:'Données'!$I$38,6,0)),"/")))</f>
        <v/>
      </c>
      <c r="K38" s="45" t="str">
        <f>IF($C38="/","",IF($C38="","",IFERROR(IF(ISNA($H38/VLOOKUP($C38,Données!$C$19:'Données'!$I$38,7,0)*100), ,$H38/VLOOKUP($C38,Données!$C$19:'Données'!$I$38,7,0)*100),"/")))</f>
        <v/>
      </c>
      <c r="L38" s="46" t="str">
        <f t="shared" si="0"/>
        <v/>
      </c>
      <c r="M38" s="13"/>
      <c r="N38" s="12"/>
      <c r="O38" s="3"/>
      <c r="P38" s="16"/>
      <c r="Q38" s="1"/>
      <c r="R38" s="1"/>
      <c r="S38" s="55">
        <f>IF($C38="","",IFERROR(IF(ISNA(VLOOKUP($C38,Données!$C$19:'Données'!$I$38,6,0)), ,VLOOKUP($C38,Données!$C$19:'Données'!$I$38,6,0)),"/"))</f>
        <v>0</v>
      </c>
      <c r="T38" s="55">
        <f>IF($C38="","",IFERROR(IF(ISNA(VLOOKUP($C38,Données!$C$19:'Données'!$I$38,7,0)), ,VLOOKUP($C38,Données!$C$19:'Données'!$I$38,7,0)),"/"))</f>
        <v>0</v>
      </c>
      <c r="U38" s="55">
        <f>IF($C38="","",IFERROR(IF(ISNA(VLOOKUP($C38,Données!$C$19:'Données'!$I$38,5,0)), ,VLOOKUP($C38,Données!$C$19:'Données'!$I$38,5,0)),"/"))</f>
        <v>0</v>
      </c>
      <c r="V38" s="55" t="str">
        <f t="shared" si="1"/>
        <v>/</v>
      </c>
    </row>
    <row r="39" spans="1:22" ht="50.1" customHeight="1" x14ac:dyDescent="0.25">
      <c r="A39" s="1"/>
      <c r="B39" s="1"/>
      <c r="C39" s="88" t="str">
        <f>IF('Phase GPA'!$AT39="HR",'Phase GPA'!$C39,"/")</f>
        <v>/</v>
      </c>
      <c r="D39" s="42" t="str">
        <f>IF($C39="/","",IF($C39="","",IFERROR(IF(ISNA(VLOOKUP($C39,'Phase GPA'!$C$29:'Phase GPA'!$U$44,10,0)), ,VLOOKUP($C39,'Phase GPA'!$C$29:'Phase GPA'!$U$44,10,0)),0)))</f>
        <v/>
      </c>
      <c r="E39" s="43" t="str">
        <f>IF($C39="/","",IF($C39="","",IFERROR(IF(ISNA($D39/VLOOKUP($C39,Données!$C$19:'Données'!$I$38,6,0)), ,$D39/VLOOKUP($C39,Données!$C$19:'Données'!$I$38,6,0)),"/")))</f>
        <v/>
      </c>
      <c r="F39" s="43" t="str">
        <f>IF($C39="/","",IF($C39="","",IFERROR(IF(ISNA($D39/VLOOKUP($C39,Données!$C$19:'Données'!$I$38,7,0)*100), ,$D39/VLOOKUP($C39,Données!$C$19:'Données'!$I$38,7,0)*100),"/")))</f>
        <v/>
      </c>
      <c r="G39" s="42" t="str">
        <f>IF($C39="/","",IF($C39="","",IFERROR(IF(ISNA(VLOOKUP($C39,'Phase GPA'!$C$29:'Phase GPA'!$U$44,11,0)), ,VLOOKUP($C39,'Phase GPA'!$C$29:'Phase GPA'!$U$44,11,0)),0)))</f>
        <v/>
      </c>
      <c r="H39" s="45" t="str">
        <f>IF($C39="/","",IF($C39="","",IFERROR(IF(ISNA(VLOOKUP($C39,'Phase GPA'!$C$29:'Phase GPA'!$U$44,12,0)), ,VLOOKUP($C39,'Phase GPA'!$C$29:'Phase GPA'!$U$44,12,0)),0)))</f>
        <v/>
      </c>
      <c r="I39" s="45" t="str">
        <f>IF($C39="/","",IF($C39="","",IFERROR(IF(ISNA($H39/VLOOKUP($C39,Données!$C$19:'Données'!$I$38,5,0)), ,$H39/VLOOKUP($C39,Données!$C$19:'Données'!$I$38,5,0))*100,0)))</f>
        <v/>
      </c>
      <c r="J39" s="45" t="str">
        <f>IF($C39="/","",IF($C39="","",IFERROR(IF(ISNA($H39/VLOOKUP($C39,Données!$C$19:'Données'!$I$38,6,0)), ,$H39/VLOOKUP($C39,Données!$C$19:'Données'!$I$38,6,0)),"/")))</f>
        <v/>
      </c>
      <c r="K39" s="45" t="str">
        <f>IF($C39="/","",IF($C39="","",IFERROR(IF(ISNA($H39/VLOOKUP($C39,Données!$C$19:'Données'!$I$38,7,0)*100), ,$H39/VLOOKUP($C39,Données!$C$19:'Données'!$I$38,7,0)*100),"/")))</f>
        <v/>
      </c>
      <c r="L39" s="46" t="str">
        <f t="shared" si="0"/>
        <v/>
      </c>
      <c r="M39" s="13"/>
      <c r="N39" s="12"/>
      <c r="O39" s="3"/>
      <c r="P39" s="16"/>
      <c r="Q39" s="1"/>
      <c r="R39" s="1"/>
      <c r="S39" s="55">
        <f>IF($C39="","",IFERROR(IF(ISNA(VLOOKUP($C39,Données!$C$19:'Données'!$I$38,6,0)), ,VLOOKUP($C39,Données!$C$19:'Données'!$I$38,6,0)),"/"))</f>
        <v>0</v>
      </c>
      <c r="T39" s="55">
        <f>IF($C39="","",IFERROR(IF(ISNA(VLOOKUP($C39,Données!$C$19:'Données'!$I$38,7,0)), ,VLOOKUP($C39,Données!$C$19:'Données'!$I$38,7,0)),"/"))</f>
        <v>0</v>
      </c>
      <c r="U39" s="55">
        <f>IF($C39="","",IFERROR(IF(ISNA(VLOOKUP($C39,Données!$C$19:'Données'!$I$38,5,0)), ,VLOOKUP($C39,Données!$C$19:'Données'!$I$38,5,0)),"/"))</f>
        <v>0</v>
      </c>
      <c r="V39" s="55" t="str">
        <f t="shared" si="1"/>
        <v>/</v>
      </c>
    </row>
    <row r="40" spans="1:22" ht="50.1" customHeight="1" x14ac:dyDescent="0.25">
      <c r="A40" s="1"/>
      <c r="B40" s="1"/>
      <c r="C40" s="88" t="str">
        <f>IF('Phase GPA'!$AT40="HR",'Phase GPA'!$C40,"/")</f>
        <v>/</v>
      </c>
      <c r="D40" s="42" t="str">
        <f>IF($C40="/","",IF($C40="","",IFERROR(IF(ISNA(VLOOKUP($C40,'Phase GPA'!$C$29:'Phase GPA'!$U$44,10,0)), ,VLOOKUP($C40,'Phase GPA'!$C$29:'Phase GPA'!$U$44,10,0)),0)))</f>
        <v/>
      </c>
      <c r="E40" s="43" t="str">
        <f>IF($C40="/","",IF($C40="","",IFERROR(IF(ISNA($D40/VLOOKUP($C40,Données!$C$19:'Données'!$I$38,6,0)), ,$D40/VLOOKUP($C40,Données!$C$19:'Données'!$I$38,6,0)),"/")))</f>
        <v/>
      </c>
      <c r="F40" s="43" t="str">
        <f>IF($C40="/","",IF($C40="","",IFERROR(IF(ISNA($D40/VLOOKUP($C40,Données!$C$19:'Données'!$I$38,7,0)*100), ,$D40/VLOOKUP($C40,Données!$C$19:'Données'!$I$38,7,0)*100),"/")))</f>
        <v/>
      </c>
      <c r="G40" s="42" t="str">
        <f>IF($C40="/","",IF($C40="","",IFERROR(IF(ISNA(VLOOKUP($C40,'Phase GPA'!$C$29:'Phase GPA'!$U$44,11,0)), ,VLOOKUP($C40,'Phase GPA'!$C$29:'Phase GPA'!$U$44,11,0)),0)))</f>
        <v/>
      </c>
      <c r="H40" s="45" t="str">
        <f>IF($C40="/","",IF($C40="","",IFERROR(IF(ISNA(VLOOKUP($C40,'Phase GPA'!$C$29:'Phase GPA'!$U$44,12,0)), ,VLOOKUP($C40,'Phase GPA'!$C$29:'Phase GPA'!$U$44,12,0)),0)))</f>
        <v/>
      </c>
      <c r="I40" s="45" t="str">
        <f>IF($C40="/","",IF($C40="","",IFERROR(IF(ISNA($H40/VLOOKUP($C40,Données!$C$19:'Données'!$I$38,5,0)), ,$H40/VLOOKUP($C40,Données!$C$19:'Données'!$I$38,5,0))*100,0)))</f>
        <v/>
      </c>
      <c r="J40" s="45" t="str">
        <f>IF($C40="/","",IF($C40="","",IFERROR(IF(ISNA($H40/VLOOKUP($C40,Données!$C$19:'Données'!$I$38,6,0)), ,$H40/VLOOKUP($C40,Données!$C$19:'Données'!$I$38,6,0)),"/")))</f>
        <v/>
      </c>
      <c r="K40" s="45" t="str">
        <f>IF($C40="/","",IF($C40="","",IFERROR(IF(ISNA($H40/VLOOKUP($C40,Données!$C$19:'Données'!$I$38,7,0)*100), ,$H40/VLOOKUP($C40,Données!$C$19:'Données'!$I$38,7,0)*100),"/")))</f>
        <v/>
      </c>
      <c r="L40" s="46" t="str">
        <f t="shared" si="0"/>
        <v/>
      </c>
      <c r="M40" s="13"/>
      <c r="N40" s="12"/>
      <c r="O40" s="3"/>
      <c r="P40" s="16"/>
      <c r="Q40" s="1"/>
      <c r="R40" s="1"/>
      <c r="S40" s="55">
        <f>IF($C40="","",IFERROR(IF(ISNA(VLOOKUP($C40,Données!$C$19:'Données'!$I$38,6,0)), ,VLOOKUP($C40,Données!$C$19:'Données'!$I$38,6,0)),"/"))</f>
        <v>0</v>
      </c>
      <c r="T40" s="55">
        <f>IF($C40="","",IFERROR(IF(ISNA(VLOOKUP($C40,Données!$C$19:'Données'!$I$38,7,0)), ,VLOOKUP($C40,Données!$C$19:'Données'!$I$38,7,0)),"/"))</f>
        <v>0</v>
      </c>
      <c r="U40" s="55">
        <f>IF($C40="","",IFERROR(IF(ISNA(VLOOKUP($C40,Données!$C$19:'Données'!$I$38,5,0)), ,VLOOKUP($C40,Données!$C$19:'Données'!$I$38,5,0)),"/"))</f>
        <v>0</v>
      </c>
      <c r="V40" s="55" t="str">
        <f t="shared" si="1"/>
        <v>/</v>
      </c>
    </row>
    <row r="41" spans="1:22" ht="50.1" customHeight="1" x14ac:dyDescent="0.25">
      <c r="A41" s="1"/>
      <c r="B41" s="1"/>
      <c r="C41" s="88" t="str">
        <f>IF('Phase GPA'!$AT41="HR",'Phase GPA'!$C41,"/")</f>
        <v>/</v>
      </c>
      <c r="D41" s="42" t="str">
        <f>IF($C41="/","",IF($C41="","",IFERROR(IF(ISNA(VLOOKUP($C41,'Phase GPA'!$C$29:'Phase GPA'!$U$44,10,0)), ,VLOOKUP($C41,'Phase GPA'!$C$29:'Phase GPA'!$U$44,10,0)),0)))</f>
        <v/>
      </c>
      <c r="E41" s="43" t="str">
        <f>IF($C41="/","",IF($C41="","",IFERROR(IF(ISNA($D41/VLOOKUP($C41,Données!$C$19:'Données'!$I$38,6,0)), ,$D41/VLOOKUP($C41,Données!$C$19:'Données'!$I$38,6,0)),"/")))</f>
        <v/>
      </c>
      <c r="F41" s="43" t="str">
        <f>IF($C41="/","",IF($C41="","",IFERROR(IF(ISNA($D41/VLOOKUP($C41,Données!$C$19:'Données'!$I$38,7,0)*100), ,$D41/VLOOKUP($C41,Données!$C$19:'Données'!$I$38,7,0)*100),"/")))</f>
        <v/>
      </c>
      <c r="G41" s="42" t="str">
        <f>IF($C41="/","",IF($C41="","",IFERROR(IF(ISNA(VLOOKUP($C41,'Phase GPA'!$C$29:'Phase GPA'!$U$44,11,0)), ,VLOOKUP($C41,'Phase GPA'!$C$29:'Phase GPA'!$U$44,11,0)),0)))</f>
        <v/>
      </c>
      <c r="H41" s="45" t="str">
        <f>IF($C41="/","",IF($C41="","",IFERROR(IF(ISNA(VLOOKUP($C41,'Phase GPA'!$C$29:'Phase GPA'!$U$44,12,0)), ,VLOOKUP($C41,'Phase GPA'!$C$29:'Phase GPA'!$U$44,12,0)),0)))</f>
        <v/>
      </c>
      <c r="I41" s="45" t="str">
        <f>IF($C41="/","",IF($C41="","",IFERROR(IF(ISNA($H41/VLOOKUP($C41,Données!$C$19:'Données'!$I$38,5,0)), ,$H41/VLOOKUP($C41,Données!$C$19:'Données'!$I$38,5,0))*100,0)))</f>
        <v/>
      </c>
      <c r="J41" s="45" t="str">
        <f>IF($C41="/","",IF($C41="","",IFERROR(IF(ISNA($H41/VLOOKUP($C41,Données!$C$19:'Données'!$I$38,6,0)), ,$H41/VLOOKUP($C41,Données!$C$19:'Données'!$I$38,6,0)),"/")))</f>
        <v/>
      </c>
      <c r="K41" s="45" t="str">
        <f>IF($C41="/","",IF($C41="","",IFERROR(IF(ISNA($H41/VLOOKUP($C41,Données!$C$19:'Données'!$I$38,7,0)*100), ,$H41/VLOOKUP($C41,Données!$C$19:'Données'!$I$38,7,0)*100),"/")))</f>
        <v/>
      </c>
      <c r="L41" s="46" t="str">
        <f t="shared" si="0"/>
        <v/>
      </c>
      <c r="M41" s="13"/>
      <c r="N41" s="12"/>
      <c r="O41" s="3"/>
      <c r="P41" s="16"/>
      <c r="Q41" s="1"/>
      <c r="R41" s="1"/>
      <c r="S41" s="55">
        <f>IF($C41="","",IFERROR(IF(ISNA(VLOOKUP($C41,Données!$C$19:'Données'!$I$38,6,0)), ,VLOOKUP($C41,Données!$C$19:'Données'!$I$38,6,0)),"/"))</f>
        <v>0</v>
      </c>
      <c r="T41" s="55">
        <f>IF($C41="","",IFERROR(IF(ISNA(VLOOKUP($C41,Données!$C$19:'Données'!$I$38,7,0)), ,VLOOKUP($C41,Données!$C$19:'Données'!$I$38,7,0)),"/"))</f>
        <v>0</v>
      </c>
      <c r="U41" s="55">
        <f>IF($C41="","",IFERROR(IF(ISNA(VLOOKUP($C41,Données!$C$19:'Données'!$I$38,5,0)), ,VLOOKUP($C41,Données!$C$19:'Données'!$I$38,5,0)),"/"))</f>
        <v>0</v>
      </c>
      <c r="V41" s="55" t="str">
        <f t="shared" si="1"/>
        <v>/</v>
      </c>
    </row>
    <row r="42" spans="1:22" ht="50.1" customHeight="1" x14ac:dyDescent="0.25">
      <c r="A42" s="1"/>
      <c r="B42" s="1"/>
      <c r="C42" s="88" t="str">
        <f>IF('Phase GPA'!$AT42="HR",'Phase GPA'!$C42,"/")</f>
        <v>/</v>
      </c>
      <c r="D42" s="42" t="str">
        <f>IF($C42="/","",IF($C42="","",IFERROR(IF(ISNA(VLOOKUP($C42,'Phase GPA'!$C$29:'Phase GPA'!$U$44,10,0)), ,VLOOKUP($C42,'Phase GPA'!$C$29:'Phase GPA'!$U$44,10,0)),0)))</f>
        <v/>
      </c>
      <c r="E42" s="43" t="str">
        <f>IF($C42="/","",IF($C42="","",IFERROR(IF(ISNA($D42/VLOOKUP($C42,Données!$C$19:'Données'!$I$38,6,0)), ,$D42/VLOOKUP($C42,Données!$C$19:'Données'!$I$38,6,0)),"/")))</f>
        <v/>
      </c>
      <c r="F42" s="43" t="str">
        <f>IF($C42="/","",IF($C42="","",IFERROR(IF(ISNA($D42/VLOOKUP($C42,Données!$C$19:'Données'!$I$38,7,0)*100), ,$D42/VLOOKUP($C42,Données!$C$19:'Données'!$I$38,7,0)*100),"/")))</f>
        <v/>
      </c>
      <c r="G42" s="42" t="str">
        <f>IF($C42="/","",IF($C42="","",IFERROR(IF(ISNA(VLOOKUP($C42,'Phase GPA'!$C$29:'Phase GPA'!$U$44,11,0)), ,VLOOKUP($C42,'Phase GPA'!$C$29:'Phase GPA'!$U$44,11,0)),0)))</f>
        <v/>
      </c>
      <c r="H42" s="45" t="str">
        <f>IF($C42="/","",IF($C42="","",IFERROR(IF(ISNA(VLOOKUP($C42,'Phase GPA'!$C$29:'Phase GPA'!$U$44,12,0)), ,VLOOKUP($C42,'Phase GPA'!$C$29:'Phase GPA'!$U$44,12,0)),0)))</f>
        <v/>
      </c>
      <c r="I42" s="45" t="str">
        <f>IF($C42="/","",IF($C42="","",IFERROR(IF(ISNA($H42/VLOOKUP($C42,Données!$C$19:'Données'!$I$38,5,0)), ,$H42/VLOOKUP($C42,Données!$C$19:'Données'!$I$38,5,0))*100,0)))</f>
        <v/>
      </c>
      <c r="J42" s="45" t="str">
        <f>IF($C42="/","",IF($C42="","",IFERROR(IF(ISNA($H42/VLOOKUP($C42,Données!$C$19:'Données'!$I$38,6,0)), ,$H42/VLOOKUP($C42,Données!$C$19:'Données'!$I$38,6,0)),"/")))</f>
        <v/>
      </c>
      <c r="K42" s="45" t="str">
        <f>IF($C42="/","",IF($C42="","",IFERROR(IF(ISNA($H42/VLOOKUP($C42,Données!$C$19:'Données'!$I$38,7,0)*100), ,$H42/VLOOKUP($C42,Données!$C$19:'Données'!$I$38,7,0)*100),"/")))</f>
        <v/>
      </c>
      <c r="L42" s="46" t="str">
        <f t="shared" si="0"/>
        <v/>
      </c>
      <c r="M42" s="13"/>
      <c r="N42" s="12"/>
      <c r="O42" s="3"/>
      <c r="P42" s="16"/>
      <c r="Q42" s="1"/>
      <c r="R42" s="1"/>
      <c r="S42" s="55">
        <f>IF($C42="","",IFERROR(IF(ISNA(VLOOKUP($C42,Données!$C$19:'Données'!$I$38,6,0)), ,VLOOKUP($C42,Données!$C$19:'Données'!$I$38,6,0)),"/"))</f>
        <v>0</v>
      </c>
      <c r="T42" s="55">
        <f>IF($C42="","",IFERROR(IF(ISNA(VLOOKUP($C42,Données!$C$19:'Données'!$I$38,7,0)), ,VLOOKUP($C42,Données!$C$19:'Données'!$I$38,7,0)),"/"))</f>
        <v>0</v>
      </c>
      <c r="U42" s="55">
        <f>IF($C42="","",IFERROR(IF(ISNA(VLOOKUP($C42,Données!$C$19:'Données'!$I$38,5,0)), ,VLOOKUP($C42,Données!$C$19:'Données'!$I$38,5,0)),"/"))</f>
        <v>0</v>
      </c>
      <c r="V42" s="55" t="str">
        <f t="shared" si="1"/>
        <v>/</v>
      </c>
    </row>
    <row r="43" spans="1:22" ht="50.1" customHeight="1" x14ac:dyDescent="0.25">
      <c r="A43" s="1"/>
      <c r="B43" s="1"/>
      <c r="C43" s="88" t="str">
        <f>IF('Phase GPA'!$AT43="HR",'Phase GPA'!$C43,"/")</f>
        <v>/</v>
      </c>
      <c r="D43" s="42" t="str">
        <f>IF($C43="/","",IF($C43="","",IFERROR(IF(ISNA(VLOOKUP($C43,'Phase GPA'!$C$29:'Phase GPA'!$U$44,10,0)), ,VLOOKUP($C43,'Phase GPA'!$C$29:'Phase GPA'!$U$44,10,0)),0)))</f>
        <v/>
      </c>
      <c r="E43" s="43" t="str">
        <f>IF($C43="/","",IF($C43="","",IFERROR(IF(ISNA($D43/VLOOKUP($C43,Données!$C$19:'Données'!$I$38,6,0)), ,$D43/VLOOKUP($C43,Données!$C$19:'Données'!$I$38,6,0)),"/")))</f>
        <v/>
      </c>
      <c r="F43" s="43" t="str">
        <f>IF($C43="/","",IF($C43="","",IFERROR(IF(ISNA($D43/VLOOKUP($C43,Données!$C$19:'Données'!$I$38,7,0)*100), ,$D43/VLOOKUP($C43,Données!$C$19:'Données'!$I$38,7,0)*100),"/")))</f>
        <v/>
      </c>
      <c r="G43" s="42" t="str">
        <f>IF($C43="/","",IF($C43="","",IFERROR(IF(ISNA(VLOOKUP($C43,'Phase GPA'!$C$29:'Phase GPA'!$U$44,11,0)), ,VLOOKUP($C43,'Phase GPA'!$C$29:'Phase GPA'!$U$44,11,0)),0)))</f>
        <v/>
      </c>
      <c r="H43" s="45" t="str">
        <f>IF($C43="/","",IF($C43="","",IFERROR(IF(ISNA(VLOOKUP($C43,'Phase GPA'!$C$29:'Phase GPA'!$U$44,12,0)), ,VLOOKUP($C43,'Phase GPA'!$C$29:'Phase GPA'!$U$44,12,0)),0)))</f>
        <v/>
      </c>
      <c r="I43" s="45" t="str">
        <f>IF($C43="/","",IF($C43="","",IFERROR(IF(ISNA($H43/VLOOKUP($C43,Données!$C$19:'Données'!$I$38,5,0)), ,$H43/VLOOKUP($C43,Données!$C$19:'Données'!$I$38,5,0))*100,0)))</f>
        <v/>
      </c>
      <c r="J43" s="45" t="str">
        <f>IF($C43="/","",IF($C43="","",IFERROR(IF(ISNA($H43/VLOOKUP($C43,Données!$C$19:'Données'!$I$38,6,0)), ,$H43/VLOOKUP($C43,Données!$C$19:'Données'!$I$38,6,0)),"/")))</f>
        <v/>
      </c>
      <c r="K43" s="45" t="str">
        <f>IF($C43="/","",IF($C43="","",IFERROR(IF(ISNA($H43/VLOOKUP($C43,Données!$C$19:'Données'!$I$38,7,0)*100), ,$H43/VLOOKUP($C43,Données!$C$19:'Données'!$I$38,7,0)*100),"/")))</f>
        <v/>
      </c>
      <c r="L43" s="46" t="str">
        <f t="shared" si="0"/>
        <v/>
      </c>
      <c r="M43" s="13"/>
      <c r="N43" s="12"/>
      <c r="O43" s="3"/>
      <c r="P43" s="16"/>
      <c r="Q43" s="1"/>
      <c r="R43" s="1"/>
      <c r="S43" s="55">
        <f>IF($C43="","",IFERROR(IF(ISNA(VLOOKUP($C43,Données!$C$19:'Données'!$I$38,6,0)), ,VLOOKUP($C43,Données!$C$19:'Données'!$I$38,6,0)),"/"))</f>
        <v>0</v>
      </c>
      <c r="T43" s="55">
        <f>IF($C43="","",IFERROR(IF(ISNA(VLOOKUP($C43,Données!$C$19:'Données'!$I$38,7,0)), ,VLOOKUP($C43,Données!$C$19:'Données'!$I$38,7,0)),"/"))</f>
        <v>0</v>
      </c>
      <c r="U43" s="55">
        <f>IF($C43="","",IFERROR(IF(ISNA(VLOOKUP($C43,Données!$C$19:'Données'!$I$38,5,0)), ,VLOOKUP($C43,Données!$C$19:'Données'!$I$38,5,0)),"/"))</f>
        <v>0</v>
      </c>
      <c r="V43" s="55" t="str">
        <f t="shared" si="1"/>
        <v>/</v>
      </c>
    </row>
    <row r="44" spans="1:22" ht="50.1" customHeight="1" x14ac:dyDescent="0.25">
      <c r="A44" s="1"/>
      <c r="B44" s="1"/>
      <c r="C44" s="57" t="s">
        <v>50</v>
      </c>
      <c r="D44" s="58">
        <f>SUM(D29:D43)</f>
        <v>20</v>
      </c>
      <c r="E44" s="60">
        <f>IF(S44=0,"/",D44/S44)</f>
        <v>2.3201856148491878E-2</v>
      </c>
      <c r="F44" s="60" t="str">
        <f>IF(T44=0,"/",D44/T44*100)</f>
        <v>/</v>
      </c>
      <c r="G44" s="58">
        <f>IFERROR(V44/D44,0)</f>
        <v>59</v>
      </c>
      <c r="H44" s="66">
        <f>SUM(H29:H43)</f>
        <v>244</v>
      </c>
      <c r="I44" s="66">
        <f>IFERROR(H44/U44*100,0)</f>
        <v>1.6002098635886674E-3</v>
      </c>
      <c r="J44" s="66">
        <f>IF(S44=0,"/",H44/S44)</f>
        <v>0.28306264501160094</v>
      </c>
      <c r="K44" s="60" t="str">
        <f>IF(T44=0,"/",H44/T44*100)</f>
        <v>/</v>
      </c>
      <c r="L44" s="67">
        <f>IFERROR(H44/D44,0)</f>
        <v>12.2</v>
      </c>
      <c r="M44" s="68"/>
      <c r="N44" s="69"/>
      <c r="O44" s="3"/>
      <c r="P44" s="16"/>
      <c r="Q44" s="1"/>
      <c r="R44" s="1"/>
      <c r="S44" s="56">
        <f>SUM(S29:S43)</f>
        <v>862</v>
      </c>
      <c r="T44" s="56">
        <f>SUM(T29:T43)</f>
        <v>0</v>
      </c>
      <c r="U44" s="56">
        <f>SUM(U29:U43)</f>
        <v>15248000</v>
      </c>
      <c r="V44" s="39">
        <f>SUM(V29:V43)</f>
        <v>1180</v>
      </c>
    </row>
    <row r="45" spans="1:22" ht="15" customHeight="1" x14ac:dyDescent="0.25">
      <c r="A45" s="1"/>
      <c r="B45" s="1"/>
      <c r="C45" s="10"/>
      <c r="D45" s="10"/>
      <c r="E45" s="10"/>
      <c r="F45" s="10"/>
      <c r="G45" s="10"/>
      <c r="H45" s="10"/>
      <c r="I45" s="10"/>
      <c r="J45" s="10"/>
      <c r="K45" s="10"/>
      <c r="L45" s="10"/>
      <c r="M45" s="10"/>
      <c r="N45" s="10"/>
      <c r="O45" s="11"/>
      <c r="P45" s="4"/>
      <c r="Q45" s="1"/>
      <c r="R45" s="1"/>
    </row>
    <row r="46" spans="1:22" ht="15" customHeight="1" x14ac:dyDescent="0.25">
      <c r="A46" s="1"/>
      <c r="B46" s="1"/>
      <c r="C46" s="5"/>
      <c r="D46" s="10"/>
      <c r="E46" s="10"/>
      <c r="F46" s="10"/>
      <c r="G46" s="10"/>
      <c r="H46" s="10"/>
      <c r="I46" s="10"/>
      <c r="J46" s="10"/>
      <c r="K46" s="10"/>
      <c r="L46" s="10"/>
      <c r="M46" s="10"/>
      <c r="N46" s="10"/>
      <c r="O46" s="11"/>
      <c r="P46" s="30"/>
      <c r="Q46" s="1"/>
      <c r="R46" s="1"/>
    </row>
    <row r="47" spans="1:22" ht="15" customHeight="1" x14ac:dyDescent="0.25">
      <c r="A47" s="1"/>
      <c r="B47" s="1"/>
      <c r="C47" s="5"/>
      <c r="D47" s="10"/>
      <c r="E47" s="10"/>
      <c r="F47" s="10"/>
      <c r="G47" s="10"/>
      <c r="H47" s="10"/>
      <c r="I47" s="10"/>
      <c r="J47" s="10"/>
      <c r="K47" s="10"/>
      <c r="L47" s="10"/>
      <c r="M47" s="10"/>
      <c r="N47" s="10"/>
      <c r="O47" s="11"/>
      <c r="P47" s="29"/>
      <c r="Q47" s="1"/>
      <c r="R47" s="1"/>
    </row>
    <row r="48" spans="1:22" ht="15" customHeight="1" x14ac:dyDescent="0.25">
      <c r="A48" s="1"/>
      <c r="B48" s="1"/>
      <c r="C48" s="10"/>
      <c r="D48" s="10"/>
      <c r="E48" s="10"/>
      <c r="F48" s="10"/>
      <c r="G48" s="10"/>
      <c r="H48" s="10"/>
      <c r="I48" s="10"/>
      <c r="J48" s="10"/>
      <c r="K48" s="10"/>
      <c r="L48" s="10"/>
      <c r="M48" s="10"/>
      <c r="N48" s="10"/>
      <c r="O48" s="11"/>
      <c r="P48" s="29"/>
      <c r="Q48" s="1"/>
      <c r="R48" s="1"/>
    </row>
    <row r="49" spans="1:19" ht="15" customHeight="1" x14ac:dyDescent="0.25">
      <c r="A49" s="1"/>
      <c r="B49" s="1"/>
      <c r="C49" s="6"/>
      <c r="D49" s="6"/>
      <c r="E49" s="10"/>
      <c r="F49" s="10"/>
      <c r="G49" s="10"/>
      <c r="H49" s="10"/>
      <c r="I49" s="10"/>
      <c r="J49" s="10"/>
      <c r="K49" s="10"/>
      <c r="L49" s="10"/>
      <c r="M49" s="10"/>
      <c r="N49" s="10"/>
      <c r="O49" s="11"/>
      <c r="P49" s="29"/>
      <c r="Q49" s="1"/>
      <c r="R49" s="1"/>
    </row>
    <row r="50" spans="1:19" ht="5.0999999999999996" customHeight="1" x14ac:dyDescent="0.25">
      <c r="A50" s="1"/>
      <c r="B50" s="1"/>
      <c r="C50" s="1"/>
      <c r="D50" s="1"/>
      <c r="E50" s="1"/>
      <c r="F50" s="1"/>
      <c r="G50" s="1"/>
      <c r="H50" s="1"/>
      <c r="I50" s="1"/>
      <c r="J50" s="1"/>
      <c r="K50" s="1"/>
      <c r="L50" s="1"/>
      <c r="M50" s="1"/>
      <c r="N50" s="1"/>
      <c r="O50" s="1"/>
      <c r="P50" s="1"/>
      <c r="Q50" s="1"/>
      <c r="R50" s="1"/>
      <c r="S50" s="1"/>
    </row>
    <row r="51" spans="1:19" x14ac:dyDescent="0.25">
      <c r="A51" s="1"/>
      <c r="B51" s="1"/>
      <c r="C51" s="1"/>
      <c r="D51" s="1"/>
      <c r="E51" s="1"/>
      <c r="F51" s="1"/>
      <c r="G51" s="1"/>
      <c r="H51" s="1"/>
      <c r="I51" s="1"/>
      <c r="J51" s="1"/>
      <c r="K51" s="1"/>
      <c r="L51" s="1"/>
      <c r="M51" s="1"/>
      <c r="N51" s="1"/>
      <c r="O51" s="1"/>
      <c r="P51" s="1"/>
      <c r="Q51" s="1"/>
      <c r="R51" s="1"/>
      <c r="S51" s="1"/>
    </row>
  </sheetData>
  <sheetProtection algorithmName="SHA-512" hashValue="4epZSh05dPY14c3k1qcMPSwNUUy9Q32O2TAfh2xEvaT2SYd4aNXNm99jfB3uSy8O3Rm5ElaHrJG5zLbKx5CdHQ==" saltValue="aVZG4wf4cSU7TVEYsGwSeQ==" spinCount="100000" sheet="1" objects="1" scenarios="1"/>
  <protectedRanges>
    <protectedRange sqref="P29:P44" name="Plage3"/>
    <protectedRange sqref="M29:N43" name="Plage2"/>
  </protectedRanges>
  <mergeCells count="13">
    <mergeCell ref="P25:P28"/>
    <mergeCell ref="I25:I28"/>
    <mergeCell ref="J25:J28"/>
    <mergeCell ref="K25:K28"/>
    <mergeCell ref="L25:L28"/>
    <mergeCell ref="M25:M28"/>
    <mergeCell ref="N25:N28"/>
    <mergeCell ref="H25:H28"/>
    <mergeCell ref="C25:C28"/>
    <mergeCell ref="D25:D28"/>
    <mergeCell ref="E25:E28"/>
    <mergeCell ref="F25:F28"/>
    <mergeCell ref="G25:G28"/>
  </mergeCells>
  <conditionalFormatting sqref="G44">
    <cfRule type="cellIs" dxfId="44" priority="11" operator="lessThanOrEqual">
      <formula>15</formula>
    </cfRule>
    <cfRule type="cellIs" dxfId="43" priority="13" operator="greaterThan">
      <formula>15</formula>
    </cfRule>
  </conditionalFormatting>
  <conditionalFormatting sqref="E44">
    <cfRule type="cellIs" dxfId="42" priority="12" operator="lessThanOrEqual">
      <formula>1</formula>
    </cfRule>
    <cfRule type="containsText" dxfId="41" priority="14" operator="containsText" text="/">
      <formula>NOT(ISERROR(SEARCH("/",E44)))</formula>
    </cfRule>
    <cfRule type="cellIs" dxfId="40" priority="15" operator="greaterThan">
      <formula>1</formula>
    </cfRule>
  </conditionalFormatting>
  <conditionalFormatting sqref="G29">
    <cfRule type="cellIs" dxfId="39" priority="6" operator="lessThanOrEqual">
      <formula>15</formula>
    </cfRule>
    <cfRule type="cellIs" dxfId="38" priority="8" operator="greaterThan">
      <formula>15</formula>
    </cfRule>
  </conditionalFormatting>
  <conditionalFormatting sqref="E29">
    <cfRule type="cellIs" dxfId="37" priority="7" operator="lessThanOrEqual">
      <formula>1</formula>
    </cfRule>
    <cfRule type="containsText" dxfId="36" priority="9" operator="containsText" text="/">
      <formula>NOT(ISERROR(SEARCH("/",E29)))</formula>
    </cfRule>
    <cfRule type="cellIs" dxfId="35" priority="10" operator="greaterThan">
      <formula>1</formula>
    </cfRule>
  </conditionalFormatting>
  <conditionalFormatting sqref="G30:G43">
    <cfRule type="cellIs" dxfId="34" priority="1" operator="lessThanOrEqual">
      <formula>15</formula>
    </cfRule>
    <cfRule type="cellIs" dxfId="33" priority="3" operator="greaterThan">
      <formula>15</formula>
    </cfRule>
  </conditionalFormatting>
  <conditionalFormatting sqref="E30:E43">
    <cfRule type="cellIs" dxfId="32" priority="2" operator="lessThanOrEqual">
      <formula>1</formula>
    </cfRule>
    <cfRule type="containsText" dxfId="31" priority="4" operator="containsText" text="/">
      <formula>NOT(ISERROR(SEARCH("/",E30)))</formula>
    </cfRule>
    <cfRule type="cellIs" dxfId="30" priority="5" operator="greaterThan">
      <formula>1</formula>
    </cfRule>
  </conditionalFormatting>
  <dataValidations count="1">
    <dataValidation type="list" allowBlank="1" showInputMessage="1" showErrorMessage="1" sqref="C45">
      <formula1>#REF!</formula1>
    </dataValidation>
  </dataValidations>
  <printOptions horizontalCentered="1" verticalCentered="1"/>
  <pageMargins left="0" right="0" top="0" bottom="1.3779527559055118" header="0.31496062992125984" footer="0.31496062992125984"/>
  <pageSetup paperSize="8" scale="58" orientation="landscape" r:id="rId1"/>
  <headerFooter>
    <oddFooter>&amp;C&amp;G</oddFooter>
  </headerFooter>
  <drawing r:id="rId2"/>
  <legacyDrawing r:id="rId3"/>
  <legacyDrawingHF r:id="rId4"/>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pageSetUpPr fitToPage="1"/>
  </sheetPr>
  <dimension ref="A1:V51"/>
  <sheetViews>
    <sheetView showGridLines="0" zoomScaleNormal="100" workbookViewId="0"/>
  </sheetViews>
  <sheetFormatPr baseColWidth="10" defaultColWidth="11.42578125" defaultRowHeight="15" x14ac:dyDescent="0.25"/>
  <cols>
    <col min="1" max="2" width="0.85546875" customWidth="1"/>
    <col min="3" max="3" width="55.7109375" customWidth="1"/>
    <col min="4" max="14" width="15.7109375" customWidth="1"/>
    <col min="15" max="15" width="1.7109375" customWidth="1"/>
    <col min="16" max="16" width="104.7109375" customWidth="1"/>
    <col min="17" max="18" width="0.85546875" customWidth="1"/>
  </cols>
  <sheetData>
    <row r="1" spans="1:19" ht="5.0999999999999996" customHeight="1" x14ac:dyDescent="0.25">
      <c r="A1" s="1"/>
      <c r="B1" s="1"/>
      <c r="C1" s="1"/>
      <c r="D1" s="1"/>
      <c r="E1" s="1"/>
      <c r="F1" s="1"/>
      <c r="G1" s="1"/>
      <c r="H1" s="1"/>
      <c r="I1" s="1"/>
      <c r="J1" s="1"/>
      <c r="K1" s="1"/>
      <c r="L1" s="1"/>
      <c r="M1" s="1"/>
      <c r="N1" s="1"/>
      <c r="O1" s="1"/>
      <c r="P1" s="1"/>
      <c r="Q1" s="1"/>
      <c r="R1" s="1"/>
    </row>
    <row r="2" spans="1:19" x14ac:dyDescent="0.25">
      <c r="A2" s="1"/>
      <c r="B2" s="1"/>
      <c r="C2" s="7"/>
      <c r="D2" s="7"/>
      <c r="E2" s="7"/>
      <c r="F2" s="7"/>
      <c r="G2" s="7"/>
      <c r="H2" s="7"/>
      <c r="I2" s="7"/>
      <c r="J2" s="7"/>
      <c r="K2" s="7"/>
      <c r="L2" s="7"/>
      <c r="M2" s="7"/>
      <c r="N2" s="7"/>
      <c r="O2" s="7"/>
      <c r="P2" s="7"/>
      <c r="Q2" s="7"/>
      <c r="R2" s="7"/>
      <c r="S2" s="8"/>
    </row>
    <row r="3" spans="1:19" x14ac:dyDescent="0.25">
      <c r="A3" s="1"/>
      <c r="B3" s="1"/>
      <c r="C3" s="7"/>
      <c r="D3" s="7"/>
      <c r="E3" s="7"/>
      <c r="F3" s="7"/>
      <c r="G3" s="7"/>
      <c r="H3" s="7"/>
      <c r="I3" s="7"/>
      <c r="J3" s="7"/>
      <c r="K3" s="7"/>
      <c r="L3" s="7"/>
      <c r="M3" s="7"/>
      <c r="N3" s="7"/>
      <c r="O3" s="7"/>
      <c r="P3" s="7"/>
      <c r="Q3" s="7"/>
      <c r="R3" s="7"/>
      <c r="S3" s="8"/>
    </row>
    <row r="4" spans="1:19" x14ac:dyDescent="0.25">
      <c r="A4" s="1"/>
      <c r="B4" s="1"/>
      <c r="C4" s="7"/>
      <c r="D4" s="7"/>
      <c r="E4" s="7"/>
      <c r="F4" s="7"/>
      <c r="G4" s="7"/>
      <c r="H4" s="7"/>
      <c r="I4" s="7"/>
      <c r="J4" s="7"/>
      <c r="K4" s="7"/>
      <c r="L4" s="7"/>
      <c r="M4" s="7"/>
      <c r="N4" s="7"/>
      <c r="O4" s="7"/>
      <c r="P4" s="7"/>
      <c r="Q4" s="7"/>
      <c r="R4" s="7"/>
      <c r="S4" s="8"/>
    </row>
    <row r="5" spans="1:19" x14ac:dyDescent="0.25">
      <c r="A5" s="1"/>
      <c r="B5" s="1"/>
      <c r="C5" s="7"/>
      <c r="D5" s="7"/>
      <c r="E5" s="7"/>
      <c r="F5" s="7"/>
      <c r="G5" s="7"/>
      <c r="H5" s="7"/>
      <c r="I5" s="7"/>
      <c r="J5" s="7"/>
      <c r="K5" s="7"/>
      <c r="L5" s="7"/>
      <c r="M5" s="7"/>
      <c r="N5" s="7"/>
      <c r="O5" s="7"/>
      <c r="P5" s="7"/>
      <c r="Q5" s="7"/>
      <c r="R5" s="7"/>
      <c r="S5" s="8"/>
    </row>
    <row r="6" spans="1:19" x14ac:dyDescent="0.25">
      <c r="A6" s="1"/>
      <c r="B6" s="1"/>
      <c r="C6" s="7"/>
      <c r="D6" s="7"/>
      <c r="E6" s="7"/>
      <c r="F6" s="7"/>
      <c r="G6" s="7"/>
      <c r="H6" s="7"/>
      <c r="I6" s="7"/>
      <c r="J6" s="7"/>
      <c r="K6" s="7"/>
      <c r="L6" s="7"/>
      <c r="M6" s="7"/>
      <c r="N6" s="7"/>
      <c r="O6" s="7"/>
      <c r="P6" s="7"/>
      <c r="Q6" s="7"/>
      <c r="R6" s="7"/>
      <c r="S6" s="8"/>
    </row>
    <row r="7" spans="1:19" x14ac:dyDescent="0.25">
      <c r="A7" s="1"/>
      <c r="B7" s="1"/>
      <c r="C7" s="7"/>
      <c r="D7" s="7"/>
      <c r="E7" s="7"/>
      <c r="F7" s="7"/>
      <c r="G7" s="7"/>
      <c r="H7" s="7"/>
      <c r="I7" s="7"/>
      <c r="J7" s="7"/>
      <c r="K7" s="7"/>
      <c r="L7" s="7"/>
      <c r="M7" s="7"/>
      <c r="N7" s="7"/>
      <c r="O7" s="7"/>
      <c r="P7" s="7"/>
      <c r="Q7" s="7"/>
      <c r="R7" s="7"/>
      <c r="S7" s="8"/>
    </row>
    <row r="8" spans="1:19" x14ac:dyDescent="0.25">
      <c r="A8" s="1"/>
      <c r="B8" s="1"/>
      <c r="C8" s="7"/>
      <c r="D8" s="7"/>
      <c r="E8" s="7"/>
      <c r="F8" s="7"/>
      <c r="G8" s="7"/>
      <c r="H8" s="7"/>
      <c r="I8" s="7"/>
      <c r="J8" s="7"/>
      <c r="K8" s="7"/>
      <c r="L8" s="7"/>
      <c r="M8" s="7"/>
      <c r="N8" s="7"/>
      <c r="O8" s="7"/>
      <c r="P8" s="7"/>
      <c r="Q8" s="7"/>
      <c r="R8" s="7"/>
      <c r="S8" s="8"/>
    </row>
    <row r="9" spans="1:19" x14ac:dyDescent="0.25">
      <c r="A9" s="1"/>
      <c r="B9" s="1"/>
      <c r="C9" s="7"/>
      <c r="D9" s="7"/>
      <c r="E9" s="7"/>
      <c r="F9" s="7"/>
      <c r="G9" s="7"/>
      <c r="H9" s="7"/>
      <c r="I9" s="7"/>
      <c r="J9" s="7"/>
      <c r="K9" s="7"/>
      <c r="L9" s="7"/>
      <c r="M9" s="7"/>
      <c r="N9" s="7"/>
      <c r="O9" s="7"/>
      <c r="P9" s="7"/>
      <c r="Q9" s="7"/>
      <c r="R9" s="7"/>
      <c r="S9" s="8"/>
    </row>
    <row r="10" spans="1:19" x14ac:dyDescent="0.25">
      <c r="A10" s="1"/>
      <c r="B10" s="1"/>
      <c r="C10" s="7"/>
      <c r="D10" s="7"/>
      <c r="E10" s="7"/>
      <c r="F10" s="7"/>
      <c r="G10" s="7"/>
      <c r="H10" s="7"/>
      <c r="I10" s="7"/>
      <c r="J10" s="7"/>
      <c r="K10" s="7"/>
      <c r="L10" s="7"/>
      <c r="M10" s="7"/>
      <c r="N10" s="7"/>
      <c r="O10" s="7"/>
      <c r="P10" s="7"/>
      <c r="Q10" s="7"/>
      <c r="R10" s="7"/>
      <c r="S10" s="8"/>
    </row>
    <row r="20" spans="1:22" x14ac:dyDescent="0.25">
      <c r="A20" s="1"/>
      <c r="B20" s="1"/>
      <c r="C20" s="4"/>
      <c r="D20" s="4"/>
      <c r="E20" s="4"/>
      <c r="F20" s="4"/>
      <c r="G20" s="4"/>
      <c r="H20" s="4"/>
      <c r="I20" s="4"/>
      <c r="J20" s="4"/>
      <c r="K20" s="4"/>
      <c r="L20" s="4"/>
      <c r="M20" s="4"/>
      <c r="N20" s="4"/>
      <c r="O20" s="4"/>
      <c r="P20" s="4"/>
      <c r="Q20" s="1"/>
      <c r="R20" s="1"/>
      <c r="S20" s="1"/>
    </row>
    <row r="21" spans="1:22" x14ac:dyDescent="0.25">
      <c r="A21" s="1"/>
      <c r="B21" s="1"/>
      <c r="C21" s="4"/>
      <c r="D21" s="4"/>
      <c r="E21" s="4"/>
      <c r="F21" s="4"/>
      <c r="G21" s="4"/>
      <c r="H21" s="4"/>
      <c r="I21" s="4"/>
      <c r="J21" s="4"/>
      <c r="K21" s="4"/>
      <c r="L21" s="4"/>
      <c r="M21" s="4"/>
      <c r="N21" s="4"/>
      <c r="O21" s="4"/>
      <c r="P21" s="4"/>
      <c r="Q21" s="1"/>
      <c r="R21" s="1"/>
      <c r="S21" s="1"/>
    </row>
    <row r="22" spans="1:22" x14ac:dyDescent="0.25">
      <c r="A22" s="1"/>
      <c r="B22" s="1"/>
      <c r="C22" s="4"/>
      <c r="D22" s="4"/>
      <c r="E22" s="4"/>
      <c r="F22" s="4"/>
      <c r="G22" s="4"/>
      <c r="H22" s="4"/>
      <c r="I22" s="4"/>
      <c r="J22" s="4"/>
      <c r="K22" s="4"/>
      <c r="L22" s="4"/>
      <c r="M22" s="4"/>
      <c r="N22" s="4"/>
      <c r="O22" s="4"/>
      <c r="P22" s="4"/>
      <c r="Q22" s="1"/>
      <c r="R22" s="1"/>
      <c r="S22" s="1"/>
    </row>
    <row r="23" spans="1:22" x14ac:dyDescent="0.25">
      <c r="A23" s="1"/>
      <c r="B23" s="1"/>
      <c r="C23" s="4"/>
      <c r="D23" s="4"/>
      <c r="E23" s="4"/>
      <c r="F23" s="4"/>
      <c r="G23" s="4"/>
      <c r="H23" s="4"/>
      <c r="I23" s="4"/>
      <c r="J23" s="4"/>
      <c r="K23" s="4"/>
      <c r="L23" s="4"/>
      <c r="M23" s="4"/>
      <c r="N23" s="4"/>
      <c r="O23" s="4"/>
      <c r="P23" s="4"/>
      <c r="Q23" s="1"/>
      <c r="R23" s="1"/>
      <c r="S23" s="1"/>
    </row>
    <row r="24" spans="1:22" x14ac:dyDescent="0.25">
      <c r="A24" s="1"/>
      <c r="B24" s="1"/>
      <c r="C24" s="4"/>
      <c r="D24" s="4"/>
      <c r="E24" s="4"/>
      <c r="F24" s="4"/>
      <c r="G24" s="4"/>
      <c r="H24" s="4"/>
      <c r="I24" s="4"/>
      <c r="J24" s="4"/>
      <c r="K24" s="4"/>
      <c r="L24" s="4"/>
      <c r="M24" s="4"/>
      <c r="N24" s="4"/>
      <c r="O24" s="4"/>
      <c r="P24" s="4"/>
      <c r="Q24" s="1"/>
      <c r="R24" s="1"/>
      <c r="S24" s="1"/>
    </row>
    <row r="25" spans="1:22" ht="15" customHeight="1" x14ac:dyDescent="0.25">
      <c r="A25" s="1"/>
      <c r="B25" s="1"/>
      <c r="C25" s="154" t="s">
        <v>7</v>
      </c>
      <c r="D25" s="154" t="s">
        <v>13</v>
      </c>
      <c r="E25" s="154" t="s">
        <v>22</v>
      </c>
      <c r="F25" s="154" t="s">
        <v>73</v>
      </c>
      <c r="G25" s="154" t="s">
        <v>31</v>
      </c>
      <c r="H25" s="154" t="s">
        <v>14</v>
      </c>
      <c r="I25" s="154" t="s">
        <v>20</v>
      </c>
      <c r="J25" s="154" t="s">
        <v>23</v>
      </c>
      <c r="K25" s="154" t="s">
        <v>74</v>
      </c>
      <c r="L25" s="154" t="s">
        <v>15</v>
      </c>
      <c r="M25" s="125" t="s">
        <v>16</v>
      </c>
      <c r="N25" s="125" t="s">
        <v>38</v>
      </c>
      <c r="O25" s="2"/>
      <c r="P25" s="125" t="s">
        <v>43</v>
      </c>
      <c r="Q25" s="1"/>
      <c r="R25" s="1"/>
    </row>
    <row r="26" spans="1:22" x14ac:dyDescent="0.25">
      <c r="A26" s="1"/>
      <c r="B26" s="1"/>
      <c r="C26" s="155"/>
      <c r="D26" s="155"/>
      <c r="E26" s="155"/>
      <c r="F26" s="155"/>
      <c r="G26" s="155"/>
      <c r="H26" s="155"/>
      <c r="I26" s="155"/>
      <c r="J26" s="155"/>
      <c r="K26" s="155"/>
      <c r="L26" s="155"/>
      <c r="M26" s="126"/>
      <c r="N26" s="126"/>
      <c r="O26" s="2"/>
      <c r="P26" s="126"/>
      <c r="Q26" s="1"/>
      <c r="R26" s="1"/>
    </row>
    <row r="27" spans="1:22" ht="15" customHeight="1" x14ac:dyDescent="0.25">
      <c r="A27" s="1"/>
      <c r="B27" s="1"/>
      <c r="C27" s="155"/>
      <c r="D27" s="155"/>
      <c r="E27" s="155"/>
      <c r="F27" s="155"/>
      <c r="G27" s="155"/>
      <c r="H27" s="155"/>
      <c r="I27" s="155"/>
      <c r="J27" s="155"/>
      <c r="K27" s="155"/>
      <c r="L27" s="155"/>
      <c r="M27" s="126"/>
      <c r="N27" s="126"/>
      <c r="O27" s="9"/>
      <c r="P27" s="126"/>
      <c r="Q27" s="1"/>
      <c r="R27" s="1"/>
    </row>
    <row r="28" spans="1:22" x14ac:dyDescent="0.25">
      <c r="A28" s="1"/>
      <c r="B28" s="1"/>
      <c r="C28" s="156"/>
      <c r="D28" s="156"/>
      <c r="E28" s="156"/>
      <c r="F28" s="156"/>
      <c r="G28" s="156"/>
      <c r="H28" s="156"/>
      <c r="I28" s="156"/>
      <c r="J28" s="156"/>
      <c r="K28" s="156"/>
      <c r="L28" s="156"/>
      <c r="M28" s="127"/>
      <c r="N28" s="127"/>
      <c r="O28" s="9"/>
      <c r="P28" s="127"/>
      <c r="Q28" s="1"/>
      <c r="R28" s="1"/>
    </row>
    <row r="29" spans="1:22" ht="50.1" customHeight="1" x14ac:dyDescent="0.25">
      <c r="A29" s="1"/>
      <c r="B29" s="1"/>
      <c r="C29" s="88" t="str">
        <f>IF('Phase GPA'!$AT29="OF",'Phase GPA'!$C29,"/")</f>
        <v>/</v>
      </c>
      <c r="D29" s="42" t="str">
        <f>IF($C29="/","",IF($C29="","",IFERROR(IF(ISNA(VLOOKUP($C29,'Phase GPA'!$C$29:'Phase GPA'!$U$44,10,0)), ,VLOOKUP($C29,'Phase GPA'!$C$29:'Phase GPA'!$U$44,10,0)),0)))</f>
        <v/>
      </c>
      <c r="E29" s="43" t="str">
        <f>IF($C29="/","",IF($C29="","",IFERROR(IF(ISNA($D29/VLOOKUP($C29,Données!$C$19:'Données'!$I$38,6,0)), ,$D29/VLOOKUP($C29,Données!$C$19:'Données'!$I$38,6,0)),"/")))</f>
        <v/>
      </c>
      <c r="F29" s="43" t="str">
        <f>IF($C29="/","",IF($C29="","",IFERROR(IF(ISNA($D29/VLOOKUP($C29,Données!$C$19:'Données'!$I$38,7,0)*100), ,$D29/VLOOKUP($C29,Données!$C$19:'Données'!$I$38,7,0)*100),"/")))</f>
        <v/>
      </c>
      <c r="G29" s="42" t="str">
        <f>IF($C29="/","",IF($C29="","",IFERROR(IF(ISNA(VLOOKUP($C29,'Phase GPA'!$C$29:'Phase GPA'!$U$44,11,0)), ,VLOOKUP($C29,'Phase GPA'!$C$29:'Phase GPA'!$U$44,11,0)),0)))</f>
        <v/>
      </c>
      <c r="H29" s="45" t="str">
        <f>IF($C29="/","",IF($C29="","",IFERROR(IF(ISNA(VLOOKUP($C29,'Phase GPA'!$C$29:'Phase GPA'!$U$44,12,0)), ,VLOOKUP($C29,'Phase GPA'!$C$29:'Phase GPA'!$U$44,12,0)),0)))</f>
        <v/>
      </c>
      <c r="I29" s="45" t="str">
        <f>IF($C29="/","",IF($C29="","",IFERROR(IF(ISNA($H29/VLOOKUP($C29,Données!$C$19:'Données'!$I$38,5,0)), ,$H29/VLOOKUP($C29,Données!$C$19:'Données'!$I$38,5,0))*100,0)))</f>
        <v/>
      </c>
      <c r="J29" s="45" t="str">
        <f>IF($C29="/","",IF($C29="","",IFERROR(IF(ISNA($H29/VLOOKUP($C29,Données!$C$19:'Données'!$I$38,6,0)), ,$H29/VLOOKUP($C29,Données!$C$19:'Données'!$I$38,6,0)),"/")))</f>
        <v/>
      </c>
      <c r="K29" s="45" t="str">
        <f>IF($C29="/","",IF($C29="","",IFERROR(IF(ISNA($H29/VLOOKUP($C29,Données!$C$19:'Données'!$I$38,7,0)*100), ,$H29/VLOOKUP($C29,Données!$C$19:'Données'!$I$38,7,0)*100),"/")))</f>
        <v/>
      </c>
      <c r="L29" s="46" t="str">
        <f>IF($C29="/","",IF($D29=0,"/",IF($C29="","",IFERROR(($H29/$D29),0))))</f>
        <v/>
      </c>
      <c r="M29" s="13"/>
      <c r="N29" s="12"/>
      <c r="O29" s="3"/>
      <c r="P29" s="16"/>
      <c r="Q29" s="1"/>
      <c r="R29" s="1"/>
      <c r="S29" s="55">
        <f>IF($C29="","",IFERROR(IF(ISNA(VLOOKUP($C29,Données!$C$19:'Données'!$I$38,6,0)), ,VLOOKUP($C29,Données!$C$19:'Données'!$I$38,6,0)),"/"))</f>
        <v>0</v>
      </c>
      <c r="T29" s="55">
        <f>IF($C29="","",IFERROR(IF(ISNA(VLOOKUP($C29,Données!$C$19:'Données'!$I$38,7,0)), ,VLOOKUP($C29,Données!$C$19:'Données'!$I$38,7,0)),"/"))</f>
        <v>0</v>
      </c>
      <c r="U29" s="55">
        <f>IF($C29="","",IFERROR(IF(ISNA(VLOOKUP($C29,Données!$C$19:'Données'!$I$38,5,0)), ,VLOOKUP($C29,Données!$C$19:'Données'!$I$38,5,0)),"/"))</f>
        <v>0</v>
      </c>
      <c r="V29" s="55" t="str">
        <f>IF($C29="","",IFERROR(IF(ISNA($D29*$G29), ,$D29*$G29),"/"))</f>
        <v>/</v>
      </c>
    </row>
    <row r="30" spans="1:22" ht="50.1" customHeight="1" x14ac:dyDescent="0.25">
      <c r="A30" s="1"/>
      <c r="B30" s="1"/>
      <c r="C30" s="88" t="str">
        <f>IF('Phase GPA'!$AT30="OF",'Phase GPA'!$C30,"/")</f>
        <v>/</v>
      </c>
      <c r="D30" s="42" t="str">
        <f>IF($C30="/","",IF($C30="","",IFERROR(IF(ISNA(VLOOKUP($C30,'Phase GPA'!$C$29:'Phase GPA'!$U$44,10,0)), ,VLOOKUP($C30,'Phase GPA'!$C$29:'Phase GPA'!$U$44,10,0)),0)))</f>
        <v/>
      </c>
      <c r="E30" s="43" t="str">
        <f>IF($C30="/","",IF($C30="","",IFERROR(IF(ISNA($D30/VLOOKUP($C30,Données!$C$19:'Données'!$I$38,6,0)), ,$D30/VLOOKUP($C30,Données!$C$19:'Données'!$I$38,6,0)),"/")))</f>
        <v/>
      </c>
      <c r="F30" s="43" t="str">
        <f>IF($C30="/","",IF($C30="","",IFERROR(IF(ISNA($D30/VLOOKUP($C30,Données!$C$19:'Données'!$I$38,7,0)*100), ,$D30/VLOOKUP($C30,Données!$C$19:'Données'!$I$38,7,0)*100),"/")))</f>
        <v/>
      </c>
      <c r="G30" s="42" t="str">
        <f>IF($C30="/","",IF($C30="","",IFERROR(IF(ISNA(VLOOKUP($C30,'Phase GPA'!$C$29:'Phase GPA'!$U$44,11,0)), ,VLOOKUP($C30,'Phase GPA'!$C$29:'Phase GPA'!$U$44,11,0)),0)))</f>
        <v/>
      </c>
      <c r="H30" s="45" t="str">
        <f>IF($C30="/","",IF($C30="","",IFERROR(IF(ISNA(VLOOKUP($C30,'Phase GPA'!$C$29:'Phase GPA'!$U$44,12,0)), ,VLOOKUP($C30,'Phase GPA'!$C$29:'Phase GPA'!$U$44,12,0)),0)))</f>
        <v/>
      </c>
      <c r="I30" s="45" t="str">
        <f>IF($C30="/","",IF($C30="","",IFERROR(IF(ISNA($H30/VLOOKUP($C30,Données!$C$19:'Données'!$I$38,5,0)), ,$H30/VLOOKUP($C30,Données!$C$19:'Données'!$I$38,5,0))*100,0)))</f>
        <v/>
      </c>
      <c r="J30" s="45" t="str">
        <f>IF($C30="/","",IF($C30="","",IFERROR(IF(ISNA($H30/VLOOKUP($C30,Données!$C$19:'Données'!$I$38,6,0)), ,$H30/VLOOKUP($C30,Données!$C$19:'Données'!$I$38,6,0)),"/")))</f>
        <v/>
      </c>
      <c r="K30" s="45" t="str">
        <f>IF($C30="/","",IF($C30="","",IFERROR(IF(ISNA($H30/VLOOKUP($C30,Données!$C$19:'Données'!$I$38,7,0)*100), ,$H30/VLOOKUP($C30,Données!$C$19:'Données'!$I$38,7,0)*100),"/")))</f>
        <v/>
      </c>
      <c r="L30" s="46" t="str">
        <f t="shared" ref="L30:L43" si="0">IF($C30="/","",IF($D30=0,"/",IF($C30="","",IFERROR(($H30/$D30),0))))</f>
        <v/>
      </c>
      <c r="M30" s="13"/>
      <c r="N30" s="12"/>
      <c r="O30" s="3"/>
      <c r="P30" s="16"/>
      <c r="Q30" s="1"/>
      <c r="R30" s="1"/>
      <c r="S30" s="55">
        <f>IF($C30="","",IFERROR(IF(ISNA(VLOOKUP($C30,Données!$C$19:'Données'!$I$38,6,0)), ,VLOOKUP($C30,Données!$C$19:'Données'!$I$38,6,0)),"/"))</f>
        <v>0</v>
      </c>
      <c r="T30" s="55">
        <f>IF($C30="","",IFERROR(IF(ISNA(VLOOKUP($C30,Données!$C$19:'Données'!$I$38,7,0)), ,VLOOKUP($C30,Données!$C$19:'Données'!$I$38,7,0)),"/"))</f>
        <v>0</v>
      </c>
      <c r="U30" s="55">
        <f>IF($C30="","",IFERROR(IF(ISNA(VLOOKUP($C30,Données!$C$19:'Données'!$I$38,5,0)), ,VLOOKUP($C30,Données!$C$19:'Données'!$I$38,5,0)),"/"))</f>
        <v>0</v>
      </c>
      <c r="V30" s="55" t="str">
        <f>IF($C30="","",IFERROR(IF(ISNA($D30*$G30), ,$D30*$G30),"/"))</f>
        <v>/</v>
      </c>
    </row>
    <row r="31" spans="1:22" ht="50.1" customHeight="1" x14ac:dyDescent="0.25">
      <c r="A31" s="1"/>
      <c r="B31" s="1"/>
      <c r="C31" s="88" t="str">
        <f>IF('Phase GPA'!$AT31="OF",'Phase GPA'!$C31,"/")</f>
        <v>/</v>
      </c>
      <c r="D31" s="42" t="str">
        <f>IF($C31="/","",IF($C31="","",IFERROR(IF(ISNA(VLOOKUP($C31,'Phase GPA'!$C$29:'Phase GPA'!$U$44,10,0)), ,VLOOKUP($C31,'Phase GPA'!$C$29:'Phase GPA'!$U$44,10,0)),0)))</f>
        <v/>
      </c>
      <c r="E31" s="43" t="str">
        <f>IF($C31="/","",IF($C31="","",IFERROR(IF(ISNA($D31/VLOOKUP($C31,Données!$C$19:'Données'!$I$38,6,0)), ,$D31/VLOOKUP($C31,Données!$C$19:'Données'!$I$38,6,0)),"/")))</f>
        <v/>
      </c>
      <c r="F31" s="43" t="str">
        <f>IF($C31="/","",IF($C31="","",IFERROR(IF(ISNA($D31/VLOOKUP($C31,Données!$C$19:'Données'!$I$38,7,0)*100), ,$D31/VLOOKUP($C31,Données!$C$19:'Données'!$I$38,7,0)*100),"/")))</f>
        <v/>
      </c>
      <c r="G31" s="42" t="str">
        <f>IF($C31="/","",IF($C31="","",IFERROR(IF(ISNA(VLOOKUP($C31,'Phase GPA'!$C$29:'Phase GPA'!$U$44,11,0)), ,VLOOKUP($C31,'Phase GPA'!$C$29:'Phase GPA'!$U$44,11,0)),0)))</f>
        <v/>
      </c>
      <c r="H31" s="45" t="str">
        <f>IF($C31="/","",IF($C31="","",IFERROR(IF(ISNA(VLOOKUP($C31,'Phase GPA'!$C$29:'Phase GPA'!$U$44,12,0)), ,VLOOKUP($C31,'Phase GPA'!$C$29:'Phase GPA'!$U$44,12,0)),0)))</f>
        <v/>
      </c>
      <c r="I31" s="45" t="str">
        <f>IF($C31="/","",IF($C31="","",IFERROR(IF(ISNA($H31/VLOOKUP($C31,Données!$C$19:'Données'!$I$38,5,0)), ,$H31/VLOOKUP($C31,Données!$C$19:'Données'!$I$38,5,0))*100,0)))</f>
        <v/>
      </c>
      <c r="J31" s="45" t="str">
        <f>IF($C31="/","",IF($C31="","",IFERROR(IF(ISNA($H31/VLOOKUP($C31,Données!$C$19:'Données'!$I$38,6,0)), ,$H31/VLOOKUP($C31,Données!$C$19:'Données'!$I$38,6,0)),"/")))</f>
        <v/>
      </c>
      <c r="K31" s="45" t="str">
        <f>IF($C31="/","",IF($C31="","",IFERROR(IF(ISNA($H31/VLOOKUP($C31,Données!$C$19:'Données'!$I$38,7,0)*100), ,$H31/VLOOKUP($C31,Données!$C$19:'Données'!$I$38,7,0)*100),"/")))</f>
        <v/>
      </c>
      <c r="L31" s="46" t="str">
        <f t="shared" si="0"/>
        <v/>
      </c>
      <c r="M31" s="13"/>
      <c r="N31" s="12"/>
      <c r="O31" s="3"/>
      <c r="P31" s="16"/>
      <c r="Q31" s="1"/>
      <c r="R31" s="1"/>
      <c r="S31" s="55">
        <f>IF($C31="","",IFERROR(IF(ISNA(VLOOKUP($C31,Données!$C$19:'Données'!$I$38,6,0)), ,VLOOKUP($C31,Données!$C$19:'Données'!$I$38,6,0)),"/"))</f>
        <v>0</v>
      </c>
      <c r="T31" s="55">
        <f>IF($C31="","",IFERROR(IF(ISNA(VLOOKUP($C31,Données!$C$19:'Données'!$I$38,7,0)), ,VLOOKUP($C31,Données!$C$19:'Données'!$I$38,7,0)),"/"))</f>
        <v>0</v>
      </c>
      <c r="U31" s="55">
        <f>IF($C31="","",IFERROR(IF(ISNA(VLOOKUP($C31,Données!$C$19:'Données'!$I$38,5,0)), ,VLOOKUP($C31,Données!$C$19:'Données'!$I$38,5,0)),"/"))</f>
        <v>0</v>
      </c>
      <c r="V31" s="55" t="str">
        <f t="shared" ref="V31:V43" si="1">IF($C31="","",IFERROR(IF(ISNA($D31*$G31), ,$D31*$G31),"/"))</f>
        <v>/</v>
      </c>
    </row>
    <row r="32" spans="1:22" ht="50.1" customHeight="1" x14ac:dyDescent="0.25">
      <c r="A32" s="1"/>
      <c r="B32" s="1"/>
      <c r="C32" s="88" t="str">
        <f>IF('Phase GPA'!$AT32="OF",'Phase GPA'!$C32,"/")</f>
        <v>/</v>
      </c>
      <c r="D32" s="42" t="str">
        <f>IF($C32="/","",IF($C32="","",IFERROR(IF(ISNA(VLOOKUP($C32,'Phase GPA'!$C$29:'Phase GPA'!$U$44,10,0)), ,VLOOKUP($C32,'Phase GPA'!$C$29:'Phase GPA'!$U$44,10,0)),0)))</f>
        <v/>
      </c>
      <c r="E32" s="43" t="str">
        <f>IF($C32="/","",IF($C32="","",IFERROR(IF(ISNA($D32/VLOOKUP($C32,Données!$C$19:'Données'!$I$38,6,0)), ,$D32/VLOOKUP($C32,Données!$C$19:'Données'!$I$38,6,0)),"/")))</f>
        <v/>
      </c>
      <c r="F32" s="43" t="str">
        <f>IF($C32="/","",IF($C32="","",IFERROR(IF(ISNA($D32/VLOOKUP($C32,Données!$C$19:'Données'!$I$38,7,0)*100), ,$D32/VLOOKUP($C32,Données!$C$19:'Données'!$I$38,7,0)*100),"/")))</f>
        <v/>
      </c>
      <c r="G32" s="42" t="str">
        <f>IF($C32="/","",IF($C32="","",IFERROR(IF(ISNA(VLOOKUP($C32,'Phase GPA'!$C$29:'Phase GPA'!$U$44,11,0)), ,VLOOKUP($C32,'Phase GPA'!$C$29:'Phase GPA'!$U$44,11,0)),0)))</f>
        <v/>
      </c>
      <c r="H32" s="45" t="str">
        <f>IF($C32="/","",IF($C32="","",IFERROR(IF(ISNA(VLOOKUP($C32,'Phase GPA'!$C$29:'Phase GPA'!$U$44,12,0)), ,VLOOKUP($C32,'Phase GPA'!$C$29:'Phase GPA'!$U$44,12,0)),0)))</f>
        <v/>
      </c>
      <c r="I32" s="45" t="str">
        <f>IF($C32="/","",IF($C32="","",IFERROR(IF(ISNA($H32/VLOOKUP($C32,Données!$C$19:'Données'!$I$38,5,0)), ,$H32/VLOOKUP($C32,Données!$C$19:'Données'!$I$38,5,0))*100,0)))</f>
        <v/>
      </c>
      <c r="J32" s="45" t="str">
        <f>IF($C32="/","",IF($C32="","",IFERROR(IF(ISNA($H32/VLOOKUP($C32,Données!$C$19:'Données'!$I$38,6,0)), ,$H32/VLOOKUP($C32,Données!$C$19:'Données'!$I$38,6,0)),"/")))</f>
        <v/>
      </c>
      <c r="K32" s="45" t="str">
        <f>IF($C32="/","",IF($C32="","",IFERROR(IF(ISNA($H32/VLOOKUP($C32,Données!$C$19:'Données'!$I$38,7,0)*100), ,$H32/VLOOKUP($C32,Données!$C$19:'Données'!$I$38,7,0)*100),"/")))</f>
        <v/>
      </c>
      <c r="L32" s="46" t="str">
        <f t="shared" si="0"/>
        <v/>
      </c>
      <c r="M32" s="13"/>
      <c r="N32" s="12"/>
      <c r="O32" s="3"/>
      <c r="P32" s="16"/>
      <c r="Q32" s="1"/>
      <c r="R32" s="1"/>
      <c r="S32" s="55">
        <f>IF($C32="","",IFERROR(IF(ISNA(VLOOKUP($C32,Données!$C$19:'Données'!$I$38,6,0)), ,VLOOKUP($C32,Données!$C$19:'Données'!$I$38,6,0)),"/"))</f>
        <v>0</v>
      </c>
      <c r="T32" s="55">
        <f>IF($C32="","",IFERROR(IF(ISNA(VLOOKUP($C32,Données!$C$19:'Données'!$I$38,7,0)), ,VLOOKUP($C32,Données!$C$19:'Données'!$I$38,7,0)),"/"))</f>
        <v>0</v>
      </c>
      <c r="U32" s="55">
        <f>IF($C32="","",IFERROR(IF(ISNA(VLOOKUP($C32,Données!$C$19:'Données'!$I$38,5,0)), ,VLOOKUP($C32,Données!$C$19:'Données'!$I$38,5,0)),"/"))</f>
        <v>0</v>
      </c>
      <c r="V32" s="55" t="str">
        <f t="shared" si="1"/>
        <v>/</v>
      </c>
    </row>
    <row r="33" spans="1:22" ht="50.1" customHeight="1" x14ac:dyDescent="0.25">
      <c r="A33" s="1"/>
      <c r="B33" s="1"/>
      <c r="C33" s="88" t="str">
        <f>IF('Phase GPA'!$AT33="OF",'Phase GPA'!$C33,"/")</f>
        <v>/</v>
      </c>
      <c r="D33" s="42" t="str">
        <f>IF($C33="/","",IF($C33="","",IFERROR(IF(ISNA(VLOOKUP($C33,'Phase GPA'!$C$29:'Phase GPA'!$U$44,10,0)), ,VLOOKUP($C33,'Phase GPA'!$C$29:'Phase GPA'!$U$44,10,0)),0)))</f>
        <v/>
      </c>
      <c r="E33" s="43" t="str">
        <f>IF($C33="/","",IF($C33="","",IFERROR(IF(ISNA($D33/VLOOKUP($C33,Données!$C$19:'Données'!$I$38,6,0)), ,$D33/VLOOKUP($C33,Données!$C$19:'Données'!$I$38,6,0)),"/")))</f>
        <v/>
      </c>
      <c r="F33" s="43" t="str">
        <f>IF($C33="/","",IF($C33="","",IFERROR(IF(ISNA($D33/VLOOKUP($C33,Données!$C$19:'Données'!$I$38,7,0)*100), ,$D33/VLOOKUP($C33,Données!$C$19:'Données'!$I$38,7,0)*100),"/")))</f>
        <v/>
      </c>
      <c r="G33" s="42" t="str">
        <f>IF($C33="/","",IF($C33="","",IFERROR(IF(ISNA(VLOOKUP($C33,'Phase GPA'!$C$29:'Phase GPA'!$U$44,11,0)), ,VLOOKUP($C33,'Phase GPA'!$C$29:'Phase GPA'!$U$44,11,0)),0)))</f>
        <v/>
      </c>
      <c r="H33" s="45" t="str">
        <f>IF($C33="/","",IF($C33="","",IFERROR(IF(ISNA(VLOOKUP($C33,'Phase GPA'!$C$29:'Phase GPA'!$U$44,12,0)), ,VLOOKUP($C33,'Phase GPA'!$C$29:'Phase GPA'!$U$44,12,0)),0)))</f>
        <v/>
      </c>
      <c r="I33" s="45" t="str">
        <f>IF($C33="/","",IF($C33="","",IFERROR(IF(ISNA($H33/VLOOKUP($C33,Données!$C$19:'Données'!$I$38,5,0)), ,$H33/VLOOKUP($C33,Données!$C$19:'Données'!$I$38,5,0))*100,0)))</f>
        <v/>
      </c>
      <c r="J33" s="45" t="str">
        <f>IF($C33="/","",IF($C33="","",IFERROR(IF(ISNA($H33/VLOOKUP($C33,Données!$C$19:'Données'!$I$38,6,0)), ,$H33/VLOOKUP($C33,Données!$C$19:'Données'!$I$38,6,0)),"/")))</f>
        <v/>
      </c>
      <c r="K33" s="45" t="str">
        <f>IF($C33="/","",IF($C33="","",IFERROR(IF(ISNA($H33/VLOOKUP($C33,Données!$C$19:'Données'!$I$38,7,0)*100), ,$H33/VLOOKUP($C33,Données!$C$19:'Données'!$I$38,7,0)*100),"/")))</f>
        <v/>
      </c>
      <c r="L33" s="46" t="str">
        <f t="shared" si="0"/>
        <v/>
      </c>
      <c r="M33" s="13"/>
      <c r="N33" s="12"/>
      <c r="O33" s="3"/>
      <c r="P33" s="16"/>
      <c r="Q33" s="1"/>
      <c r="R33" s="1"/>
      <c r="S33" s="55">
        <f>IF($C33="","",IFERROR(IF(ISNA(VLOOKUP($C33,Données!$C$19:'Données'!$I$38,6,0)), ,VLOOKUP($C33,Données!$C$19:'Données'!$I$38,6,0)),"/"))</f>
        <v>0</v>
      </c>
      <c r="T33" s="55">
        <f>IF($C33="","",IFERROR(IF(ISNA(VLOOKUP($C33,Données!$C$19:'Données'!$I$38,7,0)), ,VLOOKUP($C33,Données!$C$19:'Données'!$I$38,7,0)),"/"))</f>
        <v>0</v>
      </c>
      <c r="U33" s="55">
        <f>IF($C33="","",IFERROR(IF(ISNA(VLOOKUP($C33,Données!$C$19:'Données'!$I$38,5,0)), ,VLOOKUP($C33,Données!$C$19:'Données'!$I$38,5,0)),"/"))</f>
        <v>0</v>
      </c>
      <c r="V33" s="55" t="str">
        <f t="shared" si="1"/>
        <v>/</v>
      </c>
    </row>
    <row r="34" spans="1:22" ht="50.1" customHeight="1" x14ac:dyDescent="0.25">
      <c r="A34" s="1"/>
      <c r="B34" s="1"/>
      <c r="C34" s="88" t="str">
        <f>IF('Phase GPA'!$AT34="OF",'Phase GPA'!$C34,"/")</f>
        <v>/</v>
      </c>
      <c r="D34" s="42" t="str">
        <f>IF($C34="/","",IF($C34="","",IFERROR(IF(ISNA(VLOOKUP($C34,'Phase GPA'!$C$29:'Phase GPA'!$U$44,10,0)), ,VLOOKUP($C34,'Phase GPA'!$C$29:'Phase GPA'!$U$44,10,0)),0)))</f>
        <v/>
      </c>
      <c r="E34" s="43" t="str">
        <f>IF($C34="/","",IF($C34="","",IFERROR(IF(ISNA($D34/VLOOKUP($C34,Données!$C$19:'Données'!$I$38,6,0)), ,$D34/VLOOKUP($C34,Données!$C$19:'Données'!$I$38,6,0)),"/")))</f>
        <v/>
      </c>
      <c r="F34" s="43" t="str">
        <f>IF($C34="/","",IF($C34="","",IFERROR(IF(ISNA($D34/VLOOKUP($C34,Données!$C$19:'Données'!$I$38,7,0)*100), ,$D34/VLOOKUP($C34,Données!$C$19:'Données'!$I$38,7,0)*100),"/")))</f>
        <v/>
      </c>
      <c r="G34" s="42" t="str">
        <f>IF($C34="/","",IF($C34="","",IFERROR(IF(ISNA(VLOOKUP($C34,'Phase GPA'!$C$29:'Phase GPA'!$U$44,11,0)), ,VLOOKUP($C34,'Phase GPA'!$C$29:'Phase GPA'!$U$44,11,0)),0)))</f>
        <v/>
      </c>
      <c r="H34" s="45" t="str">
        <f>IF($C34="/","",IF($C34="","",IFERROR(IF(ISNA(VLOOKUP($C34,'Phase GPA'!$C$29:'Phase GPA'!$U$44,12,0)), ,VLOOKUP($C34,'Phase GPA'!$C$29:'Phase GPA'!$U$44,12,0)),0)))</f>
        <v/>
      </c>
      <c r="I34" s="45" t="str">
        <f>IF($C34="/","",IF($C34="","",IFERROR(IF(ISNA($H34/VLOOKUP($C34,Données!$C$19:'Données'!$I$38,5,0)), ,$H34/VLOOKUP($C34,Données!$C$19:'Données'!$I$38,5,0))*100,0)))</f>
        <v/>
      </c>
      <c r="J34" s="45" t="str">
        <f>IF($C34="/","",IF($C34="","",IFERROR(IF(ISNA($H34/VLOOKUP($C34,Données!$C$19:'Données'!$I$38,6,0)), ,$H34/VLOOKUP($C34,Données!$C$19:'Données'!$I$38,6,0)),"/")))</f>
        <v/>
      </c>
      <c r="K34" s="45" t="str">
        <f>IF($C34="/","",IF($C34="","",IFERROR(IF(ISNA($H34/VLOOKUP($C34,Données!$C$19:'Données'!$I$38,7,0)*100), ,$H34/VLOOKUP($C34,Données!$C$19:'Données'!$I$38,7,0)*100),"/")))</f>
        <v/>
      </c>
      <c r="L34" s="46" t="str">
        <f t="shared" si="0"/>
        <v/>
      </c>
      <c r="M34" s="13"/>
      <c r="N34" s="12"/>
      <c r="O34" s="3"/>
      <c r="P34" s="16"/>
      <c r="Q34" s="1"/>
      <c r="R34" s="1"/>
      <c r="S34" s="55">
        <f>IF($C34="","",IFERROR(IF(ISNA(VLOOKUP($C34,Données!$C$19:'Données'!$I$38,6,0)), ,VLOOKUP($C34,Données!$C$19:'Données'!$I$38,6,0)),"/"))</f>
        <v>0</v>
      </c>
      <c r="T34" s="55">
        <f>IF($C34="","",IFERROR(IF(ISNA(VLOOKUP($C34,Données!$C$19:'Données'!$I$38,7,0)), ,VLOOKUP($C34,Données!$C$19:'Données'!$I$38,7,0)),"/"))</f>
        <v>0</v>
      </c>
      <c r="U34" s="55">
        <f>IF($C34="","",IFERROR(IF(ISNA(VLOOKUP($C34,Données!$C$19:'Données'!$I$38,5,0)), ,VLOOKUP($C34,Données!$C$19:'Données'!$I$38,5,0)),"/"))</f>
        <v>0</v>
      </c>
      <c r="V34" s="55" t="str">
        <f t="shared" si="1"/>
        <v>/</v>
      </c>
    </row>
    <row r="35" spans="1:22" ht="50.1" customHeight="1" x14ac:dyDescent="0.25">
      <c r="A35" s="1"/>
      <c r="B35" s="1"/>
      <c r="C35" s="88" t="str">
        <f>IF('Phase GPA'!$AT35="OF",'Phase GPA'!$C35,"/")</f>
        <v>/</v>
      </c>
      <c r="D35" s="42" t="str">
        <f>IF($C35="/","",IF($C35="","",IFERROR(IF(ISNA(VLOOKUP($C35,'Phase GPA'!$C$29:'Phase GPA'!$U$44,10,0)), ,VLOOKUP($C35,'Phase GPA'!$C$29:'Phase GPA'!$U$44,10,0)),0)))</f>
        <v/>
      </c>
      <c r="E35" s="43" t="str">
        <f>IF($C35="/","",IF($C35="","",IFERROR(IF(ISNA($D35/VLOOKUP($C35,Données!$C$19:'Données'!$I$38,6,0)), ,$D35/VLOOKUP($C35,Données!$C$19:'Données'!$I$38,6,0)),"/")))</f>
        <v/>
      </c>
      <c r="F35" s="43" t="str">
        <f>IF($C35="/","",IF($C35="","",IFERROR(IF(ISNA($D35/VLOOKUP($C35,Données!$C$19:'Données'!$I$38,7,0)*100), ,$D35/VLOOKUP($C35,Données!$C$19:'Données'!$I$38,7,0)*100),"/")))</f>
        <v/>
      </c>
      <c r="G35" s="42" t="str">
        <f>IF($C35="/","",IF($C35="","",IFERROR(IF(ISNA(VLOOKUP($C35,'Phase GPA'!$C$29:'Phase GPA'!$U$44,11,0)), ,VLOOKUP($C35,'Phase GPA'!$C$29:'Phase GPA'!$U$44,11,0)),0)))</f>
        <v/>
      </c>
      <c r="H35" s="45" t="str">
        <f>IF($C35="/","",IF($C35="","",IFERROR(IF(ISNA(VLOOKUP($C35,'Phase GPA'!$C$29:'Phase GPA'!$U$44,12,0)), ,VLOOKUP($C35,'Phase GPA'!$C$29:'Phase GPA'!$U$44,12,0)),0)))</f>
        <v/>
      </c>
      <c r="I35" s="45" t="str">
        <f>IF($C35="/","",IF($C35="","",IFERROR(IF(ISNA($H35/VLOOKUP($C35,Données!$C$19:'Données'!$I$38,5,0)), ,$H35/VLOOKUP($C35,Données!$C$19:'Données'!$I$38,5,0))*100,0)))</f>
        <v/>
      </c>
      <c r="J35" s="45" t="str">
        <f>IF($C35="/","",IF($C35="","",IFERROR(IF(ISNA($H35/VLOOKUP($C35,Données!$C$19:'Données'!$I$38,6,0)), ,$H35/VLOOKUP($C35,Données!$C$19:'Données'!$I$38,6,0)),"/")))</f>
        <v/>
      </c>
      <c r="K35" s="45" t="str">
        <f>IF($C35="/","",IF($C35="","",IFERROR(IF(ISNA($H35/VLOOKUP($C35,Données!$C$19:'Données'!$I$38,7,0)*100), ,$H35/VLOOKUP($C35,Données!$C$19:'Données'!$I$38,7,0)*100),"/")))</f>
        <v/>
      </c>
      <c r="L35" s="46" t="str">
        <f t="shared" si="0"/>
        <v/>
      </c>
      <c r="M35" s="13"/>
      <c r="N35" s="12"/>
      <c r="O35" s="3"/>
      <c r="P35" s="16"/>
      <c r="Q35" s="1"/>
      <c r="R35" s="1"/>
      <c r="S35" s="55">
        <f>IF($C35="","",IFERROR(IF(ISNA(VLOOKUP($C35,Données!$C$19:'Données'!$I$38,6,0)), ,VLOOKUP($C35,Données!$C$19:'Données'!$I$38,6,0)),"/"))</f>
        <v>0</v>
      </c>
      <c r="T35" s="55">
        <f>IF($C35="","",IFERROR(IF(ISNA(VLOOKUP($C35,Données!$C$19:'Données'!$I$38,7,0)), ,VLOOKUP($C35,Données!$C$19:'Données'!$I$38,7,0)),"/"))</f>
        <v>0</v>
      </c>
      <c r="U35" s="55">
        <f>IF($C35="","",IFERROR(IF(ISNA(VLOOKUP($C35,Données!$C$19:'Données'!$I$38,5,0)), ,VLOOKUP($C35,Données!$C$19:'Données'!$I$38,5,0)),"/"))</f>
        <v>0</v>
      </c>
      <c r="V35" s="55" t="str">
        <f t="shared" si="1"/>
        <v>/</v>
      </c>
    </row>
    <row r="36" spans="1:22" ht="50.1" customHeight="1" x14ac:dyDescent="0.25">
      <c r="A36" s="1"/>
      <c r="B36" s="1"/>
      <c r="C36" s="88" t="str">
        <f>IF('Phase GPA'!$AT36="OF",'Phase GPA'!$C36,"/")</f>
        <v>/</v>
      </c>
      <c r="D36" s="42" t="str">
        <f>IF($C36="/","",IF($C36="","",IFERROR(IF(ISNA(VLOOKUP($C36,'Phase GPA'!$C$29:'Phase GPA'!$U$44,10,0)), ,VLOOKUP($C36,'Phase GPA'!$C$29:'Phase GPA'!$U$44,10,0)),0)))</f>
        <v/>
      </c>
      <c r="E36" s="43" t="str">
        <f>IF($C36="/","",IF($C36="","",IFERROR(IF(ISNA($D36/VLOOKUP($C36,Données!$C$19:'Données'!$I$38,6,0)), ,$D36/VLOOKUP($C36,Données!$C$19:'Données'!$I$38,6,0)),"/")))</f>
        <v/>
      </c>
      <c r="F36" s="43" t="str">
        <f>IF($C36="/","",IF($C36="","",IFERROR(IF(ISNA($D36/VLOOKUP($C36,Données!$C$19:'Données'!$I$38,7,0)*100), ,$D36/VLOOKUP($C36,Données!$C$19:'Données'!$I$38,7,0)*100),"/")))</f>
        <v/>
      </c>
      <c r="G36" s="42" t="str">
        <f>IF($C36="/","",IF($C36="","",IFERROR(IF(ISNA(VLOOKUP($C36,'Phase GPA'!$C$29:'Phase GPA'!$U$44,11,0)), ,VLOOKUP($C36,'Phase GPA'!$C$29:'Phase GPA'!$U$44,11,0)),0)))</f>
        <v/>
      </c>
      <c r="H36" s="45" t="str">
        <f>IF($C36="/","",IF($C36="","",IFERROR(IF(ISNA(VLOOKUP($C36,'Phase GPA'!$C$29:'Phase GPA'!$U$44,12,0)), ,VLOOKUP($C36,'Phase GPA'!$C$29:'Phase GPA'!$U$44,12,0)),0)))</f>
        <v/>
      </c>
      <c r="I36" s="45" t="str">
        <f>IF($C36="/","",IF($C36="","",IFERROR(IF(ISNA($H36/VLOOKUP($C36,Données!$C$19:'Données'!$I$38,5,0)), ,$H36/VLOOKUP($C36,Données!$C$19:'Données'!$I$38,5,0))*100,0)))</f>
        <v/>
      </c>
      <c r="J36" s="45" t="str">
        <f>IF($C36="/","",IF($C36="","",IFERROR(IF(ISNA($H36/VLOOKUP($C36,Données!$C$19:'Données'!$I$38,6,0)), ,$H36/VLOOKUP($C36,Données!$C$19:'Données'!$I$38,6,0)),"/")))</f>
        <v/>
      </c>
      <c r="K36" s="45" t="str">
        <f>IF($C36="/","",IF($C36="","",IFERROR(IF(ISNA($H36/VLOOKUP($C36,Données!$C$19:'Données'!$I$38,7,0)*100), ,$H36/VLOOKUP($C36,Données!$C$19:'Données'!$I$38,7,0)*100),"/")))</f>
        <v/>
      </c>
      <c r="L36" s="46" t="str">
        <f t="shared" si="0"/>
        <v/>
      </c>
      <c r="M36" s="13"/>
      <c r="N36" s="12"/>
      <c r="O36" s="3"/>
      <c r="P36" s="16"/>
      <c r="Q36" s="1"/>
      <c r="R36" s="1"/>
      <c r="S36" s="55">
        <f>IF($C36="","",IFERROR(IF(ISNA(VLOOKUP($C36,Données!$C$19:'Données'!$I$38,6,0)), ,VLOOKUP($C36,Données!$C$19:'Données'!$I$38,6,0)),"/"))</f>
        <v>0</v>
      </c>
      <c r="T36" s="55">
        <f>IF($C36="","",IFERROR(IF(ISNA(VLOOKUP($C36,Données!$C$19:'Données'!$I$38,7,0)), ,VLOOKUP($C36,Données!$C$19:'Données'!$I$38,7,0)),"/"))</f>
        <v>0</v>
      </c>
      <c r="U36" s="55">
        <f>IF($C36="","",IFERROR(IF(ISNA(VLOOKUP($C36,Données!$C$19:'Données'!$I$38,5,0)), ,VLOOKUP($C36,Données!$C$19:'Données'!$I$38,5,0)),"/"))</f>
        <v>0</v>
      </c>
      <c r="V36" s="55" t="str">
        <f t="shared" si="1"/>
        <v>/</v>
      </c>
    </row>
    <row r="37" spans="1:22" ht="50.1" customHeight="1" x14ac:dyDescent="0.25">
      <c r="A37" s="1"/>
      <c r="B37" s="1"/>
      <c r="C37" s="88" t="str">
        <f>IF('Phase GPA'!$AT37="OF",'Phase GPA'!$C37,"/")</f>
        <v>/</v>
      </c>
      <c r="D37" s="42" t="str">
        <f>IF($C37="/","",IF($C37="","",IFERROR(IF(ISNA(VLOOKUP($C37,'Phase GPA'!$C$29:'Phase GPA'!$U$44,10,0)), ,VLOOKUP($C37,'Phase GPA'!$C$29:'Phase GPA'!$U$44,10,0)),0)))</f>
        <v/>
      </c>
      <c r="E37" s="43" t="str">
        <f>IF($C37="/","",IF($C37="","",IFERROR(IF(ISNA($D37/VLOOKUP($C37,Données!$C$19:'Données'!$I$38,6,0)), ,$D37/VLOOKUP($C37,Données!$C$19:'Données'!$I$38,6,0)),"/")))</f>
        <v/>
      </c>
      <c r="F37" s="43" t="str">
        <f>IF($C37="/","",IF($C37="","",IFERROR(IF(ISNA($D37/VLOOKUP($C37,Données!$C$19:'Données'!$I$38,7,0)*100), ,$D37/VLOOKUP($C37,Données!$C$19:'Données'!$I$38,7,0)*100),"/")))</f>
        <v/>
      </c>
      <c r="G37" s="42" t="str">
        <f>IF($C37="/","",IF($C37="","",IFERROR(IF(ISNA(VLOOKUP($C37,'Phase GPA'!$C$29:'Phase GPA'!$U$44,11,0)), ,VLOOKUP($C37,'Phase GPA'!$C$29:'Phase GPA'!$U$44,11,0)),0)))</f>
        <v/>
      </c>
      <c r="H37" s="45" t="str">
        <f>IF($C37="/","",IF($C37="","",IFERROR(IF(ISNA(VLOOKUP($C37,'Phase GPA'!$C$29:'Phase GPA'!$U$44,12,0)), ,VLOOKUP($C37,'Phase GPA'!$C$29:'Phase GPA'!$U$44,12,0)),0)))</f>
        <v/>
      </c>
      <c r="I37" s="45" t="str">
        <f>IF($C37="/","",IF($C37="","",IFERROR(IF(ISNA($H37/VLOOKUP($C37,Données!$C$19:'Données'!$I$38,5,0)), ,$H37/VLOOKUP($C37,Données!$C$19:'Données'!$I$38,5,0))*100,0)))</f>
        <v/>
      </c>
      <c r="J37" s="45" t="str">
        <f>IF($C37="/","",IF($C37="","",IFERROR(IF(ISNA($H37/VLOOKUP($C37,Données!$C$19:'Données'!$I$38,6,0)), ,$H37/VLOOKUP($C37,Données!$C$19:'Données'!$I$38,6,0)),"/")))</f>
        <v/>
      </c>
      <c r="K37" s="45" t="str">
        <f>IF($C37="/","",IF($C37="","",IFERROR(IF(ISNA($H37/VLOOKUP($C37,Données!$C$19:'Données'!$I$38,7,0)*100), ,$H37/VLOOKUP($C37,Données!$C$19:'Données'!$I$38,7,0)*100),"/")))</f>
        <v/>
      </c>
      <c r="L37" s="46" t="str">
        <f t="shared" si="0"/>
        <v/>
      </c>
      <c r="M37" s="13"/>
      <c r="N37" s="12"/>
      <c r="O37" s="3"/>
      <c r="P37" s="16"/>
      <c r="Q37" s="1"/>
      <c r="R37" s="1"/>
      <c r="S37" s="55">
        <f>IF($C37="","",IFERROR(IF(ISNA(VLOOKUP($C37,Données!$C$19:'Données'!$I$38,6,0)), ,VLOOKUP($C37,Données!$C$19:'Données'!$I$38,6,0)),"/"))</f>
        <v>0</v>
      </c>
      <c r="T37" s="55">
        <f>IF($C37="","",IFERROR(IF(ISNA(VLOOKUP($C37,Données!$C$19:'Données'!$I$38,7,0)), ,VLOOKUP($C37,Données!$C$19:'Données'!$I$38,7,0)),"/"))</f>
        <v>0</v>
      </c>
      <c r="U37" s="55">
        <f>IF($C37="","",IFERROR(IF(ISNA(VLOOKUP($C37,Données!$C$19:'Données'!$I$38,5,0)), ,VLOOKUP($C37,Données!$C$19:'Données'!$I$38,5,0)),"/"))</f>
        <v>0</v>
      </c>
      <c r="V37" s="55" t="str">
        <f t="shared" si="1"/>
        <v>/</v>
      </c>
    </row>
    <row r="38" spans="1:22" ht="50.1" customHeight="1" x14ac:dyDescent="0.25">
      <c r="A38" s="1"/>
      <c r="B38" s="1"/>
      <c r="C38" s="88" t="str">
        <f>IF('Phase GPA'!$AT38="OF",'Phase GPA'!$C38,"/")</f>
        <v>/</v>
      </c>
      <c r="D38" s="42" t="str">
        <f>IF($C38="/","",IF($C38="","",IFERROR(IF(ISNA(VLOOKUP($C38,'Phase GPA'!$C$29:'Phase GPA'!$U$44,10,0)), ,VLOOKUP($C38,'Phase GPA'!$C$29:'Phase GPA'!$U$44,10,0)),0)))</f>
        <v/>
      </c>
      <c r="E38" s="43" t="str">
        <f>IF($C38="/","",IF($C38="","",IFERROR(IF(ISNA($D38/VLOOKUP($C38,Données!$C$19:'Données'!$I$38,6,0)), ,$D38/VLOOKUP($C38,Données!$C$19:'Données'!$I$38,6,0)),"/")))</f>
        <v/>
      </c>
      <c r="F38" s="43" t="str">
        <f>IF($C38="/","",IF($C38="","",IFERROR(IF(ISNA($D38/VLOOKUP($C38,Données!$C$19:'Données'!$I$38,7,0)*100), ,$D38/VLOOKUP($C38,Données!$C$19:'Données'!$I$38,7,0)*100),"/")))</f>
        <v/>
      </c>
      <c r="G38" s="42" t="str">
        <f>IF($C38="/","",IF($C38="","",IFERROR(IF(ISNA(VLOOKUP($C38,'Phase GPA'!$C$29:'Phase GPA'!$U$44,11,0)), ,VLOOKUP($C38,'Phase GPA'!$C$29:'Phase GPA'!$U$44,11,0)),0)))</f>
        <v/>
      </c>
      <c r="H38" s="45" t="str">
        <f>IF($C38="/","",IF($C38="","",IFERROR(IF(ISNA(VLOOKUP($C38,'Phase GPA'!$C$29:'Phase GPA'!$U$44,12,0)), ,VLOOKUP($C38,'Phase GPA'!$C$29:'Phase GPA'!$U$44,12,0)),0)))</f>
        <v/>
      </c>
      <c r="I38" s="45" t="str">
        <f>IF($C38="/","",IF($C38="","",IFERROR(IF(ISNA($H38/VLOOKUP($C38,Données!$C$19:'Données'!$I$38,5,0)), ,$H38/VLOOKUP($C38,Données!$C$19:'Données'!$I$38,5,0))*100,0)))</f>
        <v/>
      </c>
      <c r="J38" s="45" t="str">
        <f>IF($C38="/","",IF($C38="","",IFERROR(IF(ISNA($H38/VLOOKUP($C38,Données!$C$19:'Données'!$I$38,6,0)), ,$H38/VLOOKUP($C38,Données!$C$19:'Données'!$I$38,6,0)),"/")))</f>
        <v/>
      </c>
      <c r="K38" s="45" t="str">
        <f>IF($C38="/","",IF($C38="","",IFERROR(IF(ISNA($H38/VLOOKUP($C38,Données!$C$19:'Données'!$I$38,7,0)*100), ,$H38/VLOOKUP($C38,Données!$C$19:'Données'!$I$38,7,0)*100),"/")))</f>
        <v/>
      </c>
      <c r="L38" s="46" t="str">
        <f t="shared" si="0"/>
        <v/>
      </c>
      <c r="M38" s="13"/>
      <c r="N38" s="12"/>
      <c r="O38" s="3"/>
      <c r="P38" s="16"/>
      <c r="Q38" s="1"/>
      <c r="R38" s="1"/>
      <c r="S38" s="55">
        <f>IF($C38="","",IFERROR(IF(ISNA(VLOOKUP($C38,Données!$C$19:'Données'!$I$38,6,0)), ,VLOOKUP($C38,Données!$C$19:'Données'!$I$38,6,0)),"/"))</f>
        <v>0</v>
      </c>
      <c r="T38" s="55">
        <f>IF($C38="","",IFERROR(IF(ISNA(VLOOKUP($C38,Données!$C$19:'Données'!$I$38,7,0)), ,VLOOKUP($C38,Données!$C$19:'Données'!$I$38,7,0)),"/"))</f>
        <v>0</v>
      </c>
      <c r="U38" s="55">
        <f>IF($C38="","",IFERROR(IF(ISNA(VLOOKUP($C38,Données!$C$19:'Données'!$I$38,5,0)), ,VLOOKUP($C38,Données!$C$19:'Données'!$I$38,5,0)),"/"))</f>
        <v>0</v>
      </c>
      <c r="V38" s="55" t="str">
        <f t="shared" si="1"/>
        <v>/</v>
      </c>
    </row>
    <row r="39" spans="1:22" ht="50.1" customHeight="1" x14ac:dyDescent="0.25">
      <c r="A39" s="1"/>
      <c r="B39" s="1"/>
      <c r="C39" s="88" t="str">
        <f>IF('Phase GPA'!$AT39="OF",'Phase GPA'!$C39,"/")</f>
        <v>/</v>
      </c>
      <c r="D39" s="42" t="str">
        <f>IF($C39="/","",IF($C39="","",IFERROR(IF(ISNA(VLOOKUP($C39,'Phase GPA'!$C$29:'Phase GPA'!$U$44,10,0)), ,VLOOKUP($C39,'Phase GPA'!$C$29:'Phase GPA'!$U$44,10,0)),0)))</f>
        <v/>
      </c>
      <c r="E39" s="43" t="str">
        <f>IF($C39="/","",IF($C39="","",IFERROR(IF(ISNA($D39/VLOOKUP($C39,Données!$C$19:'Données'!$I$38,6,0)), ,$D39/VLOOKUP($C39,Données!$C$19:'Données'!$I$38,6,0)),"/")))</f>
        <v/>
      </c>
      <c r="F39" s="43" t="str">
        <f>IF($C39="/","",IF($C39="","",IFERROR(IF(ISNA($D39/VLOOKUP($C39,Données!$C$19:'Données'!$I$38,7,0)*100), ,$D39/VLOOKUP($C39,Données!$C$19:'Données'!$I$38,7,0)*100),"/")))</f>
        <v/>
      </c>
      <c r="G39" s="42" t="str">
        <f>IF($C39="/","",IF($C39="","",IFERROR(IF(ISNA(VLOOKUP($C39,'Phase GPA'!$C$29:'Phase GPA'!$U$44,11,0)), ,VLOOKUP($C39,'Phase GPA'!$C$29:'Phase GPA'!$U$44,11,0)),0)))</f>
        <v/>
      </c>
      <c r="H39" s="45" t="str">
        <f>IF($C39="/","",IF($C39="","",IFERROR(IF(ISNA(VLOOKUP($C39,'Phase GPA'!$C$29:'Phase GPA'!$U$44,12,0)), ,VLOOKUP($C39,'Phase GPA'!$C$29:'Phase GPA'!$U$44,12,0)),0)))</f>
        <v/>
      </c>
      <c r="I39" s="45" t="str">
        <f>IF($C39="/","",IF($C39="","",IFERROR(IF(ISNA($H39/VLOOKUP($C39,Données!$C$19:'Données'!$I$38,5,0)), ,$H39/VLOOKUP($C39,Données!$C$19:'Données'!$I$38,5,0))*100,0)))</f>
        <v/>
      </c>
      <c r="J39" s="45" t="str">
        <f>IF($C39="/","",IF($C39="","",IFERROR(IF(ISNA($H39/VLOOKUP($C39,Données!$C$19:'Données'!$I$38,6,0)), ,$H39/VLOOKUP($C39,Données!$C$19:'Données'!$I$38,6,0)),"/")))</f>
        <v/>
      </c>
      <c r="K39" s="45" t="str">
        <f>IF($C39="/","",IF($C39="","",IFERROR(IF(ISNA($H39/VLOOKUP($C39,Données!$C$19:'Données'!$I$38,7,0)*100), ,$H39/VLOOKUP($C39,Données!$C$19:'Données'!$I$38,7,0)*100),"/")))</f>
        <v/>
      </c>
      <c r="L39" s="46" t="str">
        <f t="shared" si="0"/>
        <v/>
      </c>
      <c r="M39" s="13"/>
      <c r="N39" s="12"/>
      <c r="O39" s="3"/>
      <c r="P39" s="16"/>
      <c r="Q39" s="1"/>
      <c r="R39" s="1"/>
      <c r="S39" s="55">
        <f>IF($C39="","",IFERROR(IF(ISNA(VLOOKUP($C39,Données!$C$19:'Données'!$I$38,6,0)), ,VLOOKUP($C39,Données!$C$19:'Données'!$I$38,6,0)),"/"))</f>
        <v>0</v>
      </c>
      <c r="T39" s="55">
        <f>IF($C39="","",IFERROR(IF(ISNA(VLOOKUP($C39,Données!$C$19:'Données'!$I$38,7,0)), ,VLOOKUP($C39,Données!$C$19:'Données'!$I$38,7,0)),"/"))</f>
        <v>0</v>
      </c>
      <c r="U39" s="55">
        <f>IF($C39="","",IFERROR(IF(ISNA(VLOOKUP($C39,Données!$C$19:'Données'!$I$38,5,0)), ,VLOOKUP($C39,Données!$C$19:'Données'!$I$38,5,0)),"/"))</f>
        <v>0</v>
      </c>
      <c r="V39" s="55" t="str">
        <f t="shared" si="1"/>
        <v>/</v>
      </c>
    </row>
    <row r="40" spans="1:22" ht="50.1" customHeight="1" x14ac:dyDescent="0.25">
      <c r="A40" s="1"/>
      <c r="B40" s="1"/>
      <c r="C40" s="88" t="str">
        <f>IF('Phase GPA'!$AT40="OF",'Phase GPA'!$C40,"/")</f>
        <v>/</v>
      </c>
      <c r="D40" s="42" t="str">
        <f>IF($C40="/","",IF($C40="","",IFERROR(IF(ISNA(VLOOKUP($C40,'Phase GPA'!$C$29:'Phase GPA'!$U$44,10,0)), ,VLOOKUP($C40,'Phase GPA'!$C$29:'Phase GPA'!$U$44,10,0)),0)))</f>
        <v/>
      </c>
      <c r="E40" s="43" t="str">
        <f>IF($C40="/","",IF($C40="","",IFERROR(IF(ISNA($D40/VLOOKUP($C40,Données!$C$19:'Données'!$I$38,6,0)), ,$D40/VLOOKUP($C40,Données!$C$19:'Données'!$I$38,6,0)),"/")))</f>
        <v/>
      </c>
      <c r="F40" s="43" t="str">
        <f>IF($C40="/","",IF($C40="","",IFERROR(IF(ISNA($D40/VLOOKUP($C40,Données!$C$19:'Données'!$I$38,7,0)*100), ,$D40/VLOOKUP($C40,Données!$C$19:'Données'!$I$38,7,0)*100),"/")))</f>
        <v/>
      </c>
      <c r="G40" s="42" t="str">
        <f>IF($C40="/","",IF($C40="","",IFERROR(IF(ISNA(VLOOKUP($C40,'Phase GPA'!$C$29:'Phase GPA'!$U$44,11,0)), ,VLOOKUP($C40,'Phase GPA'!$C$29:'Phase GPA'!$U$44,11,0)),0)))</f>
        <v/>
      </c>
      <c r="H40" s="45" t="str">
        <f>IF($C40="/","",IF($C40="","",IFERROR(IF(ISNA(VLOOKUP($C40,'Phase GPA'!$C$29:'Phase GPA'!$U$44,12,0)), ,VLOOKUP($C40,'Phase GPA'!$C$29:'Phase GPA'!$U$44,12,0)),0)))</f>
        <v/>
      </c>
      <c r="I40" s="45" t="str">
        <f>IF($C40="/","",IF($C40="","",IFERROR(IF(ISNA($H40/VLOOKUP($C40,Données!$C$19:'Données'!$I$38,5,0)), ,$H40/VLOOKUP($C40,Données!$C$19:'Données'!$I$38,5,0))*100,0)))</f>
        <v/>
      </c>
      <c r="J40" s="45" t="str">
        <f>IF($C40="/","",IF($C40="","",IFERROR(IF(ISNA($H40/VLOOKUP($C40,Données!$C$19:'Données'!$I$38,6,0)), ,$H40/VLOOKUP($C40,Données!$C$19:'Données'!$I$38,6,0)),"/")))</f>
        <v/>
      </c>
      <c r="K40" s="45" t="str">
        <f>IF($C40="/","",IF($C40="","",IFERROR(IF(ISNA($H40/VLOOKUP($C40,Données!$C$19:'Données'!$I$38,7,0)*100), ,$H40/VLOOKUP($C40,Données!$C$19:'Données'!$I$38,7,0)*100),"/")))</f>
        <v/>
      </c>
      <c r="L40" s="46" t="str">
        <f t="shared" si="0"/>
        <v/>
      </c>
      <c r="M40" s="13"/>
      <c r="N40" s="12"/>
      <c r="O40" s="3"/>
      <c r="P40" s="16"/>
      <c r="Q40" s="1"/>
      <c r="R40" s="1"/>
      <c r="S40" s="55">
        <f>IF($C40="","",IFERROR(IF(ISNA(VLOOKUP($C40,Données!$C$19:'Données'!$I$38,6,0)), ,VLOOKUP($C40,Données!$C$19:'Données'!$I$38,6,0)),"/"))</f>
        <v>0</v>
      </c>
      <c r="T40" s="55">
        <f>IF($C40="","",IFERROR(IF(ISNA(VLOOKUP($C40,Données!$C$19:'Données'!$I$38,7,0)), ,VLOOKUP($C40,Données!$C$19:'Données'!$I$38,7,0)),"/"))</f>
        <v>0</v>
      </c>
      <c r="U40" s="55">
        <f>IF($C40="","",IFERROR(IF(ISNA(VLOOKUP($C40,Données!$C$19:'Données'!$I$38,5,0)), ,VLOOKUP($C40,Données!$C$19:'Données'!$I$38,5,0)),"/"))</f>
        <v>0</v>
      </c>
      <c r="V40" s="55" t="str">
        <f t="shared" si="1"/>
        <v>/</v>
      </c>
    </row>
    <row r="41" spans="1:22" ht="50.1" customHeight="1" x14ac:dyDescent="0.25">
      <c r="A41" s="1"/>
      <c r="B41" s="1"/>
      <c r="C41" s="88" t="str">
        <f>IF('Phase GPA'!$AT41="OF",'Phase GPA'!$C41,"/")</f>
        <v>/</v>
      </c>
      <c r="D41" s="42" t="str">
        <f>IF($C41="/","",IF($C41="","",IFERROR(IF(ISNA(VLOOKUP($C41,'Phase GPA'!$C$29:'Phase GPA'!$U$44,10,0)), ,VLOOKUP($C41,'Phase GPA'!$C$29:'Phase GPA'!$U$44,10,0)),0)))</f>
        <v/>
      </c>
      <c r="E41" s="43" t="str">
        <f>IF($C41="/","",IF($C41="","",IFERROR(IF(ISNA($D41/VLOOKUP($C41,Données!$C$19:'Données'!$I$38,6,0)), ,$D41/VLOOKUP($C41,Données!$C$19:'Données'!$I$38,6,0)),"/")))</f>
        <v/>
      </c>
      <c r="F41" s="43" t="str">
        <f>IF($C41="/","",IF($C41="","",IFERROR(IF(ISNA($D41/VLOOKUP($C41,Données!$C$19:'Données'!$I$38,7,0)*100), ,$D41/VLOOKUP($C41,Données!$C$19:'Données'!$I$38,7,0)*100),"/")))</f>
        <v/>
      </c>
      <c r="G41" s="42" t="str">
        <f>IF($C41="/","",IF($C41="","",IFERROR(IF(ISNA(VLOOKUP($C41,'Phase GPA'!$C$29:'Phase GPA'!$U$44,11,0)), ,VLOOKUP($C41,'Phase GPA'!$C$29:'Phase GPA'!$U$44,11,0)),0)))</f>
        <v/>
      </c>
      <c r="H41" s="45" t="str">
        <f>IF($C41="/","",IF($C41="","",IFERROR(IF(ISNA(VLOOKUP($C41,'Phase GPA'!$C$29:'Phase GPA'!$U$44,12,0)), ,VLOOKUP($C41,'Phase GPA'!$C$29:'Phase GPA'!$U$44,12,0)),0)))</f>
        <v/>
      </c>
      <c r="I41" s="45" t="str">
        <f>IF($C41="/","",IF($C41="","",IFERROR(IF(ISNA($H41/VLOOKUP($C41,Données!$C$19:'Données'!$I$38,5,0)), ,$H41/VLOOKUP($C41,Données!$C$19:'Données'!$I$38,5,0))*100,0)))</f>
        <v/>
      </c>
      <c r="J41" s="45" t="str">
        <f>IF($C41="/","",IF($C41="","",IFERROR(IF(ISNA($H41/VLOOKUP($C41,Données!$C$19:'Données'!$I$38,6,0)), ,$H41/VLOOKUP($C41,Données!$C$19:'Données'!$I$38,6,0)),"/")))</f>
        <v/>
      </c>
      <c r="K41" s="45" t="str">
        <f>IF($C41="/","",IF($C41="","",IFERROR(IF(ISNA($H41/VLOOKUP($C41,Données!$C$19:'Données'!$I$38,7,0)*100), ,$H41/VLOOKUP($C41,Données!$C$19:'Données'!$I$38,7,0)*100),"/")))</f>
        <v/>
      </c>
      <c r="L41" s="46" t="str">
        <f t="shared" si="0"/>
        <v/>
      </c>
      <c r="M41" s="13"/>
      <c r="N41" s="12"/>
      <c r="O41" s="3"/>
      <c r="P41" s="16"/>
      <c r="Q41" s="1"/>
      <c r="R41" s="1"/>
      <c r="S41" s="55">
        <f>IF($C41="","",IFERROR(IF(ISNA(VLOOKUP($C41,Données!$C$19:'Données'!$I$38,6,0)), ,VLOOKUP($C41,Données!$C$19:'Données'!$I$38,6,0)),"/"))</f>
        <v>0</v>
      </c>
      <c r="T41" s="55">
        <f>IF($C41="","",IFERROR(IF(ISNA(VLOOKUP($C41,Données!$C$19:'Données'!$I$38,7,0)), ,VLOOKUP($C41,Données!$C$19:'Données'!$I$38,7,0)),"/"))</f>
        <v>0</v>
      </c>
      <c r="U41" s="55">
        <f>IF($C41="","",IFERROR(IF(ISNA(VLOOKUP($C41,Données!$C$19:'Données'!$I$38,5,0)), ,VLOOKUP($C41,Données!$C$19:'Données'!$I$38,5,0)),"/"))</f>
        <v>0</v>
      </c>
      <c r="V41" s="55" t="str">
        <f t="shared" si="1"/>
        <v>/</v>
      </c>
    </row>
    <row r="42" spans="1:22" ht="50.1" customHeight="1" x14ac:dyDescent="0.25">
      <c r="A42" s="1"/>
      <c r="B42" s="1"/>
      <c r="C42" s="88" t="str">
        <f>IF('Phase GPA'!$AT42="OF",'Phase GPA'!$C42,"/")</f>
        <v>/</v>
      </c>
      <c r="D42" s="42" t="str">
        <f>IF($C42="/","",IF($C42="","",IFERROR(IF(ISNA(VLOOKUP($C42,'Phase GPA'!$C$29:'Phase GPA'!$U$44,10,0)), ,VLOOKUP($C42,'Phase GPA'!$C$29:'Phase GPA'!$U$44,10,0)),0)))</f>
        <v/>
      </c>
      <c r="E42" s="43" t="str">
        <f>IF($C42="/","",IF($C42="","",IFERROR(IF(ISNA($D42/VLOOKUP($C42,Données!$C$19:'Données'!$I$38,6,0)), ,$D42/VLOOKUP($C42,Données!$C$19:'Données'!$I$38,6,0)),"/")))</f>
        <v/>
      </c>
      <c r="F42" s="43" t="str">
        <f>IF($C42="/","",IF($C42="","",IFERROR(IF(ISNA($D42/VLOOKUP($C42,Données!$C$19:'Données'!$I$38,7,0)*100), ,$D42/VLOOKUP($C42,Données!$C$19:'Données'!$I$38,7,0)*100),"/")))</f>
        <v/>
      </c>
      <c r="G42" s="42" t="str">
        <f>IF($C42="/","",IF($C42="","",IFERROR(IF(ISNA(VLOOKUP($C42,'Phase GPA'!$C$29:'Phase GPA'!$U$44,11,0)), ,VLOOKUP($C42,'Phase GPA'!$C$29:'Phase GPA'!$U$44,11,0)),0)))</f>
        <v/>
      </c>
      <c r="H42" s="45" t="str">
        <f>IF($C42="/","",IF($C42="","",IFERROR(IF(ISNA(VLOOKUP($C42,'Phase GPA'!$C$29:'Phase GPA'!$U$44,12,0)), ,VLOOKUP($C42,'Phase GPA'!$C$29:'Phase GPA'!$U$44,12,0)),0)))</f>
        <v/>
      </c>
      <c r="I42" s="45" t="str">
        <f>IF($C42="/","",IF($C42="","",IFERROR(IF(ISNA($H42/VLOOKUP($C42,Données!$C$19:'Données'!$I$38,5,0)), ,$H42/VLOOKUP($C42,Données!$C$19:'Données'!$I$38,5,0))*100,0)))</f>
        <v/>
      </c>
      <c r="J42" s="45" t="str">
        <f>IF($C42="/","",IF($C42="","",IFERROR(IF(ISNA($H42/VLOOKUP($C42,Données!$C$19:'Données'!$I$38,6,0)), ,$H42/VLOOKUP($C42,Données!$C$19:'Données'!$I$38,6,0)),"/")))</f>
        <v/>
      </c>
      <c r="K42" s="45" t="str">
        <f>IF($C42="/","",IF($C42="","",IFERROR(IF(ISNA($H42/VLOOKUP($C42,Données!$C$19:'Données'!$I$38,7,0)*100), ,$H42/VLOOKUP($C42,Données!$C$19:'Données'!$I$38,7,0)*100),"/")))</f>
        <v/>
      </c>
      <c r="L42" s="46" t="str">
        <f t="shared" si="0"/>
        <v/>
      </c>
      <c r="M42" s="13"/>
      <c r="N42" s="12"/>
      <c r="O42" s="3"/>
      <c r="P42" s="16"/>
      <c r="Q42" s="1"/>
      <c r="R42" s="1"/>
      <c r="S42" s="55">
        <f>IF($C42="","",IFERROR(IF(ISNA(VLOOKUP($C42,Données!$C$19:'Données'!$I$38,6,0)), ,VLOOKUP($C42,Données!$C$19:'Données'!$I$38,6,0)),"/"))</f>
        <v>0</v>
      </c>
      <c r="T42" s="55">
        <f>IF($C42="","",IFERROR(IF(ISNA(VLOOKUP($C42,Données!$C$19:'Données'!$I$38,7,0)), ,VLOOKUP($C42,Données!$C$19:'Données'!$I$38,7,0)),"/"))</f>
        <v>0</v>
      </c>
      <c r="U42" s="55">
        <f>IF($C42="","",IFERROR(IF(ISNA(VLOOKUP($C42,Données!$C$19:'Données'!$I$38,5,0)), ,VLOOKUP($C42,Données!$C$19:'Données'!$I$38,5,0)),"/"))</f>
        <v>0</v>
      </c>
      <c r="V42" s="55" t="str">
        <f t="shared" si="1"/>
        <v>/</v>
      </c>
    </row>
    <row r="43" spans="1:22" ht="50.1" customHeight="1" x14ac:dyDescent="0.25">
      <c r="A43" s="1"/>
      <c r="B43" s="1"/>
      <c r="C43" s="88" t="str">
        <f>IF('Phase GPA'!$AT43="OF",'Phase GPA'!$C43,"/")</f>
        <v>/</v>
      </c>
      <c r="D43" s="42" t="str">
        <f>IF($C43="/","",IF($C43="","",IFERROR(IF(ISNA(VLOOKUP($C43,'Phase GPA'!$C$29:'Phase GPA'!$U$44,10,0)), ,VLOOKUP($C43,'Phase GPA'!$C$29:'Phase GPA'!$U$44,10,0)),0)))</f>
        <v/>
      </c>
      <c r="E43" s="43" t="str">
        <f>IF($C43="/","",IF($C43="","",IFERROR(IF(ISNA($D43/VLOOKUP($C43,Données!$C$19:'Données'!$I$38,6,0)), ,$D43/VLOOKUP($C43,Données!$C$19:'Données'!$I$38,6,0)),"/")))</f>
        <v/>
      </c>
      <c r="F43" s="43" t="str">
        <f>IF($C43="/","",IF($C43="","",IFERROR(IF(ISNA($D43/VLOOKUP($C43,Données!$C$19:'Données'!$I$38,7,0)*100), ,$D43/VLOOKUP($C43,Données!$C$19:'Données'!$I$38,7,0)*100),"/")))</f>
        <v/>
      </c>
      <c r="G43" s="42" t="str">
        <f>IF($C43="/","",IF($C43="","",IFERROR(IF(ISNA(VLOOKUP($C43,'Phase GPA'!$C$29:'Phase GPA'!$U$44,11,0)), ,VLOOKUP($C43,'Phase GPA'!$C$29:'Phase GPA'!$U$44,11,0)),0)))</f>
        <v/>
      </c>
      <c r="H43" s="45" t="str">
        <f>IF($C43="/","",IF($C43="","",IFERROR(IF(ISNA(VLOOKUP($C43,'Phase GPA'!$C$29:'Phase GPA'!$U$44,12,0)), ,VLOOKUP($C43,'Phase GPA'!$C$29:'Phase GPA'!$U$44,12,0)),0)))</f>
        <v/>
      </c>
      <c r="I43" s="45" t="str">
        <f>IF($C43="/","",IF($C43="","",IFERROR(IF(ISNA($H43/VLOOKUP($C43,Données!$C$19:'Données'!$I$38,5,0)), ,$H43/VLOOKUP($C43,Données!$C$19:'Données'!$I$38,5,0))*100,0)))</f>
        <v/>
      </c>
      <c r="J43" s="45" t="str">
        <f>IF($C43="/","",IF($C43="","",IFERROR(IF(ISNA($H43/VLOOKUP($C43,Données!$C$19:'Données'!$I$38,6,0)), ,$H43/VLOOKUP($C43,Données!$C$19:'Données'!$I$38,6,0)),"/")))</f>
        <v/>
      </c>
      <c r="K43" s="45" t="str">
        <f>IF($C43="/","",IF($C43="","",IFERROR(IF(ISNA($H43/VLOOKUP($C43,Données!$C$19:'Données'!$I$38,7,0)*100), ,$H43/VLOOKUP($C43,Données!$C$19:'Données'!$I$38,7,0)*100),"/")))</f>
        <v/>
      </c>
      <c r="L43" s="46" t="str">
        <f t="shared" si="0"/>
        <v/>
      </c>
      <c r="M43" s="13"/>
      <c r="N43" s="12"/>
      <c r="O43" s="3"/>
      <c r="P43" s="16"/>
      <c r="Q43" s="1"/>
      <c r="R43" s="1"/>
      <c r="S43" s="55">
        <f>IF($C43="","",IFERROR(IF(ISNA(VLOOKUP($C43,Données!$C$19:'Données'!$I$38,6,0)), ,VLOOKUP($C43,Données!$C$19:'Données'!$I$38,6,0)),"/"))</f>
        <v>0</v>
      </c>
      <c r="T43" s="55">
        <f>IF($C43="","",IFERROR(IF(ISNA(VLOOKUP($C43,Données!$C$19:'Données'!$I$38,7,0)), ,VLOOKUP($C43,Données!$C$19:'Données'!$I$38,7,0)),"/"))</f>
        <v>0</v>
      </c>
      <c r="U43" s="55">
        <f>IF($C43="","",IFERROR(IF(ISNA(VLOOKUP($C43,Données!$C$19:'Données'!$I$38,5,0)), ,VLOOKUP($C43,Données!$C$19:'Données'!$I$38,5,0)),"/"))</f>
        <v>0</v>
      </c>
      <c r="V43" s="55" t="str">
        <f t="shared" si="1"/>
        <v>/</v>
      </c>
    </row>
    <row r="44" spans="1:22" ht="50.1" customHeight="1" x14ac:dyDescent="0.25">
      <c r="A44" s="1"/>
      <c r="B44" s="1"/>
      <c r="C44" s="57" t="s">
        <v>50</v>
      </c>
      <c r="D44" s="58">
        <f>SUM(D29:D43)</f>
        <v>0</v>
      </c>
      <c r="E44" s="60" t="str">
        <f>IF(S44=0,"/",D44/S44)</f>
        <v>/</v>
      </c>
      <c r="F44" s="60" t="str">
        <f>IF(T44=0,"/",D44/T44*100)</f>
        <v>/</v>
      </c>
      <c r="G44" s="58">
        <f>IFERROR(V44/D44,0)</f>
        <v>0</v>
      </c>
      <c r="H44" s="66">
        <f>SUM(H29:H43)</f>
        <v>0</v>
      </c>
      <c r="I44" s="66">
        <f>IFERROR(H44/U44*100,0)</f>
        <v>0</v>
      </c>
      <c r="J44" s="66" t="str">
        <f>IF(S44=0,"/",H44/S44)</f>
        <v>/</v>
      </c>
      <c r="K44" s="60" t="str">
        <f>IF(T44=0,"/",H44/T44*100)</f>
        <v>/</v>
      </c>
      <c r="L44" s="67">
        <f>IFERROR(H44/D44,0)</f>
        <v>0</v>
      </c>
      <c r="M44" s="68"/>
      <c r="N44" s="69"/>
      <c r="O44" s="3"/>
      <c r="P44" s="16"/>
      <c r="Q44" s="1"/>
      <c r="R44" s="1"/>
      <c r="S44" s="56">
        <f>SUM(S29:S43)</f>
        <v>0</v>
      </c>
      <c r="T44" s="56">
        <f>SUM(T29:T43)</f>
        <v>0</v>
      </c>
      <c r="U44" s="56">
        <f>SUM(U29:U43)</f>
        <v>0</v>
      </c>
      <c r="V44" s="39">
        <f>SUM(V29:V43)</f>
        <v>0</v>
      </c>
    </row>
    <row r="45" spans="1:22" ht="15" customHeight="1" x14ac:dyDescent="0.25">
      <c r="A45" s="1"/>
      <c r="B45" s="1"/>
      <c r="C45" s="10"/>
      <c r="D45" s="10"/>
      <c r="E45" s="10"/>
      <c r="F45" s="10"/>
      <c r="G45" s="10"/>
      <c r="H45" s="10"/>
      <c r="I45" s="10"/>
      <c r="J45" s="10"/>
      <c r="K45" s="10"/>
      <c r="L45" s="10"/>
      <c r="M45" s="10"/>
      <c r="N45" s="10"/>
      <c r="O45" s="11"/>
      <c r="P45" s="4"/>
      <c r="Q45" s="1"/>
      <c r="R45" s="1"/>
    </row>
    <row r="46" spans="1:22" ht="15" customHeight="1" x14ac:dyDescent="0.25">
      <c r="A46" s="1"/>
      <c r="B46" s="1"/>
      <c r="C46" s="5"/>
      <c r="D46" s="10"/>
      <c r="E46" s="10"/>
      <c r="F46" s="10"/>
      <c r="G46" s="10"/>
      <c r="H46" s="10"/>
      <c r="I46" s="10"/>
      <c r="J46" s="10"/>
      <c r="K46" s="10"/>
      <c r="L46" s="10"/>
      <c r="M46" s="10"/>
      <c r="N46" s="10"/>
      <c r="O46" s="11"/>
      <c r="P46" s="30"/>
      <c r="Q46" s="1"/>
      <c r="R46" s="1"/>
    </row>
    <row r="47" spans="1:22" ht="15" customHeight="1" x14ac:dyDescent="0.25">
      <c r="A47" s="1"/>
      <c r="B47" s="1"/>
      <c r="C47" s="5"/>
      <c r="D47" s="10"/>
      <c r="E47" s="10"/>
      <c r="F47" s="10"/>
      <c r="G47" s="10"/>
      <c r="H47" s="10"/>
      <c r="I47" s="10"/>
      <c r="J47" s="10"/>
      <c r="K47" s="10"/>
      <c r="L47" s="10"/>
      <c r="M47" s="10"/>
      <c r="N47" s="10"/>
      <c r="O47" s="11"/>
      <c r="P47" s="29"/>
      <c r="Q47" s="1"/>
      <c r="R47" s="1"/>
    </row>
    <row r="48" spans="1:22" ht="15" customHeight="1" x14ac:dyDescent="0.25">
      <c r="A48" s="1"/>
      <c r="B48" s="1"/>
      <c r="C48" s="10"/>
      <c r="D48" s="10"/>
      <c r="E48" s="10"/>
      <c r="F48" s="10"/>
      <c r="G48" s="10"/>
      <c r="H48" s="10"/>
      <c r="I48" s="10"/>
      <c r="J48" s="10"/>
      <c r="K48" s="10"/>
      <c r="L48" s="10"/>
      <c r="M48" s="10"/>
      <c r="N48" s="10"/>
      <c r="O48" s="11"/>
      <c r="P48" s="29"/>
      <c r="Q48" s="1"/>
      <c r="R48" s="1"/>
    </row>
    <row r="49" spans="1:19" ht="15" customHeight="1" x14ac:dyDescent="0.25">
      <c r="A49" s="1"/>
      <c r="B49" s="1"/>
      <c r="C49" s="6"/>
      <c r="D49" s="6"/>
      <c r="E49" s="10"/>
      <c r="F49" s="10"/>
      <c r="G49" s="10"/>
      <c r="H49" s="10"/>
      <c r="I49" s="10"/>
      <c r="J49" s="10"/>
      <c r="K49" s="10"/>
      <c r="L49" s="10"/>
      <c r="M49" s="10"/>
      <c r="N49" s="10"/>
      <c r="O49" s="11"/>
      <c r="P49" s="29"/>
      <c r="Q49" s="1"/>
      <c r="R49" s="1"/>
    </row>
    <row r="50" spans="1:19" ht="5.0999999999999996" customHeight="1" x14ac:dyDescent="0.25">
      <c r="A50" s="1"/>
      <c r="B50" s="1"/>
      <c r="C50" s="1"/>
      <c r="D50" s="1"/>
      <c r="E50" s="1"/>
      <c r="F50" s="1"/>
      <c r="G50" s="1"/>
      <c r="H50" s="1"/>
      <c r="I50" s="1"/>
      <c r="J50" s="1"/>
      <c r="K50" s="1"/>
      <c r="L50" s="1"/>
      <c r="M50" s="1"/>
      <c r="N50" s="1"/>
      <c r="O50" s="1"/>
      <c r="P50" s="1"/>
      <c r="Q50" s="1"/>
      <c r="R50" s="1"/>
      <c r="S50" s="1"/>
    </row>
    <row r="51" spans="1:19" x14ac:dyDescent="0.25">
      <c r="A51" s="1"/>
      <c r="B51" s="1"/>
      <c r="C51" s="1"/>
      <c r="D51" s="1"/>
      <c r="E51" s="1"/>
      <c r="F51" s="1"/>
      <c r="G51" s="1"/>
      <c r="H51" s="1"/>
      <c r="I51" s="1"/>
      <c r="J51" s="1"/>
      <c r="K51" s="1"/>
      <c r="L51" s="1"/>
      <c r="M51" s="1"/>
      <c r="N51" s="1"/>
      <c r="O51" s="1"/>
      <c r="P51" s="1"/>
      <c r="Q51" s="1"/>
      <c r="R51" s="1"/>
      <c r="S51" s="1"/>
    </row>
  </sheetData>
  <sheetProtection algorithmName="SHA-512" hashValue="WSvXaq+vUfULMJhkoR7ry39AvgXS9Hfeqw2s2hiirI9pCxbrseOBrhQ7OE0e4tJOpsWuYb25C2dZC/jvUhXFBg==" saltValue="jRuxgbDfY+gnlQCBgF37cA==" spinCount="100000" sheet="1" objects="1" scenarios="1"/>
  <protectedRanges>
    <protectedRange sqref="M29:N43" name="Plage2"/>
    <protectedRange sqref="P29:P44" name="Plage3"/>
  </protectedRanges>
  <mergeCells count="13">
    <mergeCell ref="P25:P28"/>
    <mergeCell ref="I25:I28"/>
    <mergeCell ref="J25:J28"/>
    <mergeCell ref="K25:K28"/>
    <mergeCell ref="L25:L28"/>
    <mergeCell ref="M25:M28"/>
    <mergeCell ref="N25:N28"/>
    <mergeCell ref="H25:H28"/>
    <mergeCell ref="C25:C28"/>
    <mergeCell ref="D25:D28"/>
    <mergeCell ref="E25:E28"/>
    <mergeCell ref="F25:F28"/>
    <mergeCell ref="G25:G28"/>
  </mergeCells>
  <conditionalFormatting sqref="G44">
    <cfRule type="cellIs" dxfId="29" priority="11" operator="lessThanOrEqual">
      <formula>15</formula>
    </cfRule>
    <cfRule type="cellIs" dxfId="28" priority="13" operator="greaterThan">
      <formula>15</formula>
    </cfRule>
  </conditionalFormatting>
  <conditionalFormatting sqref="E44">
    <cfRule type="cellIs" dxfId="27" priority="12" operator="lessThanOrEqual">
      <formula>1</formula>
    </cfRule>
    <cfRule type="containsText" dxfId="26" priority="14" operator="containsText" text="/">
      <formula>NOT(ISERROR(SEARCH("/",E44)))</formula>
    </cfRule>
    <cfRule type="cellIs" dxfId="25" priority="15" operator="greaterThan">
      <formula>1</formula>
    </cfRule>
  </conditionalFormatting>
  <conditionalFormatting sqref="G29">
    <cfRule type="cellIs" dxfId="24" priority="6" operator="lessThanOrEqual">
      <formula>15</formula>
    </cfRule>
    <cfRule type="cellIs" dxfId="23" priority="8" operator="greaterThan">
      <formula>15</formula>
    </cfRule>
  </conditionalFormatting>
  <conditionalFormatting sqref="E29">
    <cfRule type="cellIs" dxfId="22" priority="7" operator="lessThanOrEqual">
      <formula>1</formula>
    </cfRule>
    <cfRule type="containsText" dxfId="21" priority="9" operator="containsText" text="/">
      <formula>NOT(ISERROR(SEARCH("/",E29)))</formula>
    </cfRule>
    <cfRule type="cellIs" dxfId="20" priority="10" operator="greaterThan">
      <formula>1</formula>
    </cfRule>
  </conditionalFormatting>
  <conditionalFormatting sqref="G30:G43">
    <cfRule type="cellIs" dxfId="19" priority="1" operator="lessThanOrEqual">
      <formula>15</formula>
    </cfRule>
    <cfRule type="cellIs" dxfId="18" priority="3" operator="greaterThan">
      <formula>15</formula>
    </cfRule>
  </conditionalFormatting>
  <conditionalFormatting sqref="E30:E43">
    <cfRule type="cellIs" dxfId="17" priority="2" operator="lessThanOrEqual">
      <formula>1</formula>
    </cfRule>
    <cfRule type="containsText" dxfId="16" priority="4" operator="containsText" text="/">
      <formula>NOT(ISERROR(SEARCH("/",E30)))</formula>
    </cfRule>
    <cfRule type="cellIs" dxfId="15" priority="5" operator="greaterThan">
      <formula>1</formula>
    </cfRule>
  </conditionalFormatting>
  <dataValidations count="1">
    <dataValidation type="list" allowBlank="1" showInputMessage="1" showErrorMessage="1" sqref="C45">
      <formula1>#REF!</formula1>
    </dataValidation>
  </dataValidations>
  <printOptions horizontalCentered="1" verticalCentered="1"/>
  <pageMargins left="0" right="0" top="0" bottom="1.3779527559055118" header="0.31496062992125984" footer="0.31496062992125984"/>
  <pageSetup paperSize="8" scale="58" orientation="landscape" r:id="rId1"/>
  <headerFooter>
    <oddFooter>&amp;C&amp;G</oddFooter>
  </headerFooter>
  <drawing r:id="rId2"/>
  <legacyDrawing r:id="rId3"/>
  <legacyDrawingHF r:id="rId4"/>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pageSetUpPr fitToPage="1"/>
  </sheetPr>
  <dimension ref="A1:V51"/>
  <sheetViews>
    <sheetView showGridLines="0" zoomScaleNormal="100" workbookViewId="0"/>
  </sheetViews>
  <sheetFormatPr baseColWidth="10" defaultColWidth="11.42578125" defaultRowHeight="15" x14ac:dyDescent="0.25"/>
  <cols>
    <col min="1" max="2" width="0.85546875" customWidth="1"/>
    <col min="3" max="3" width="55.7109375" customWidth="1"/>
    <col min="4" max="14" width="15.7109375" customWidth="1"/>
    <col min="15" max="15" width="1.7109375" customWidth="1"/>
    <col min="16" max="16" width="104.7109375" customWidth="1"/>
    <col min="17" max="18" width="0.85546875" customWidth="1"/>
  </cols>
  <sheetData>
    <row r="1" spans="1:19" ht="5.0999999999999996" customHeight="1" x14ac:dyDescent="0.25">
      <c r="A1" s="1"/>
      <c r="B1" s="1"/>
      <c r="C1" s="1"/>
      <c r="D1" s="1"/>
      <c r="E1" s="1"/>
      <c r="F1" s="1"/>
      <c r="G1" s="1"/>
      <c r="H1" s="1"/>
      <c r="I1" s="1"/>
      <c r="J1" s="1"/>
      <c r="K1" s="1"/>
      <c r="L1" s="1"/>
      <c r="M1" s="1"/>
      <c r="N1" s="1"/>
      <c r="O1" s="1"/>
      <c r="P1" s="1"/>
      <c r="Q1" s="1"/>
      <c r="R1" s="1"/>
    </row>
    <row r="2" spans="1:19" x14ac:dyDescent="0.25">
      <c r="A2" s="1"/>
      <c r="B2" s="1"/>
      <c r="C2" s="7"/>
      <c r="D2" s="7"/>
      <c r="E2" s="7"/>
      <c r="F2" s="7"/>
      <c r="G2" s="7"/>
      <c r="H2" s="7"/>
      <c r="I2" s="7"/>
      <c r="J2" s="7"/>
      <c r="K2" s="7"/>
      <c r="L2" s="7"/>
      <c r="M2" s="7"/>
      <c r="N2" s="7"/>
      <c r="O2" s="7"/>
      <c r="P2" s="7"/>
      <c r="Q2" s="7"/>
      <c r="R2" s="7"/>
      <c r="S2" s="8"/>
    </row>
    <row r="3" spans="1:19" x14ac:dyDescent="0.25">
      <c r="A3" s="1"/>
      <c r="B3" s="1"/>
      <c r="C3" s="7"/>
      <c r="D3" s="7"/>
      <c r="E3" s="7"/>
      <c r="F3" s="7"/>
      <c r="G3" s="7"/>
      <c r="H3" s="7"/>
      <c r="I3" s="7"/>
      <c r="J3" s="7"/>
      <c r="K3" s="7"/>
      <c r="L3" s="7"/>
      <c r="M3" s="7"/>
      <c r="N3" s="7"/>
      <c r="O3" s="7"/>
      <c r="P3" s="7"/>
      <c r="Q3" s="7"/>
      <c r="R3" s="7"/>
      <c r="S3" s="8"/>
    </row>
    <row r="4" spans="1:19" x14ac:dyDescent="0.25">
      <c r="A4" s="1"/>
      <c r="B4" s="1"/>
      <c r="C4" s="7"/>
      <c r="D4" s="7"/>
      <c r="E4" s="7"/>
      <c r="F4" s="7"/>
      <c r="G4" s="7"/>
      <c r="H4" s="7"/>
      <c r="I4" s="7"/>
      <c r="J4" s="7"/>
      <c r="K4" s="7"/>
      <c r="L4" s="7"/>
      <c r="M4" s="7"/>
      <c r="N4" s="7"/>
      <c r="O4" s="7"/>
      <c r="P4" s="7"/>
      <c r="Q4" s="7"/>
      <c r="R4" s="7"/>
      <c r="S4" s="8"/>
    </row>
    <row r="5" spans="1:19" x14ac:dyDescent="0.25">
      <c r="A5" s="1"/>
      <c r="B5" s="1"/>
      <c r="C5" s="7"/>
      <c r="D5" s="7"/>
      <c r="E5" s="7"/>
      <c r="F5" s="7"/>
      <c r="G5" s="7"/>
      <c r="H5" s="7"/>
      <c r="I5" s="7"/>
      <c r="J5" s="7"/>
      <c r="K5" s="7"/>
      <c r="L5" s="7"/>
      <c r="M5" s="7"/>
      <c r="N5" s="7"/>
      <c r="O5" s="7"/>
      <c r="P5" s="7"/>
      <c r="Q5" s="7"/>
      <c r="R5" s="7"/>
      <c r="S5" s="8"/>
    </row>
    <row r="6" spans="1:19" x14ac:dyDescent="0.25">
      <c r="A6" s="1"/>
      <c r="B6" s="1"/>
      <c r="C6" s="7"/>
      <c r="D6" s="7"/>
      <c r="E6" s="7"/>
      <c r="F6" s="7"/>
      <c r="G6" s="7"/>
      <c r="H6" s="7"/>
      <c r="I6" s="7"/>
      <c r="J6" s="7"/>
      <c r="K6" s="7"/>
      <c r="L6" s="7"/>
      <c r="M6" s="7"/>
      <c r="N6" s="7"/>
      <c r="O6" s="7"/>
      <c r="P6" s="7"/>
      <c r="Q6" s="7"/>
      <c r="R6" s="7"/>
      <c r="S6" s="8"/>
    </row>
    <row r="7" spans="1:19" x14ac:dyDescent="0.25">
      <c r="A7" s="1"/>
      <c r="B7" s="1"/>
      <c r="C7" s="7"/>
      <c r="D7" s="7"/>
      <c r="E7" s="7"/>
      <c r="F7" s="7"/>
      <c r="G7" s="7"/>
      <c r="H7" s="7"/>
      <c r="I7" s="7"/>
      <c r="J7" s="7"/>
      <c r="K7" s="7"/>
      <c r="L7" s="7"/>
      <c r="M7" s="7"/>
      <c r="N7" s="7"/>
      <c r="O7" s="7"/>
      <c r="P7" s="7"/>
      <c r="Q7" s="7"/>
      <c r="R7" s="7"/>
      <c r="S7" s="8"/>
    </row>
    <row r="8" spans="1:19" x14ac:dyDescent="0.25">
      <c r="A8" s="1"/>
      <c r="B8" s="1"/>
      <c r="C8" s="7"/>
      <c r="D8" s="7"/>
      <c r="E8" s="7"/>
      <c r="F8" s="7"/>
      <c r="G8" s="7"/>
      <c r="H8" s="7"/>
      <c r="I8" s="7"/>
      <c r="J8" s="7"/>
      <c r="K8" s="7"/>
      <c r="L8" s="7"/>
      <c r="M8" s="7"/>
      <c r="N8" s="7"/>
      <c r="O8" s="7"/>
      <c r="P8" s="7"/>
      <c r="Q8" s="7"/>
      <c r="R8" s="7"/>
      <c r="S8" s="8"/>
    </row>
    <row r="9" spans="1:19" x14ac:dyDescent="0.25">
      <c r="A9" s="1"/>
      <c r="B9" s="1"/>
      <c r="C9" s="7"/>
      <c r="D9" s="7"/>
      <c r="E9" s="7"/>
      <c r="F9" s="7"/>
      <c r="G9" s="7"/>
      <c r="H9" s="7"/>
      <c r="I9" s="7"/>
      <c r="J9" s="7"/>
      <c r="K9" s="7"/>
      <c r="L9" s="7"/>
      <c r="M9" s="7"/>
      <c r="N9" s="7"/>
      <c r="O9" s="7"/>
      <c r="P9" s="7"/>
      <c r="Q9" s="7"/>
      <c r="R9" s="7"/>
      <c r="S9" s="8"/>
    </row>
    <row r="10" spans="1:19" x14ac:dyDescent="0.25">
      <c r="A10" s="1"/>
      <c r="B10" s="1"/>
      <c r="C10" s="7"/>
      <c r="D10" s="7"/>
      <c r="E10" s="7"/>
      <c r="F10" s="7"/>
      <c r="G10" s="7"/>
      <c r="H10" s="7"/>
      <c r="I10" s="7"/>
      <c r="J10" s="7"/>
      <c r="K10" s="7"/>
      <c r="L10" s="7"/>
      <c r="M10" s="7"/>
      <c r="N10" s="7"/>
      <c r="O10" s="7"/>
      <c r="P10" s="7"/>
      <c r="Q10" s="7"/>
      <c r="R10" s="7"/>
      <c r="S10" s="8"/>
    </row>
    <row r="20" spans="1:22" x14ac:dyDescent="0.25">
      <c r="A20" s="1"/>
      <c r="B20" s="1"/>
      <c r="C20" s="4"/>
      <c r="D20" s="4"/>
      <c r="E20" s="4"/>
      <c r="F20" s="4"/>
      <c r="G20" s="4"/>
      <c r="H20" s="4"/>
      <c r="I20" s="4"/>
      <c r="J20" s="4"/>
      <c r="K20" s="4"/>
      <c r="L20" s="4"/>
      <c r="M20" s="4"/>
      <c r="N20" s="4"/>
      <c r="O20" s="4"/>
      <c r="P20" s="4"/>
      <c r="Q20" s="1"/>
      <c r="R20" s="1"/>
      <c r="S20" s="1"/>
    </row>
    <row r="21" spans="1:22" x14ac:dyDescent="0.25">
      <c r="A21" s="1"/>
      <c r="B21" s="1"/>
      <c r="C21" s="4"/>
      <c r="D21" s="4"/>
      <c r="E21" s="4"/>
      <c r="F21" s="4"/>
      <c r="G21" s="4"/>
      <c r="H21" s="4"/>
      <c r="I21" s="4"/>
      <c r="J21" s="4"/>
      <c r="K21" s="4"/>
      <c r="L21" s="4"/>
      <c r="M21" s="4"/>
      <c r="N21" s="4"/>
      <c r="O21" s="4"/>
      <c r="P21" s="4"/>
      <c r="Q21" s="1"/>
      <c r="R21" s="1"/>
      <c r="S21" s="1"/>
    </row>
    <row r="22" spans="1:22" x14ac:dyDescent="0.25">
      <c r="A22" s="1"/>
      <c r="B22" s="1"/>
      <c r="C22" s="4"/>
      <c r="D22" s="4"/>
      <c r="E22" s="4"/>
      <c r="F22" s="4"/>
      <c r="G22" s="4"/>
      <c r="H22" s="4"/>
      <c r="I22" s="4"/>
      <c r="J22" s="4"/>
      <c r="K22" s="4"/>
      <c r="L22" s="4"/>
      <c r="M22" s="4"/>
      <c r="N22" s="4"/>
      <c r="O22" s="4"/>
      <c r="P22" s="4"/>
      <c r="Q22" s="1"/>
      <c r="R22" s="1"/>
      <c r="S22" s="1"/>
    </row>
    <row r="23" spans="1:22" x14ac:dyDescent="0.25">
      <c r="A23" s="1"/>
      <c r="B23" s="1"/>
      <c r="C23" s="4"/>
      <c r="D23" s="4"/>
      <c r="E23" s="4"/>
      <c r="F23" s="4"/>
      <c r="G23" s="4"/>
      <c r="H23" s="4"/>
      <c r="I23" s="4"/>
      <c r="J23" s="4"/>
      <c r="K23" s="4"/>
      <c r="L23" s="4"/>
      <c r="M23" s="4"/>
      <c r="N23" s="4"/>
      <c r="O23" s="4"/>
      <c r="P23" s="4"/>
      <c r="Q23" s="1"/>
      <c r="R23" s="1"/>
      <c r="S23" s="1"/>
    </row>
    <row r="24" spans="1:22" x14ac:dyDescent="0.25">
      <c r="A24" s="1"/>
      <c r="B24" s="1"/>
      <c r="C24" s="4"/>
      <c r="D24" s="4"/>
      <c r="E24" s="4"/>
      <c r="F24" s="4"/>
      <c r="G24" s="4"/>
      <c r="H24" s="4"/>
      <c r="I24" s="4"/>
      <c r="J24" s="4"/>
      <c r="K24" s="4"/>
      <c r="L24" s="4"/>
      <c r="M24" s="4"/>
      <c r="N24" s="4"/>
      <c r="O24" s="4"/>
      <c r="P24" s="4"/>
      <c r="Q24" s="1"/>
      <c r="R24" s="1"/>
      <c r="S24" s="1"/>
    </row>
    <row r="25" spans="1:22" ht="15" customHeight="1" x14ac:dyDescent="0.25">
      <c r="A25" s="1"/>
      <c r="B25" s="1"/>
      <c r="C25" s="154" t="s">
        <v>7</v>
      </c>
      <c r="D25" s="154" t="s">
        <v>13</v>
      </c>
      <c r="E25" s="154" t="s">
        <v>22</v>
      </c>
      <c r="F25" s="154" t="s">
        <v>73</v>
      </c>
      <c r="G25" s="154" t="s">
        <v>31</v>
      </c>
      <c r="H25" s="154" t="s">
        <v>14</v>
      </c>
      <c r="I25" s="154" t="s">
        <v>20</v>
      </c>
      <c r="J25" s="154" t="s">
        <v>23</v>
      </c>
      <c r="K25" s="154" t="s">
        <v>74</v>
      </c>
      <c r="L25" s="154" t="s">
        <v>15</v>
      </c>
      <c r="M25" s="125" t="s">
        <v>16</v>
      </c>
      <c r="N25" s="125" t="s">
        <v>38</v>
      </c>
      <c r="O25" s="2"/>
      <c r="P25" s="125" t="s">
        <v>43</v>
      </c>
      <c r="Q25" s="1"/>
      <c r="R25" s="1"/>
    </row>
    <row r="26" spans="1:22" x14ac:dyDescent="0.25">
      <c r="A26" s="1"/>
      <c r="B26" s="1"/>
      <c r="C26" s="155"/>
      <c r="D26" s="155"/>
      <c r="E26" s="155"/>
      <c r="F26" s="155"/>
      <c r="G26" s="155"/>
      <c r="H26" s="155"/>
      <c r="I26" s="155"/>
      <c r="J26" s="155"/>
      <c r="K26" s="155"/>
      <c r="L26" s="155"/>
      <c r="M26" s="126"/>
      <c r="N26" s="126"/>
      <c r="O26" s="2"/>
      <c r="P26" s="126"/>
      <c r="Q26" s="1"/>
      <c r="R26" s="1"/>
    </row>
    <row r="27" spans="1:22" ht="15" customHeight="1" x14ac:dyDescent="0.25">
      <c r="A27" s="1"/>
      <c r="B27" s="1"/>
      <c r="C27" s="155"/>
      <c r="D27" s="155"/>
      <c r="E27" s="155"/>
      <c r="F27" s="155"/>
      <c r="G27" s="155"/>
      <c r="H27" s="155"/>
      <c r="I27" s="155"/>
      <c r="J27" s="155"/>
      <c r="K27" s="155"/>
      <c r="L27" s="155"/>
      <c r="M27" s="126"/>
      <c r="N27" s="126"/>
      <c r="O27" s="9"/>
      <c r="P27" s="126"/>
      <c r="Q27" s="1"/>
      <c r="R27" s="1"/>
    </row>
    <row r="28" spans="1:22" x14ac:dyDescent="0.25">
      <c r="A28" s="1"/>
      <c r="B28" s="1"/>
      <c r="C28" s="156"/>
      <c r="D28" s="156"/>
      <c r="E28" s="156"/>
      <c r="F28" s="156"/>
      <c r="G28" s="156"/>
      <c r="H28" s="156"/>
      <c r="I28" s="156"/>
      <c r="J28" s="156"/>
      <c r="K28" s="156"/>
      <c r="L28" s="156"/>
      <c r="M28" s="127"/>
      <c r="N28" s="127"/>
      <c r="O28" s="9"/>
      <c r="P28" s="127"/>
      <c r="Q28" s="1"/>
      <c r="R28" s="1"/>
    </row>
    <row r="29" spans="1:22" ht="50.1" customHeight="1" x14ac:dyDescent="0.25">
      <c r="A29" s="1"/>
      <c r="B29" s="1"/>
      <c r="C29" s="88" t="str">
        <f>IF('Phase GPA'!$AT29="IE",'Phase GPA'!$C29,"/")</f>
        <v>/</v>
      </c>
      <c r="D29" s="42" t="str">
        <f>IF($C29="/","",IF($C29="","",IFERROR(IF(ISNA(VLOOKUP($C29,'Phase GPA'!$C$29:'Phase GPA'!$U$44,10,0)), ,VLOOKUP($C29,'Phase GPA'!$C$29:'Phase GPA'!$U$44,10,0)),0)))</f>
        <v/>
      </c>
      <c r="E29" s="43" t="str">
        <f>IF($C29="/","",IF($C29="","",IFERROR(IF(ISNA($D29/VLOOKUP($C29,Données!$C$19:'Données'!$I$38,6,0)), ,$D29/VLOOKUP($C29,Données!$C$19:'Données'!$I$38,6,0)),"/")))</f>
        <v/>
      </c>
      <c r="F29" s="43" t="str">
        <f>IF($C29="/","",IF($C29="","",IFERROR(IF(ISNA($D29/VLOOKUP($C29,Données!$C$19:'Données'!$I$38,7,0)*100), ,$D29/VLOOKUP($C29,Données!$C$19:'Données'!$I$38,7,0)*100),"/")))</f>
        <v/>
      </c>
      <c r="G29" s="42" t="str">
        <f>IF($C29="/","",IF($C29="","",IFERROR(IF(ISNA(VLOOKUP($C29,'Phase GPA'!$C$29:'Phase GPA'!$U$44,11,0)), ,VLOOKUP($C29,'Phase GPA'!$C$29:'Phase GPA'!$U$44,11,0)),0)))</f>
        <v/>
      </c>
      <c r="H29" s="45" t="str">
        <f>IF($C29="/","",IF($C29="","",IFERROR(IF(ISNA(VLOOKUP($C29,'Phase GPA'!$C$29:'Phase GPA'!$U$44,12,0)), ,VLOOKUP($C29,'Phase GPA'!$C$29:'Phase GPA'!$U$44,12,0)),0)))</f>
        <v/>
      </c>
      <c r="I29" s="45" t="str">
        <f>IF($C29="/","",IF($C29="","",IFERROR(IF(ISNA($H29/VLOOKUP($C29,Données!$C$19:'Données'!$I$38,5,0)), ,$H29/VLOOKUP($C29,Données!$C$19:'Données'!$I$38,5,0))*100,0)))</f>
        <v/>
      </c>
      <c r="J29" s="45" t="str">
        <f>IF($C29="/","",IF($C29="","",IFERROR(IF(ISNA($H29/VLOOKUP($C29,Données!$C$19:'Données'!$I$38,6,0)), ,$H29/VLOOKUP($C29,Données!$C$19:'Données'!$I$38,6,0)),"/")))</f>
        <v/>
      </c>
      <c r="K29" s="45" t="str">
        <f>IF($C29="/","",IF($C29="","",IFERROR(IF(ISNA($H29/VLOOKUP($C29,Données!$C$19:'Données'!$I$38,7,0)*100), ,$H29/VLOOKUP($C29,Données!$C$19:'Données'!$I$38,7,0)*100),"/")))</f>
        <v/>
      </c>
      <c r="L29" s="46" t="str">
        <f>IF($C29="/","",IF($D29=0,"/",IF($C29="","",IFERROR(($H29/$D29),0))))</f>
        <v/>
      </c>
      <c r="M29" s="13"/>
      <c r="N29" s="12"/>
      <c r="O29" s="3"/>
      <c r="P29" s="16"/>
      <c r="Q29" s="1"/>
      <c r="R29" s="1"/>
      <c r="S29" s="55">
        <f>IF($C29="","",IFERROR(IF(ISNA(VLOOKUP($C29,Données!$C$19:'Données'!$I$38,6,0)), ,VLOOKUP($C29,Données!$C$19:'Données'!$I$38,6,0)),"/"))</f>
        <v>0</v>
      </c>
      <c r="T29" s="55">
        <f>IF($C29="","",IFERROR(IF(ISNA(VLOOKUP($C29,Données!$C$19:'Données'!$I$38,7,0)), ,VLOOKUP($C29,Données!$C$19:'Données'!$I$38,7,0)),"/"))</f>
        <v>0</v>
      </c>
      <c r="U29" s="55">
        <f>IF($C29="","",IFERROR(IF(ISNA(VLOOKUP($C29,Données!$C$19:'Données'!$I$38,5,0)), ,VLOOKUP($C29,Données!$C$19:'Données'!$I$38,5,0)),"/"))</f>
        <v>0</v>
      </c>
      <c r="V29" s="55" t="str">
        <f>IF($C29="","",IFERROR(IF(ISNA($D29*$G29), ,$D29*$G29),"/"))</f>
        <v>/</v>
      </c>
    </row>
    <row r="30" spans="1:22" ht="50.1" customHeight="1" x14ac:dyDescent="0.25">
      <c r="A30" s="1"/>
      <c r="B30" s="1"/>
      <c r="C30" s="88" t="str">
        <f>IF('Phase GPA'!$AT30="IE",'Phase GPA'!$C30,"/")</f>
        <v>/</v>
      </c>
      <c r="D30" s="42" t="str">
        <f>IF($C30="/","",IF($C30="","",IFERROR(IF(ISNA(VLOOKUP($C30,'Phase GPA'!$C$29:'Phase GPA'!$U$44,10,0)), ,VLOOKUP($C30,'Phase GPA'!$C$29:'Phase GPA'!$U$44,10,0)),0)))</f>
        <v/>
      </c>
      <c r="E30" s="43" t="str">
        <f>IF($C30="/","",IF($C30="","",IFERROR(IF(ISNA($D30/VLOOKUP($C30,Données!$C$19:'Données'!$I$38,6,0)), ,$D30/VLOOKUP($C30,Données!$C$19:'Données'!$I$38,6,0)),"/")))</f>
        <v/>
      </c>
      <c r="F30" s="43" t="str">
        <f>IF($C30="/","",IF($C30="","",IFERROR(IF(ISNA($D30/VLOOKUP($C30,Données!$C$19:'Données'!$I$38,7,0)*100), ,$D30/VLOOKUP($C30,Données!$C$19:'Données'!$I$38,7,0)*100),"/")))</f>
        <v/>
      </c>
      <c r="G30" s="42" t="str">
        <f>IF($C30="/","",IF($C30="","",IFERROR(IF(ISNA(VLOOKUP($C30,'Phase GPA'!$C$29:'Phase GPA'!$U$44,11,0)), ,VLOOKUP($C30,'Phase GPA'!$C$29:'Phase GPA'!$U$44,11,0)),0)))</f>
        <v/>
      </c>
      <c r="H30" s="45" t="str">
        <f>IF($C30="/","",IF($C30="","",IFERROR(IF(ISNA(VLOOKUP($C30,'Phase GPA'!$C$29:'Phase GPA'!$U$44,12,0)), ,VLOOKUP($C30,'Phase GPA'!$C$29:'Phase GPA'!$U$44,12,0)),0)))</f>
        <v/>
      </c>
      <c r="I30" s="45" t="str">
        <f>IF($C30="/","",IF($C30="","",IFERROR(IF(ISNA($H30/VLOOKUP($C30,Données!$C$19:'Données'!$I$38,5,0)), ,$H30/VLOOKUP($C30,Données!$C$19:'Données'!$I$38,5,0))*100,0)))</f>
        <v/>
      </c>
      <c r="J30" s="45" t="str">
        <f>IF($C30="/","",IF($C30="","",IFERROR(IF(ISNA($H30/VLOOKUP($C30,Données!$C$19:'Données'!$I$38,6,0)), ,$H30/VLOOKUP($C30,Données!$C$19:'Données'!$I$38,6,0)),"/")))</f>
        <v/>
      </c>
      <c r="K30" s="45" t="str">
        <f>IF($C30="/","",IF($C30="","",IFERROR(IF(ISNA($H30/VLOOKUP($C30,Données!$C$19:'Données'!$I$38,7,0)*100), ,$H30/VLOOKUP($C30,Données!$C$19:'Données'!$I$38,7,0)*100),"/")))</f>
        <v/>
      </c>
      <c r="L30" s="46" t="str">
        <f t="shared" ref="L30:L43" si="0">IF($C30="/","",IF($D30=0,"/",IF($C30="","",IFERROR(($H30/$D30),0))))</f>
        <v/>
      </c>
      <c r="M30" s="13"/>
      <c r="N30" s="12"/>
      <c r="O30" s="3"/>
      <c r="P30" s="16"/>
      <c r="Q30" s="1"/>
      <c r="R30" s="1"/>
      <c r="S30" s="55">
        <f>IF($C30="","",IFERROR(IF(ISNA(VLOOKUP($C30,Données!$C$19:'Données'!$I$38,6,0)), ,VLOOKUP($C30,Données!$C$19:'Données'!$I$38,6,0)),"/"))</f>
        <v>0</v>
      </c>
      <c r="T30" s="55">
        <f>IF($C30="","",IFERROR(IF(ISNA(VLOOKUP($C30,Données!$C$19:'Données'!$I$38,7,0)), ,VLOOKUP($C30,Données!$C$19:'Données'!$I$38,7,0)),"/"))</f>
        <v>0</v>
      </c>
      <c r="U30" s="55">
        <f>IF($C30="","",IFERROR(IF(ISNA(VLOOKUP($C30,Données!$C$19:'Données'!$I$38,5,0)), ,VLOOKUP($C30,Données!$C$19:'Données'!$I$38,5,0)),"/"))</f>
        <v>0</v>
      </c>
      <c r="V30" s="55" t="str">
        <f>IF($C30="","",IFERROR(IF(ISNA($D30*$G30), ,$D30*$G30),"/"))</f>
        <v>/</v>
      </c>
    </row>
    <row r="31" spans="1:22" ht="50.1" customHeight="1" x14ac:dyDescent="0.25">
      <c r="A31" s="1"/>
      <c r="B31" s="1"/>
      <c r="C31" s="88" t="str">
        <f>IF('Phase GPA'!$AT31="IE",'Phase GPA'!$C31,"/")</f>
        <v>/</v>
      </c>
      <c r="D31" s="42" t="str">
        <f>IF($C31="/","",IF($C31="","",IFERROR(IF(ISNA(VLOOKUP($C31,'Phase GPA'!$C$29:'Phase GPA'!$U$44,10,0)), ,VLOOKUP($C31,'Phase GPA'!$C$29:'Phase GPA'!$U$44,10,0)),0)))</f>
        <v/>
      </c>
      <c r="E31" s="43" t="str">
        <f>IF($C31="/","",IF($C31="","",IFERROR(IF(ISNA($D31/VLOOKUP($C31,Données!$C$19:'Données'!$I$38,6,0)), ,$D31/VLOOKUP($C31,Données!$C$19:'Données'!$I$38,6,0)),"/")))</f>
        <v/>
      </c>
      <c r="F31" s="43" t="str">
        <f>IF($C31="/","",IF($C31="","",IFERROR(IF(ISNA($D31/VLOOKUP($C31,Données!$C$19:'Données'!$I$38,7,0)*100), ,$D31/VLOOKUP($C31,Données!$C$19:'Données'!$I$38,7,0)*100),"/")))</f>
        <v/>
      </c>
      <c r="G31" s="42" t="str">
        <f>IF($C31="/","",IF($C31="","",IFERROR(IF(ISNA(VLOOKUP($C31,'Phase GPA'!$C$29:'Phase GPA'!$U$44,11,0)), ,VLOOKUP($C31,'Phase GPA'!$C$29:'Phase GPA'!$U$44,11,0)),0)))</f>
        <v/>
      </c>
      <c r="H31" s="45" t="str">
        <f>IF($C31="/","",IF($C31="","",IFERROR(IF(ISNA(VLOOKUP($C31,'Phase GPA'!$C$29:'Phase GPA'!$U$44,12,0)), ,VLOOKUP($C31,'Phase GPA'!$C$29:'Phase GPA'!$U$44,12,0)),0)))</f>
        <v/>
      </c>
      <c r="I31" s="45" t="str">
        <f>IF($C31="/","",IF($C31="","",IFERROR(IF(ISNA($H31/VLOOKUP($C31,Données!$C$19:'Données'!$I$38,5,0)), ,$H31/VLOOKUP($C31,Données!$C$19:'Données'!$I$38,5,0))*100,0)))</f>
        <v/>
      </c>
      <c r="J31" s="45" t="str">
        <f>IF($C31="/","",IF($C31="","",IFERROR(IF(ISNA($H31/VLOOKUP($C31,Données!$C$19:'Données'!$I$38,6,0)), ,$H31/VLOOKUP($C31,Données!$C$19:'Données'!$I$38,6,0)),"/")))</f>
        <v/>
      </c>
      <c r="K31" s="45" t="str">
        <f>IF($C31="/","",IF($C31="","",IFERROR(IF(ISNA($H31/VLOOKUP($C31,Données!$C$19:'Données'!$I$38,7,0)*100), ,$H31/VLOOKUP($C31,Données!$C$19:'Données'!$I$38,7,0)*100),"/")))</f>
        <v/>
      </c>
      <c r="L31" s="46" t="str">
        <f t="shared" si="0"/>
        <v/>
      </c>
      <c r="M31" s="13"/>
      <c r="N31" s="12"/>
      <c r="O31" s="3"/>
      <c r="P31" s="16"/>
      <c r="Q31" s="1"/>
      <c r="R31" s="1"/>
      <c r="S31" s="55">
        <f>IF($C31="","",IFERROR(IF(ISNA(VLOOKUP($C31,Données!$C$19:'Données'!$I$38,6,0)), ,VLOOKUP($C31,Données!$C$19:'Données'!$I$38,6,0)),"/"))</f>
        <v>0</v>
      </c>
      <c r="T31" s="55">
        <f>IF($C31="","",IFERROR(IF(ISNA(VLOOKUP($C31,Données!$C$19:'Données'!$I$38,7,0)), ,VLOOKUP($C31,Données!$C$19:'Données'!$I$38,7,0)),"/"))</f>
        <v>0</v>
      </c>
      <c r="U31" s="55">
        <f>IF($C31="","",IFERROR(IF(ISNA(VLOOKUP($C31,Données!$C$19:'Données'!$I$38,5,0)), ,VLOOKUP($C31,Données!$C$19:'Données'!$I$38,5,0)),"/"))</f>
        <v>0</v>
      </c>
      <c r="V31" s="55" t="str">
        <f t="shared" ref="V31:V43" si="1">IF($C31="","",IFERROR(IF(ISNA($D31*$G31), ,$D31*$G31),"/"))</f>
        <v>/</v>
      </c>
    </row>
    <row r="32" spans="1:22" ht="50.1" customHeight="1" x14ac:dyDescent="0.25">
      <c r="A32" s="1"/>
      <c r="B32" s="1"/>
      <c r="C32" s="88" t="str">
        <f>IF('Phase GPA'!$AT32="IE",'Phase GPA'!$C32,"/")</f>
        <v>/</v>
      </c>
      <c r="D32" s="42" t="str">
        <f>IF($C32="/","",IF($C32="","",IFERROR(IF(ISNA(VLOOKUP($C32,'Phase GPA'!$C$29:'Phase GPA'!$U$44,10,0)), ,VLOOKUP($C32,'Phase GPA'!$C$29:'Phase GPA'!$U$44,10,0)),0)))</f>
        <v/>
      </c>
      <c r="E32" s="43" t="str">
        <f>IF($C32="/","",IF($C32="","",IFERROR(IF(ISNA($D32/VLOOKUP($C32,Données!$C$19:'Données'!$I$38,6,0)), ,$D32/VLOOKUP($C32,Données!$C$19:'Données'!$I$38,6,0)),"/")))</f>
        <v/>
      </c>
      <c r="F32" s="43" t="str">
        <f>IF($C32="/","",IF($C32="","",IFERROR(IF(ISNA($D32/VLOOKUP($C32,Données!$C$19:'Données'!$I$38,7,0)*100), ,$D32/VLOOKUP($C32,Données!$C$19:'Données'!$I$38,7,0)*100),"/")))</f>
        <v/>
      </c>
      <c r="G32" s="42" t="str">
        <f>IF($C32="/","",IF($C32="","",IFERROR(IF(ISNA(VLOOKUP($C32,'Phase GPA'!$C$29:'Phase GPA'!$U$44,11,0)), ,VLOOKUP($C32,'Phase GPA'!$C$29:'Phase GPA'!$U$44,11,0)),0)))</f>
        <v/>
      </c>
      <c r="H32" s="45" t="str">
        <f>IF($C32="/","",IF($C32="","",IFERROR(IF(ISNA(VLOOKUP($C32,'Phase GPA'!$C$29:'Phase GPA'!$U$44,12,0)), ,VLOOKUP($C32,'Phase GPA'!$C$29:'Phase GPA'!$U$44,12,0)),0)))</f>
        <v/>
      </c>
      <c r="I32" s="45" t="str">
        <f>IF($C32="/","",IF($C32="","",IFERROR(IF(ISNA($H32/VLOOKUP($C32,Données!$C$19:'Données'!$I$38,5,0)), ,$H32/VLOOKUP($C32,Données!$C$19:'Données'!$I$38,5,0))*100,0)))</f>
        <v/>
      </c>
      <c r="J32" s="45" t="str">
        <f>IF($C32="/","",IF($C32="","",IFERROR(IF(ISNA($H32/VLOOKUP($C32,Données!$C$19:'Données'!$I$38,6,0)), ,$H32/VLOOKUP($C32,Données!$C$19:'Données'!$I$38,6,0)),"/")))</f>
        <v/>
      </c>
      <c r="K32" s="45" t="str">
        <f>IF($C32="/","",IF($C32="","",IFERROR(IF(ISNA($H32/VLOOKUP($C32,Données!$C$19:'Données'!$I$38,7,0)*100), ,$H32/VLOOKUP($C32,Données!$C$19:'Données'!$I$38,7,0)*100),"/")))</f>
        <v/>
      </c>
      <c r="L32" s="46" t="str">
        <f t="shared" si="0"/>
        <v/>
      </c>
      <c r="M32" s="13"/>
      <c r="N32" s="12"/>
      <c r="O32" s="3"/>
      <c r="P32" s="16"/>
      <c r="Q32" s="1"/>
      <c r="R32" s="1"/>
      <c r="S32" s="55">
        <f>IF($C32="","",IFERROR(IF(ISNA(VLOOKUP($C32,Données!$C$19:'Données'!$I$38,6,0)), ,VLOOKUP($C32,Données!$C$19:'Données'!$I$38,6,0)),"/"))</f>
        <v>0</v>
      </c>
      <c r="T32" s="55">
        <f>IF($C32="","",IFERROR(IF(ISNA(VLOOKUP($C32,Données!$C$19:'Données'!$I$38,7,0)), ,VLOOKUP($C32,Données!$C$19:'Données'!$I$38,7,0)),"/"))</f>
        <v>0</v>
      </c>
      <c r="U32" s="55">
        <f>IF($C32="","",IFERROR(IF(ISNA(VLOOKUP($C32,Données!$C$19:'Données'!$I$38,5,0)), ,VLOOKUP($C32,Données!$C$19:'Données'!$I$38,5,0)),"/"))</f>
        <v>0</v>
      </c>
      <c r="V32" s="55" t="str">
        <f t="shared" si="1"/>
        <v>/</v>
      </c>
    </row>
    <row r="33" spans="1:22" ht="50.1" customHeight="1" x14ac:dyDescent="0.25">
      <c r="A33" s="1"/>
      <c r="B33" s="1"/>
      <c r="C33" s="88" t="str">
        <f>IF('Phase GPA'!$AT33="IE",'Phase GPA'!$C33,"/")</f>
        <v>/</v>
      </c>
      <c r="D33" s="42" t="str">
        <f>IF($C33="/","",IF($C33="","",IFERROR(IF(ISNA(VLOOKUP($C33,'Phase GPA'!$C$29:'Phase GPA'!$U$44,10,0)), ,VLOOKUP($C33,'Phase GPA'!$C$29:'Phase GPA'!$U$44,10,0)),0)))</f>
        <v/>
      </c>
      <c r="E33" s="43" t="str">
        <f>IF($C33="/","",IF($C33="","",IFERROR(IF(ISNA($D33/VLOOKUP($C33,Données!$C$19:'Données'!$I$38,6,0)), ,$D33/VLOOKUP($C33,Données!$C$19:'Données'!$I$38,6,0)),"/")))</f>
        <v/>
      </c>
      <c r="F33" s="43" t="str">
        <f>IF($C33="/","",IF($C33="","",IFERROR(IF(ISNA($D33/VLOOKUP($C33,Données!$C$19:'Données'!$I$38,7,0)*100), ,$D33/VLOOKUP($C33,Données!$C$19:'Données'!$I$38,7,0)*100),"/")))</f>
        <v/>
      </c>
      <c r="G33" s="42" t="str">
        <f>IF($C33="/","",IF($C33="","",IFERROR(IF(ISNA(VLOOKUP($C33,'Phase GPA'!$C$29:'Phase GPA'!$U$44,11,0)), ,VLOOKUP($C33,'Phase GPA'!$C$29:'Phase GPA'!$U$44,11,0)),0)))</f>
        <v/>
      </c>
      <c r="H33" s="45" t="str">
        <f>IF($C33="/","",IF($C33="","",IFERROR(IF(ISNA(VLOOKUP($C33,'Phase GPA'!$C$29:'Phase GPA'!$U$44,12,0)), ,VLOOKUP($C33,'Phase GPA'!$C$29:'Phase GPA'!$U$44,12,0)),0)))</f>
        <v/>
      </c>
      <c r="I33" s="45" t="str">
        <f>IF($C33="/","",IF($C33="","",IFERROR(IF(ISNA($H33/VLOOKUP($C33,Données!$C$19:'Données'!$I$38,5,0)), ,$H33/VLOOKUP($C33,Données!$C$19:'Données'!$I$38,5,0))*100,0)))</f>
        <v/>
      </c>
      <c r="J33" s="45" t="str">
        <f>IF($C33="/","",IF($C33="","",IFERROR(IF(ISNA($H33/VLOOKUP($C33,Données!$C$19:'Données'!$I$38,6,0)), ,$H33/VLOOKUP($C33,Données!$C$19:'Données'!$I$38,6,0)),"/")))</f>
        <v/>
      </c>
      <c r="K33" s="45" t="str">
        <f>IF($C33="/","",IF($C33="","",IFERROR(IF(ISNA($H33/VLOOKUP($C33,Données!$C$19:'Données'!$I$38,7,0)*100), ,$H33/VLOOKUP($C33,Données!$C$19:'Données'!$I$38,7,0)*100),"/")))</f>
        <v/>
      </c>
      <c r="L33" s="46" t="str">
        <f t="shared" si="0"/>
        <v/>
      </c>
      <c r="M33" s="13"/>
      <c r="N33" s="12"/>
      <c r="O33" s="3"/>
      <c r="P33" s="16"/>
      <c r="Q33" s="1"/>
      <c r="R33" s="1"/>
      <c r="S33" s="55">
        <f>IF($C33="","",IFERROR(IF(ISNA(VLOOKUP($C33,Données!$C$19:'Données'!$I$38,6,0)), ,VLOOKUP($C33,Données!$C$19:'Données'!$I$38,6,0)),"/"))</f>
        <v>0</v>
      </c>
      <c r="T33" s="55">
        <f>IF($C33="","",IFERROR(IF(ISNA(VLOOKUP($C33,Données!$C$19:'Données'!$I$38,7,0)), ,VLOOKUP($C33,Données!$C$19:'Données'!$I$38,7,0)),"/"))</f>
        <v>0</v>
      </c>
      <c r="U33" s="55">
        <f>IF($C33="","",IFERROR(IF(ISNA(VLOOKUP($C33,Données!$C$19:'Données'!$I$38,5,0)), ,VLOOKUP($C33,Données!$C$19:'Données'!$I$38,5,0)),"/"))</f>
        <v>0</v>
      </c>
      <c r="V33" s="55" t="str">
        <f t="shared" si="1"/>
        <v>/</v>
      </c>
    </row>
    <row r="34" spans="1:22" ht="50.1" customHeight="1" x14ac:dyDescent="0.25">
      <c r="A34" s="1"/>
      <c r="B34" s="1"/>
      <c r="C34" s="88" t="str">
        <f>IF('Phase GPA'!$AT34="IE",'Phase GPA'!$C34,"/")</f>
        <v>/</v>
      </c>
      <c r="D34" s="42" t="str">
        <f>IF($C34="/","",IF($C34="","",IFERROR(IF(ISNA(VLOOKUP($C34,'Phase GPA'!$C$29:'Phase GPA'!$U$44,10,0)), ,VLOOKUP($C34,'Phase GPA'!$C$29:'Phase GPA'!$U$44,10,0)),0)))</f>
        <v/>
      </c>
      <c r="E34" s="43" t="str">
        <f>IF($C34="/","",IF($C34="","",IFERROR(IF(ISNA($D34/VLOOKUP($C34,Données!$C$19:'Données'!$I$38,6,0)), ,$D34/VLOOKUP($C34,Données!$C$19:'Données'!$I$38,6,0)),"/")))</f>
        <v/>
      </c>
      <c r="F34" s="43" t="str">
        <f>IF($C34="/","",IF($C34="","",IFERROR(IF(ISNA($D34/VLOOKUP($C34,Données!$C$19:'Données'!$I$38,7,0)*100), ,$D34/VLOOKUP($C34,Données!$C$19:'Données'!$I$38,7,0)*100),"/")))</f>
        <v/>
      </c>
      <c r="G34" s="42" t="str">
        <f>IF($C34="/","",IF($C34="","",IFERROR(IF(ISNA(VLOOKUP($C34,'Phase GPA'!$C$29:'Phase GPA'!$U$44,11,0)), ,VLOOKUP($C34,'Phase GPA'!$C$29:'Phase GPA'!$U$44,11,0)),0)))</f>
        <v/>
      </c>
      <c r="H34" s="45" t="str">
        <f>IF($C34="/","",IF($C34="","",IFERROR(IF(ISNA(VLOOKUP($C34,'Phase GPA'!$C$29:'Phase GPA'!$U$44,12,0)), ,VLOOKUP($C34,'Phase GPA'!$C$29:'Phase GPA'!$U$44,12,0)),0)))</f>
        <v/>
      </c>
      <c r="I34" s="45" t="str">
        <f>IF($C34="/","",IF($C34="","",IFERROR(IF(ISNA($H34/VLOOKUP($C34,Données!$C$19:'Données'!$I$38,5,0)), ,$H34/VLOOKUP($C34,Données!$C$19:'Données'!$I$38,5,0))*100,0)))</f>
        <v/>
      </c>
      <c r="J34" s="45" t="str">
        <f>IF($C34="/","",IF($C34="","",IFERROR(IF(ISNA($H34/VLOOKUP($C34,Données!$C$19:'Données'!$I$38,6,0)), ,$H34/VLOOKUP($C34,Données!$C$19:'Données'!$I$38,6,0)),"/")))</f>
        <v/>
      </c>
      <c r="K34" s="45" t="str">
        <f>IF($C34="/","",IF($C34="","",IFERROR(IF(ISNA($H34/VLOOKUP($C34,Données!$C$19:'Données'!$I$38,7,0)*100), ,$H34/VLOOKUP($C34,Données!$C$19:'Données'!$I$38,7,0)*100),"/")))</f>
        <v/>
      </c>
      <c r="L34" s="46" t="str">
        <f t="shared" si="0"/>
        <v/>
      </c>
      <c r="M34" s="13"/>
      <c r="N34" s="12"/>
      <c r="O34" s="3"/>
      <c r="P34" s="16"/>
      <c r="Q34" s="1"/>
      <c r="R34" s="1"/>
      <c r="S34" s="55">
        <f>IF($C34="","",IFERROR(IF(ISNA(VLOOKUP($C34,Données!$C$19:'Données'!$I$38,6,0)), ,VLOOKUP($C34,Données!$C$19:'Données'!$I$38,6,0)),"/"))</f>
        <v>0</v>
      </c>
      <c r="T34" s="55">
        <f>IF($C34="","",IFERROR(IF(ISNA(VLOOKUP($C34,Données!$C$19:'Données'!$I$38,7,0)), ,VLOOKUP($C34,Données!$C$19:'Données'!$I$38,7,0)),"/"))</f>
        <v>0</v>
      </c>
      <c r="U34" s="55">
        <f>IF($C34="","",IFERROR(IF(ISNA(VLOOKUP($C34,Données!$C$19:'Données'!$I$38,5,0)), ,VLOOKUP($C34,Données!$C$19:'Données'!$I$38,5,0)),"/"))</f>
        <v>0</v>
      </c>
      <c r="V34" s="55" t="str">
        <f t="shared" si="1"/>
        <v>/</v>
      </c>
    </row>
    <row r="35" spans="1:22" ht="50.1" customHeight="1" x14ac:dyDescent="0.25">
      <c r="A35" s="1"/>
      <c r="B35" s="1"/>
      <c r="C35" s="88" t="str">
        <f>IF('Phase GPA'!$AT35="IE",'Phase GPA'!$C35,"/")</f>
        <v>/</v>
      </c>
      <c r="D35" s="42" t="str">
        <f>IF($C35="/","",IF($C35="","",IFERROR(IF(ISNA(VLOOKUP($C35,'Phase GPA'!$C$29:'Phase GPA'!$U$44,10,0)), ,VLOOKUP($C35,'Phase GPA'!$C$29:'Phase GPA'!$U$44,10,0)),0)))</f>
        <v/>
      </c>
      <c r="E35" s="43" t="str">
        <f>IF($C35="/","",IF($C35="","",IFERROR(IF(ISNA($D35/VLOOKUP($C35,Données!$C$19:'Données'!$I$38,6,0)), ,$D35/VLOOKUP($C35,Données!$C$19:'Données'!$I$38,6,0)),"/")))</f>
        <v/>
      </c>
      <c r="F35" s="43" t="str">
        <f>IF($C35="/","",IF($C35="","",IFERROR(IF(ISNA($D35/VLOOKUP($C35,Données!$C$19:'Données'!$I$38,7,0)*100), ,$D35/VLOOKUP($C35,Données!$C$19:'Données'!$I$38,7,0)*100),"/")))</f>
        <v/>
      </c>
      <c r="G35" s="42" t="str">
        <f>IF($C35="/","",IF($C35="","",IFERROR(IF(ISNA(VLOOKUP($C35,'Phase GPA'!$C$29:'Phase GPA'!$U$44,11,0)), ,VLOOKUP($C35,'Phase GPA'!$C$29:'Phase GPA'!$U$44,11,0)),0)))</f>
        <v/>
      </c>
      <c r="H35" s="45" t="str">
        <f>IF($C35="/","",IF($C35="","",IFERROR(IF(ISNA(VLOOKUP($C35,'Phase GPA'!$C$29:'Phase GPA'!$U$44,12,0)), ,VLOOKUP($C35,'Phase GPA'!$C$29:'Phase GPA'!$U$44,12,0)),0)))</f>
        <v/>
      </c>
      <c r="I35" s="45" t="str">
        <f>IF($C35="/","",IF($C35="","",IFERROR(IF(ISNA($H35/VLOOKUP($C35,Données!$C$19:'Données'!$I$38,5,0)), ,$H35/VLOOKUP($C35,Données!$C$19:'Données'!$I$38,5,0))*100,0)))</f>
        <v/>
      </c>
      <c r="J35" s="45" t="str">
        <f>IF($C35="/","",IF($C35="","",IFERROR(IF(ISNA($H35/VLOOKUP($C35,Données!$C$19:'Données'!$I$38,6,0)), ,$H35/VLOOKUP($C35,Données!$C$19:'Données'!$I$38,6,0)),"/")))</f>
        <v/>
      </c>
      <c r="K35" s="45" t="str">
        <f>IF($C35="/","",IF($C35="","",IFERROR(IF(ISNA($H35/VLOOKUP($C35,Données!$C$19:'Données'!$I$38,7,0)*100), ,$H35/VLOOKUP($C35,Données!$C$19:'Données'!$I$38,7,0)*100),"/")))</f>
        <v/>
      </c>
      <c r="L35" s="46" t="str">
        <f t="shared" si="0"/>
        <v/>
      </c>
      <c r="M35" s="13"/>
      <c r="N35" s="12"/>
      <c r="O35" s="3"/>
      <c r="P35" s="16"/>
      <c r="Q35" s="1"/>
      <c r="R35" s="1"/>
      <c r="S35" s="55">
        <f>IF($C35="","",IFERROR(IF(ISNA(VLOOKUP($C35,Données!$C$19:'Données'!$I$38,6,0)), ,VLOOKUP($C35,Données!$C$19:'Données'!$I$38,6,0)),"/"))</f>
        <v>0</v>
      </c>
      <c r="T35" s="55">
        <f>IF($C35="","",IFERROR(IF(ISNA(VLOOKUP($C35,Données!$C$19:'Données'!$I$38,7,0)), ,VLOOKUP($C35,Données!$C$19:'Données'!$I$38,7,0)),"/"))</f>
        <v>0</v>
      </c>
      <c r="U35" s="55">
        <f>IF($C35="","",IFERROR(IF(ISNA(VLOOKUP($C35,Données!$C$19:'Données'!$I$38,5,0)), ,VLOOKUP($C35,Données!$C$19:'Données'!$I$38,5,0)),"/"))</f>
        <v>0</v>
      </c>
      <c r="V35" s="55" t="str">
        <f t="shared" si="1"/>
        <v>/</v>
      </c>
    </row>
    <row r="36" spans="1:22" ht="50.1" customHeight="1" x14ac:dyDescent="0.25">
      <c r="A36" s="1"/>
      <c r="B36" s="1"/>
      <c r="C36" s="88" t="str">
        <f>IF('Phase GPA'!$AT36="IE",'Phase GPA'!$C36,"/")</f>
        <v>/</v>
      </c>
      <c r="D36" s="42" t="str">
        <f>IF($C36="/","",IF($C36="","",IFERROR(IF(ISNA(VLOOKUP($C36,'Phase GPA'!$C$29:'Phase GPA'!$U$44,10,0)), ,VLOOKUP($C36,'Phase GPA'!$C$29:'Phase GPA'!$U$44,10,0)),0)))</f>
        <v/>
      </c>
      <c r="E36" s="43" t="str">
        <f>IF($C36="/","",IF($C36="","",IFERROR(IF(ISNA($D36/VLOOKUP($C36,Données!$C$19:'Données'!$I$38,6,0)), ,$D36/VLOOKUP($C36,Données!$C$19:'Données'!$I$38,6,0)),"/")))</f>
        <v/>
      </c>
      <c r="F36" s="43" t="str">
        <f>IF($C36="/","",IF($C36="","",IFERROR(IF(ISNA($D36/VLOOKUP($C36,Données!$C$19:'Données'!$I$38,7,0)*100), ,$D36/VLOOKUP($C36,Données!$C$19:'Données'!$I$38,7,0)*100),"/")))</f>
        <v/>
      </c>
      <c r="G36" s="42" t="str">
        <f>IF($C36="/","",IF($C36="","",IFERROR(IF(ISNA(VLOOKUP($C36,'Phase GPA'!$C$29:'Phase GPA'!$U$44,11,0)), ,VLOOKUP($C36,'Phase GPA'!$C$29:'Phase GPA'!$U$44,11,0)),0)))</f>
        <v/>
      </c>
      <c r="H36" s="45" t="str">
        <f>IF($C36="/","",IF($C36="","",IFERROR(IF(ISNA(VLOOKUP($C36,'Phase GPA'!$C$29:'Phase GPA'!$U$44,12,0)), ,VLOOKUP($C36,'Phase GPA'!$C$29:'Phase GPA'!$U$44,12,0)),0)))</f>
        <v/>
      </c>
      <c r="I36" s="45" t="str">
        <f>IF($C36="/","",IF($C36="","",IFERROR(IF(ISNA($H36/VLOOKUP($C36,Données!$C$19:'Données'!$I$38,5,0)), ,$H36/VLOOKUP($C36,Données!$C$19:'Données'!$I$38,5,0))*100,0)))</f>
        <v/>
      </c>
      <c r="J36" s="45" t="str">
        <f>IF($C36="/","",IF($C36="","",IFERROR(IF(ISNA($H36/VLOOKUP($C36,Données!$C$19:'Données'!$I$38,6,0)), ,$H36/VLOOKUP($C36,Données!$C$19:'Données'!$I$38,6,0)),"/")))</f>
        <v/>
      </c>
      <c r="K36" s="45" t="str">
        <f>IF($C36="/","",IF($C36="","",IFERROR(IF(ISNA($H36/VLOOKUP($C36,Données!$C$19:'Données'!$I$38,7,0)*100), ,$H36/VLOOKUP($C36,Données!$C$19:'Données'!$I$38,7,0)*100),"/")))</f>
        <v/>
      </c>
      <c r="L36" s="46" t="str">
        <f t="shared" si="0"/>
        <v/>
      </c>
      <c r="M36" s="13"/>
      <c r="N36" s="12"/>
      <c r="O36" s="3"/>
      <c r="P36" s="16"/>
      <c r="Q36" s="1"/>
      <c r="R36" s="1"/>
      <c r="S36" s="55">
        <f>IF($C36="","",IFERROR(IF(ISNA(VLOOKUP($C36,Données!$C$19:'Données'!$I$38,6,0)), ,VLOOKUP($C36,Données!$C$19:'Données'!$I$38,6,0)),"/"))</f>
        <v>0</v>
      </c>
      <c r="T36" s="55">
        <f>IF($C36="","",IFERROR(IF(ISNA(VLOOKUP($C36,Données!$C$19:'Données'!$I$38,7,0)), ,VLOOKUP($C36,Données!$C$19:'Données'!$I$38,7,0)),"/"))</f>
        <v>0</v>
      </c>
      <c r="U36" s="55">
        <f>IF($C36="","",IFERROR(IF(ISNA(VLOOKUP($C36,Données!$C$19:'Données'!$I$38,5,0)), ,VLOOKUP($C36,Données!$C$19:'Données'!$I$38,5,0)),"/"))</f>
        <v>0</v>
      </c>
      <c r="V36" s="55" t="str">
        <f t="shared" si="1"/>
        <v>/</v>
      </c>
    </row>
    <row r="37" spans="1:22" ht="50.1" customHeight="1" x14ac:dyDescent="0.25">
      <c r="A37" s="1"/>
      <c r="B37" s="1"/>
      <c r="C37" s="88" t="str">
        <f>IF('Phase GPA'!$AT37="IE",'Phase GPA'!$C37,"/")</f>
        <v>/</v>
      </c>
      <c r="D37" s="42" t="str">
        <f>IF($C37="/","",IF($C37="","",IFERROR(IF(ISNA(VLOOKUP($C37,'Phase GPA'!$C$29:'Phase GPA'!$U$44,10,0)), ,VLOOKUP($C37,'Phase GPA'!$C$29:'Phase GPA'!$U$44,10,0)),0)))</f>
        <v/>
      </c>
      <c r="E37" s="43" t="str">
        <f>IF($C37="/","",IF($C37="","",IFERROR(IF(ISNA($D37/VLOOKUP($C37,Données!$C$19:'Données'!$I$38,6,0)), ,$D37/VLOOKUP($C37,Données!$C$19:'Données'!$I$38,6,0)),"/")))</f>
        <v/>
      </c>
      <c r="F37" s="43" t="str">
        <f>IF($C37="/","",IF($C37="","",IFERROR(IF(ISNA($D37/VLOOKUP($C37,Données!$C$19:'Données'!$I$38,7,0)*100), ,$D37/VLOOKUP($C37,Données!$C$19:'Données'!$I$38,7,0)*100),"/")))</f>
        <v/>
      </c>
      <c r="G37" s="42" t="str">
        <f>IF($C37="/","",IF($C37="","",IFERROR(IF(ISNA(VLOOKUP($C37,'Phase GPA'!$C$29:'Phase GPA'!$U$44,11,0)), ,VLOOKUP($C37,'Phase GPA'!$C$29:'Phase GPA'!$U$44,11,0)),0)))</f>
        <v/>
      </c>
      <c r="H37" s="45" t="str">
        <f>IF($C37="/","",IF($C37="","",IFERROR(IF(ISNA(VLOOKUP($C37,'Phase GPA'!$C$29:'Phase GPA'!$U$44,12,0)), ,VLOOKUP($C37,'Phase GPA'!$C$29:'Phase GPA'!$U$44,12,0)),0)))</f>
        <v/>
      </c>
      <c r="I37" s="45" t="str">
        <f>IF($C37="/","",IF($C37="","",IFERROR(IF(ISNA($H37/VLOOKUP($C37,Données!$C$19:'Données'!$I$38,5,0)), ,$H37/VLOOKUP($C37,Données!$C$19:'Données'!$I$38,5,0))*100,0)))</f>
        <v/>
      </c>
      <c r="J37" s="45" t="str">
        <f>IF($C37="/","",IF($C37="","",IFERROR(IF(ISNA($H37/VLOOKUP($C37,Données!$C$19:'Données'!$I$38,6,0)), ,$H37/VLOOKUP($C37,Données!$C$19:'Données'!$I$38,6,0)),"/")))</f>
        <v/>
      </c>
      <c r="K37" s="45" t="str">
        <f>IF($C37="/","",IF($C37="","",IFERROR(IF(ISNA($H37/VLOOKUP($C37,Données!$C$19:'Données'!$I$38,7,0)*100), ,$H37/VLOOKUP($C37,Données!$C$19:'Données'!$I$38,7,0)*100),"/")))</f>
        <v/>
      </c>
      <c r="L37" s="46" t="str">
        <f t="shared" si="0"/>
        <v/>
      </c>
      <c r="M37" s="13"/>
      <c r="N37" s="12"/>
      <c r="O37" s="3"/>
      <c r="P37" s="16"/>
      <c r="Q37" s="1"/>
      <c r="R37" s="1"/>
      <c r="S37" s="55">
        <f>IF($C37="","",IFERROR(IF(ISNA(VLOOKUP($C37,Données!$C$19:'Données'!$I$38,6,0)), ,VLOOKUP($C37,Données!$C$19:'Données'!$I$38,6,0)),"/"))</f>
        <v>0</v>
      </c>
      <c r="T37" s="55">
        <f>IF($C37="","",IFERROR(IF(ISNA(VLOOKUP($C37,Données!$C$19:'Données'!$I$38,7,0)), ,VLOOKUP($C37,Données!$C$19:'Données'!$I$38,7,0)),"/"))</f>
        <v>0</v>
      </c>
      <c r="U37" s="55">
        <f>IF($C37="","",IFERROR(IF(ISNA(VLOOKUP($C37,Données!$C$19:'Données'!$I$38,5,0)), ,VLOOKUP($C37,Données!$C$19:'Données'!$I$38,5,0)),"/"))</f>
        <v>0</v>
      </c>
      <c r="V37" s="55" t="str">
        <f t="shared" si="1"/>
        <v>/</v>
      </c>
    </row>
    <row r="38" spans="1:22" ht="50.1" customHeight="1" x14ac:dyDescent="0.25">
      <c r="A38" s="1"/>
      <c r="B38" s="1"/>
      <c r="C38" s="88" t="str">
        <f>IF('Phase GPA'!$AT38="IE",'Phase GPA'!$C38,"/")</f>
        <v>/</v>
      </c>
      <c r="D38" s="42" t="str">
        <f>IF($C38="/","",IF($C38="","",IFERROR(IF(ISNA(VLOOKUP($C38,'Phase GPA'!$C$29:'Phase GPA'!$U$44,10,0)), ,VLOOKUP($C38,'Phase GPA'!$C$29:'Phase GPA'!$U$44,10,0)),0)))</f>
        <v/>
      </c>
      <c r="E38" s="43" t="str">
        <f>IF($C38="/","",IF($C38="","",IFERROR(IF(ISNA($D38/VLOOKUP($C38,Données!$C$19:'Données'!$I$38,6,0)), ,$D38/VLOOKUP($C38,Données!$C$19:'Données'!$I$38,6,0)),"/")))</f>
        <v/>
      </c>
      <c r="F38" s="43" t="str">
        <f>IF($C38="/","",IF($C38="","",IFERROR(IF(ISNA($D38/VLOOKUP($C38,Données!$C$19:'Données'!$I$38,7,0)*100), ,$D38/VLOOKUP($C38,Données!$C$19:'Données'!$I$38,7,0)*100),"/")))</f>
        <v/>
      </c>
      <c r="G38" s="42" t="str">
        <f>IF($C38="/","",IF($C38="","",IFERROR(IF(ISNA(VLOOKUP($C38,'Phase GPA'!$C$29:'Phase GPA'!$U$44,11,0)), ,VLOOKUP($C38,'Phase GPA'!$C$29:'Phase GPA'!$U$44,11,0)),0)))</f>
        <v/>
      </c>
      <c r="H38" s="45" t="str">
        <f>IF($C38="/","",IF($C38="","",IFERROR(IF(ISNA(VLOOKUP($C38,'Phase GPA'!$C$29:'Phase GPA'!$U$44,12,0)), ,VLOOKUP($C38,'Phase GPA'!$C$29:'Phase GPA'!$U$44,12,0)),0)))</f>
        <v/>
      </c>
      <c r="I38" s="45" t="str">
        <f>IF($C38="/","",IF($C38="","",IFERROR(IF(ISNA($H38/VLOOKUP($C38,Données!$C$19:'Données'!$I$38,5,0)), ,$H38/VLOOKUP($C38,Données!$C$19:'Données'!$I$38,5,0))*100,0)))</f>
        <v/>
      </c>
      <c r="J38" s="45" t="str">
        <f>IF($C38="/","",IF($C38="","",IFERROR(IF(ISNA($H38/VLOOKUP($C38,Données!$C$19:'Données'!$I$38,6,0)), ,$H38/VLOOKUP($C38,Données!$C$19:'Données'!$I$38,6,0)),"/")))</f>
        <v/>
      </c>
      <c r="K38" s="45" t="str">
        <f>IF($C38="/","",IF($C38="","",IFERROR(IF(ISNA($H38/VLOOKUP($C38,Données!$C$19:'Données'!$I$38,7,0)*100), ,$H38/VLOOKUP($C38,Données!$C$19:'Données'!$I$38,7,0)*100),"/")))</f>
        <v/>
      </c>
      <c r="L38" s="46" t="str">
        <f t="shared" si="0"/>
        <v/>
      </c>
      <c r="M38" s="13"/>
      <c r="N38" s="12"/>
      <c r="O38" s="3"/>
      <c r="P38" s="16"/>
      <c r="Q38" s="1"/>
      <c r="R38" s="1"/>
      <c r="S38" s="55">
        <f>IF($C38="","",IFERROR(IF(ISNA(VLOOKUP($C38,Données!$C$19:'Données'!$I$38,6,0)), ,VLOOKUP($C38,Données!$C$19:'Données'!$I$38,6,0)),"/"))</f>
        <v>0</v>
      </c>
      <c r="T38" s="55">
        <f>IF($C38="","",IFERROR(IF(ISNA(VLOOKUP($C38,Données!$C$19:'Données'!$I$38,7,0)), ,VLOOKUP($C38,Données!$C$19:'Données'!$I$38,7,0)),"/"))</f>
        <v>0</v>
      </c>
      <c r="U38" s="55">
        <f>IF($C38="","",IFERROR(IF(ISNA(VLOOKUP($C38,Données!$C$19:'Données'!$I$38,5,0)), ,VLOOKUP($C38,Données!$C$19:'Données'!$I$38,5,0)),"/"))</f>
        <v>0</v>
      </c>
      <c r="V38" s="55" t="str">
        <f t="shared" si="1"/>
        <v>/</v>
      </c>
    </row>
    <row r="39" spans="1:22" ht="50.1" customHeight="1" x14ac:dyDescent="0.25">
      <c r="A39" s="1"/>
      <c r="B39" s="1"/>
      <c r="C39" s="88" t="str">
        <f>IF('Phase GPA'!$AT39="IE",'Phase GPA'!$C39,"/")</f>
        <v>/</v>
      </c>
      <c r="D39" s="42" t="str">
        <f>IF($C39="/","",IF($C39="","",IFERROR(IF(ISNA(VLOOKUP($C39,'Phase GPA'!$C$29:'Phase GPA'!$U$44,10,0)), ,VLOOKUP($C39,'Phase GPA'!$C$29:'Phase GPA'!$U$44,10,0)),0)))</f>
        <v/>
      </c>
      <c r="E39" s="43" t="str">
        <f>IF($C39="/","",IF($C39="","",IFERROR(IF(ISNA($D39/VLOOKUP($C39,Données!$C$19:'Données'!$I$38,6,0)), ,$D39/VLOOKUP($C39,Données!$C$19:'Données'!$I$38,6,0)),"/")))</f>
        <v/>
      </c>
      <c r="F39" s="43" t="str">
        <f>IF($C39="/","",IF($C39="","",IFERROR(IF(ISNA($D39/VLOOKUP($C39,Données!$C$19:'Données'!$I$38,7,0)*100), ,$D39/VLOOKUP($C39,Données!$C$19:'Données'!$I$38,7,0)*100),"/")))</f>
        <v/>
      </c>
      <c r="G39" s="42" t="str">
        <f>IF($C39="/","",IF($C39="","",IFERROR(IF(ISNA(VLOOKUP($C39,'Phase GPA'!$C$29:'Phase GPA'!$U$44,11,0)), ,VLOOKUP($C39,'Phase GPA'!$C$29:'Phase GPA'!$U$44,11,0)),0)))</f>
        <v/>
      </c>
      <c r="H39" s="45" t="str">
        <f>IF($C39="/","",IF($C39="","",IFERROR(IF(ISNA(VLOOKUP($C39,'Phase GPA'!$C$29:'Phase GPA'!$U$44,12,0)), ,VLOOKUP($C39,'Phase GPA'!$C$29:'Phase GPA'!$U$44,12,0)),0)))</f>
        <v/>
      </c>
      <c r="I39" s="45" t="str">
        <f>IF($C39="/","",IF($C39="","",IFERROR(IF(ISNA($H39/VLOOKUP($C39,Données!$C$19:'Données'!$I$38,5,0)), ,$H39/VLOOKUP($C39,Données!$C$19:'Données'!$I$38,5,0))*100,0)))</f>
        <v/>
      </c>
      <c r="J39" s="45" t="str">
        <f>IF($C39="/","",IF($C39="","",IFERROR(IF(ISNA($H39/VLOOKUP($C39,Données!$C$19:'Données'!$I$38,6,0)), ,$H39/VLOOKUP($C39,Données!$C$19:'Données'!$I$38,6,0)),"/")))</f>
        <v/>
      </c>
      <c r="K39" s="45" t="str">
        <f>IF($C39="/","",IF($C39="","",IFERROR(IF(ISNA($H39/VLOOKUP($C39,Données!$C$19:'Données'!$I$38,7,0)*100), ,$H39/VLOOKUP($C39,Données!$C$19:'Données'!$I$38,7,0)*100),"/")))</f>
        <v/>
      </c>
      <c r="L39" s="46" t="str">
        <f t="shared" si="0"/>
        <v/>
      </c>
      <c r="M39" s="13"/>
      <c r="N39" s="12"/>
      <c r="O39" s="3"/>
      <c r="P39" s="16"/>
      <c r="Q39" s="1"/>
      <c r="R39" s="1"/>
      <c r="S39" s="55">
        <f>IF($C39="","",IFERROR(IF(ISNA(VLOOKUP($C39,Données!$C$19:'Données'!$I$38,6,0)), ,VLOOKUP($C39,Données!$C$19:'Données'!$I$38,6,0)),"/"))</f>
        <v>0</v>
      </c>
      <c r="T39" s="55">
        <f>IF($C39="","",IFERROR(IF(ISNA(VLOOKUP($C39,Données!$C$19:'Données'!$I$38,7,0)), ,VLOOKUP($C39,Données!$C$19:'Données'!$I$38,7,0)),"/"))</f>
        <v>0</v>
      </c>
      <c r="U39" s="55">
        <f>IF($C39="","",IFERROR(IF(ISNA(VLOOKUP($C39,Données!$C$19:'Données'!$I$38,5,0)), ,VLOOKUP($C39,Données!$C$19:'Données'!$I$38,5,0)),"/"))</f>
        <v>0</v>
      </c>
      <c r="V39" s="55" t="str">
        <f t="shared" si="1"/>
        <v>/</v>
      </c>
    </row>
    <row r="40" spans="1:22" ht="50.1" customHeight="1" x14ac:dyDescent="0.25">
      <c r="A40" s="1"/>
      <c r="B40" s="1"/>
      <c r="C40" s="88" t="str">
        <f>IF('Phase GPA'!$AT40="IE",'Phase GPA'!$C40,"/")</f>
        <v>/</v>
      </c>
      <c r="D40" s="42" t="str">
        <f>IF($C40="/","",IF($C40="","",IFERROR(IF(ISNA(VLOOKUP($C40,'Phase GPA'!$C$29:'Phase GPA'!$U$44,10,0)), ,VLOOKUP($C40,'Phase GPA'!$C$29:'Phase GPA'!$U$44,10,0)),0)))</f>
        <v/>
      </c>
      <c r="E40" s="43" t="str">
        <f>IF($C40="/","",IF($C40="","",IFERROR(IF(ISNA($D40/VLOOKUP($C40,Données!$C$19:'Données'!$I$38,6,0)), ,$D40/VLOOKUP($C40,Données!$C$19:'Données'!$I$38,6,0)),"/")))</f>
        <v/>
      </c>
      <c r="F40" s="43" t="str">
        <f>IF($C40="/","",IF($C40="","",IFERROR(IF(ISNA($D40/VLOOKUP($C40,Données!$C$19:'Données'!$I$38,7,0)*100), ,$D40/VLOOKUP($C40,Données!$C$19:'Données'!$I$38,7,0)*100),"/")))</f>
        <v/>
      </c>
      <c r="G40" s="42" t="str">
        <f>IF($C40="/","",IF($C40="","",IFERROR(IF(ISNA(VLOOKUP($C40,'Phase GPA'!$C$29:'Phase GPA'!$U$44,11,0)), ,VLOOKUP($C40,'Phase GPA'!$C$29:'Phase GPA'!$U$44,11,0)),0)))</f>
        <v/>
      </c>
      <c r="H40" s="45" t="str">
        <f>IF($C40="/","",IF($C40="","",IFERROR(IF(ISNA(VLOOKUP($C40,'Phase GPA'!$C$29:'Phase GPA'!$U$44,12,0)), ,VLOOKUP($C40,'Phase GPA'!$C$29:'Phase GPA'!$U$44,12,0)),0)))</f>
        <v/>
      </c>
      <c r="I40" s="45" t="str">
        <f>IF($C40="/","",IF($C40="","",IFERROR(IF(ISNA($H40/VLOOKUP($C40,Données!$C$19:'Données'!$I$38,5,0)), ,$H40/VLOOKUP($C40,Données!$C$19:'Données'!$I$38,5,0))*100,0)))</f>
        <v/>
      </c>
      <c r="J40" s="45" t="str">
        <f>IF($C40="/","",IF($C40="","",IFERROR(IF(ISNA($H40/VLOOKUP($C40,Données!$C$19:'Données'!$I$38,6,0)), ,$H40/VLOOKUP($C40,Données!$C$19:'Données'!$I$38,6,0)),"/")))</f>
        <v/>
      </c>
      <c r="K40" s="45" t="str">
        <f>IF($C40="/","",IF($C40="","",IFERROR(IF(ISNA($H40/VLOOKUP($C40,Données!$C$19:'Données'!$I$38,7,0)*100), ,$H40/VLOOKUP($C40,Données!$C$19:'Données'!$I$38,7,0)*100),"/")))</f>
        <v/>
      </c>
      <c r="L40" s="46" t="str">
        <f t="shared" si="0"/>
        <v/>
      </c>
      <c r="M40" s="13"/>
      <c r="N40" s="12"/>
      <c r="O40" s="3"/>
      <c r="P40" s="16"/>
      <c r="Q40" s="1"/>
      <c r="R40" s="1"/>
      <c r="S40" s="55">
        <f>IF($C40="","",IFERROR(IF(ISNA(VLOOKUP($C40,Données!$C$19:'Données'!$I$38,6,0)), ,VLOOKUP($C40,Données!$C$19:'Données'!$I$38,6,0)),"/"))</f>
        <v>0</v>
      </c>
      <c r="T40" s="55">
        <f>IF($C40="","",IFERROR(IF(ISNA(VLOOKUP($C40,Données!$C$19:'Données'!$I$38,7,0)), ,VLOOKUP($C40,Données!$C$19:'Données'!$I$38,7,0)),"/"))</f>
        <v>0</v>
      </c>
      <c r="U40" s="55">
        <f>IF($C40="","",IFERROR(IF(ISNA(VLOOKUP($C40,Données!$C$19:'Données'!$I$38,5,0)), ,VLOOKUP($C40,Données!$C$19:'Données'!$I$38,5,0)),"/"))</f>
        <v>0</v>
      </c>
      <c r="V40" s="55" t="str">
        <f t="shared" si="1"/>
        <v>/</v>
      </c>
    </row>
    <row r="41" spans="1:22" ht="50.1" customHeight="1" x14ac:dyDescent="0.25">
      <c r="A41" s="1"/>
      <c r="B41" s="1"/>
      <c r="C41" s="88" t="str">
        <f>IF('Phase GPA'!$AT41="IE",'Phase GPA'!$C41,"/")</f>
        <v>/</v>
      </c>
      <c r="D41" s="42" t="str">
        <f>IF($C41="/","",IF($C41="","",IFERROR(IF(ISNA(VLOOKUP($C41,'Phase GPA'!$C$29:'Phase GPA'!$U$44,10,0)), ,VLOOKUP($C41,'Phase GPA'!$C$29:'Phase GPA'!$U$44,10,0)),0)))</f>
        <v/>
      </c>
      <c r="E41" s="43" t="str">
        <f>IF($C41="/","",IF($C41="","",IFERROR(IF(ISNA($D41/VLOOKUP($C41,Données!$C$19:'Données'!$I$38,6,0)), ,$D41/VLOOKUP($C41,Données!$C$19:'Données'!$I$38,6,0)),"/")))</f>
        <v/>
      </c>
      <c r="F41" s="43" t="str">
        <f>IF($C41="/","",IF($C41="","",IFERROR(IF(ISNA($D41/VLOOKUP($C41,Données!$C$19:'Données'!$I$38,7,0)*100), ,$D41/VLOOKUP($C41,Données!$C$19:'Données'!$I$38,7,0)*100),"/")))</f>
        <v/>
      </c>
      <c r="G41" s="42" t="str">
        <f>IF($C41="/","",IF($C41="","",IFERROR(IF(ISNA(VLOOKUP($C41,'Phase GPA'!$C$29:'Phase GPA'!$U$44,11,0)), ,VLOOKUP($C41,'Phase GPA'!$C$29:'Phase GPA'!$U$44,11,0)),0)))</f>
        <v/>
      </c>
      <c r="H41" s="45" t="str">
        <f>IF($C41="/","",IF($C41="","",IFERROR(IF(ISNA(VLOOKUP($C41,'Phase GPA'!$C$29:'Phase GPA'!$U$44,12,0)), ,VLOOKUP($C41,'Phase GPA'!$C$29:'Phase GPA'!$U$44,12,0)),0)))</f>
        <v/>
      </c>
      <c r="I41" s="45" t="str">
        <f>IF($C41="/","",IF($C41="","",IFERROR(IF(ISNA($H41/VLOOKUP($C41,Données!$C$19:'Données'!$I$38,5,0)), ,$H41/VLOOKUP($C41,Données!$C$19:'Données'!$I$38,5,0))*100,0)))</f>
        <v/>
      </c>
      <c r="J41" s="45" t="str">
        <f>IF($C41="/","",IF($C41="","",IFERROR(IF(ISNA($H41/VLOOKUP($C41,Données!$C$19:'Données'!$I$38,6,0)), ,$H41/VLOOKUP($C41,Données!$C$19:'Données'!$I$38,6,0)),"/")))</f>
        <v/>
      </c>
      <c r="K41" s="45" t="str">
        <f>IF($C41="/","",IF($C41="","",IFERROR(IF(ISNA($H41/VLOOKUP($C41,Données!$C$19:'Données'!$I$38,7,0)*100), ,$H41/VLOOKUP($C41,Données!$C$19:'Données'!$I$38,7,0)*100),"/")))</f>
        <v/>
      </c>
      <c r="L41" s="46" t="str">
        <f t="shared" si="0"/>
        <v/>
      </c>
      <c r="M41" s="13"/>
      <c r="N41" s="12"/>
      <c r="O41" s="3"/>
      <c r="P41" s="16"/>
      <c r="Q41" s="1"/>
      <c r="R41" s="1"/>
      <c r="S41" s="55">
        <f>IF($C41="","",IFERROR(IF(ISNA(VLOOKUP($C41,Données!$C$19:'Données'!$I$38,6,0)), ,VLOOKUP($C41,Données!$C$19:'Données'!$I$38,6,0)),"/"))</f>
        <v>0</v>
      </c>
      <c r="T41" s="55">
        <f>IF($C41="","",IFERROR(IF(ISNA(VLOOKUP($C41,Données!$C$19:'Données'!$I$38,7,0)), ,VLOOKUP($C41,Données!$C$19:'Données'!$I$38,7,0)),"/"))</f>
        <v>0</v>
      </c>
      <c r="U41" s="55">
        <f>IF($C41="","",IFERROR(IF(ISNA(VLOOKUP($C41,Données!$C$19:'Données'!$I$38,5,0)), ,VLOOKUP($C41,Données!$C$19:'Données'!$I$38,5,0)),"/"))</f>
        <v>0</v>
      </c>
      <c r="V41" s="55" t="str">
        <f t="shared" si="1"/>
        <v>/</v>
      </c>
    </row>
    <row r="42" spans="1:22" ht="50.1" customHeight="1" x14ac:dyDescent="0.25">
      <c r="A42" s="1"/>
      <c r="B42" s="1"/>
      <c r="C42" s="88" t="str">
        <f>IF('Phase GPA'!$AT42="IE",'Phase GPA'!$C42,"/")</f>
        <v>/</v>
      </c>
      <c r="D42" s="42" t="str">
        <f>IF($C42="/","",IF($C42="","",IFERROR(IF(ISNA(VLOOKUP($C42,'Phase GPA'!$C$29:'Phase GPA'!$U$44,10,0)), ,VLOOKUP($C42,'Phase GPA'!$C$29:'Phase GPA'!$U$44,10,0)),0)))</f>
        <v/>
      </c>
      <c r="E42" s="43" t="str">
        <f>IF($C42="/","",IF($C42="","",IFERROR(IF(ISNA($D42/VLOOKUP($C42,Données!$C$19:'Données'!$I$38,6,0)), ,$D42/VLOOKUP($C42,Données!$C$19:'Données'!$I$38,6,0)),"/")))</f>
        <v/>
      </c>
      <c r="F42" s="43" t="str">
        <f>IF($C42="/","",IF($C42="","",IFERROR(IF(ISNA($D42/VLOOKUP($C42,Données!$C$19:'Données'!$I$38,7,0)*100), ,$D42/VLOOKUP($C42,Données!$C$19:'Données'!$I$38,7,0)*100),"/")))</f>
        <v/>
      </c>
      <c r="G42" s="42" t="str">
        <f>IF($C42="/","",IF($C42="","",IFERROR(IF(ISNA(VLOOKUP($C42,'Phase GPA'!$C$29:'Phase GPA'!$U$44,11,0)), ,VLOOKUP($C42,'Phase GPA'!$C$29:'Phase GPA'!$U$44,11,0)),0)))</f>
        <v/>
      </c>
      <c r="H42" s="45" t="str">
        <f>IF($C42="/","",IF($C42="","",IFERROR(IF(ISNA(VLOOKUP($C42,'Phase GPA'!$C$29:'Phase GPA'!$U$44,12,0)), ,VLOOKUP($C42,'Phase GPA'!$C$29:'Phase GPA'!$U$44,12,0)),0)))</f>
        <v/>
      </c>
      <c r="I42" s="45" t="str">
        <f>IF($C42="/","",IF($C42="","",IFERROR(IF(ISNA($H42/VLOOKUP($C42,Données!$C$19:'Données'!$I$38,5,0)), ,$H42/VLOOKUP($C42,Données!$C$19:'Données'!$I$38,5,0))*100,0)))</f>
        <v/>
      </c>
      <c r="J42" s="45" t="str">
        <f>IF($C42="/","",IF($C42="","",IFERROR(IF(ISNA($H42/VLOOKUP($C42,Données!$C$19:'Données'!$I$38,6,0)), ,$H42/VLOOKUP($C42,Données!$C$19:'Données'!$I$38,6,0)),"/")))</f>
        <v/>
      </c>
      <c r="K42" s="45" t="str">
        <f>IF($C42="/","",IF($C42="","",IFERROR(IF(ISNA($H42/VLOOKUP($C42,Données!$C$19:'Données'!$I$38,7,0)*100), ,$H42/VLOOKUP($C42,Données!$C$19:'Données'!$I$38,7,0)*100),"/")))</f>
        <v/>
      </c>
      <c r="L42" s="46" t="str">
        <f t="shared" si="0"/>
        <v/>
      </c>
      <c r="M42" s="13"/>
      <c r="N42" s="12"/>
      <c r="O42" s="3"/>
      <c r="P42" s="16"/>
      <c r="Q42" s="1"/>
      <c r="R42" s="1"/>
      <c r="S42" s="55">
        <f>IF($C42="","",IFERROR(IF(ISNA(VLOOKUP($C42,Données!$C$19:'Données'!$I$38,6,0)), ,VLOOKUP($C42,Données!$C$19:'Données'!$I$38,6,0)),"/"))</f>
        <v>0</v>
      </c>
      <c r="T42" s="55">
        <f>IF($C42="","",IFERROR(IF(ISNA(VLOOKUP($C42,Données!$C$19:'Données'!$I$38,7,0)), ,VLOOKUP($C42,Données!$C$19:'Données'!$I$38,7,0)),"/"))</f>
        <v>0</v>
      </c>
      <c r="U42" s="55">
        <f>IF($C42="","",IFERROR(IF(ISNA(VLOOKUP($C42,Données!$C$19:'Données'!$I$38,5,0)), ,VLOOKUP($C42,Données!$C$19:'Données'!$I$38,5,0)),"/"))</f>
        <v>0</v>
      </c>
      <c r="V42" s="55" t="str">
        <f t="shared" si="1"/>
        <v>/</v>
      </c>
    </row>
    <row r="43" spans="1:22" ht="50.1" customHeight="1" x14ac:dyDescent="0.25">
      <c r="A43" s="1"/>
      <c r="B43" s="1"/>
      <c r="C43" s="88" t="str">
        <f>IF('Phase GPA'!$AT43="IE",'Phase GPA'!$C43,"/")</f>
        <v>/</v>
      </c>
      <c r="D43" s="42" t="str">
        <f>IF($C43="/","",IF($C43="","",IFERROR(IF(ISNA(VLOOKUP($C43,'Phase GPA'!$C$29:'Phase GPA'!$U$44,10,0)), ,VLOOKUP($C43,'Phase GPA'!$C$29:'Phase GPA'!$U$44,10,0)),0)))</f>
        <v/>
      </c>
      <c r="E43" s="43" t="str">
        <f>IF($C43="/","",IF($C43="","",IFERROR(IF(ISNA($D43/VLOOKUP($C43,Données!$C$19:'Données'!$I$38,6,0)), ,$D43/VLOOKUP($C43,Données!$C$19:'Données'!$I$38,6,0)),"/")))</f>
        <v/>
      </c>
      <c r="F43" s="43" t="str">
        <f>IF($C43="/","",IF($C43="","",IFERROR(IF(ISNA($D43/VLOOKUP($C43,Données!$C$19:'Données'!$I$38,7,0)*100), ,$D43/VLOOKUP($C43,Données!$C$19:'Données'!$I$38,7,0)*100),"/")))</f>
        <v/>
      </c>
      <c r="G43" s="42" t="str">
        <f>IF($C43="/","",IF($C43="","",IFERROR(IF(ISNA(VLOOKUP($C43,'Phase GPA'!$C$29:'Phase GPA'!$U$44,11,0)), ,VLOOKUP($C43,'Phase GPA'!$C$29:'Phase GPA'!$U$44,11,0)),0)))</f>
        <v/>
      </c>
      <c r="H43" s="45" t="str">
        <f>IF($C43="/","",IF($C43="","",IFERROR(IF(ISNA(VLOOKUP($C43,'Phase GPA'!$C$29:'Phase GPA'!$U$44,12,0)), ,VLOOKUP($C43,'Phase GPA'!$C$29:'Phase GPA'!$U$44,12,0)),0)))</f>
        <v/>
      </c>
      <c r="I43" s="45" t="str">
        <f>IF($C43="/","",IF($C43="","",IFERROR(IF(ISNA($H43/VLOOKUP($C43,Données!$C$19:'Données'!$I$38,5,0)), ,$H43/VLOOKUP($C43,Données!$C$19:'Données'!$I$38,5,0))*100,0)))</f>
        <v/>
      </c>
      <c r="J43" s="45" t="str">
        <f>IF($C43="/","",IF($C43="","",IFERROR(IF(ISNA($H43/VLOOKUP($C43,Données!$C$19:'Données'!$I$38,6,0)), ,$H43/VLOOKUP($C43,Données!$C$19:'Données'!$I$38,6,0)),"/")))</f>
        <v/>
      </c>
      <c r="K43" s="45" t="str">
        <f>IF($C43="/","",IF($C43="","",IFERROR(IF(ISNA($H43/VLOOKUP($C43,Données!$C$19:'Données'!$I$38,7,0)*100), ,$H43/VLOOKUP($C43,Données!$C$19:'Données'!$I$38,7,0)*100),"/")))</f>
        <v/>
      </c>
      <c r="L43" s="46" t="str">
        <f t="shared" si="0"/>
        <v/>
      </c>
      <c r="M43" s="13"/>
      <c r="N43" s="12"/>
      <c r="O43" s="3"/>
      <c r="P43" s="16"/>
      <c r="Q43" s="1"/>
      <c r="R43" s="1"/>
      <c r="S43" s="55">
        <f>IF($C43="","",IFERROR(IF(ISNA(VLOOKUP($C43,Données!$C$19:'Données'!$I$38,6,0)), ,VLOOKUP($C43,Données!$C$19:'Données'!$I$38,6,0)),"/"))</f>
        <v>0</v>
      </c>
      <c r="T43" s="55">
        <f>IF($C43="","",IFERROR(IF(ISNA(VLOOKUP($C43,Données!$C$19:'Données'!$I$38,7,0)), ,VLOOKUP($C43,Données!$C$19:'Données'!$I$38,7,0)),"/"))</f>
        <v>0</v>
      </c>
      <c r="U43" s="55">
        <f>IF($C43="","",IFERROR(IF(ISNA(VLOOKUP($C43,Données!$C$19:'Données'!$I$38,5,0)), ,VLOOKUP($C43,Données!$C$19:'Données'!$I$38,5,0)),"/"))</f>
        <v>0</v>
      </c>
      <c r="V43" s="55" t="str">
        <f t="shared" si="1"/>
        <v>/</v>
      </c>
    </row>
    <row r="44" spans="1:22" ht="50.1" customHeight="1" x14ac:dyDescent="0.25">
      <c r="A44" s="1"/>
      <c r="B44" s="1"/>
      <c r="C44" s="57" t="s">
        <v>50</v>
      </c>
      <c r="D44" s="58">
        <f>SUM(D29:D43)</f>
        <v>0</v>
      </c>
      <c r="E44" s="60" t="str">
        <f>IF(S44=0,"/",D44/S44)</f>
        <v>/</v>
      </c>
      <c r="F44" s="60" t="str">
        <f>IF(T44=0,"/",D44/T44*100)</f>
        <v>/</v>
      </c>
      <c r="G44" s="58">
        <f>IFERROR(V44/D44,0)</f>
        <v>0</v>
      </c>
      <c r="H44" s="66">
        <f>SUM(H29:H43)</f>
        <v>0</v>
      </c>
      <c r="I44" s="66">
        <f>IFERROR(H44/U44*100,0)</f>
        <v>0</v>
      </c>
      <c r="J44" s="66" t="str">
        <f>IF(S44=0,"/",H44/S44)</f>
        <v>/</v>
      </c>
      <c r="K44" s="60" t="str">
        <f>IF(T44=0,"/",H44/T44*100)</f>
        <v>/</v>
      </c>
      <c r="L44" s="67">
        <f>IFERROR(H44/D44,0)</f>
        <v>0</v>
      </c>
      <c r="M44" s="68"/>
      <c r="N44" s="69"/>
      <c r="O44" s="3"/>
      <c r="P44" s="16"/>
      <c r="Q44" s="1"/>
      <c r="R44" s="1"/>
      <c r="S44" s="56">
        <f>SUM(S29:S43)</f>
        <v>0</v>
      </c>
      <c r="T44" s="56">
        <f>SUM(T29:T43)</f>
        <v>0</v>
      </c>
      <c r="U44" s="56">
        <f>SUM(U29:U43)</f>
        <v>0</v>
      </c>
      <c r="V44" s="39">
        <f>SUM(V29:V43)</f>
        <v>0</v>
      </c>
    </row>
    <row r="45" spans="1:22" ht="15" customHeight="1" x14ac:dyDescent="0.25">
      <c r="A45" s="1"/>
      <c r="B45" s="1"/>
      <c r="C45" s="10"/>
      <c r="D45" s="10"/>
      <c r="E45" s="10"/>
      <c r="F45" s="10"/>
      <c r="G45" s="10"/>
      <c r="H45" s="10"/>
      <c r="I45" s="10"/>
      <c r="J45" s="10"/>
      <c r="K45" s="10"/>
      <c r="L45" s="10"/>
      <c r="M45" s="10"/>
      <c r="N45" s="10"/>
      <c r="O45" s="11"/>
      <c r="P45" s="4"/>
      <c r="Q45" s="1"/>
      <c r="R45" s="1"/>
    </row>
    <row r="46" spans="1:22" ht="15" customHeight="1" x14ac:dyDescent="0.25">
      <c r="A46" s="1"/>
      <c r="B46" s="1"/>
      <c r="C46" s="5"/>
      <c r="D46" s="10"/>
      <c r="E46" s="10"/>
      <c r="F46" s="10"/>
      <c r="G46" s="10"/>
      <c r="H46" s="10"/>
      <c r="I46" s="10"/>
      <c r="J46" s="10"/>
      <c r="K46" s="10"/>
      <c r="L46" s="10"/>
      <c r="M46" s="10"/>
      <c r="N46" s="10"/>
      <c r="O46" s="11"/>
      <c r="P46" s="30"/>
      <c r="Q46" s="1"/>
      <c r="R46" s="1"/>
    </row>
    <row r="47" spans="1:22" ht="15" customHeight="1" x14ac:dyDescent="0.25">
      <c r="A47" s="1"/>
      <c r="B47" s="1"/>
      <c r="C47" s="5"/>
      <c r="D47" s="10"/>
      <c r="E47" s="10"/>
      <c r="F47" s="10"/>
      <c r="G47" s="10"/>
      <c r="H47" s="10"/>
      <c r="I47" s="10"/>
      <c r="J47" s="10"/>
      <c r="K47" s="10"/>
      <c r="L47" s="10"/>
      <c r="M47" s="10"/>
      <c r="N47" s="10"/>
      <c r="O47" s="11"/>
      <c r="P47" s="29"/>
      <c r="Q47" s="1"/>
      <c r="R47" s="1"/>
    </row>
    <row r="48" spans="1:22" ht="15" customHeight="1" x14ac:dyDescent="0.25">
      <c r="A48" s="1"/>
      <c r="B48" s="1"/>
      <c r="C48" s="10"/>
      <c r="D48" s="10"/>
      <c r="E48" s="10"/>
      <c r="F48" s="10"/>
      <c r="G48" s="10"/>
      <c r="H48" s="10"/>
      <c r="I48" s="10"/>
      <c r="J48" s="10"/>
      <c r="K48" s="10"/>
      <c r="L48" s="10"/>
      <c r="M48" s="10"/>
      <c r="N48" s="10"/>
      <c r="O48" s="11"/>
      <c r="P48" s="29"/>
      <c r="Q48" s="1"/>
      <c r="R48" s="1"/>
    </row>
    <row r="49" spans="1:19" ht="15" customHeight="1" x14ac:dyDescent="0.25">
      <c r="A49" s="1"/>
      <c r="B49" s="1"/>
      <c r="C49" s="6"/>
      <c r="D49" s="6"/>
      <c r="E49" s="10"/>
      <c r="F49" s="10"/>
      <c r="G49" s="10"/>
      <c r="H49" s="10"/>
      <c r="I49" s="10"/>
      <c r="J49" s="10"/>
      <c r="K49" s="10"/>
      <c r="L49" s="10"/>
      <c r="M49" s="10"/>
      <c r="N49" s="10"/>
      <c r="O49" s="11"/>
      <c r="P49" s="29"/>
      <c r="Q49" s="1"/>
      <c r="R49" s="1"/>
    </row>
    <row r="50" spans="1:19" ht="5.0999999999999996" customHeight="1" x14ac:dyDescent="0.25">
      <c r="A50" s="1"/>
      <c r="B50" s="1"/>
      <c r="C50" s="1"/>
      <c r="D50" s="1"/>
      <c r="E50" s="1"/>
      <c r="F50" s="1"/>
      <c r="G50" s="1"/>
      <c r="H50" s="1"/>
      <c r="I50" s="1"/>
      <c r="J50" s="1"/>
      <c r="K50" s="1"/>
      <c r="L50" s="1"/>
      <c r="M50" s="1"/>
      <c r="N50" s="1"/>
      <c r="O50" s="1"/>
      <c r="P50" s="1"/>
      <c r="Q50" s="1"/>
      <c r="R50" s="1"/>
      <c r="S50" s="1"/>
    </row>
    <row r="51" spans="1:19" x14ac:dyDescent="0.25">
      <c r="A51" s="1"/>
      <c r="B51" s="1"/>
      <c r="C51" s="1"/>
      <c r="D51" s="1"/>
      <c r="E51" s="1"/>
      <c r="F51" s="1"/>
      <c r="G51" s="1"/>
      <c r="H51" s="1"/>
      <c r="I51" s="1"/>
      <c r="J51" s="1"/>
      <c r="K51" s="1"/>
      <c r="L51" s="1"/>
      <c r="M51" s="1"/>
      <c r="N51" s="1"/>
      <c r="O51" s="1"/>
      <c r="P51" s="1"/>
      <c r="Q51" s="1"/>
      <c r="R51" s="1"/>
      <c r="S51" s="1"/>
    </row>
  </sheetData>
  <sheetProtection algorithmName="SHA-512" hashValue="z+ItoOGcMT1XpeWDmjuRaYG9cTzg+D0TqkdT7whZJLT07oqCgF9IcygfKUUAi+CzMyLdGZmCWk6v0BhXM5ssIw==" saltValue="Pi42ZiXcCqRj7Cg1aGUEqw==" spinCount="100000" sheet="1" objects="1" scenarios="1"/>
  <protectedRanges>
    <protectedRange sqref="M29:N43" name="Plage2"/>
    <protectedRange sqref="P29:P44" name="Plage3"/>
  </protectedRanges>
  <mergeCells count="13">
    <mergeCell ref="P25:P28"/>
    <mergeCell ref="I25:I28"/>
    <mergeCell ref="J25:J28"/>
    <mergeCell ref="K25:K28"/>
    <mergeCell ref="L25:L28"/>
    <mergeCell ref="M25:M28"/>
    <mergeCell ref="N25:N28"/>
    <mergeCell ref="H25:H28"/>
    <mergeCell ref="C25:C28"/>
    <mergeCell ref="D25:D28"/>
    <mergeCell ref="E25:E28"/>
    <mergeCell ref="F25:F28"/>
    <mergeCell ref="G25:G28"/>
  </mergeCells>
  <conditionalFormatting sqref="G44">
    <cfRule type="cellIs" dxfId="14" priority="11" operator="lessThanOrEqual">
      <formula>15</formula>
    </cfRule>
    <cfRule type="cellIs" dxfId="13" priority="13" operator="greaterThan">
      <formula>15</formula>
    </cfRule>
  </conditionalFormatting>
  <conditionalFormatting sqref="E44">
    <cfRule type="cellIs" dxfId="12" priority="12" operator="lessThanOrEqual">
      <formula>1</formula>
    </cfRule>
    <cfRule type="containsText" dxfId="11" priority="14" operator="containsText" text="/">
      <formula>NOT(ISERROR(SEARCH("/",E44)))</formula>
    </cfRule>
    <cfRule type="cellIs" dxfId="10" priority="15" operator="greaterThan">
      <formula>1</formula>
    </cfRule>
  </conditionalFormatting>
  <conditionalFormatting sqref="G29">
    <cfRule type="cellIs" dxfId="9" priority="6" operator="lessThanOrEqual">
      <formula>15</formula>
    </cfRule>
    <cfRule type="cellIs" dxfId="8" priority="8" operator="greaterThan">
      <formula>15</formula>
    </cfRule>
  </conditionalFormatting>
  <conditionalFormatting sqref="E29">
    <cfRule type="cellIs" dxfId="7" priority="7" operator="lessThanOrEqual">
      <formula>1</formula>
    </cfRule>
    <cfRule type="containsText" dxfId="6" priority="9" operator="containsText" text="/">
      <formula>NOT(ISERROR(SEARCH("/",E29)))</formula>
    </cfRule>
    <cfRule type="cellIs" dxfId="5" priority="10" operator="greaterThan">
      <formula>1</formula>
    </cfRule>
  </conditionalFormatting>
  <conditionalFormatting sqref="G30:G43">
    <cfRule type="cellIs" dxfId="4" priority="1" operator="lessThanOrEqual">
      <formula>15</formula>
    </cfRule>
    <cfRule type="cellIs" dxfId="3" priority="3" operator="greaterThan">
      <formula>15</formula>
    </cfRule>
  </conditionalFormatting>
  <conditionalFormatting sqref="E30:E43">
    <cfRule type="cellIs" dxfId="2" priority="2" operator="lessThanOrEqual">
      <formula>1</formula>
    </cfRule>
    <cfRule type="containsText" dxfId="1" priority="4" operator="containsText" text="/">
      <formula>NOT(ISERROR(SEARCH("/",E30)))</formula>
    </cfRule>
    <cfRule type="cellIs" dxfId="0" priority="5" operator="greaterThan">
      <formula>1</formula>
    </cfRule>
  </conditionalFormatting>
  <dataValidations count="1">
    <dataValidation type="list" allowBlank="1" showInputMessage="1" showErrorMessage="1" sqref="C45">
      <formula1>#REF!</formula1>
    </dataValidation>
  </dataValidations>
  <printOptions horizontalCentered="1" verticalCentered="1"/>
  <pageMargins left="0" right="0" top="0" bottom="1.3779527559055118" header="0.31496062992125984" footer="0.31496062992125984"/>
  <pageSetup paperSize="8" scale="58" orientation="landscape" r:id="rId1"/>
  <headerFooter>
    <oddFooter>&amp;C&amp;G</oddFooter>
  </headerFooter>
  <drawing r:id="rId2"/>
  <legacyDrawing r:id="rId3"/>
  <legacyDrawingHF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rgb="FFFF0000"/>
  </sheetPr>
  <dimension ref="A1:E24"/>
  <sheetViews>
    <sheetView workbookViewId="0"/>
  </sheetViews>
  <sheetFormatPr baseColWidth="10" defaultRowHeight="15" outlineLevelCol="1" x14ac:dyDescent="0.25"/>
  <cols>
    <col min="1" max="1" width="24.140625" customWidth="1"/>
    <col min="2" max="2" width="16.5703125" customWidth="1"/>
    <col min="5" max="5" width="97" customWidth="1" outlineLevel="1"/>
  </cols>
  <sheetData>
    <row r="1" spans="1:5" x14ac:dyDescent="0.25">
      <c r="E1" s="27" t="s">
        <v>34</v>
      </c>
    </row>
    <row r="2" spans="1:5" ht="30" customHeight="1" x14ac:dyDescent="0.25">
      <c r="E2" s="25" t="str">
        <f>CONCATENATE("Agence : ",B3)&amp;CHAR(10)&amp;CONCATENATE("Date : ",TEXT(B4,"jj/mm/aaaa"))</f>
        <v>Agence : EVREUX
Date : 27/02/2019</v>
      </c>
    </row>
    <row r="3" spans="1:5" ht="30" customHeight="1" x14ac:dyDescent="0.25">
      <c r="A3" t="s">
        <v>33</v>
      </c>
      <c r="B3" s="17" t="s">
        <v>87</v>
      </c>
      <c r="E3" s="26"/>
    </row>
    <row r="4" spans="1:5" ht="30" customHeight="1" x14ac:dyDescent="0.25">
      <c r="A4" t="s">
        <v>32</v>
      </c>
      <c r="B4" s="28">
        <v>43523</v>
      </c>
      <c r="E4" s="25" t="str">
        <f>CONCATENATE("Présents : ",B5)&amp;CHAR(10)&amp;CONCATENATE("Destinataires : ",B6)</f>
        <v>Présents : XXXX
Destinataires : XXXX</v>
      </c>
    </row>
    <row r="5" spans="1:5" ht="30" customHeight="1" x14ac:dyDescent="0.25">
      <c r="A5" t="s">
        <v>35</v>
      </c>
      <c r="B5" s="17" t="s">
        <v>78</v>
      </c>
      <c r="E5" s="26"/>
    </row>
    <row r="6" spans="1:5" ht="30" customHeight="1" x14ac:dyDescent="0.25">
      <c r="A6" t="s">
        <v>36</v>
      </c>
      <c r="B6" s="17" t="s">
        <v>78</v>
      </c>
      <c r="E6" s="26"/>
    </row>
    <row r="7" spans="1:5" x14ac:dyDescent="0.25">
      <c r="E7" s="26"/>
    </row>
    <row r="8" spans="1:5" x14ac:dyDescent="0.25">
      <c r="B8" s="101"/>
      <c r="E8" s="26"/>
    </row>
    <row r="9" spans="1:5" x14ac:dyDescent="0.25">
      <c r="E9" s="26"/>
    </row>
    <row r="10" spans="1:5" x14ac:dyDescent="0.25">
      <c r="E10" s="26"/>
    </row>
    <row r="11" spans="1:5" x14ac:dyDescent="0.25">
      <c r="E11" s="26"/>
    </row>
    <row r="12" spans="1:5" x14ac:dyDescent="0.25">
      <c r="E12" s="26"/>
    </row>
    <row r="13" spans="1:5" x14ac:dyDescent="0.25">
      <c r="E13" s="26"/>
    </row>
    <row r="14" spans="1:5" x14ac:dyDescent="0.25">
      <c r="E14" s="26"/>
    </row>
    <row r="15" spans="1:5" x14ac:dyDescent="0.25">
      <c r="E15" s="26"/>
    </row>
    <row r="16" spans="1:5" x14ac:dyDescent="0.25">
      <c r="E16" s="26"/>
    </row>
    <row r="17" spans="5:5" x14ac:dyDescent="0.25">
      <c r="E17" s="26"/>
    </row>
    <row r="18" spans="5:5" x14ac:dyDescent="0.25">
      <c r="E18" s="26"/>
    </row>
    <row r="19" spans="5:5" x14ac:dyDescent="0.25">
      <c r="E19" s="26"/>
    </row>
    <row r="20" spans="5:5" x14ac:dyDescent="0.25">
      <c r="E20" s="26"/>
    </row>
    <row r="21" spans="5:5" x14ac:dyDescent="0.25">
      <c r="E21" s="26"/>
    </row>
    <row r="22" spans="5:5" x14ac:dyDescent="0.25">
      <c r="E22" s="26"/>
    </row>
    <row r="23" spans="5:5" x14ac:dyDescent="0.25">
      <c r="E23" s="26"/>
    </row>
    <row r="24" spans="5:5" x14ac:dyDescent="0.25">
      <c r="E24" s="26"/>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18ace0e7-60a4-4acf-87da-1c47a991bb86" ContentTypeId="0x01010004BBCBFDEBB3864BA0EFED7044CA4B28"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BYCN" ma:contentTypeID="0x01010004BBCBFDEBB3864BA0EFED7044CA4B280057D3FA1D9199CD4E8DCA0F91F17412CD" ma:contentTypeVersion="8" ma:contentTypeDescription="Create a new document." ma:contentTypeScope="" ma:versionID="b077eaec85cdfd45798ec9cbf15e4811">
  <xsd:schema xmlns:xsd="http://www.w3.org/2001/XMLSchema" xmlns:xs="http://www.w3.org/2001/XMLSchema" xmlns:p="http://schemas.microsoft.com/office/2006/metadata/properties" xmlns:ns2="95235cfd-2d18-42eb-8ffc-01f090d3b392" xmlns:ns3="055a4a28-9959-41a1-a37f-980566fa25d5" targetNamespace="http://schemas.microsoft.com/office/2006/metadata/properties" ma:root="true" ma:fieldsID="9bbc5cec530ab153f41e16bb564e21d6" ns2:_="" ns3:_="">
    <xsd:import namespace="95235cfd-2d18-42eb-8ffc-01f090d3b392"/>
    <xsd:import namespace="055a4a28-9959-41a1-a37f-980566fa25d5"/>
    <xsd:element name="properties">
      <xsd:complexType>
        <xsd:sequence>
          <xsd:element name="documentManagement">
            <xsd:complexType>
              <xsd:all>
                <xsd:element ref="ns2:b7665f99c0fe44919cb3218cc8e5302c" minOccurs="0"/>
                <xsd:element ref="ns2:TaxCatchAll" minOccurs="0"/>
                <xsd:element ref="ns2:TaxCatchAllLabel" minOccurs="0"/>
                <xsd:element ref="ns2:ComUnityFolder" minOccurs="0"/>
                <xsd:element ref="ns2:bc25f8494e694b549ba275b5de656855" minOccurs="0"/>
                <xsd:element ref="ns2:b1c94e71d43e47329629adb2299a7407" minOccurs="0"/>
                <xsd:element ref="ns2:n052ae6ce5fe48d585b4ce219bb73d0e" minOccurs="0"/>
                <xsd:element ref="ns2:aa574486944c4b4183531de588537b4d" minOccurs="0"/>
                <xsd:element ref="ns3:_dlc_DocId" minOccurs="0"/>
                <xsd:element ref="ns3:_dlc_DocIdUrl" minOccurs="0"/>
                <xsd:element ref="ns3: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5235cfd-2d18-42eb-8ffc-01f090d3b392" elementFormDefault="qualified">
    <xsd:import namespace="http://schemas.microsoft.com/office/2006/documentManagement/types"/>
    <xsd:import namespace="http://schemas.microsoft.com/office/infopath/2007/PartnerControls"/>
    <xsd:element name="b7665f99c0fe44919cb3218cc8e5302c" ma:index="8" nillable="true" ma:taxonomy="true" ma:internalName="b7665f99c0fe44919cb3218cc8e5302c" ma:taxonomyFieldName="ArchiveClassificationPlan" ma:displayName="Archive Classification Plan" ma:default="1;#00 00 A classer|06ef1ee2-e7bf-4474-9d1e-c5fbf4f3b42b" ma:fieldId="{b7665f99-c0fe-4491-9cb3-218cc8e5302c}" ma:sspId="18ace0e7-60a4-4acf-87da-1c47a991bb86" ma:termSetId="26353664-7461-4f07-87dd-daa2874ea87e" ma:anchorId="00000000-0000-0000-0000-000000000000" ma:open="false" ma:isKeyword="false">
      <xsd:complexType>
        <xsd:sequence>
          <xsd:element ref="pc:Terms" minOccurs="0" maxOccurs="1"/>
        </xsd:sequence>
      </xsd:complexType>
    </xsd:element>
    <xsd:element name="TaxCatchAll" ma:index="9" nillable="true" ma:displayName="Taxonomy Catch All Column" ma:description="" ma:hidden="true" ma:list="{1e2e4fca-82b7-4de8-b976-6283ad5f127b}" ma:internalName="TaxCatchAll" ma:showField="CatchAllData" ma:web="055a4a28-9959-41a1-a37f-980566fa25d5">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Taxonomy Catch All Column1" ma:description="" ma:hidden="true" ma:list="{1e2e4fca-82b7-4de8-b976-6283ad5f127b}" ma:internalName="TaxCatchAllLabel" ma:readOnly="true" ma:showField="CatchAllDataLabel" ma:web="055a4a28-9959-41a1-a37f-980566fa25d5">
      <xsd:complexType>
        <xsd:complexContent>
          <xsd:extension base="dms:MultiChoiceLookup">
            <xsd:sequence>
              <xsd:element name="Value" type="dms:Lookup" maxOccurs="unbounded" minOccurs="0" nillable="true"/>
            </xsd:sequence>
          </xsd:extension>
        </xsd:complexContent>
      </xsd:complexType>
    </xsd:element>
    <xsd:element name="ComUnityFolder" ma:index="12" nillable="true" ma:displayName="Folder" ma:internalName="ComUnityFolder">
      <xsd:complexType>
        <xsd:complexContent>
          <xsd:extension base="dms:URL">
            <xsd:sequence>
              <xsd:element name="Url" type="dms:ValidUrl" minOccurs="0" nillable="true"/>
              <xsd:element name="Description" type="xsd:string" nillable="true"/>
            </xsd:sequence>
          </xsd:extension>
        </xsd:complexContent>
      </xsd:complexType>
    </xsd:element>
    <xsd:element name="bc25f8494e694b549ba275b5de656855" ma:index="13" nillable="true" ma:taxonomy="true" ma:internalName="bc25f8494e694b549ba275b5de656855" ma:taxonomyFieldName="Organisation" ma:displayName="Organisation" ma:fieldId="{bc25f849-4e69-4b54-9ba2-75b5de656855}" ma:sspId="18ace0e7-60a4-4acf-87da-1c47a991bb86" ma:termSetId="45cd4057-b767-4ebf-98f6-4028b8e5bef9" ma:anchorId="00000000-0000-0000-0000-000000000000" ma:open="false" ma:isKeyword="false">
      <xsd:complexType>
        <xsd:sequence>
          <xsd:element ref="pc:Terms" minOccurs="0" maxOccurs="1"/>
        </xsd:sequence>
      </xsd:complexType>
    </xsd:element>
    <xsd:element name="b1c94e71d43e47329629adb2299a7407" ma:index="15" nillable="true" ma:taxonomy="true" ma:internalName="b1c94e71d43e47329629adb2299a7407" ma:taxonomyFieldName="WorkspaceClassification" ma:displayName="Workspace classification" ma:fieldId="{b1c94e71-d43e-4732-9629-adb2299a7407}" ma:sspId="18ace0e7-60a4-4acf-87da-1c47a991bb86" ma:termSetId="22f1860e-f59a-4db1-b21a-a41c5c8ed1ec" ma:anchorId="00000000-0000-0000-0000-000000000000" ma:open="false" ma:isKeyword="false">
      <xsd:complexType>
        <xsd:sequence>
          <xsd:element ref="pc:Terms" minOccurs="0" maxOccurs="1"/>
        </xsd:sequence>
      </xsd:complexType>
    </xsd:element>
    <xsd:element name="n052ae6ce5fe48d585b4ce219bb73d0e" ma:index="17" nillable="true" ma:taxonomy="true" ma:internalName="n052ae6ce5fe48d585b4ce219bb73d0e" ma:taxonomyFieldName="SupportServices" ma:displayName="Support services" ma:fieldId="{7052ae6c-e5fe-48d5-85b4-ce219bb73d0e}" ma:sspId="18ace0e7-60a4-4acf-87da-1c47a991bb86" ma:termSetId="813098a9-32ee-4127-b4ec-488cb7a25468" ma:anchorId="00000000-0000-0000-0000-000000000000" ma:open="false" ma:isKeyword="false">
      <xsd:complexType>
        <xsd:sequence>
          <xsd:element ref="pc:Terms" minOccurs="0" maxOccurs="1"/>
        </xsd:sequence>
      </xsd:complexType>
    </xsd:element>
    <xsd:element name="aa574486944c4b4183531de588537b4d" ma:index="19" nillable="true" ma:taxonomy="true" ma:internalName="aa574486944c4b4183531de588537b4d" ma:taxonomyFieldName="ClassificationLevel" ma:displayName="Classification level" ma:fieldId="{aa574486-944c-4b41-8353-1de588537b4d}" ma:sspId="18ace0e7-60a4-4acf-87da-1c47a991bb86" ma:termSetId="b84a82df-7dfe-42a8-9650-82042eeb9fd0"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055a4a28-9959-41a1-a37f-980566fa25d5" elementFormDefault="qualified">
    <xsd:import namespace="http://schemas.microsoft.com/office/2006/documentManagement/types"/>
    <xsd:import namespace="http://schemas.microsoft.com/office/infopath/2007/PartnerControls"/>
    <xsd:element name="_dlc_DocId" ma:index="21" nillable="true" ma:displayName="Document ID Value" ma:description="The value of the document ID assigned to this item." ma:internalName="_dlc_DocId" ma:readOnly="true">
      <xsd:simpleType>
        <xsd:restriction base="dms:Text"/>
      </xsd:simpleType>
    </xsd:element>
    <xsd:element name="_dlc_DocIdUrl" ma:index="22"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3"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n052ae6ce5fe48d585b4ce219bb73d0e xmlns="95235cfd-2d18-42eb-8ffc-01f090d3b392">
      <Terms xmlns="http://schemas.microsoft.com/office/infopath/2007/PartnerControls">
        <TermInfo xmlns="http://schemas.microsoft.com/office/infopath/2007/PartnerControls">
          <TermName xmlns="http://schemas.microsoft.com/office/infopath/2007/PartnerControls">Post site services</TermName>
          <TermId xmlns="http://schemas.microsoft.com/office/infopath/2007/PartnerControls">b6212d0e-b9cf-4b29-96b5-0c3b89096ae1</TermId>
        </TermInfo>
      </Terms>
    </n052ae6ce5fe48d585b4ce219bb73d0e>
    <b7665f99c0fe44919cb3218cc8e5302c xmlns="95235cfd-2d18-42eb-8ffc-01f090d3b392">
      <Terms xmlns="http://schemas.microsoft.com/office/infopath/2007/PartnerControls">
        <TermInfo xmlns="http://schemas.microsoft.com/office/infopath/2007/PartnerControls">
          <TermName xmlns="http://schemas.microsoft.com/office/infopath/2007/PartnerControls">00 00 A classer</TermName>
          <TermId xmlns="http://schemas.microsoft.com/office/infopath/2007/PartnerControls">06ef1ee2-e7bf-4474-9d1e-c5fbf4f3b42b</TermId>
        </TermInfo>
      </Terms>
    </b7665f99c0fe44919cb3218cc8e5302c>
    <TaxCatchAll xmlns="95235cfd-2d18-42eb-8ffc-01f090d3b392">
      <Value>4</Value>
      <Value>3</Value>
      <Value>2</Value>
      <Value>1</Value>
    </TaxCatchAll>
    <ComUnityFolder xmlns="95235cfd-2d18-42eb-8ffc-01f090d3b392">
      <Url xsi:nil="true"/>
      <Description xsi:nil="true"/>
    </ComUnityFolder>
    <b1c94e71d43e47329629adb2299a7407 xmlns="95235cfd-2d18-42eb-8ffc-01f090d3b392">
      <Terms xmlns="http://schemas.microsoft.com/office/infopath/2007/PartnerControls">
        <TermInfo xmlns="http://schemas.microsoft.com/office/infopath/2007/PartnerControls">
          <TermName xmlns="http://schemas.microsoft.com/office/infopath/2007/PartnerControls">Team</TermName>
          <TermId xmlns="http://schemas.microsoft.com/office/infopath/2007/PartnerControls">bc73f5d6-c9a9-432f-8ea2-31c33c131b8b</TermId>
        </TermInfo>
      </Terms>
    </b1c94e71d43e47329629adb2299a7407>
    <aa574486944c4b4183531de588537b4d xmlns="95235cfd-2d18-42eb-8ffc-01f090d3b392">
      <Terms xmlns="http://schemas.microsoft.com/office/infopath/2007/PartnerControls"/>
    </aa574486944c4b4183531de588537b4d>
    <bc25f8494e694b549ba275b5de656855 xmlns="95235cfd-2d18-42eb-8ffc-01f090d3b392">
      <Terms xmlns="http://schemas.microsoft.com/office/infopath/2007/PartnerControls">
        <TermInfo xmlns="http://schemas.microsoft.com/office/infopath/2007/PartnerControls">
          <TermName xmlns="http://schemas.microsoft.com/office/infopath/2007/PartnerControls">BYBAT GO</TermName>
          <TermId xmlns="http://schemas.microsoft.com/office/infopath/2007/PartnerControls">e034adac-5b50-4921-bbe0-8da480d557cc</TermId>
        </TermInfo>
      </Terms>
    </bc25f8494e694b549ba275b5de656855>
    <_dlc_DocId xmlns="055a4a28-9959-41a1-a37f-980566fa25d5">CWKSP-1548756382-22837</_dlc_DocId>
    <_dlc_DocIdUrl xmlns="055a4a28-9959-41a1-a37f-980566fa25d5">
      <Url>https://bouyguesconstruction.sharepoint.com/sites/bybatgodavp/_layouts/15/DocIdRedir.aspx?ID=CWKSP-1548756382-22837</Url>
      <Description>CWKSP-1548756382-22837</Description>
    </_dlc_DocIdUrl>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3300A7E-11E2-413B-A8A3-B9885FDED0B8}">
  <ds:schemaRefs>
    <ds:schemaRef ds:uri="Microsoft.SharePoint.Taxonomy.ContentTypeSync"/>
  </ds:schemaRefs>
</ds:datastoreItem>
</file>

<file path=customXml/itemProps2.xml><?xml version="1.0" encoding="utf-8"?>
<ds:datastoreItem xmlns:ds="http://schemas.openxmlformats.org/officeDocument/2006/customXml" ds:itemID="{599CFD48-36A5-4143-AE2A-9A1934ACC144}">
  <ds:schemaRefs>
    <ds:schemaRef ds:uri="http://schemas.microsoft.com/sharepoint/v3/contenttype/forms"/>
  </ds:schemaRefs>
</ds:datastoreItem>
</file>

<file path=customXml/itemProps3.xml><?xml version="1.0" encoding="utf-8"?>
<ds:datastoreItem xmlns:ds="http://schemas.openxmlformats.org/officeDocument/2006/customXml" ds:itemID="{EDD22125-BC57-4AD5-9F78-C30FD28CAE3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5235cfd-2d18-42eb-8ffc-01f090d3b392"/>
    <ds:schemaRef ds:uri="055a4a28-9959-41a1-a37f-980566fa25d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40138555-99AD-491B-90E3-D9F2155D9E0A}">
  <ds:schemaRefs>
    <ds:schemaRef ds:uri="http://purl.org/dc/terms/"/>
    <ds:schemaRef ds:uri="http://www.w3.org/XML/1998/namespace"/>
    <ds:schemaRef ds:uri="http://schemas.microsoft.com/office/2006/documentManagement/types"/>
    <ds:schemaRef ds:uri="http://schemas.microsoft.com/office/2006/metadata/properties"/>
    <ds:schemaRef ds:uri="http://purl.org/dc/elements/1.1/"/>
    <ds:schemaRef ds:uri="055a4a28-9959-41a1-a37f-980566fa25d5"/>
    <ds:schemaRef ds:uri="http://schemas.microsoft.com/office/infopath/2007/PartnerControls"/>
    <ds:schemaRef ds:uri="http://schemas.openxmlformats.org/package/2006/metadata/core-properties"/>
    <ds:schemaRef ds:uri="95235cfd-2d18-42eb-8ffc-01f090d3b392"/>
    <ds:schemaRef ds:uri="http://purl.org/dc/dcmitype/"/>
  </ds:schemaRefs>
</ds:datastoreItem>
</file>

<file path=customXml/itemProps5.xml><?xml version="1.0" encoding="utf-8"?>
<ds:datastoreItem xmlns:ds="http://schemas.openxmlformats.org/officeDocument/2006/customXml" ds:itemID="{4DAE0F35-2CAE-4847-A34A-9C4835F46DB4}">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14</vt:i4>
      </vt:variant>
      <vt:variant>
        <vt:lpstr>Plages nommées</vt:lpstr>
      </vt:variant>
      <vt:variant>
        <vt:i4>25</vt:i4>
      </vt:variant>
    </vt:vector>
  </HeadingPairs>
  <TitlesOfParts>
    <vt:vector size="39" baseType="lpstr">
      <vt:lpstr>Données</vt:lpstr>
      <vt:lpstr>Phase GPA</vt:lpstr>
      <vt:lpstr>Bilan final GPA HN</vt:lpstr>
      <vt:lpstr>Bilan final GPA HR</vt:lpstr>
      <vt:lpstr>Bilan final GPA OF</vt:lpstr>
      <vt:lpstr>Bilan final GPA IE</vt:lpstr>
      <vt:lpstr>Plan d'actions</vt:lpstr>
      <vt:lpstr>Onglet vierge</vt:lpstr>
      <vt:lpstr>Indicateurs</vt:lpstr>
      <vt:lpstr>Bilan intermédiaire GPA HN</vt:lpstr>
      <vt:lpstr>Bilan intermédiaire GPA HR</vt:lpstr>
      <vt:lpstr>Bilan intermédiaire GPA OF</vt:lpstr>
      <vt:lpstr>Bilan intermédiaire GPA IE</vt:lpstr>
      <vt:lpstr>Feuille Saisie</vt:lpstr>
      <vt:lpstr>DateReunion</vt:lpstr>
      <vt:lpstr>NomAgence</vt:lpstr>
      <vt:lpstr>Nomdesdestinataires</vt:lpstr>
      <vt:lpstr>nomdesprésents</vt:lpstr>
      <vt:lpstr>'Bilan final GPA HN'!Print_Area</vt:lpstr>
      <vt:lpstr>'Bilan final GPA HR'!Print_Area</vt:lpstr>
      <vt:lpstr>'Bilan final GPA IE'!Print_Area</vt:lpstr>
      <vt:lpstr>'Bilan final GPA OF'!Print_Area</vt:lpstr>
      <vt:lpstr>'Bilan intermédiaire GPA HN'!Print_Area</vt:lpstr>
      <vt:lpstr>'Bilan intermédiaire GPA HR'!Print_Area</vt:lpstr>
      <vt:lpstr>'Bilan intermédiaire GPA IE'!Print_Area</vt:lpstr>
      <vt:lpstr>'Bilan intermédiaire GPA OF'!Print_Area</vt:lpstr>
      <vt:lpstr>Données!Print_Area</vt:lpstr>
      <vt:lpstr>'Phase GPA'!Print_Area</vt:lpstr>
      <vt:lpstr>'Bilan final GPA HN'!Zone_d_impression</vt:lpstr>
      <vt:lpstr>'Bilan final GPA HR'!Zone_d_impression</vt:lpstr>
      <vt:lpstr>'Bilan final GPA IE'!Zone_d_impression</vt:lpstr>
      <vt:lpstr>'Bilan final GPA OF'!Zone_d_impression</vt:lpstr>
      <vt:lpstr>'Bilan intermédiaire GPA HN'!Zone_d_impression</vt:lpstr>
      <vt:lpstr>'Bilan intermédiaire GPA HR'!Zone_d_impression</vt:lpstr>
      <vt:lpstr>'Bilan intermédiaire GPA IE'!Zone_d_impression</vt:lpstr>
      <vt:lpstr>'Bilan intermédiaire GPA OF'!Zone_d_impression</vt:lpstr>
      <vt:lpstr>Données!Zone_d_impression</vt:lpstr>
      <vt:lpstr>'Phase GPA'!Zone_d_impression</vt:lpstr>
      <vt:lpstr>'Plan d''actions'!Zone_d_impression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GillesC</dc:creator>
  <cp:lastModifiedBy>DEGREVE, Vincent</cp:lastModifiedBy>
  <cp:lastPrinted>2019-01-17T16:19:23Z</cp:lastPrinted>
  <dcterms:created xsi:type="dcterms:W3CDTF">2017-09-29T07:31:12Z</dcterms:created>
  <dcterms:modified xsi:type="dcterms:W3CDTF">2019-05-16T06:12:25Z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0x01010004BBCBFDEBB3864BA0EFED7044CA4B280057D3FA1D9199CD4E8DCA0F91F17412CD</vt:lpwstr>
  </property>
  <property fmtid="{D5CDD505-2E9C-101B-9397-08002B2CF9AE}" pid="3" name="ClassificationLevel">
    <vt:lpwstr/>
  </property>
  <property fmtid="{D5CDD505-2E9C-101B-9397-08002B2CF9AE}" pid="4" name="ArchiveClassificationPlan">
    <vt:lpwstr>1;#00 00 A classer|06ef1ee2-e7bf-4474-9d1e-c5fbf4f3b42b</vt:lpwstr>
  </property>
  <property fmtid="{D5CDD505-2E9C-101B-9397-08002B2CF9AE}" pid="5" name="SupportServices">
    <vt:lpwstr>4;#Post site services|b6212d0e-b9cf-4b29-96b5-0c3b89096ae1</vt:lpwstr>
  </property>
  <property fmtid="{D5CDD505-2E9C-101B-9397-08002B2CF9AE}" pid="6" name="Organisation">
    <vt:lpwstr>3;#BYBAT GO|e034adac-5b50-4921-bbe0-8da480d557cc</vt:lpwstr>
  </property>
  <property fmtid="{D5CDD505-2E9C-101B-9397-08002B2CF9AE}" pid="7" name="WorkspaceClassification">
    <vt:lpwstr>2;#Team|bc73f5d6-c9a9-432f-8ea2-31c33c131b8b</vt:lpwstr>
  </property>
  <property fmtid="{D5CDD505-2E9C-101B-9397-08002B2CF9AE}" pid="8" name="_dlc_DocIdItemGuid">
    <vt:lpwstr>e26f5a08-d51a-4ddf-a010-d1d5ad0c2be1</vt:lpwstr>
  </property>
</Properties>
</file>