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.DEGREVE\Desktop\Bilan PA\Nouveau CR\"/>
    </mc:Choice>
  </mc:AlternateContent>
  <workbookProtection workbookAlgorithmName="SHA-512" workbookHashValue="5gEUsPDj1gkoVIIL4mnd//fZFq+mYPtGtGegczdboJB4tNJNaohqp/AGJzJeSWqL6477dqlVU/aeRbhsLVqiOg==" workbookSaltValue="G+mZrotqW/vSSDsbkD0IFQ==" workbookSpinCount="100000" lockStructure="1"/>
  <bookViews>
    <workbookView xWindow="0" yWindow="0" windowWidth="20490" windowHeight="7755" tabRatio="966" activeTab="2"/>
  </bookViews>
  <sheets>
    <sheet name="Données" sheetId="6" r:id="rId1"/>
    <sheet name="Phase GPA" sheetId="2" r:id="rId2"/>
    <sheet name="Bilan final GPA HN" sheetId="4" r:id="rId3"/>
    <sheet name="Bilan final GPA HR" sheetId="9" r:id="rId4"/>
    <sheet name="Bilan final GPA OF" sheetId="10" r:id="rId5"/>
    <sheet name="Bilan final GPA IE" sheetId="15" r:id="rId6"/>
    <sheet name="Plan d'actions" sheetId="7" r:id="rId7"/>
    <sheet name="Onglet vierge" sheetId="17" r:id="rId8"/>
    <sheet name="Indicateurs" sheetId="14" r:id="rId9"/>
    <sheet name="Bilan intermédiaire GPA HN" sheetId="11" state="hidden" r:id="rId10"/>
    <sheet name="Bilan intermédiaire GPA HR" sheetId="12" state="hidden" r:id="rId11"/>
    <sheet name="Bilan intermédiaire GPA OF" sheetId="13" state="hidden" r:id="rId12"/>
    <sheet name="Bilan intermédiaire GPA IE" sheetId="16" state="hidden" r:id="rId13"/>
    <sheet name="Feuille Saisie" sheetId="8" state="hidden" r:id="rId14"/>
  </sheets>
  <definedNames>
    <definedName name="DateReunion">'Feuille Saisie'!$B$4</definedName>
    <definedName name="_xlnm.Print_Titles" localSheetId="0">Données!$1:$18</definedName>
    <definedName name="_xlnm.Print_Titles" localSheetId="1">'Phase GPA'!$1:$28</definedName>
    <definedName name="Liste" localSheetId="3">#REF!</definedName>
    <definedName name="Liste" localSheetId="5">#REF!</definedName>
    <definedName name="Liste" localSheetId="4">#REF!</definedName>
    <definedName name="Liste" localSheetId="9">#REF!</definedName>
    <definedName name="Liste" localSheetId="10">#REF!</definedName>
    <definedName name="Liste" localSheetId="12">#REF!</definedName>
    <definedName name="Liste" localSheetId="11">#REF!</definedName>
    <definedName name="Liste" localSheetId="8">#REF!</definedName>
    <definedName name="Liste">#REF!</definedName>
    <definedName name="NomAgence">'Feuille Saisie'!$B$3</definedName>
    <definedName name="Nomdesdestinataires">'Feuille Saisie'!$B$6</definedName>
    <definedName name="nomdesprésents">'Feuille Saisie'!$B$5</definedName>
    <definedName name="Print_Area" localSheetId="2">'Bilan final GPA HN'!$A$1:$R$50</definedName>
    <definedName name="Print_Area" localSheetId="3">'Bilan final GPA HR'!$A$1:$R$50</definedName>
    <definedName name="Print_Area" localSheetId="5">'Bilan final GPA IE'!$A$1:$R$50</definedName>
    <definedName name="Print_Area" localSheetId="4">'Bilan final GPA OF'!$A$1:$R$50</definedName>
    <definedName name="Print_Area" localSheetId="9">'Bilan intermédiaire GPA HN'!$A$1:$R$60</definedName>
    <definedName name="Print_Area" localSheetId="10">'Bilan intermédiaire GPA HR'!$A$1:$R$60</definedName>
    <definedName name="Print_Area" localSheetId="12">'Bilan intermédiaire GPA IE'!$A$1:$R$60</definedName>
    <definedName name="Print_Area" localSheetId="11">'Bilan intermédiaire GPA OF'!$A$1:$R$60</definedName>
    <definedName name="Print_Area" localSheetId="0">Données!$B$1:$N$49</definedName>
    <definedName name="Print_Area" localSheetId="1">'Phase GPA'!$A$1:$W$66</definedName>
    <definedName name="_xlnm.Print_Area" localSheetId="2">'Bilan final GPA HN'!$A$1:$R$53</definedName>
    <definedName name="_xlnm.Print_Area" localSheetId="3">'Bilan final GPA HR'!$A$1:$R$53</definedName>
    <definedName name="_xlnm.Print_Area" localSheetId="5">'Bilan final GPA IE'!$A$1:$R$53</definedName>
    <definedName name="_xlnm.Print_Area" localSheetId="4">'Bilan final GPA OF'!$A$1:$R$53</definedName>
    <definedName name="_xlnm.Print_Area" localSheetId="9">'Bilan intermédiaire GPA HN'!$A$1:$R$60</definedName>
    <definedName name="_xlnm.Print_Area" localSheetId="10">'Bilan intermédiaire GPA HR'!$A$1:$R$60</definedName>
    <definedName name="_xlnm.Print_Area" localSheetId="12">'Bilan intermédiaire GPA IE'!$A$1:$R$60</definedName>
    <definedName name="_xlnm.Print_Area" localSheetId="11">'Bilan intermédiaire GPA OF'!$A$1:$R$60</definedName>
    <definedName name="_xlnm.Print_Area" localSheetId="0">Données!$A$1:$O$57</definedName>
    <definedName name="_xlnm.Print_Area" localSheetId="1">'Phase GPA'!$A$1:$W$68</definedName>
    <definedName name="_xlnm.Print_Area" localSheetId="6">'Plan d''actions'!$A$1:$L$42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4" l="1"/>
  <c r="K29" i="4" s="1"/>
  <c r="D29" i="4"/>
  <c r="L29" i="4" s="1"/>
  <c r="I29" i="4" l="1"/>
  <c r="F29" i="4"/>
  <c r="J29" i="4"/>
  <c r="G29" i="4"/>
  <c r="FD58" i="2"/>
  <c r="FC58" i="2"/>
  <c r="FB58" i="2"/>
  <c r="FA58" i="2"/>
  <c r="FD57" i="2"/>
  <c r="FC57" i="2"/>
  <c r="FB57" i="2"/>
  <c r="FA57" i="2"/>
  <c r="FD56" i="2"/>
  <c r="FC56" i="2"/>
  <c r="FB56" i="2"/>
  <c r="FA56" i="2"/>
  <c r="FD55" i="2"/>
  <c r="FC55" i="2"/>
  <c r="FB55" i="2"/>
  <c r="FA55" i="2"/>
  <c r="FD54" i="2"/>
  <c r="FC54" i="2"/>
  <c r="FB54" i="2"/>
  <c r="FA54" i="2"/>
  <c r="FD53" i="2"/>
  <c r="FC53" i="2"/>
  <c r="FB53" i="2"/>
  <c r="FA53" i="2"/>
  <c r="FD52" i="2"/>
  <c r="FC52" i="2"/>
  <c r="FB52" i="2"/>
  <c r="FA52" i="2"/>
  <c r="FD51" i="2"/>
  <c r="FC51" i="2"/>
  <c r="FB51" i="2"/>
  <c r="FA51" i="2"/>
  <c r="FD50" i="2"/>
  <c r="FC50" i="2"/>
  <c r="FB50" i="2"/>
  <c r="FA50" i="2"/>
  <c r="FD49" i="2"/>
  <c r="FC49" i="2"/>
  <c r="FB49" i="2"/>
  <c r="FA49" i="2"/>
  <c r="FD48" i="2"/>
  <c r="FC48" i="2"/>
  <c r="FB48" i="2"/>
  <c r="FA48" i="2"/>
  <c r="FD47" i="2"/>
  <c r="FC47" i="2"/>
  <c r="FB47" i="2"/>
  <c r="FA47" i="2"/>
  <c r="FD46" i="2"/>
  <c r="FC46" i="2"/>
  <c r="FB46" i="2"/>
  <c r="FA46" i="2"/>
  <c r="FD45" i="2"/>
  <c r="FC45" i="2"/>
  <c r="FB45" i="2"/>
  <c r="FA45" i="2"/>
  <c r="FD44" i="2"/>
  <c r="FC44" i="2"/>
  <c r="FB44" i="2"/>
  <c r="FA44" i="2"/>
  <c r="FD43" i="2"/>
  <c r="FC43" i="2"/>
  <c r="FB43" i="2"/>
  <c r="FA43" i="2"/>
  <c r="FD42" i="2"/>
  <c r="FC42" i="2"/>
  <c r="FB42" i="2"/>
  <c r="FA42" i="2"/>
  <c r="FD41" i="2"/>
  <c r="FC41" i="2"/>
  <c r="FB41" i="2"/>
  <c r="FA41" i="2"/>
  <c r="FD40" i="2"/>
  <c r="FC40" i="2"/>
  <c r="FB40" i="2"/>
  <c r="FA40" i="2"/>
  <c r="FD39" i="2"/>
  <c r="FC39" i="2"/>
  <c r="FB39" i="2"/>
  <c r="FA39" i="2"/>
  <c r="FD38" i="2"/>
  <c r="FC38" i="2"/>
  <c r="FB38" i="2"/>
  <c r="FA38" i="2"/>
  <c r="FD37" i="2"/>
  <c r="FC37" i="2"/>
  <c r="FB37" i="2"/>
  <c r="FA37" i="2"/>
  <c r="FD36" i="2"/>
  <c r="FC36" i="2"/>
  <c r="FB36" i="2"/>
  <c r="FA36" i="2"/>
  <c r="FD35" i="2"/>
  <c r="FC35" i="2"/>
  <c r="FB35" i="2"/>
  <c r="FA35" i="2"/>
  <c r="FD34" i="2"/>
  <c r="FC34" i="2"/>
  <c r="FB34" i="2"/>
  <c r="FA34" i="2"/>
  <c r="FD33" i="2"/>
  <c r="FC33" i="2"/>
  <c r="FB33" i="2"/>
  <c r="FA33" i="2"/>
  <c r="FD32" i="2"/>
  <c r="FC32" i="2"/>
  <c r="FB32" i="2"/>
  <c r="FA32" i="2"/>
  <c r="FD31" i="2"/>
  <c r="FC31" i="2"/>
  <c r="FB31" i="2"/>
  <c r="FA31" i="2"/>
  <c r="FD30" i="2"/>
  <c r="FC30" i="2"/>
  <c r="FB30" i="2"/>
  <c r="FA30" i="2"/>
  <c r="FC29" i="2"/>
  <c r="FB29" i="2"/>
  <c r="FD29" i="2"/>
  <c r="EA58" i="2"/>
  <c r="ED58" i="2" s="1"/>
  <c r="DM58" i="2"/>
  <c r="DL58" i="2"/>
  <c r="DN58" i="2" s="1"/>
  <c r="DO58" i="2" s="1"/>
  <c r="DI58" i="2"/>
  <c r="DG58" i="2"/>
  <c r="DH58" i="2" s="1"/>
  <c r="DF58" i="2"/>
  <c r="DD58" i="2"/>
  <c r="DE58" i="2" s="1"/>
  <c r="DK58" i="2" s="1"/>
  <c r="DC58" i="2"/>
  <c r="DB58" i="2"/>
  <c r="BL58" i="2"/>
  <c r="BG58" i="2"/>
  <c r="BF58" i="2"/>
  <c r="BC58" i="2"/>
  <c r="BB58" i="2"/>
  <c r="AV58" i="2"/>
  <c r="AT58" i="2"/>
  <c r="AQ58" i="2"/>
  <c r="AP58" i="2"/>
  <c r="AN58" i="2"/>
  <c r="AL58" i="2"/>
  <c r="AK58" i="2"/>
  <c r="AJ58" i="2"/>
  <c r="AI58" i="2"/>
  <c r="AH58" i="2"/>
  <c r="AG58" i="2"/>
  <c r="AE58" i="2"/>
  <c r="AD58" i="2"/>
  <c r="AC58" i="2"/>
  <c r="AA58" i="2"/>
  <c r="BI58" i="2" s="1"/>
  <c r="Y58" i="2"/>
  <c r="U58" i="2"/>
  <c r="AM58" i="2" s="1"/>
  <c r="R58" i="2"/>
  <c r="K58" i="2"/>
  <c r="AO58" i="2" s="1"/>
  <c r="I58" i="2"/>
  <c r="DA58" i="2" s="1"/>
  <c r="G58" i="2"/>
  <c r="F58" i="2"/>
  <c r="D58" i="2"/>
  <c r="AF58" i="2" s="1"/>
  <c r="EA57" i="2"/>
  <c r="DM57" i="2"/>
  <c r="DL57" i="2"/>
  <c r="DI57" i="2"/>
  <c r="DG57" i="2"/>
  <c r="DJ57" i="2" s="1"/>
  <c r="DF57" i="2"/>
  <c r="DD57" i="2"/>
  <c r="DC57" i="2"/>
  <c r="DB57" i="2"/>
  <c r="BG57" i="2"/>
  <c r="BF57" i="2"/>
  <c r="BC57" i="2"/>
  <c r="BB57" i="2"/>
  <c r="AV57" i="2"/>
  <c r="AT57" i="2"/>
  <c r="AQ57" i="2"/>
  <c r="AP57" i="2"/>
  <c r="AN57" i="2"/>
  <c r="AL57" i="2"/>
  <c r="AK57" i="2"/>
  <c r="AI57" i="2"/>
  <c r="AH57" i="2"/>
  <c r="AG57" i="2"/>
  <c r="AE57" i="2"/>
  <c r="AD57" i="2"/>
  <c r="AC57" i="2"/>
  <c r="U57" i="2"/>
  <c r="AM57" i="2" s="1"/>
  <c r="K57" i="2"/>
  <c r="AO57" i="2" s="1"/>
  <c r="I57" i="2"/>
  <c r="DA57" i="2" s="1"/>
  <c r="G57" i="2"/>
  <c r="F57" i="2"/>
  <c r="D57" i="2"/>
  <c r="AF57" i="2" s="1"/>
  <c r="EA56" i="2"/>
  <c r="ED56" i="2" s="1"/>
  <c r="DM56" i="2"/>
  <c r="DL56" i="2"/>
  <c r="DN56" i="2" s="1"/>
  <c r="DO56" i="2" s="1"/>
  <c r="DI56" i="2"/>
  <c r="DG56" i="2"/>
  <c r="DH56" i="2" s="1"/>
  <c r="DF56" i="2"/>
  <c r="DD56" i="2"/>
  <c r="DE56" i="2" s="1"/>
  <c r="DK56" i="2" s="1"/>
  <c r="DC56" i="2"/>
  <c r="DB56" i="2"/>
  <c r="BL56" i="2"/>
  <c r="BG56" i="2"/>
  <c r="BF56" i="2"/>
  <c r="BC56" i="2"/>
  <c r="BB56" i="2"/>
  <c r="AV56" i="2"/>
  <c r="AT56" i="2"/>
  <c r="AQ56" i="2"/>
  <c r="AP56" i="2"/>
  <c r="AN56" i="2"/>
  <c r="AL56" i="2"/>
  <c r="AK56" i="2"/>
  <c r="AJ56" i="2"/>
  <c r="AI56" i="2"/>
  <c r="AH56" i="2"/>
  <c r="AG56" i="2"/>
  <c r="AE56" i="2"/>
  <c r="AD56" i="2"/>
  <c r="AC56" i="2"/>
  <c r="AA56" i="2"/>
  <c r="BI56" i="2" s="1"/>
  <c r="Y56" i="2"/>
  <c r="U56" i="2"/>
  <c r="AM56" i="2" s="1"/>
  <c r="R56" i="2"/>
  <c r="K56" i="2"/>
  <c r="AO56" i="2" s="1"/>
  <c r="I56" i="2"/>
  <c r="DA56" i="2" s="1"/>
  <c r="G56" i="2"/>
  <c r="F56" i="2"/>
  <c r="D56" i="2"/>
  <c r="AF56" i="2" s="1"/>
  <c r="EA55" i="2"/>
  <c r="EE55" i="2" s="1"/>
  <c r="DN55" i="2"/>
  <c r="DO55" i="2" s="1"/>
  <c r="DM55" i="2"/>
  <c r="DL55" i="2"/>
  <c r="DI55" i="2"/>
  <c r="DG55" i="2"/>
  <c r="DJ55" i="2" s="1"/>
  <c r="DF55" i="2"/>
  <c r="DE55" i="2" s="1"/>
  <c r="DK55" i="2" s="1"/>
  <c r="DD55" i="2"/>
  <c r="DC55" i="2"/>
  <c r="DB55" i="2"/>
  <c r="BL55" i="2"/>
  <c r="BG55" i="2"/>
  <c r="BF55" i="2"/>
  <c r="BC55" i="2"/>
  <c r="BB55" i="2"/>
  <c r="AV55" i="2"/>
  <c r="AT55" i="2"/>
  <c r="AQ55" i="2"/>
  <c r="AP55" i="2"/>
  <c r="AN55" i="2"/>
  <c r="AL55" i="2"/>
  <c r="AK55" i="2"/>
  <c r="AJ55" i="2"/>
  <c r="AI55" i="2"/>
  <c r="AH55" i="2"/>
  <c r="AG55" i="2"/>
  <c r="AE55" i="2"/>
  <c r="AD55" i="2"/>
  <c r="AC55" i="2"/>
  <c r="AA55" i="2"/>
  <c r="BI55" i="2" s="1"/>
  <c r="Y55" i="2"/>
  <c r="U55" i="2"/>
  <c r="AM55" i="2" s="1"/>
  <c r="R55" i="2"/>
  <c r="K55" i="2"/>
  <c r="AO55" i="2" s="1"/>
  <c r="I55" i="2"/>
  <c r="DA55" i="2" s="1"/>
  <c r="G55" i="2"/>
  <c r="F55" i="2"/>
  <c r="D55" i="2"/>
  <c r="AF55" i="2" s="1"/>
  <c r="EA54" i="2"/>
  <c r="ED54" i="2" s="1"/>
  <c r="DM54" i="2"/>
  <c r="DL54" i="2"/>
  <c r="DN54" i="2" s="1"/>
  <c r="DO54" i="2" s="1"/>
  <c r="DI54" i="2"/>
  <c r="DG54" i="2"/>
  <c r="DH54" i="2" s="1"/>
  <c r="DF54" i="2"/>
  <c r="DD54" i="2"/>
  <c r="DE54" i="2" s="1"/>
  <c r="DK54" i="2" s="1"/>
  <c r="DC54" i="2"/>
  <c r="DB54" i="2"/>
  <c r="BL54" i="2"/>
  <c r="BG54" i="2"/>
  <c r="BF54" i="2"/>
  <c r="BC54" i="2"/>
  <c r="BB54" i="2"/>
  <c r="AV54" i="2"/>
  <c r="AT54" i="2"/>
  <c r="AQ54" i="2"/>
  <c r="AP54" i="2"/>
  <c r="AN54" i="2"/>
  <c r="AL54" i="2"/>
  <c r="AK54" i="2"/>
  <c r="AJ54" i="2"/>
  <c r="AI54" i="2"/>
  <c r="AH54" i="2"/>
  <c r="AG54" i="2"/>
  <c r="AE54" i="2"/>
  <c r="AD54" i="2"/>
  <c r="AC54" i="2"/>
  <c r="AA54" i="2"/>
  <c r="BI54" i="2" s="1"/>
  <c r="Y54" i="2"/>
  <c r="U54" i="2"/>
  <c r="AM54" i="2" s="1"/>
  <c r="R54" i="2"/>
  <c r="K54" i="2"/>
  <c r="AO54" i="2" s="1"/>
  <c r="I54" i="2"/>
  <c r="DA54" i="2" s="1"/>
  <c r="G54" i="2"/>
  <c r="F54" i="2"/>
  <c r="D54" i="2"/>
  <c r="AS54" i="2" s="1"/>
  <c r="BH54" i="2" s="1"/>
  <c r="EA53" i="2"/>
  <c r="EB53" i="2" s="1"/>
  <c r="DM53" i="2"/>
  <c r="DL53" i="2"/>
  <c r="DI53" i="2"/>
  <c r="DG53" i="2"/>
  <c r="DJ53" i="2" s="1"/>
  <c r="DF53" i="2"/>
  <c r="DE53" i="2" s="1"/>
  <c r="DD53" i="2"/>
  <c r="DC53" i="2"/>
  <c r="DB53" i="2"/>
  <c r="BG53" i="2"/>
  <c r="BF53" i="2"/>
  <c r="BC53" i="2"/>
  <c r="BB53" i="2"/>
  <c r="AV53" i="2"/>
  <c r="AT53" i="2"/>
  <c r="AQ53" i="2"/>
  <c r="AP53" i="2"/>
  <c r="AN53" i="2"/>
  <c r="AL53" i="2"/>
  <c r="AK53" i="2"/>
  <c r="AI53" i="2"/>
  <c r="AH53" i="2"/>
  <c r="AG53" i="2"/>
  <c r="AE53" i="2"/>
  <c r="AD53" i="2"/>
  <c r="AC53" i="2"/>
  <c r="U53" i="2"/>
  <c r="AM53" i="2" s="1"/>
  <c r="K53" i="2"/>
  <c r="AO53" i="2" s="1"/>
  <c r="I53" i="2"/>
  <c r="DA53" i="2" s="1"/>
  <c r="G53" i="2"/>
  <c r="F53" i="2"/>
  <c r="D53" i="2"/>
  <c r="E29" i="4"/>
  <c r="DN53" i="2" l="1"/>
  <c r="DO53" i="2" s="1"/>
  <c r="DN57" i="2"/>
  <c r="DO57" i="2" s="1"/>
  <c r="DK53" i="2"/>
  <c r="FE54" i="2"/>
  <c r="FG54" i="2" s="1"/>
  <c r="FE55" i="2"/>
  <c r="AR55" i="2" s="1"/>
  <c r="FE56" i="2"/>
  <c r="FG56" i="2" s="1"/>
  <c r="FE58" i="2"/>
  <c r="FG58" i="2" s="1"/>
  <c r="AJ53" i="2"/>
  <c r="EB55" i="2"/>
  <c r="EC55" i="2"/>
  <c r="AS56" i="2"/>
  <c r="BH56" i="2" s="1"/>
  <c r="AS58" i="2"/>
  <c r="BH58" i="2" s="1"/>
  <c r="DJ54" i="2"/>
  <c r="DH53" i="2"/>
  <c r="ED53" i="2"/>
  <c r="DH55" i="2"/>
  <c r="ED55" i="2"/>
  <c r="DJ56" i="2"/>
  <c r="DJ58" i="2"/>
  <c r="R57" i="2"/>
  <c r="EC57" i="2"/>
  <c r="EF58" i="2"/>
  <c r="BK58" i="2"/>
  <c r="BE58" i="2"/>
  <c r="AU58" i="2"/>
  <c r="BA58" i="2" s="1"/>
  <c r="CZ58" i="2"/>
  <c r="EF56" i="2"/>
  <c r="BK56" i="2"/>
  <c r="BE56" i="2"/>
  <c r="AU56" i="2"/>
  <c r="BA56" i="2" s="1"/>
  <c r="CZ56" i="2"/>
  <c r="AR54" i="2"/>
  <c r="BJ56" i="2"/>
  <c r="BJ58" i="2"/>
  <c r="AW58" i="2"/>
  <c r="AX58" i="2" s="1"/>
  <c r="AW56" i="2"/>
  <c r="AX56" i="2" s="1"/>
  <c r="AY56" i="2"/>
  <c r="AZ56" i="2" s="1"/>
  <c r="AY58" i="2"/>
  <c r="AZ58" i="2" s="1"/>
  <c r="DE57" i="2"/>
  <c r="DK57" i="2" s="1"/>
  <c r="DH57" i="2"/>
  <c r="AJ57" i="2"/>
  <c r="FE57" i="2"/>
  <c r="EB57" i="2"/>
  <c r="CY54" i="2"/>
  <c r="BE54" i="2"/>
  <c r="CZ54" i="2"/>
  <c r="BJ54" i="2"/>
  <c r="BD54" i="2"/>
  <c r="BK54" i="2"/>
  <c r="EF54" i="2"/>
  <c r="AU54" i="2"/>
  <c r="BA54" i="2" s="1"/>
  <c r="AW54" i="2"/>
  <c r="AX54" i="2" s="1"/>
  <c r="FG55" i="2"/>
  <c r="CY58" i="2"/>
  <c r="AY54" i="2"/>
  <c r="AZ54" i="2" s="1"/>
  <c r="CY56" i="2"/>
  <c r="EF55" i="2"/>
  <c r="BK55" i="2"/>
  <c r="AY55" i="2"/>
  <c r="AZ55" i="2" s="1"/>
  <c r="AU55" i="2"/>
  <c r="BA55" i="2" s="1"/>
  <c r="BD55" i="2"/>
  <c r="CZ55" i="2"/>
  <c r="BJ55" i="2"/>
  <c r="CY55" i="2"/>
  <c r="BE55" i="2"/>
  <c r="AW55" i="2"/>
  <c r="AX55" i="2" s="1"/>
  <c r="EE58" i="2"/>
  <c r="AS55" i="2"/>
  <c r="BH55" i="2" s="1"/>
  <c r="EB56" i="2"/>
  <c r="AS57" i="2"/>
  <c r="BH57" i="2" s="1"/>
  <c r="EB58" i="2"/>
  <c r="AF53" i="2"/>
  <c r="EB54" i="2"/>
  <c r="EE53" i="2"/>
  <c r="AF54" i="2"/>
  <c r="EC54" i="2"/>
  <c r="BD56" i="2"/>
  <c r="EC56" i="2"/>
  <c r="BD58" i="2"/>
  <c r="EC58" i="2"/>
  <c r="EE54" i="2"/>
  <c r="EE56" i="2"/>
  <c r="R53" i="2"/>
  <c r="AS53" i="2"/>
  <c r="BH53" i="2" s="1"/>
  <c r="H43" i="15"/>
  <c r="I43" i="15" s="1"/>
  <c r="D43" i="15"/>
  <c r="L43" i="15" s="1"/>
  <c r="K42" i="15"/>
  <c r="J42" i="15"/>
  <c r="I42" i="15"/>
  <c r="H42" i="15"/>
  <c r="F42" i="15"/>
  <c r="E42" i="15"/>
  <c r="D42" i="15"/>
  <c r="L42" i="15" s="1"/>
  <c r="K41" i="15"/>
  <c r="J41" i="15"/>
  <c r="I41" i="15"/>
  <c r="H41" i="15"/>
  <c r="F41" i="15"/>
  <c r="E41" i="15"/>
  <c r="D41" i="15"/>
  <c r="L41" i="15" s="1"/>
  <c r="K40" i="15"/>
  <c r="J40" i="15"/>
  <c r="I40" i="15"/>
  <c r="H40" i="15"/>
  <c r="F40" i="15"/>
  <c r="E40" i="15"/>
  <c r="D40" i="15"/>
  <c r="G40" i="15" s="1"/>
  <c r="K39" i="15"/>
  <c r="J39" i="15"/>
  <c r="I39" i="15"/>
  <c r="H39" i="15"/>
  <c r="F39" i="15"/>
  <c r="E39" i="15"/>
  <c r="D39" i="15"/>
  <c r="L39" i="15" s="1"/>
  <c r="K38" i="15"/>
  <c r="J38" i="15"/>
  <c r="I38" i="15"/>
  <c r="H38" i="15"/>
  <c r="F38" i="15"/>
  <c r="E38" i="15"/>
  <c r="D38" i="15"/>
  <c r="L38" i="15" s="1"/>
  <c r="K37" i="15"/>
  <c r="J37" i="15"/>
  <c r="I37" i="15"/>
  <c r="H37" i="15"/>
  <c r="F37" i="15"/>
  <c r="E37" i="15"/>
  <c r="D37" i="15"/>
  <c r="L37" i="15" s="1"/>
  <c r="K36" i="15"/>
  <c r="J36" i="15"/>
  <c r="I36" i="15"/>
  <c r="H36" i="15"/>
  <c r="F36" i="15"/>
  <c r="E36" i="15"/>
  <c r="D36" i="15"/>
  <c r="G36" i="15" s="1"/>
  <c r="K35" i="15"/>
  <c r="J35" i="15"/>
  <c r="I35" i="15"/>
  <c r="H35" i="15"/>
  <c r="F35" i="15"/>
  <c r="E35" i="15"/>
  <c r="D35" i="15"/>
  <c r="L35" i="15" s="1"/>
  <c r="K34" i="15"/>
  <c r="J34" i="15"/>
  <c r="I34" i="15"/>
  <c r="H34" i="15"/>
  <c r="F34" i="15"/>
  <c r="E34" i="15"/>
  <c r="D34" i="15"/>
  <c r="L34" i="15" s="1"/>
  <c r="K33" i="15"/>
  <c r="J33" i="15"/>
  <c r="I33" i="15"/>
  <c r="H33" i="15"/>
  <c r="F33" i="15"/>
  <c r="E33" i="15"/>
  <c r="D33" i="15"/>
  <c r="L33" i="15" s="1"/>
  <c r="K32" i="15"/>
  <c r="J32" i="15"/>
  <c r="I32" i="15"/>
  <c r="H32" i="15"/>
  <c r="F32" i="15"/>
  <c r="E32" i="15"/>
  <c r="D32" i="15"/>
  <c r="G32" i="15" s="1"/>
  <c r="K31" i="15"/>
  <c r="J31" i="15"/>
  <c r="I31" i="15"/>
  <c r="H31" i="15"/>
  <c r="F31" i="15"/>
  <c r="E31" i="15"/>
  <c r="D31" i="15"/>
  <c r="L31" i="15" s="1"/>
  <c r="K30" i="15"/>
  <c r="J30" i="15"/>
  <c r="I30" i="15"/>
  <c r="H30" i="15"/>
  <c r="F30" i="15"/>
  <c r="E30" i="15"/>
  <c r="D30" i="15"/>
  <c r="L30" i="15" s="1"/>
  <c r="H29" i="15"/>
  <c r="D29" i="15"/>
  <c r="G29" i="15" s="1"/>
  <c r="K43" i="10"/>
  <c r="J43" i="10"/>
  <c r="I43" i="10"/>
  <c r="H43" i="10"/>
  <c r="F43" i="10"/>
  <c r="E43" i="10"/>
  <c r="D43" i="10"/>
  <c r="L43" i="10" s="1"/>
  <c r="K42" i="10"/>
  <c r="J42" i="10"/>
  <c r="I42" i="10"/>
  <c r="H42" i="10"/>
  <c r="F42" i="10"/>
  <c r="E42" i="10"/>
  <c r="D42" i="10"/>
  <c r="L42" i="10" s="1"/>
  <c r="H41" i="10"/>
  <c r="K41" i="10" s="1"/>
  <c r="D41" i="10"/>
  <c r="L41" i="10" s="1"/>
  <c r="K40" i="10"/>
  <c r="J40" i="10"/>
  <c r="I40" i="10"/>
  <c r="H40" i="10"/>
  <c r="F40" i="10"/>
  <c r="E40" i="10"/>
  <c r="D40" i="10"/>
  <c r="G40" i="10" s="1"/>
  <c r="K39" i="10"/>
  <c r="J39" i="10"/>
  <c r="I39" i="10"/>
  <c r="H39" i="10"/>
  <c r="F39" i="10"/>
  <c r="E39" i="10"/>
  <c r="D39" i="10"/>
  <c r="L39" i="10" s="1"/>
  <c r="K38" i="10"/>
  <c r="J38" i="10"/>
  <c r="I38" i="10"/>
  <c r="H38" i="10"/>
  <c r="F38" i="10"/>
  <c r="E38" i="10"/>
  <c r="D38" i="10"/>
  <c r="L38" i="10" s="1"/>
  <c r="K37" i="10"/>
  <c r="J37" i="10"/>
  <c r="I37" i="10"/>
  <c r="H37" i="10"/>
  <c r="F37" i="10"/>
  <c r="E37" i="10"/>
  <c r="D37" i="10"/>
  <c r="L37" i="10" s="1"/>
  <c r="K36" i="10"/>
  <c r="J36" i="10"/>
  <c r="I36" i="10"/>
  <c r="H36" i="10"/>
  <c r="F36" i="10"/>
  <c r="E36" i="10"/>
  <c r="D36" i="10"/>
  <c r="G36" i="10" s="1"/>
  <c r="K35" i="10"/>
  <c r="J35" i="10"/>
  <c r="I35" i="10"/>
  <c r="H35" i="10"/>
  <c r="F35" i="10"/>
  <c r="E35" i="10"/>
  <c r="D35" i="10"/>
  <c r="L35" i="10" s="1"/>
  <c r="K34" i="10"/>
  <c r="J34" i="10"/>
  <c r="I34" i="10"/>
  <c r="H34" i="10"/>
  <c r="F34" i="10"/>
  <c r="E34" i="10"/>
  <c r="D34" i="10"/>
  <c r="L34" i="10" s="1"/>
  <c r="K33" i="10"/>
  <c r="J33" i="10"/>
  <c r="I33" i="10"/>
  <c r="H33" i="10"/>
  <c r="F33" i="10"/>
  <c r="E33" i="10"/>
  <c r="D33" i="10"/>
  <c r="L33" i="10" s="1"/>
  <c r="K32" i="10"/>
  <c r="J32" i="10"/>
  <c r="I32" i="10"/>
  <c r="H32" i="10"/>
  <c r="F32" i="10"/>
  <c r="E32" i="10"/>
  <c r="D32" i="10"/>
  <c r="G32" i="10" s="1"/>
  <c r="K31" i="10"/>
  <c r="J31" i="10"/>
  <c r="I31" i="10"/>
  <c r="H31" i="10"/>
  <c r="F31" i="10"/>
  <c r="E31" i="10"/>
  <c r="D31" i="10"/>
  <c r="L31" i="10" s="1"/>
  <c r="K30" i="10"/>
  <c r="J30" i="10"/>
  <c r="I30" i="10"/>
  <c r="H30" i="10"/>
  <c r="F30" i="10"/>
  <c r="E30" i="10"/>
  <c r="D30" i="10"/>
  <c r="L30" i="10" s="1"/>
  <c r="H29" i="10"/>
  <c r="D29" i="10"/>
  <c r="G29" i="10" s="1"/>
  <c r="K43" i="9"/>
  <c r="J43" i="9"/>
  <c r="I43" i="9"/>
  <c r="H43" i="9"/>
  <c r="F43" i="9"/>
  <c r="E43" i="9"/>
  <c r="D43" i="9"/>
  <c r="L43" i="9" s="1"/>
  <c r="K42" i="9"/>
  <c r="J42" i="9"/>
  <c r="I42" i="9"/>
  <c r="H42" i="9"/>
  <c r="F42" i="9"/>
  <c r="E42" i="9"/>
  <c r="D42" i="9"/>
  <c r="L42" i="9" s="1"/>
  <c r="K41" i="9"/>
  <c r="J41" i="9"/>
  <c r="I41" i="9"/>
  <c r="H41" i="9"/>
  <c r="F41" i="9"/>
  <c r="E41" i="9"/>
  <c r="D41" i="9"/>
  <c r="L41" i="9" s="1"/>
  <c r="K40" i="9"/>
  <c r="J40" i="9"/>
  <c r="I40" i="9"/>
  <c r="H40" i="9"/>
  <c r="F40" i="9"/>
  <c r="E40" i="9"/>
  <c r="D40" i="9"/>
  <c r="G40" i="9" s="1"/>
  <c r="K39" i="9"/>
  <c r="J39" i="9"/>
  <c r="I39" i="9"/>
  <c r="H39" i="9"/>
  <c r="F39" i="9"/>
  <c r="E39" i="9"/>
  <c r="D39" i="9"/>
  <c r="L39" i="9" s="1"/>
  <c r="K38" i="9"/>
  <c r="J38" i="9"/>
  <c r="I38" i="9"/>
  <c r="H38" i="9"/>
  <c r="F38" i="9"/>
  <c r="E38" i="9"/>
  <c r="D38" i="9"/>
  <c r="L38" i="9" s="1"/>
  <c r="K37" i="9"/>
  <c r="J37" i="9"/>
  <c r="I37" i="9"/>
  <c r="H37" i="9"/>
  <c r="F37" i="9"/>
  <c r="E37" i="9"/>
  <c r="D37" i="9"/>
  <c r="L37" i="9" s="1"/>
  <c r="H36" i="9"/>
  <c r="J36" i="9" s="1"/>
  <c r="D36" i="9"/>
  <c r="G36" i="9" s="1"/>
  <c r="K35" i="9"/>
  <c r="J35" i="9"/>
  <c r="I35" i="9"/>
  <c r="H35" i="9"/>
  <c r="F35" i="9"/>
  <c r="E35" i="9"/>
  <c r="D35" i="9"/>
  <c r="L35" i="9" s="1"/>
  <c r="K34" i="9"/>
  <c r="J34" i="9"/>
  <c r="I34" i="9"/>
  <c r="H34" i="9"/>
  <c r="F34" i="9"/>
  <c r="E34" i="9"/>
  <c r="D34" i="9"/>
  <c r="L34" i="9" s="1"/>
  <c r="K33" i="9"/>
  <c r="J33" i="9"/>
  <c r="I33" i="9"/>
  <c r="H33" i="9"/>
  <c r="F33" i="9"/>
  <c r="E33" i="9"/>
  <c r="D33" i="9"/>
  <c r="L33" i="9" s="1"/>
  <c r="K32" i="9"/>
  <c r="J32" i="9"/>
  <c r="I32" i="9"/>
  <c r="H32" i="9"/>
  <c r="F32" i="9"/>
  <c r="E32" i="9"/>
  <c r="D32" i="9"/>
  <c r="G32" i="9" s="1"/>
  <c r="K31" i="9"/>
  <c r="J31" i="9"/>
  <c r="I31" i="9"/>
  <c r="H31" i="9"/>
  <c r="F31" i="9"/>
  <c r="E31" i="9"/>
  <c r="D31" i="9"/>
  <c r="L31" i="9" s="1"/>
  <c r="K30" i="9"/>
  <c r="J30" i="9"/>
  <c r="I30" i="9"/>
  <c r="H30" i="9"/>
  <c r="F30" i="9"/>
  <c r="E30" i="9"/>
  <c r="D30" i="9"/>
  <c r="L30" i="9" s="1"/>
  <c r="H29" i="9"/>
  <c r="D29" i="9"/>
  <c r="G29" i="9" s="1"/>
  <c r="K43" i="4"/>
  <c r="J43" i="4"/>
  <c r="I43" i="4"/>
  <c r="H43" i="4"/>
  <c r="F43" i="4"/>
  <c r="E43" i="4"/>
  <c r="D43" i="4"/>
  <c r="L43" i="4" s="1"/>
  <c r="K42" i="4"/>
  <c r="J42" i="4"/>
  <c r="I42" i="4"/>
  <c r="H42" i="4"/>
  <c r="F42" i="4"/>
  <c r="E42" i="4"/>
  <c r="D42" i="4"/>
  <c r="L42" i="4" s="1"/>
  <c r="K41" i="4"/>
  <c r="J41" i="4"/>
  <c r="I41" i="4"/>
  <c r="H41" i="4"/>
  <c r="F41" i="4"/>
  <c r="E41" i="4"/>
  <c r="D41" i="4"/>
  <c r="L41" i="4" s="1"/>
  <c r="K40" i="4"/>
  <c r="J40" i="4"/>
  <c r="I40" i="4"/>
  <c r="H40" i="4"/>
  <c r="F40" i="4"/>
  <c r="E40" i="4"/>
  <c r="D40" i="4"/>
  <c r="G40" i="4" s="1"/>
  <c r="K39" i="4"/>
  <c r="J39" i="4"/>
  <c r="I39" i="4"/>
  <c r="H39" i="4"/>
  <c r="F39" i="4"/>
  <c r="E39" i="4"/>
  <c r="D39" i="4"/>
  <c r="L39" i="4" s="1"/>
  <c r="K38" i="4"/>
  <c r="J38" i="4"/>
  <c r="I38" i="4"/>
  <c r="H38" i="4"/>
  <c r="F38" i="4"/>
  <c r="E38" i="4"/>
  <c r="D38" i="4"/>
  <c r="L38" i="4" s="1"/>
  <c r="K37" i="4"/>
  <c r="J37" i="4"/>
  <c r="I37" i="4"/>
  <c r="H37" i="4"/>
  <c r="F37" i="4"/>
  <c r="E37" i="4"/>
  <c r="D37" i="4"/>
  <c r="L37" i="4" s="1"/>
  <c r="K36" i="4"/>
  <c r="J36" i="4"/>
  <c r="I36" i="4"/>
  <c r="H36" i="4"/>
  <c r="F36" i="4"/>
  <c r="E36" i="4"/>
  <c r="D36" i="4"/>
  <c r="G36" i="4" s="1"/>
  <c r="K35" i="4"/>
  <c r="J35" i="4"/>
  <c r="I35" i="4"/>
  <c r="H35" i="4"/>
  <c r="F35" i="4"/>
  <c r="E35" i="4"/>
  <c r="D35" i="4"/>
  <c r="L35" i="4" s="1"/>
  <c r="K34" i="4"/>
  <c r="J34" i="4"/>
  <c r="I34" i="4"/>
  <c r="H34" i="4"/>
  <c r="F34" i="4"/>
  <c r="E34" i="4"/>
  <c r="D34" i="4"/>
  <c r="L34" i="4" s="1"/>
  <c r="K33" i="4"/>
  <c r="H33" i="4"/>
  <c r="J33" i="4" s="1"/>
  <c r="F33" i="4"/>
  <c r="D33" i="4"/>
  <c r="L33" i="4" s="1"/>
  <c r="K32" i="4"/>
  <c r="J32" i="4"/>
  <c r="I32" i="4"/>
  <c r="H32" i="4"/>
  <c r="F32" i="4"/>
  <c r="E32" i="4"/>
  <c r="D32" i="4"/>
  <c r="G32" i="4" s="1"/>
  <c r="K31" i="4"/>
  <c r="J31" i="4"/>
  <c r="I31" i="4"/>
  <c r="H31" i="4"/>
  <c r="F31" i="4"/>
  <c r="E31" i="4"/>
  <c r="D31" i="4"/>
  <c r="L31" i="4" s="1"/>
  <c r="K30" i="4"/>
  <c r="J30" i="4"/>
  <c r="I30" i="4"/>
  <c r="H30" i="4"/>
  <c r="F30" i="4"/>
  <c r="E30" i="4"/>
  <c r="D30" i="4"/>
  <c r="L30" i="4" s="1"/>
  <c r="Y48" i="6"/>
  <c r="X48" i="6"/>
  <c r="W48" i="6"/>
  <c r="V48" i="6"/>
  <c r="U48" i="6"/>
  <c r="T48" i="6"/>
  <c r="S48" i="6"/>
  <c r="R48" i="6"/>
  <c r="Y47" i="6"/>
  <c r="X47" i="6"/>
  <c r="W47" i="6"/>
  <c r="V47" i="6"/>
  <c r="U47" i="6"/>
  <c r="T47" i="6"/>
  <c r="S47" i="6"/>
  <c r="R47" i="6"/>
  <c r="Y46" i="6"/>
  <c r="X46" i="6"/>
  <c r="W46" i="6"/>
  <c r="V46" i="6"/>
  <c r="U46" i="6"/>
  <c r="T46" i="6"/>
  <c r="S46" i="6"/>
  <c r="R46" i="6"/>
  <c r="Y45" i="6"/>
  <c r="X45" i="6"/>
  <c r="W45" i="6"/>
  <c r="V45" i="6"/>
  <c r="U45" i="6"/>
  <c r="T45" i="6"/>
  <c r="S45" i="6"/>
  <c r="R45" i="6"/>
  <c r="Y44" i="6"/>
  <c r="X44" i="6"/>
  <c r="W44" i="6"/>
  <c r="V44" i="6"/>
  <c r="U44" i="6"/>
  <c r="T44" i="6"/>
  <c r="S44" i="6"/>
  <c r="R44" i="6"/>
  <c r="Y43" i="6"/>
  <c r="X43" i="6"/>
  <c r="W43" i="6"/>
  <c r="V43" i="6"/>
  <c r="U43" i="6"/>
  <c r="T43" i="6"/>
  <c r="S43" i="6"/>
  <c r="R43" i="6"/>
  <c r="Y42" i="6"/>
  <c r="X42" i="6"/>
  <c r="W42" i="6"/>
  <c r="V42" i="6"/>
  <c r="U42" i="6"/>
  <c r="T42" i="6"/>
  <c r="S42" i="6"/>
  <c r="R42" i="6"/>
  <c r="Y41" i="6"/>
  <c r="X41" i="6"/>
  <c r="W41" i="6"/>
  <c r="V41" i="6"/>
  <c r="U41" i="6"/>
  <c r="T41" i="6"/>
  <c r="S41" i="6"/>
  <c r="R41" i="6"/>
  <c r="Y40" i="6"/>
  <c r="X40" i="6"/>
  <c r="W40" i="6"/>
  <c r="V40" i="6"/>
  <c r="U40" i="6"/>
  <c r="T40" i="6"/>
  <c r="S40" i="6"/>
  <c r="R40" i="6"/>
  <c r="Y39" i="6"/>
  <c r="X39" i="6"/>
  <c r="W39" i="6"/>
  <c r="V39" i="6"/>
  <c r="U39" i="6"/>
  <c r="T39" i="6"/>
  <c r="S39" i="6"/>
  <c r="R39" i="6"/>
  <c r="Y38" i="6"/>
  <c r="X38" i="6"/>
  <c r="W38" i="6"/>
  <c r="V38" i="6"/>
  <c r="U38" i="6"/>
  <c r="T38" i="6"/>
  <c r="S38" i="6"/>
  <c r="R38" i="6"/>
  <c r="Y37" i="6"/>
  <c r="X37" i="6"/>
  <c r="W37" i="6"/>
  <c r="V37" i="6"/>
  <c r="U37" i="6"/>
  <c r="T37" i="6"/>
  <c r="S37" i="6"/>
  <c r="R37" i="6"/>
  <c r="Y36" i="6"/>
  <c r="X36" i="6"/>
  <c r="W36" i="6"/>
  <c r="V36" i="6"/>
  <c r="U36" i="6"/>
  <c r="T36" i="6"/>
  <c r="S36" i="6"/>
  <c r="R36" i="6"/>
  <c r="Y35" i="6"/>
  <c r="X35" i="6"/>
  <c r="W35" i="6"/>
  <c r="V35" i="6"/>
  <c r="U35" i="6"/>
  <c r="T35" i="6"/>
  <c r="S35" i="6"/>
  <c r="R35" i="6"/>
  <c r="Y34" i="6"/>
  <c r="X34" i="6"/>
  <c r="W34" i="6"/>
  <c r="V34" i="6"/>
  <c r="U34" i="6"/>
  <c r="T34" i="6"/>
  <c r="S34" i="6"/>
  <c r="R34" i="6"/>
  <c r="Y33" i="6"/>
  <c r="X33" i="6"/>
  <c r="W33" i="6"/>
  <c r="V33" i="6"/>
  <c r="U33" i="6"/>
  <c r="T33" i="6"/>
  <c r="S33" i="6"/>
  <c r="R33" i="6"/>
  <c r="Y32" i="6"/>
  <c r="X32" i="6"/>
  <c r="W32" i="6"/>
  <c r="V32" i="6"/>
  <c r="U32" i="6"/>
  <c r="T32" i="6"/>
  <c r="S32" i="6"/>
  <c r="R32" i="6"/>
  <c r="Y31" i="6"/>
  <c r="X31" i="6"/>
  <c r="W31" i="6"/>
  <c r="V31" i="6"/>
  <c r="U31" i="6"/>
  <c r="T31" i="6"/>
  <c r="S31" i="6"/>
  <c r="R31" i="6"/>
  <c r="Y30" i="6"/>
  <c r="X30" i="6"/>
  <c r="W30" i="6"/>
  <c r="V30" i="6"/>
  <c r="U30" i="6"/>
  <c r="T30" i="6"/>
  <c r="S30" i="6"/>
  <c r="R30" i="6"/>
  <c r="Y29" i="6"/>
  <c r="X29" i="6"/>
  <c r="W29" i="6"/>
  <c r="V29" i="6"/>
  <c r="U29" i="6"/>
  <c r="T29" i="6"/>
  <c r="S29" i="6"/>
  <c r="R29" i="6"/>
  <c r="Y28" i="6"/>
  <c r="X28" i="6"/>
  <c r="W28" i="6"/>
  <c r="V28" i="6"/>
  <c r="U28" i="6"/>
  <c r="T28" i="6"/>
  <c r="S28" i="6"/>
  <c r="R28" i="6"/>
  <c r="Y27" i="6"/>
  <c r="X27" i="6"/>
  <c r="W27" i="6"/>
  <c r="V27" i="6"/>
  <c r="U27" i="6"/>
  <c r="T27" i="6"/>
  <c r="S27" i="6"/>
  <c r="R27" i="6"/>
  <c r="Y26" i="6"/>
  <c r="X26" i="6"/>
  <c r="W26" i="6"/>
  <c r="V26" i="6"/>
  <c r="U26" i="6"/>
  <c r="T26" i="6"/>
  <c r="S26" i="6"/>
  <c r="R26" i="6"/>
  <c r="Y25" i="6"/>
  <c r="X25" i="6"/>
  <c r="W25" i="6"/>
  <c r="V25" i="6"/>
  <c r="U25" i="6"/>
  <c r="T25" i="6"/>
  <c r="S25" i="6"/>
  <c r="R25" i="6"/>
  <c r="Y24" i="6"/>
  <c r="X24" i="6"/>
  <c r="W24" i="6"/>
  <c r="V24" i="6"/>
  <c r="U24" i="6"/>
  <c r="T24" i="6"/>
  <c r="S24" i="6"/>
  <c r="R24" i="6"/>
  <c r="Y23" i="6"/>
  <c r="X23" i="6"/>
  <c r="W23" i="6"/>
  <c r="V23" i="6"/>
  <c r="U23" i="6"/>
  <c r="T23" i="6"/>
  <c r="S23" i="6"/>
  <c r="R23" i="6"/>
  <c r="X22" i="6"/>
  <c r="W22" i="6"/>
  <c r="V22" i="6"/>
  <c r="U22" i="6"/>
  <c r="T22" i="6"/>
  <c r="S22" i="6"/>
  <c r="R22" i="6"/>
  <c r="Y21" i="6"/>
  <c r="X21" i="6"/>
  <c r="V21" i="6"/>
  <c r="U21" i="6"/>
  <c r="T21" i="6"/>
  <c r="S21" i="6"/>
  <c r="R21" i="6"/>
  <c r="Y20" i="6"/>
  <c r="W20" i="6"/>
  <c r="V20" i="6"/>
  <c r="U20" i="6"/>
  <c r="T20" i="6"/>
  <c r="S20" i="6"/>
  <c r="R20" i="6"/>
  <c r="Y19" i="6"/>
  <c r="X19" i="6"/>
  <c r="W19" i="6"/>
  <c r="E43" i="15"/>
  <c r="I33" i="4" l="1"/>
  <c r="AR58" i="2"/>
  <c r="AR56" i="2"/>
  <c r="F36" i="9"/>
  <c r="K36" i="9"/>
  <c r="J43" i="15"/>
  <c r="F43" i="15"/>
  <c r="K43" i="15"/>
  <c r="I41" i="10"/>
  <c r="J41" i="10"/>
  <c r="F41" i="10"/>
  <c r="I36" i="9"/>
  <c r="E36" i="9"/>
  <c r="BL57" i="2"/>
  <c r="Y57" i="2"/>
  <c r="AR57" i="2" s="1"/>
  <c r="FG57" i="2"/>
  <c r="G39" i="9"/>
  <c r="G33" i="4"/>
  <c r="G34" i="4"/>
  <c r="G31" i="15"/>
  <c r="G41" i="15"/>
  <c r="G31" i="10"/>
  <c r="G41" i="10"/>
  <c r="G39" i="15"/>
  <c r="G41" i="4"/>
  <c r="G42" i="4"/>
  <c r="G31" i="9"/>
  <c r="G41" i="9"/>
  <c r="G39" i="10"/>
  <c r="G33" i="9"/>
  <c r="G33" i="10"/>
  <c r="G33" i="15"/>
  <c r="G30" i="4"/>
  <c r="G37" i="4"/>
  <c r="G38" i="4"/>
  <c r="G37" i="9"/>
  <c r="G37" i="10"/>
  <c r="G37" i="15"/>
  <c r="G35" i="9"/>
  <c r="G43" i="9"/>
  <c r="G35" i="10"/>
  <c r="G43" i="10"/>
  <c r="G35" i="15"/>
  <c r="G43" i="15"/>
  <c r="L32" i="15"/>
  <c r="L36" i="15"/>
  <c r="L40" i="15"/>
  <c r="G30" i="15"/>
  <c r="G34" i="15"/>
  <c r="G38" i="15"/>
  <c r="G42" i="15"/>
  <c r="G30" i="10"/>
  <c r="G34" i="10"/>
  <c r="G38" i="10"/>
  <c r="G42" i="10"/>
  <c r="L32" i="10"/>
  <c r="L36" i="10"/>
  <c r="L40" i="10"/>
  <c r="L32" i="9"/>
  <c r="L36" i="9"/>
  <c r="L40" i="9"/>
  <c r="G30" i="9"/>
  <c r="G34" i="9"/>
  <c r="G38" i="9"/>
  <c r="G42" i="9"/>
  <c r="Z23" i="6"/>
  <c r="AB23" i="6" s="1"/>
  <c r="Z24" i="6"/>
  <c r="AB24" i="6" s="1"/>
  <c r="Z25" i="6"/>
  <c r="AB25" i="6" s="1"/>
  <c r="Z26" i="6"/>
  <c r="AB26" i="6" s="1"/>
  <c r="Z27" i="6"/>
  <c r="AB27" i="6" s="1"/>
  <c r="Z28" i="6"/>
  <c r="AB28" i="6" s="1"/>
  <c r="Z29" i="6"/>
  <c r="AB29" i="6" s="1"/>
  <c r="Z30" i="6"/>
  <c r="AB30" i="6" s="1"/>
  <c r="Z31" i="6"/>
  <c r="AB31" i="6" s="1"/>
  <c r="Z32" i="6"/>
  <c r="AB32" i="6" s="1"/>
  <c r="Z33" i="6"/>
  <c r="AB33" i="6" s="1"/>
  <c r="Z34" i="6"/>
  <c r="AB34" i="6" s="1"/>
  <c r="Z35" i="6"/>
  <c r="AB35" i="6" s="1"/>
  <c r="Z36" i="6"/>
  <c r="AB36" i="6" s="1"/>
  <c r="Z37" i="6"/>
  <c r="AB37" i="6" s="1"/>
  <c r="Z38" i="6"/>
  <c r="AB38" i="6" s="1"/>
  <c r="Z39" i="6"/>
  <c r="AB39" i="6" s="1"/>
  <c r="Z40" i="6"/>
  <c r="AB40" i="6" s="1"/>
  <c r="Z41" i="6"/>
  <c r="AB41" i="6" s="1"/>
  <c r="Z42" i="6"/>
  <c r="AB42" i="6" s="1"/>
  <c r="Z43" i="6"/>
  <c r="AB43" i="6" s="1"/>
  <c r="Z44" i="6"/>
  <c r="AB44" i="6" s="1"/>
  <c r="Z45" i="6"/>
  <c r="AB45" i="6" s="1"/>
  <c r="Z46" i="6"/>
  <c r="AB46" i="6" s="1"/>
  <c r="Z47" i="6"/>
  <c r="AB47" i="6" s="1"/>
  <c r="Z48" i="6"/>
  <c r="AB48" i="6" s="1"/>
  <c r="L32" i="4"/>
  <c r="L36" i="4"/>
  <c r="L40" i="4"/>
  <c r="G31" i="4"/>
  <c r="G35" i="4"/>
  <c r="G39" i="4"/>
  <c r="G43" i="4"/>
  <c r="EA52" i="2"/>
  <c r="EE52" i="2" s="1"/>
  <c r="DM52" i="2"/>
  <c r="DL52" i="2"/>
  <c r="DI52" i="2"/>
  <c r="DG52" i="2"/>
  <c r="DJ52" i="2" s="1"/>
  <c r="DF52" i="2"/>
  <c r="DD52" i="2"/>
  <c r="DC52" i="2"/>
  <c r="DB52" i="2"/>
  <c r="BG52" i="2"/>
  <c r="BF52" i="2"/>
  <c r="BC52" i="2"/>
  <c r="BB52" i="2"/>
  <c r="AV52" i="2"/>
  <c r="AT52" i="2"/>
  <c r="AQ52" i="2"/>
  <c r="AP52" i="2"/>
  <c r="AN52" i="2"/>
  <c r="AL52" i="2"/>
  <c r="AK52" i="2"/>
  <c r="AI52" i="2"/>
  <c r="AH52" i="2"/>
  <c r="AG52" i="2"/>
  <c r="AE52" i="2"/>
  <c r="AD52" i="2"/>
  <c r="AC52" i="2"/>
  <c r="U52" i="2"/>
  <c r="AM52" i="2" s="1"/>
  <c r="K52" i="2"/>
  <c r="AO52" i="2" s="1"/>
  <c r="I52" i="2"/>
  <c r="DA52" i="2" s="1"/>
  <c r="G52" i="2"/>
  <c r="F52" i="2"/>
  <c r="D52" i="2"/>
  <c r="AS52" i="2" s="1"/>
  <c r="EA51" i="2"/>
  <c r="EE51" i="2" s="1"/>
  <c r="DM51" i="2"/>
  <c r="DL51" i="2"/>
  <c r="DI51" i="2"/>
  <c r="DG51" i="2"/>
  <c r="DF51" i="2"/>
  <c r="DD51" i="2"/>
  <c r="DC51" i="2"/>
  <c r="DB51" i="2"/>
  <c r="BG51" i="2"/>
  <c r="BF51" i="2"/>
  <c r="BC51" i="2"/>
  <c r="BB51" i="2"/>
  <c r="AV51" i="2"/>
  <c r="AT51" i="2"/>
  <c r="AQ51" i="2"/>
  <c r="AP51" i="2"/>
  <c r="AN51" i="2"/>
  <c r="AL51" i="2"/>
  <c r="AK51" i="2"/>
  <c r="AI51" i="2"/>
  <c r="AH51" i="2"/>
  <c r="AG51" i="2"/>
  <c r="AE51" i="2"/>
  <c r="AD51" i="2"/>
  <c r="AC51" i="2"/>
  <c r="U51" i="2"/>
  <c r="AM51" i="2" s="1"/>
  <c r="K51" i="2"/>
  <c r="AO51" i="2" s="1"/>
  <c r="I51" i="2"/>
  <c r="DA51" i="2" s="1"/>
  <c r="G51" i="2"/>
  <c r="F51" i="2"/>
  <c r="D51" i="2"/>
  <c r="AF51" i="2" s="1"/>
  <c r="EA50" i="2"/>
  <c r="EE50" i="2" s="1"/>
  <c r="DM50" i="2"/>
  <c r="DL50" i="2"/>
  <c r="DI50" i="2"/>
  <c r="DG50" i="2"/>
  <c r="DJ50" i="2" s="1"/>
  <c r="DF50" i="2"/>
  <c r="DD50" i="2"/>
  <c r="DC50" i="2"/>
  <c r="DB50" i="2"/>
  <c r="BG50" i="2"/>
  <c r="BF50" i="2"/>
  <c r="BC50" i="2"/>
  <c r="BB50" i="2"/>
  <c r="AV50" i="2"/>
  <c r="AT50" i="2"/>
  <c r="AQ50" i="2"/>
  <c r="AP50" i="2"/>
  <c r="AN50" i="2"/>
  <c r="AL50" i="2"/>
  <c r="AK50" i="2"/>
  <c r="AI50" i="2"/>
  <c r="AH50" i="2"/>
  <c r="AG50" i="2"/>
  <c r="AE50" i="2"/>
  <c r="AD50" i="2"/>
  <c r="AC50" i="2"/>
  <c r="U50" i="2"/>
  <c r="AM50" i="2" s="1"/>
  <c r="K50" i="2"/>
  <c r="AO50" i="2" s="1"/>
  <c r="I50" i="2"/>
  <c r="DA50" i="2" s="1"/>
  <c r="G50" i="2"/>
  <c r="F50" i="2"/>
  <c r="D50" i="2"/>
  <c r="AS50" i="2" s="1"/>
  <c r="EA49" i="2"/>
  <c r="DM49" i="2"/>
  <c r="DL49" i="2"/>
  <c r="DI49" i="2"/>
  <c r="DG49" i="2"/>
  <c r="DF49" i="2"/>
  <c r="DD49" i="2"/>
  <c r="DC49" i="2"/>
  <c r="DB49" i="2"/>
  <c r="BG49" i="2"/>
  <c r="BF49" i="2"/>
  <c r="BC49" i="2"/>
  <c r="BB49" i="2"/>
  <c r="AV49" i="2"/>
  <c r="AT49" i="2"/>
  <c r="AQ49" i="2"/>
  <c r="AP49" i="2"/>
  <c r="AN49" i="2"/>
  <c r="AL49" i="2"/>
  <c r="AK49" i="2"/>
  <c r="AI49" i="2"/>
  <c r="AH49" i="2"/>
  <c r="AG49" i="2"/>
  <c r="AE49" i="2"/>
  <c r="AD49" i="2"/>
  <c r="AC49" i="2"/>
  <c r="U49" i="2"/>
  <c r="AM49" i="2" s="1"/>
  <c r="K49" i="2"/>
  <c r="AO49" i="2" s="1"/>
  <c r="I49" i="2"/>
  <c r="DA49" i="2" s="1"/>
  <c r="G49" i="2"/>
  <c r="F49" i="2"/>
  <c r="D49" i="2"/>
  <c r="AF49" i="2" s="1"/>
  <c r="EA48" i="2"/>
  <c r="EE48" i="2" s="1"/>
  <c r="DM48" i="2"/>
  <c r="DL48" i="2"/>
  <c r="DI48" i="2"/>
  <c r="DG48" i="2"/>
  <c r="DJ48" i="2" s="1"/>
  <c r="DF48" i="2"/>
  <c r="DD48" i="2"/>
  <c r="DC48" i="2"/>
  <c r="DB48" i="2"/>
  <c r="BG48" i="2"/>
  <c r="BF48" i="2"/>
  <c r="BC48" i="2"/>
  <c r="BB48" i="2"/>
  <c r="AV48" i="2"/>
  <c r="AT48" i="2"/>
  <c r="AQ48" i="2"/>
  <c r="AP48" i="2"/>
  <c r="AN48" i="2"/>
  <c r="AL48" i="2"/>
  <c r="AK48" i="2"/>
  <c r="AI48" i="2"/>
  <c r="AH48" i="2"/>
  <c r="AG48" i="2"/>
  <c r="AE48" i="2"/>
  <c r="AD48" i="2"/>
  <c r="AC48" i="2"/>
  <c r="U48" i="2"/>
  <c r="AM48" i="2" s="1"/>
  <c r="K48" i="2"/>
  <c r="AO48" i="2" s="1"/>
  <c r="I48" i="2"/>
  <c r="DA48" i="2" s="1"/>
  <c r="G48" i="2"/>
  <c r="F48" i="2"/>
  <c r="D48" i="2"/>
  <c r="AS48" i="2" s="1"/>
  <c r="EA47" i="2"/>
  <c r="DM47" i="2"/>
  <c r="DL47" i="2"/>
  <c r="DI47" i="2"/>
  <c r="DG47" i="2"/>
  <c r="DF47" i="2"/>
  <c r="DD47" i="2"/>
  <c r="DC47" i="2"/>
  <c r="DB47" i="2"/>
  <c r="BG47" i="2"/>
  <c r="BF47" i="2"/>
  <c r="BC47" i="2"/>
  <c r="BB47" i="2"/>
  <c r="AV47" i="2"/>
  <c r="AT47" i="2"/>
  <c r="AQ47" i="2"/>
  <c r="AP47" i="2"/>
  <c r="AN47" i="2"/>
  <c r="AL47" i="2"/>
  <c r="AK47" i="2"/>
  <c r="AI47" i="2"/>
  <c r="AH47" i="2"/>
  <c r="AG47" i="2"/>
  <c r="AE47" i="2"/>
  <c r="AD47" i="2"/>
  <c r="AC47" i="2"/>
  <c r="U47" i="2"/>
  <c r="AM47" i="2" s="1"/>
  <c r="K47" i="2"/>
  <c r="AO47" i="2" s="1"/>
  <c r="I47" i="2"/>
  <c r="DA47" i="2" s="1"/>
  <c r="G47" i="2"/>
  <c r="F47" i="2"/>
  <c r="D47" i="2"/>
  <c r="AF47" i="2" s="1"/>
  <c r="EA46" i="2"/>
  <c r="EE46" i="2" s="1"/>
  <c r="DM46" i="2"/>
  <c r="DL46" i="2"/>
  <c r="DI46" i="2"/>
  <c r="DG46" i="2"/>
  <c r="DF46" i="2"/>
  <c r="DD46" i="2"/>
  <c r="DC46" i="2"/>
  <c r="DB46" i="2"/>
  <c r="BG46" i="2"/>
  <c r="BF46" i="2"/>
  <c r="BC46" i="2"/>
  <c r="BB46" i="2"/>
  <c r="AV46" i="2"/>
  <c r="AT46" i="2"/>
  <c r="AQ46" i="2"/>
  <c r="AP46" i="2"/>
  <c r="AN46" i="2"/>
  <c r="AL46" i="2"/>
  <c r="AK46" i="2"/>
  <c r="AI46" i="2"/>
  <c r="AH46" i="2"/>
  <c r="AG46" i="2"/>
  <c r="AE46" i="2"/>
  <c r="AD46" i="2"/>
  <c r="AC46" i="2"/>
  <c r="U46" i="2"/>
  <c r="AM46" i="2" s="1"/>
  <c r="K46" i="2"/>
  <c r="AO46" i="2" s="1"/>
  <c r="I46" i="2"/>
  <c r="DA46" i="2" s="1"/>
  <c r="G46" i="2"/>
  <c r="F46" i="2"/>
  <c r="D46" i="2"/>
  <c r="AS46" i="2" s="1"/>
  <c r="EA45" i="2"/>
  <c r="EE45" i="2" s="1"/>
  <c r="DM45" i="2"/>
  <c r="DL45" i="2"/>
  <c r="DI45" i="2"/>
  <c r="DG45" i="2"/>
  <c r="DF45" i="2"/>
  <c r="DD45" i="2"/>
  <c r="DC45" i="2"/>
  <c r="DB45" i="2"/>
  <c r="BG45" i="2"/>
  <c r="BF45" i="2"/>
  <c r="BC45" i="2"/>
  <c r="BB45" i="2"/>
  <c r="AV45" i="2"/>
  <c r="AT45" i="2"/>
  <c r="AQ45" i="2"/>
  <c r="AP45" i="2"/>
  <c r="AN45" i="2"/>
  <c r="AL45" i="2"/>
  <c r="AK45" i="2"/>
  <c r="AI45" i="2"/>
  <c r="AH45" i="2"/>
  <c r="AG45" i="2"/>
  <c r="AE45" i="2"/>
  <c r="AD45" i="2"/>
  <c r="AC45" i="2"/>
  <c r="U45" i="2"/>
  <c r="AM45" i="2" s="1"/>
  <c r="K45" i="2"/>
  <c r="AO45" i="2" s="1"/>
  <c r="I45" i="2"/>
  <c r="DA45" i="2" s="1"/>
  <c r="G45" i="2"/>
  <c r="F45" i="2"/>
  <c r="D45" i="2"/>
  <c r="AF45" i="2" s="1"/>
  <c r="EA44" i="2"/>
  <c r="EE44" i="2" s="1"/>
  <c r="DM44" i="2"/>
  <c r="DL44" i="2"/>
  <c r="DI44" i="2"/>
  <c r="DG44" i="2"/>
  <c r="DJ44" i="2" s="1"/>
  <c r="DF44" i="2"/>
  <c r="DD44" i="2"/>
  <c r="DC44" i="2"/>
  <c r="DB44" i="2"/>
  <c r="BG44" i="2"/>
  <c r="BF44" i="2"/>
  <c r="BC44" i="2"/>
  <c r="BB44" i="2"/>
  <c r="AV44" i="2"/>
  <c r="AT44" i="2"/>
  <c r="AQ44" i="2"/>
  <c r="AP44" i="2"/>
  <c r="AN44" i="2"/>
  <c r="AL44" i="2"/>
  <c r="AK44" i="2"/>
  <c r="AI44" i="2"/>
  <c r="AH44" i="2"/>
  <c r="AG44" i="2"/>
  <c r="AE44" i="2"/>
  <c r="AD44" i="2"/>
  <c r="AC44" i="2"/>
  <c r="U44" i="2"/>
  <c r="AM44" i="2" s="1"/>
  <c r="K44" i="2"/>
  <c r="AO44" i="2" s="1"/>
  <c r="I44" i="2"/>
  <c r="DA44" i="2" s="1"/>
  <c r="G44" i="2"/>
  <c r="F44" i="2"/>
  <c r="D44" i="2"/>
  <c r="AF44" i="2" s="1"/>
  <c r="E41" i="10"/>
  <c r="E33" i="4"/>
  <c r="AA57" i="2" l="1"/>
  <c r="BI57" i="2" s="1"/>
  <c r="DJ46" i="2"/>
  <c r="DH47" i="2"/>
  <c r="BH48" i="2"/>
  <c r="DH51" i="2"/>
  <c r="BH52" i="2"/>
  <c r="DN50" i="2"/>
  <c r="DE44" i="2"/>
  <c r="DH45" i="2"/>
  <c r="BH46" i="2"/>
  <c r="DH49" i="2"/>
  <c r="BH50" i="2"/>
  <c r="C46" i="11"/>
  <c r="C46" i="13"/>
  <c r="C46" i="12"/>
  <c r="C46" i="16"/>
  <c r="C50" i="11"/>
  <c r="C50" i="16"/>
  <c r="C50" i="13"/>
  <c r="C50" i="12"/>
  <c r="C45" i="13"/>
  <c r="C45" i="12"/>
  <c r="C45" i="16"/>
  <c r="C45" i="11"/>
  <c r="C49" i="13"/>
  <c r="C49" i="16"/>
  <c r="C49" i="12"/>
  <c r="C49" i="11"/>
  <c r="C53" i="13"/>
  <c r="C53" i="16"/>
  <c r="C53" i="12"/>
  <c r="C53" i="11"/>
  <c r="C44" i="13"/>
  <c r="C44" i="11"/>
  <c r="C44" i="12"/>
  <c r="C44" i="16"/>
  <c r="C48" i="13"/>
  <c r="C48" i="12"/>
  <c r="C48" i="11"/>
  <c r="C48" i="16"/>
  <c r="C52" i="11"/>
  <c r="C52" i="16"/>
  <c r="C52" i="13"/>
  <c r="C52" i="12"/>
  <c r="C47" i="16"/>
  <c r="C47" i="13"/>
  <c r="C47" i="12"/>
  <c r="C47" i="11"/>
  <c r="C51" i="12"/>
  <c r="C51" i="16"/>
  <c r="C51" i="13"/>
  <c r="C51" i="11"/>
  <c r="DE52" i="2"/>
  <c r="DK52" i="2" s="1"/>
  <c r="DE50" i="2"/>
  <c r="DE46" i="2"/>
  <c r="EC50" i="2"/>
  <c r="R52" i="2"/>
  <c r="DH52" i="2"/>
  <c r="ED52" i="2"/>
  <c r="AS45" i="2"/>
  <c r="BH45" i="2" s="1"/>
  <c r="R45" i="2"/>
  <c r="R49" i="2"/>
  <c r="DN44" i="2"/>
  <c r="DN46" i="2"/>
  <c r="DO46" i="2" s="1"/>
  <c r="DN52" i="2"/>
  <c r="DO52" i="2" s="1"/>
  <c r="DN48" i="2"/>
  <c r="DO48" i="2" s="1"/>
  <c r="DN47" i="2"/>
  <c r="DO47" i="2" s="1"/>
  <c r="ED44" i="2"/>
  <c r="R46" i="2"/>
  <c r="R48" i="2"/>
  <c r="ED48" i="2"/>
  <c r="AS49" i="2"/>
  <c r="BH49" i="2" s="1"/>
  <c r="AS51" i="2"/>
  <c r="BH51" i="2" s="1"/>
  <c r="AJ52" i="2"/>
  <c r="EC52" i="2"/>
  <c r="AJ51" i="2"/>
  <c r="DJ51" i="2"/>
  <c r="R51" i="2"/>
  <c r="R50" i="2"/>
  <c r="DH50" i="2"/>
  <c r="ED50" i="2"/>
  <c r="AJ50" i="2"/>
  <c r="AJ49" i="2"/>
  <c r="DJ49" i="2"/>
  <c r="DH48" i="2"/>
  <c r="AJ48" i="2"/>
  <c r="EC48" i="2"/>
  <c r="DJ47" i="2"/>
  <c r="R47" i="2"/>
  <c r="AS47" i="2"/>
  <c r="BH47" i="2" s="1"/>
  <c r="AJ47" i="2"/>
  <c r="AJ46" i="2"/>
  <c r="DH46" i="2"/>
  <c r="EC46" i="2"/>
  <c r="ED46" i="2"/>
  <c r="AJ45" i="2"/>
  <c r="DJ45" i="2"/>
  <c r="DO44" i="2"/>
  <c r="AJ44" i="2"/>
  <c r="DK44" i="2"/>
  <c r="DH44" i="2"/>
  <c r="R44" i="2"/>
  <c r="AS44" i="2"/>
  <c r="BH44" i="2" s="1"/>
  <c r="EC44" i="2"/>
  <c r="DN45" i="2"/>
  <c r="DO45" i="2" s="1"/>
  <c r="DN51" i="2"/>
  <c r="DO51" i="2" s="1"/>
  <c r="DN49" i="2"/>
  <c r="DO49" i="2" s="1"/>
  <c r="DO50" i="2"/>
  <c r="DE48" i="2"/>
  <c r="DK48" i="2" s="1"/>
  <c r="DE49" i="2"/>
  <c r="DK49" i="2" s="1"/>
  <c r="DK50" i="2"/>
  <c r="DE51" i="2"/>
  <c r="DK51" i="2" s="1"/>
  <c r="DK46" i="2"/>
  <c r="AF50" i="2"/>
  <c r="ED45" i="2"/>
  <c r="EC45" i="2"/>
  <c r="ED47" i="2"/>
  <c r="EC47" i="2"/>
  <c r="EE47" i="2"/>
  <c r="ED49" i="2"/>
  <c r="EC49" i="2"/>
  <c r="AF52" i="2"/>
  <c r="AF46" i="2"/>
  <c r="AF48" i="2"/>
  <c r="EC51" i="2"/>
  <c r="DE47" i="2"/>
  <c r="DK47" i="2" s="1"/>
  <c r="DE45" i="2"/>
  <c r="DK45" i="2" s="1"/>
  <c r="EF57" i="2" l="1"/>
  <c r="BD57" i="2"/>
  <c r="BE57" i="2"/>
  <c r="CY57" i="2"/>
  <c r="BK57" i="2"/>
  <c r="CZ57" i="2"/>
  <c r="AW57" i="2"/>
  <c r="AX57" i="2" s="1"/>
  <c r="AY57" i="2"/>
  <c r="AZ57" i="2" s="1"/>
  <c r="BJ57" i="2"/>
  <c r="AU57" i="2"/>
  <c r="BA57" i="2" s="1"/>
  <c r="I51" i="11"/>
  <c r="S51" i="11"/>
  <c r="T51" i="11"/>
  <c r="F51" i="11"/>
  <c r="E51" i="11"/>
  <c r="J51" i="11"/>
  <c r="U51" i="11"/>
  <c r="H51" i="11"/>
  <c r="G51" i="11"/>
  <c r="D51" i="11"/>
  <c r="L51" i="11"/>
  <c r="K51" i="11"/>
  <c r="S47" i="11"/>
  <c r="T47" i="11"/>
  <c r="U47" i="11"/>
  <c r="G47" i="11"/>
  <c r="D47" i="11"/>
  <c r="E47" i="11" s="1"/>
  <c r="H47" i="11"/>
  <c r="I47" i="11" s="1"/>
  <c r="T52" i="12"/>
  <c r="G52" i="12"/>
  <c r="H52" i="12"/>
  <c r="S52" i="12"/>
  <c r="F52" i="12"/>
  <c r="K52" i="12"/>
  <c r="L52" i="12"/>
  <c r="J52" i="12"/>
  <c r="U52" i="12"/>
  <c r="E52" i="12"/>
  <c r="D52" i="12"/>
  <c r="I52" i="12"/>
  <c r="T48" i="16"/>
  <c r="U48" i="16"/>
  <c r="S48" i="16"/>
  <c r="D48" i="16"/>
  <c r="L48" i="16"/>
  <c r="G48" i="16"/>
  <c r="E48" i="16"/>
  <c r="K48" i="16"/>
  <c r="H48" i="16"/>
  <c r="I48" i="16"/>
  <c r="F48" i="16"/>
  <c r="J48" i="16"/>
  <c r="T44" i="16"/>
  <c r="G44" i="16"/>
  <c r="H44" i="16"/>
  <c r="K44" i="16"/>
  <c r="L44" i="16"/>
  <c r="S44" i="16"/>
  <c r="F44" i="16"/>
  <c r="U44" i="16"/>
  <c r="J44" i="16"/>
  <c r="E44" i="16"/>
  <c r="D44" i="16"/>
  <c r="I44" i="16"/>
  <c r="I53" i="11"/>
  <c r="S53" i="11"/>
  <c r="T53" i="11"/>
  <c r="F53" i="11"/>
  <c r="E53" i="11"/>
  <c r="J53" i="11"/>
  <c r="G53" i="11"/>
  <c r="K53" i="11"/>
  <c r="D53" i="11"/>
  <c r="U53" i="11"/>
  <c r="L53" i="11"/>
  <c r="H53" i="11"/>
  <c r="I49" i="11"/>
  <c r="S49" i="11"/>
  <c r="T49" i="11"/>
  <c r="F49" i="11"/>
  <c r="E49" i="11"/>
  <c r="J49" i="11"/>
  <c r="U49" i="11"/>
  <c r="L49" i="11"/>
  <c r="H49" i="11"/>
  <c r="D49" i="11"/>
  <c r="G49" i="11"/>
  <c r="K49" i="11"/>
  <c r="I45" i="11"/>
  <c r="S45" i="11"/>
  <c r="T45" i="11"/>
  <c r="F45" i="11"/>
  <c r="E45" i="11"/>
  <c r="J45" i="11"/>
  <c r="G45" i="11"/>
  <c r="D45" i="11"/>
  <c r="K45" i="11"/>
  <c r="H45" i="11"/>
  <c r="U45" i="11"/>
  <c r="L45" i="11"/>
  <c r="F50" i="12"/>
  <c r="U50" i="12"/>
  <c r="S50" i="12"/>
  <c r="L50" i="12"/>
  <c r="G50" i="12"/>
  <c r="I50" i="12"/>
  <c r="K50" i="12"/>
  <c r="T50" i="12"/>
  <c r="E50" i="12"/>
  <c r="H50" i="12"/>
  <c r="J50" i="12"/>
  <c r="D50" i="12"/>
  <c r="T46" i="16"/>
  <c r="S46" i="16"/>
  <c r="K46" i="16"/>
  <c r="H46" i="16"/>
  <c r="F46" i="16"/>
  <c r="D46" i="16"/>
  <c r="J46" i="16"/>
  <c r="E46" i="16"/>
  <c r="L46" i="16"/>
  <c r="G46" i="16"/>
  <c r="U46" i="16"/>
  <c r="I46" i="16"/>
  <c r="T51" i="13"/>
  <c r="S51" i="13"/>
  <c r="U51" i="13"/>
  <c r="D51" i="13"/>
  <c r="E51" i="13" s="1"/>
  <c r="H51" i="13"/>
  <c r="I51" i="13" s="1"/>
  <c r="G51" i="13"/>
  <c r="I47" i="12"/>
  <c r="E47" i="12"/>
  <c r="T47" i="12"/>
  <c r="F47" i="12"/>
  <c r="S47" i="12"/>
  <c r="J47" i="12"/>
  <c r="H47" i="12"/>
  <c r="G47" i="12"/>
  <c r="L47" i="12"/>
  <c r="K47" i="12"/>
  <c r="U47" i="12"/>
  <c r="D47" i="12"/>
  <c r="V47" i="12" s="1"/>
  <c r="U52" i="13"/>
  <c r="S52" i="13"/>
  <c r="L52" i="13"/>
  <c r="T52" i="13"/>
  <c r="I52" i="13"/>
  <c r="H52" i="13"/>
  <c r="G52" i="13"/>
  <c r="K52" i="13"/>
  <c r="E52" i="13"/>
  <c r="J52" i="13"/>
  <c r="D52" i="13"/>
  <c r="V52" i="13" s="1"/>
  <c r="F52" i="13"/>
  <c r="T48" i="11"/>
  <c r="H48" i="11"/>
  <c r="E48" i="11"/>
  <c r="L48" i="11"/>
  <c r="I48" i="11"/>
  <c r="K48" i="11"/>
  <c r="S48" i="11"/>
  <c r="F48" i="11"/>
  <c r="J48" i="11"/>
  <c r="G48" i="11"/>
  <c r="D48" i="11"/>
  <c r="U48" i="11"/>
  <c r="G44" i="12"/>
  <c r="U44" i="12"/>
  <c r="K44" i="12"/>
  <c r="F44" i="12"/>
  <c r="S44" i="12"/>
  <c r="I44" i="12"/>
  <c r="L44" i="12"/>
  <c r="E44" i="12"/>
  <c r="H44" i="12"/>
  <c r="D44" i="12"/>
  <c r="T44" i="12"/>
  <c r="J44" i="12"/>
  <c r="T53" i="12"/>
  <c r="F53" i="12"/>
  <c r="J53" i="12"/>
  <c r="S53" i="12"/>
  <c r="E53" i="12"/>
  <c r="I53" i="12"/>
  <c r="L53" i="12"/>
  <c r="G53" i="12"/>
  <c r="H53" i="12"/>
  <c r="K53" i="12"/>
  <c r="D53" i="12"/>
  <c r="U53" i="12"/>
  <c r="T49" i="12"/>
  <c r="F49" i="12"/>
  <c r="S49" i="12"/>
  <c r="E49" i="12"/>
  <c r="J49" i="12"/>
  <c r="I49" i="12"/>
  <c r="G49" i="12"/>
  <c r="L49" i="12"/>
  <c r="K49" i="12"/>
  <c r="U49" i="12"/>
  <c r="D49" i="12"/>
  <c r="V49" i="12" s="1"/>
  <c r="H49" i="12"/>
  <c r="T45" i="16"/>
  <c r="F45" i="16"/>
  <c r="I45" i="16"/>
  <c r="S45" i="16"/>
  <c r="E45" i="16"/>
  <c r="J45" i="16"/>
  <c r="L45" i="16"/>
  <c r="K45" i="16"/>
  <c r="G45" i="16"/>
  <c r="D45" i="16"/>
  <c r="U45" i="16"/>
  <c r="H45" i="16"/>
  <c r="K50" i="13"/>
  <c r="U50" i="13"/>
  <c r="T50" i="13"/>
  <c r="I50" i="13"/>
  <c r="D50" i="13"/>
  <c r="G50" i="13"/>
  <c r="J50" i="13"/>
  <c r="E50" i="13"/>
  <c r="F50" i="13"/>
  <c r="S50" i="13"/>
  <c r="L50" i="13"/>
  <c r="H50" i="13"/>
  <c r="U46" i="12"/>
  <c r="K46" i="12"/>
  <c r="T46" i="12"/>
  <c r="I46" i="12"/>
  <c r="D46" i="12"/>
  <c r="G46" i="12"/>
  <c r="J46" i="12"/>
  <c r="E46" i="12"/>
  <c r="L46" i="12"/>
  <c r="F46" i="12"/>
  <c r="H46" i="12"/>
  <c r="S46" i="12"/>
  <c r="T51" i="16"/>
  <c r="F51" i="16"/>
  <c r="J51" i="16"/>
  <c r="S51" i="16"/>
  <c r="E51" i="16"/>
  <c r="I51" i="16"/>
  <c r="K51" i="16"/>
  <c r="U51" i="16"/>
  <c r="D51" i="16"/>
  <c r="H51" i="16"/>
  <c r="G51" i="16"/>
  <c r="L51" i="16"/>
  <c r="I47" i="13"/>
  <c r="E47" i="13"/>
  <c r="T47" i="13"/>
  <c r="F47" i="13"/>
  <c r="S47" i="13"/>
  <c r="J47" i="13"/>
  <c r="G47" i="13"/>
  <c r="L47" i="13"/>
  <c r="K47" i="13"/>
  <c r="U47" i="13"/>
  <c r="D47" i="13"/>
  <c r="V47" i="13" s="1"/>
  <c r="H47" i="13"/>
  <c r="T52" i="16"/>
  <c r="S52" i="16"/>
  <c r="F52" i="16"/>
  <c r="D52" i="16"/>
  <c r="J52" i="16"/>
  <c r="G52" i="16"/>
  <c r="H52" i="16"/>
  <c r="K52" i="16"/>
  <c r="E52" i="16"/>
  <c r="U52" i="16"/>
  <c r="I52" i="16"/>
  <c r="L52" i="16"/>
  <c r="U48" i="12"/>
  <c r="J48" i="12"/>
  <c r="E48" i="12"/>
  <c r="F48" i="12"/>
  <c r="L48" i="12"/>
  <c r="G48" i="12"/>
  <c r="K48" i="12"/>
  <c r="H48" i="12"/>
  <c r="T48" i="12"/>
  <c r="D48" i="12"/>
  <c r="S48" i="12"/>
  <c r="I48" i="12"/>
  <c r="T44" i="11"/>
  <c r="S44" i="11"/>
  <c r="K44" i="11"/>
  <c r="L44" i="11"/>
  <c r="H44" i="11"/>
  <c r="U44" i="11"/>
  <c r="E44" i="11"/>
  <c r="F44" i="11"/>
  <c r="I44" i="11"/>
  <c r="D44" i="11"/>
  <c r="J44" i="11"/>
  <c r="G44" i="11"/>
  <c r="T53" i="16"/>
  <c r="F53" i="16"/>
  <c r="J53" i="16"/>
  <c r="I53" i="16"/>
  <c r="S53" i="16"/>
  <c r="E53" i="16"/>
  <c r="L53" i="16"/>
  <c r="G53" i="16"/>
  <c r="K53" i="16"/>
  <c r="D53" i="16"/>
  <c r="U53" i="16"/>
  <c r="H53" i="16"/>
  <c r="T49" i="16"/>
  <c r="S49" i="16"/>
  <c r="D49" i="16"/>
  <c r="E49" i="16" s="1"/>
  <c r="G49" i="16"/>
  <c r="H49" i="16"/>
  <c r="I49" i="16" s="1"/>
  <c r="U49" i="16"/>
  <c r="S45" i="12"/>
  <c r="E45" i="12"/>
  <c r="I45" i="12"/>
  <c r="J45" i="12"/>
  <c r="F45" i="12"/>
  <c r="T45" i="12"/>
  <c r="U45" i="12"/>
  <c r="D45" i="12"/>
  <c r="H45" i="12"/>
  <c r="L45" i="12"/>
  <c r="G45" i="12"/>
  <c r="K45" i="12"/>
  <c r="T50" i="16"/>
  <c r="E50" i="16"/>
  <c r="G50" i="16"/>
  <c r="L50" i="16"/>
  <c r="J50" i="16"/>
  <c r="K50" i="16"/>
  <c r="I50" i="16"/>
  <c r="U50" i="16"/>
  <c r="S50" i="16"/>
  <c r="D50" i="16"/>
  <c r="H50" i="16"/>
  <c r="F50" i="16"/>
  <c r="H46" i="13"/>
  <c r="S46" i="13"/>
  <c r="K46" i="13"/>
  <c r="G46" i="13"/>
  <c r="T46" i="13"/>
  <c r="I46" i="13"/>
  <c r="U46" i="13"/>
  <c r="E46" i="13"/>
  <c r="D46" i="13"/>
  <c r="J46" i="13"/>
  <c r="L46" i="13"/>
  <c r="F46" i="13"/>
  <c r="T51" i="12"/>
  <c r="F51" i="12"/>
  <c r="S51" i="12"/>
  <c r="E51" i="12"/>
  <c r="J51" i="12"/>
  <c r="I51" i="12"/>
  <c r="K51" i="12"/>
  <c r="U51" i="12"/>
  <c r="D51" i="12"/>
  <c r="H51" i="12"/>
  <c r="L51" i="12"/>
  <c r="G51" i="12"/>
  <c r="T47" i="16"/>
  <c r="F47" i="16"/>
  <c r="S47" i="16"/>
  <c r="E47" i="16"/>
  <c r="J47" i="16"/>
  <c r="I47" i="16"/>
  <c r="K47" i="16"/>
  <c r="H47" i="16"/>
  <c r="U47" i="16"/>
  <c r="L47" i="16"/>
  <c r="D47" i="16"/>
  <c r="G47" i="16"/>
  <c r="T52" i="11"/>
  <c r="U52" i="11"/>
  <c r="D52" i="11"/>
  <c r="H52" i="11"/>
  <c r="E52" i="11"/>
  <c r="G52" i="11"/>
  <c r="I52" i="11"/>
  <c r="J52" i="11"/>
  <c r="K52" i="11"/>
  <c r="S52" i="11"/>
  <c r="L52" i="11"/>
  <c r="F52" i="11"/>
  <c r="K48" i="13"/>
  <c r="U48" i="13"/>
  <c r="G48" i="13"/>
  <c r="F48" i="13"/>
  <c r="S48" i="13"/>
  <c r="L48" i="13"/>
  <c r="I48" i="13"/>
  <c r="T48" i="13"/>
  <c r="H48" i="13"/>
  <c r="E48" i="13"/>
  <c r="D48" i="13"/>
  <c r="J48" i="13"/>
  <c r="U44" i="13"/>
  <c r="H44" i="13"/>
  <c r="G44" i="13"/>
  <c r="J44" i="13"/>
  <c r="E44" i="13"/>
  <c r="F44" i="13"/>
  <c r="K44" i="13"/>
  <c r="S44" i="13"/>
  <c r="D44" i="13"/>
  <c r="I44" i="13"/>
  <c r="L44" i="13"/>
  <c r="T44" i="13"/>
  <c r="S53" i="13"/>
  <c r="E53" i="13"/>
  <c r="F53" i="13"/>
  <c r="J53" i="13"/>
  <c r="I53" i="13"/>
  <c r="T53" i="13"/>
  <c r="H53" i="13"/>
  <c r="G53" i="13"/>
  <c r="L53" i="13"/>
  <c r="K53" i="13"/>
  <c r="U53" i="13"/>
  <c r="D53" i="13"/>
  <c r="J49" i="13"/>
  <c r="T49" i="13"/>
  <c r="I49" i="13"/>
  <c r="F49" i="13"/>
  <c r="S49" i="13"/>
  <c r="E49" i="13"/>
  <c r="K49" i="13"/>
  <c r="U49" i="13"/>
  <c r="D49" i="13"/>
  <c r="G49" i="13"/>
  <c r="H49" i="13"/>
  <c r="L49" i="13"/>
  <c r="J45" i="13"/>
  <c r="F45" i="13"/>
  <c r="I45" i="13"/>
  <c r="T45" i="13"/>
  <c r="S45" i="13"/>
  <c r="E45" i="13"/>
  <c r="H45" i="13"/>
  <c r="G45" i="13"/>
  <c r="L45" i="13"/>
  <c r="K45" i="13"/>
  <c r="U45" i="13"/>
  <c r="D45" i="13"/>
  <c r="T50" i="11"/>
  <c r="G50" i="11"/>
  <c r="D50" i="11"/>
  <c r="K50" i="11"/>
  <c r="E50" i="11"/>
  <c r="L50" i="11"/>
  <c r="U50" i="11"/>
  <c r="H50" i="11"/>
  <c r="I50" i="11"/>
  <c r="J50" i="11"/>
  <c r="S50" i="11"/>
  <c r="F50" i="11"/>
  <c r="T46" i="11"/>
  <c r="K46" i="11"/>
  <c r="E46" i="11"/>
  <c r="U46" i="11"/>
  <c r="I46" i="11"/>
  <c r="D46" i="11"/>
  <c r="J46" i="11"/>
  <c r="S46" i="11"/>
  <c r="F46" i="11"/>
  <c r="G46" i="11"/>
  <c r="H46" i="11"/>
  <c r="L46" i="11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V48" i="12" l="1"/>
  <c r="ED57" i="2"/>
  <c r="EE57" i="2"/>
  <c r="K51" i="13"/>
  <c r="F51" i="13"/>
  <c r="K49" i="16"/>
  <c r="L51" i="13"/>
  <c r="J51" i="13"/>
  <c r="J49" i="16"/>
  <c r="F47" i="11"/>
  <c r="L49" i="16"/>
  <c r="F49" i="16"/>
  <c r="L47" i="11"/>
  <c r="K47" i="11"/>
  <c r="J47" i="11"/>
  <c r="V48" i="13"/>
  <c r="V50" i="11"/>
  <c r="V51" i="11"/>
  <c r="V46" i="13"/>
  <c r="V49" i="16"/>
  <c r="V52" i="11"/>
  <c r="V53" i="16"/>
  <c r="V44" i="11"/>
  <c r="V46" i="16"/>
  <c r="V50" i="16"/>
  <c r="V46" i="12"/>
  <c r="V45" i="16"/>
  <c r="V44" i="12"/>
  <c r="V44" i="16"/>
  <c r="V52" i="12"/>
  <c r="V47" i="11"/>
  <c r="V51" i="16"/>
  <c r="V46" i="11"/>
  <c r="V53" i="12"/>
  <c r="V51" i="13"/>
  <c r="V50" i="12"/>
  <c r="V53" i="11"/>
  <c r="V48" i="11"/>
  <c r="V45" i="11"/>
  <c r="V51" i="12"/>
  <c r="V50" i="13"/>
  <c r="V49" i="13"/>
  <c r="V44" i="13"/>
  <c r="V47" i="16"/>
  <c r="V45" i="12"/>
  <c r="V52" i="16"/>
  <c r="V45" i="13"/>
  <c r="V53" i="13"/>
  <c r="V49" i="11"/>
  <c r="V48" i="16"/>
  <c r="Q36" i="7"/>
  <c r="P36" i="7"/>
  <c r="O36" i="7"/>
  <c r="N36" i="7"/>
  <c r="Q35" i="7"/>
  <c r="P35" i="7"/>
  <c r="O35" i="7"/>
  <c r="N35" i="7"/>
  <c r="Q34" i="7"/>
  <c r="P34" i="7"/>
  <c r="O34" i="7"/>
  <c r="N34" i="7"/>
  <c r="Q33" i="7"/>
  <c r="P33" i="7"/>
  <c r="O33" i="7"/>
  <c r="N33" i="7"/>
  <c r="Q32" i="7"/>
  <c r="P32" i="7"/>
  <c r="O32" i="7"/>
  <c r="N32" i="7"/>
  <c r="Q31" i="7"/>
  <c r="P31" i="7"/>
  <c r="O31" i="7"/>
  <c r="N31" i="7"/>
  <c r="Q30" i="7"/>
  <c r="P30" i="7"/>
  <c r="O30" i="7"/>
  <c r="N30" i="7"/>
  <c r="Q29" i="7"/>
  <c r="P29" i="7"/>
  <c r="O29" i="7"/>
  <c r="N29" i="7"/>
  <c r="Q28" i="7"/>
  <c r="P28" i="7"/>
  <c r="O28" i="7"/>
  <c r="N28" i="7"/>
  <c r="Q27" i="7"/>
  <c r="P27" i="7"/>
  <c r="O27" i="7"/>
  <c r="N27" i="7"/>
  <c r="Q26" i="7"/>
  <c r="P26" i="7"/>
  <c r="O26" i="7"/>
  <c r="N26" i="7"/>
  <c r="Q25" i="7"/>
  <c r="P25" i="7"/>
  <c r="O25" i="7"/>
  <c r="N25" i="7"/>
  <c r="Q24" i="7"/>
  <c r="P24" i="7"/>
  <c r="O24" i="7"/>
  <c r="N24" i="7"/>
  <c r="Q23" i="7"/>
  <c r="P23" i="7"/>
  <c r="O23" i="7"/>
  <c r="N23" i="7"/>
  <c r="Q22" i="7"/>
  <c r="P22" i="7"/>
  <c r="O22" i="7"/>
  <c r="N22" i="7"/>
  <c r="Q21" i="7"/>
  <c r="P21" i="7"/>
  <c r="O21" i="7"/>
  <c r="N21" i="7"/>
  <c r="Q20" i="7"/>
  <c r="P20" i="7"/>
  <c r="O20" i="7"/>
  <c r="N20" i="7"/>
  <c r="Q19" i="7"/>
  <c r="P19" i="7"/>
  <c r="O19" i="7"/>
  <c r="N19" i="7"/>
  <c r="Q18" i="7"/>
  <c r="P18" i="7"/>
  <c r="O18" i="7"/>
  <c r="N18" i="7"/>
  <c r="Q17" i="7"/>
  <c r="P17" i="7"/>
  <c r="O17" i="7"/>
  <c r="N17" i="7"/>
  <c r="Q16" i="7"/>
  <c r="P16" i="7"/>
  <c r="O16" i="7"/>
  <c r="R17" i="7" l="1"/>
  <c r="T17" i="7" s="1"/>
  <c r="R19" i="7"/>
  <c r="T19" i="7" s="1"/>
  <c r="R21" i="7"/>
  <c r="T21" i="7" s="1"/>
  <c r="R23" i="7"/>
  <c r="T23" i="7" s="1"/>
  <c r="R25" i="7"/>
  <c r="T25" i="7" s="1"/>
  <c r="R27" i="7"/>
  <c r="T27" i="7" s="1"/>
  <c r="R29" i="7"/>
  <c r="T29" i="7" s="1"/>
  <c r="R31" i="7"/>
  <c r="T31" i="7" s="1"/>
  <c r="R34" i="7"/>
  <c r="T34" i="7" s="1"/>
  <c r="R35" i="7"/>
  <c r="T35" i="7" s="1"/>
  <c r="R18" i="7"/>
  <c r="T18" i="7" s="1"/>
  <c r="R20" i="7"/>
  <c r="T20" i="7" s="1"/>
  <c r="R22" i="7"/>
  <c r="T22" i="7" s="1"/>
  <c r="R24" i="7"/>
  <c r="T24" i="7" s="1"/>
  <c r="R26" i="7"/>
  <c r="T26" i="7" s="1"/>
  <c r="R28" i="7"/>
  <c r="T28" i="7" s="1"/>
  <c r="R30" i="7"/>
  <c r="T30" i="7" s="1"/>
  <c r="R32" i="7"/>
  <c r="T32" i="7" s="1"/>
  <c r="R33" i="7"/>
  <c r="T33" i="7" s="1"/>
  <c r="R36" i="7"/>
  <c r="T36" i="7" s="1"/>
  <c r="Y42" i="2"/>
  <c r="Y41" i="2"/>
  <c r="Y40" i="2"/>
  <c r="Y39" i="2"/>
  <c r="Y38" i="2"/>
  <c r="Y37" i="2"/>
  <c r="Y36" i="2"/>
  <c r="Y34" i="2"/>
  <c r="Y33" i="2"/>
  <c r="Y32" i="2"/>
  <c r="Y31" i="2"/>
  <c r="AB43" i="15" l="1"/>
  <c r="AA43" i="15"/>
  <c r="AB42" i="15"/>
  <c r="AA42" i="15"/>
  <c r="AB41" i="15"/>
  <c r="AC41" i="15" s="1"/>
  <c r="AA41" i="15"/>
  <c r="AB40" i="15"/>
  <c r="AC40" i="15" s="1"/>
  <c r="AA40" i="15"/>
  <c r="AB39" i="15"/>
  <c r="AA39" i="15"/>
  <c r="AB38" i="15"/>
  <c r="AA38" i="15"/>
  <c r="AB37" i="15"/>
  <c r="AC37" i="15" s="1"/>
  <c r="AA37" i="15"/>
  <c r="AB36" i="15"/>
  <c r="AC36" i="15" s="1"/>
  <c r="AA36" i="15"/>
  <c r="AB35" i="15"/>
  <c r="AA35" i="15"/>
  <c r="AB34" i="15"/>
  <c r="AA34" i="15"/>
  <c r="AB33" i="15"/>
  <c r="AC33" i="15" s="1"/>
  <c r="AA33" i="15"/>
  <c r="AB32" i="15"/>
  <c r="AC32" i="15" s="1"/>
  <c r="AA32" i="15"/>
  <c r="AB31" i="15"/>
  <c r="AA31" i="15"/>
  <c r="AB30" i="15"/>
  <c r="AA30" i="15"/>
  <c r="AB29" i="15"/>
  <c r="AC29" i="15" s="1"/>
  <c r="AA29" i="15"/>
  <c r="AB43" i="10"/>
  <c r="AA43" i="10"/>
  <c r="AB42" i="10"/>
  <c r="AA42" i="10"/>
  <c r="AB41" i="10"/>
  <c r="AC41" i="10" s="1"/>
  <c r="AA41" i="10"/>
  <c r="AB40" i="10"/>
  <c r="AC40" i="10" s="1"/>
  <c r="AA40" i="10"/>
  <c r="AB39" i="10"/>
  <c r="AA39" i="10"/>
  <c r="AB38" i="10"/>
  <c r="AA38" i="10"/>
  <c r="AB37" i="10"/>
  <c r="AC37" i="10" s="1"/>
  <c r="AA37" i="10"/>
  <c r="AB36" i="10"/>
  <c r="AC36" i="10" s="1"/>
  <c r="AA36" i="10"/>
  <c r="AB35" i="10"/>
  <c r="AA35" i="10"/>
  <c r="AB34" i="10"/>
  <c r="AA34" i="10"/>
  <c r="AB33" i="10"/>
  <c r="AC33" i="10" s="1"/>
  <c r="AA33" i="10"/>
  <c r="AB32" i="10"/>
  <c r="AC32" i="10" s="1"/>
  <c r="AA32" i="10"/>
  <c r="AB31" i="10"/>
  <c r="AA31" i="10"/>
  <c r="AB30" i="10"/>
  <c r="AA30" i="10"/>
  <c r="AB29" i="10"/>
  <c r="AC29" i="10" s="1"/>
  <c r="AA29" i="10"/>
  <c r="AB43" i="9"/>
  <c r="AA43" i="9"/>
  <c r="AB42" i="9"/>
  <c r="AA42" i="9"/>
  <c r="AB41" i="9"/>
  <c r="AC41" i="9" s="1"/>
  <c r="AA41" i="9"/>
  <c r="AB40" i="9"/>
  <c r="AC40" i="9" s="1"/>
  <c r="AA40" i="9"/>
  <c r="AB39" i="9"/>
  <c r="AA39" i="9"/>
  <c r="AB38" i="9"/>
  <c r="AA38" i="9"/>
  <c r="AB37" i="9"/>
  <c r="AC37" i="9" s="1"/>
  <c r="AA37" i="9"/>
  <c r="AB36" i="9"/>
  <c r="AC36" i="9" s="1"/>
  <c r="AA36" i="9"/>
  <c r="AB35" i="9"/>
  <c r="AA35" i="9"/>
  <c r="AB34" i="9"/>
  <c r="AA34" i="9"/>
  <c r="AB33" i="9"/>
  <c r="AC33" i="9" s="1"/>
  <c r="AA33" i="9"/>
  <c r="AB32" i="9"/>
  <c r="AC32" i="9" s="1"/>
  <c r="AA32" i="9"/>
  <c r="AB31" i="9"/>
  <c r="AA31" i="9"/>
  <c r="AB30" i="9"/>
  <c r="AA30" i="9"/>
  <c r="AB29" i="9"/>
  <c r="AC29" i="9" s="1"/>
  <c r="AA29" i="9"/>
  <c r="AB43" i="4"/>
  <c r="AC43" i="4" s="1"/>
  <c r="AB42" i="4"/>
  <c r="AC42" i="4" s="1"/>
  <c r="AB41" i="4"/>
  <c r="AC41" i="4" s="1"/>
  <c r="AB40" i="4"/>
  <c r="AC40" i="4" s="1"/>
  <c r="AB39" i="4"/>
  <c r="AC39" i="4" s="1"/>
  <c r="AB38" i="4"/>
  <c r="AC38" i="4" s="1"/>
  <c r="AB37" i="4"/>
  <c r="AC37" i="4" s="1"/>
  <c r="AB36" i="4"/>
  <c r="AC36" i="4" s="1"/>
  <c r="AB35" i="4"/>
  <c r="AC35" i="4" s="1"/>
  <c r="AB34" i="4"/>
  <c r="AC34" i="4" s="1"/>
  <c r="AB33" i="4"/>
  <c r="AC33" i="4" s="1"/>
  <c r="AB32" i="4"/>
  <c r="AC32" i="4" s="1"/>
  <c r="AB31" i="4"/>
  <c r="AC31" i="4" s="1"/>
  <c r="AB30" i="4"/>
  <c r="AC30" i="4" s="1"/>
  <c r="AB29" i="4"/>
  <c r="AC29" i="4" s="1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C43" i="10" l="1"/>
  <c r="AC42" i="15"/>
  <c r="AC35" i="15"/>
  <c r="AC30" i="15"/>
  <c r="AC39" i="15"/>
  <c r="AC34" i="15"/>
  <c r="AC43" i="15"/>
  <c r="AC31" i="15"/>
  <c r="AC38" i="15"/>
  <c r="AC34" i="10"/>
  <c r="AC31" i="10"/>
  <c r="AC38" i="10"/>
  <c r="AC35" i="10"/>
  <c r="AC42" i="10"/>
  <c r="AC30" i="10"/>
  <c r="AC39" i="10"/>
  <c r="AC42" i="9"/>
  <c r="AC35" i="9"/>
  <c r="AC39" i="9"/>
  <c r="AC34" i="9"/>
  <c r="AC43" i="9"/>
  <c r="AC31" i="9"/>
  <c r="AC38" i="9"/>
  <c r="AC44" i="4"/>
  <c r="AC30" i="9"/>
  <c r="AV43" i="2"/>
  <c r="AV42" i="2"/>
  <c r="AV41" i="2"/>
  <c r="AV40" i="2"/>
  <c r="AV38" i="2"/>
  <c r="AV37" i="2"/>
  <c r="AV36" i="2"/>
  <c r="AV35" i="2"/>
  <c r="AV34" i="2"/>
  <c r="AV33" i="2"/>
  <c r="AV32" i="2"/>
  <c r="AV30" i="2"/>
  <c r="AC44" i="15" l="1"/>
  <c r="AC44" i="10"/>
  <c r="AC44" i="9"/>
  <c r="B29" i="14"/>
  <c r="G29" i="14"/>
  <c r="D30" i="14" l="1"/>
  <c r="I30" i="14"/>
  <c r="X43" i="15" l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Z32" i="15" s="1"/>
  <c r="X31" i="15"/>
  <c r="Z31" i="15" s="1"/>
  <c r="X30" i="15"/>
  <c r="Z30" i="15" s="1"/>
  <c r="X29" i="15"/>
  <c r="Z29" i="15" s="1"/>
  <c r="X43" i="10"/>
  <c r="Z43" i="10" s="1"/>
  <c r="X42" i="10"/>
  <c r="Z42" i="10" s="1"/>
  <c r="X41" i="10"/>
  <c r="X40" i="10"/>
  <c r="Z40" i="10" s="1"/>
  <c r="X39" i="10"/>
  <c r="Z39" i="10" s="1"/>
  <c r="X38" i="10"/>
  <c r="Z38" i="10" s="1"/>
  <c r="X37" i="10"/>
  <c r="Z37" i="10" s="1"/>
  <c r="X36" i="10"/>
  <c r="Z36" i="10" s="1"/>
  <c r="X35" i="10"/>
  <c r="Z35" i="10" s="1"/>
  <c r="X34" i="10"/>
  <c r="Z34" i="10" s="1"/>
  <c r="X33" i="10"/>
  <c r="Z33" i="10" s="1"/>
  <c r="X32" i="10"/>
  <c r="Z32" i="10" s="1"/>
  <c r="X31" i="10"/>
  <c r="Z31" i="10" s="1"/>
  <c r="X30" i="10"/>
  <c r="Z30" i="10" s="1"/>
  <c r="X29" i="10"/>
  <c r="Z29" i="10" s="1"/>
  <c r="X43" i="9"/>
  <c r="Z43" i="9" s="1"/>
  <c r="X42" i="9"/>
  <c r="Z42" i="9" s="1"/>
  <c r="X41" i="9"/>
  <c r="Z41" i="9" s="1"/>
  <c r="X40" i="9"/>
  <c r="Z40" i="9" s="1"/>
  <c r="X39" i="9"/>
  <c r="Z39" i="9" s="1"/>
  <c r="X38" i="9"/>
  <c r="Z38" i="9" s="1"/>
  <c r="X37" i="9"/>
  <c r="Z37" i="9" s="1"/>
  <c r="X36" i="9"/>
  <c r="X35" i="9"/>
  <c r="Z35" i="9" s="1"/>
  <c r="X34" i="9"/>
  <c r="Z34" i="9" s="1"/>
  <c r="X33" i="9"/>
  <c r="Z33" i="9" s="1"/>
  <c r="X32" i="9"/>
  <c r="Z32" i="9" s="1"/>
  <c r="X31" i="9"/>
  <c r="Z31" i="9" s="1"/>
  <c r="X30" i="9"/>
  <c r="Z30" i="9" s="1"/>
  <c r="X29" i="9"/>
  <c r="Z29" i="9" s="1"/>
  <c r="Z43" i="15" l="1"/>
  <c r="Y22" i="6"/>
  <c r="Z22" i="6" s="1"/>
  <c r="AB22" i="6" s="1"/>
  <c r="Z41" i="10"/>
  <c r="X20" i="6"/>
  <c r="Z20" i="6" s="1"/>
  <c r="AB20" i="6" s="1"/>
  <c r="Z36" i="9"/>
  <c r="FE53" i="2"/>
  <c r="W21" i="6"/>
  <c r="Z21" i="6" s="1"/>
  <c r="AB21" i="6" s="1"/>
  <c r="X44" i="10"/>
  <c r="Z44" i="10" s="1"/>
  <c r="Y53" i="2" l="1"/>
  <c r="AR53" i="2" s="1"/>
  <c r="BL53" i="2"/>
  <c r="FG53" i="2"/>
  <c r="AA53" i="2"/>
  <c r="BI53" i="2" s="1"/>
  <c r="J29" i="9"/>
  <c r="AY53" i="2" l="1"/>
  <c r="AZ53" i="2" s="1"/>
  <c r="AU53" i="2"/>
  <c r="BA53" i="2" s="1"/>
  <c r="EF53" i="2"/>
  <c r="EC53" i="2" s="1"/>
  <c r="BK53" i="2"/>
  <c r="BD53" i="2"/>
  <c r="AW53" i="2"/>
  <c r="AX53" i="2" s="1"/>
  <c r="CZ53" i="2"/>
  <c r="BE53" i="2"/>
  <c r="CY53" i="2"/>
  <c r="BJ53" i="2"/>
  <c r="K29" i="9"/>
  <c r="L29" i="9"/>
  <c r="E29" i="9"/>
  <c r="I29" i="9"/>
  <c r="F29" i="9"/>
  <c r="B10" i="8"/>
  <c r="X43" i="4" l="1"/>
  <c r="Z43" i="4" s="1"/>
  <c r="X42" i="4"/>
  <c r="Z42" i="4" s="1"/>
  <c r="X41" i="4"/>
  <c r="Z41" i="4" s="1"/>
  <c r="X40" i="4"/>
  <c r="Z40" i="4" s="1"/>
  <c r="X39" i="4"/>
  <c r="Z39" i="4" s="1"/>
  <c r="X38" i="4"/>
  <c r="Z38" i="4" s="1"/>
  <c r="X37" i="4"/>
  <c r="Z37" i="4" s="1"/>
  <c r="X36" i="4"/>
  <c r="Z36" i="4" s="1"/>
  <c r="X35" i="4"/>
  <c r="Z35" i="4" s="1"/>
  <c r="X34" i="4"/>
  <c r="Z34" i="4" s="1"/>
  <c r="X33" i="4"/>
  <c r="Z33" i="4" s="1"/>
  <c r="X32" i="4"/>
  <c r="Z32" i="4" s="1"/>
  <c r="X31" i="4"/>
  <c r="Z31" i="4" s="1"/>
  <c r="X30" i="4"/>
  <c r="Z30" i="4" s="1"/>
  <c r="X29" i="4"/>
  <c r="V19" i="6" l="1"/>
  <c r="FA29" i="2"/>
  <c r="N16" i="7"/>
  <c r="R16" i="7" s="1"/>
  <c r="T16" i="7" s="1"/>
  <c r="FE52" i="2"/>
  <c r="FE49" i="2"/>
  <c r="FE44" i="2"/>
  <c r="FE48" i="2"/>
  <c r="FE47" i="2"/>
  <c r="FE46" i="2"/>
  <c r="FE45" i="2"/>
  <c r="FE51" i="2"/>
  <c r="FE50" i="2"/>
  <c r="FE37" i="2"/>
  <c r="FE32" i="2"/>
  <c r="FE43" i="2"/>
  <c r="FE36" i="2"/>
  <c r="FE34" i="2"/>
  <c r="FE38" i="2"/>
  <c r="FE35" i="2"/>
  <c r="FE33" i="2"/>
  <c r="FE31" i="2"/>
  <c r="Z29" i="4"/>
  <c r="FE41" i="2"/>
  <c r="X44" i="15"/>
  <c r="X44" i="4"/>
  <c r="X44" i="9"/>
  <c r="B2" i="14"/>
  <c r="BL46" i="2" l="1"/>
  <c r="Y46" i="2"/>
  <c r="AR46" i="2" s="1"/>
  <c r="FG46" i="2"/>
  <c r="Y50" i="2"/>
  <c r="AR50" i="2" s="1"/>
  <c r="BL50" i="2"/>
  <c r="FG50" i="2"/>
  <c r="BL47" i="2"/>
  <c r="Y47" i="2"/>
  <c r="AR47" i="2" s="1"/>
  <c r="FG47" i="2"/>
  <c r="FG49" i="2"/>
  <c r="Y49" i="2"/>
  <c r="AR49" i="2" s="1"/>
  <c r="BL49" i="2"/>
  <c r="BL51" i="2"/>
  <c r="Y51" i="2"/>
  <c r="FG51" i="2"/>
  <c r="Y48" i="2"/>
  <c r="AR48" i="2" s="1"/>
  <c r="FG48" i="2"/>
  <c r="BL48" i="2"/>
  <c r="Y52" i="2"/>
  <c r="AR52" i="2" s="1"/>
  <c r="FG52" i="2"/>
  <c r="BL52" i="2"/>
  <c r="Y45" i="2"/>
  <c r="AR45" i="2" s="1"/>
  <c r="FG45" i="2"/>
  <c r="BL45" i="2"/>
  <c r="FG44" i="2"/>
  <c r="BL44" i="2"/>
  <c r="Y44" i="2"/>
  <c r="AR44" i="2" s="1"/>
  <c r="FE40" i="2"/>
  <c r="FG40" i="2" s="1"/>
  <c r="FE39" i="2"/>
  <c r="AA39" i="2" s="1"/>
  <c r="BI39" i="2" s="1"/>
  <c r="FG43" i="2"/>
  <c r="BL43" i="2"/>
  <c r="BL33" i="2"/>
  <c r="FG33" i="2"/>
  <c r="BL34" i="2"/>
  <c r="FG34" i="2"/>
  <c r="FG32" i="2"/>
  <c r="BL32" i="2"/>
  <c r="BL31" i="2"/>
  <c r="FG31" i="2"/>
  <c r="BL35" i="2"/>
  <c r="FG35" i="2"/>
  <c r="FG36" i="2"/>
  <c r="BL36" i="2"/>
  <c r="FG37" i="2"/>
  <c r="BL37" i="2"/>
  <c r="FE42" i="2"/>
  <c r="AA42" i="2" s="1"/>
  <c r="BL38" i="2"/>
  <c r="FG38" i="2"/>
  <c r="BL41" i="2"/>
  <c r="AA41" i="2"/>
  <c r="AA40" i="2"/>
  <c r="BI40" i="2" s="1"/>
  <c r="BL40" i="2"/>
  <c r="FE30" i="2"/>
  <c r="FG41" i="2"/>
  <c r="Z19" i="6"/>
  <c r="AB19" i="6" s="1"/>
  <c r="FE29" i="2"/>
  <c r="G4" i="14"/>
  <c r="AA44" i="2" l="1"/>
  <c r="BI44" i="2" s="1"/>
  <c r="BK44" i="2" s="1"/>
  <c r="AA49" i="2"/>
  <c r="BI49" i="2" s="1"/>
  <c r="AY49" i="2" s="1"/>
  <c r="AZ49" i="2" s="1"/>
  <c r="AA47" i="2"/>
  <c r="BI47" i="2" s="1"/>
  <c r="CY47" i="2" s="1"/>
  <c r="AA50" i="2"/>
  <c r="BI50" i="2" s="1"/>
  <c r="AW50" i="2" s="1"/>
  <c r="AX50" i="2" s="1"/>
  <c r="AA46" i="2"/>
  <c r="BI46" i="2" s="1"/>
  <c r="BJ46" i="2" s="1"/>
  <c r="AA52" i="2"/>
  <c r="BI52" i="2" s="1"/>
  <c r="BJ52" i="2" s="1"/>
  <c r="AA48" i="2"/>
  <c r="BI48" i="2" s="1"/>
  <c r="BJ48" i="2" s="1"/>
  <c r="AA45" i="2"/>
  <c r="BI45" i="2" s="1"/>
  <c r="CY45" i="2" s="1"/>
  <c r="AA51" i="2"/>
  <c r="BI51" i="2" s="1"/>
  <c r="AR51" i="2"/>
  <c r="FG39" i="2"/>
  <c r="BL39" i="2"/>
  <c r="BL42" i="2"/>
  <c r="FG42" i="2"/>
  <c r="AA37" i="2"/>
  <c r="BI37" i="2" s="1"/>
  <c r="AR37" i="2"/>
  <c r="AA34" i="2"/>
  <c r="BI34" i="2" s="1"/>
  <c r="AR34" i="2"/>
  <c r="AA38" i="2"/>
  <c r="BI38" i="2" s="1"/>
  <c r="AR38" i="2"/>
  <c r="AA36" i="2"/>
  <c r="BI36" i="2" s="1"/>
  <c r="AR36" i="2"/>
  <c r="AA31" i="2"/>
  <c r="BI31" i="2" s="1"/>
  <c r="AR31" i="2"/>
  <c r="AA32" i="2"/>
  <c r="BI32" i="2" s="1"/>
  <c r="AR32" i="2"/>
  <c r="AA33" i="2"/>
  <c r="BI33" i="2" s="1"/>
  <c r="AR33" i="2"/>
  <c r="BL30" i="2"/>
  <c r="BL29" i="2"/>
  <c r="FG30" i="2"/>
  <c r="EF39" i="2"/>
  <c r="AU39" i="2"/>
  <c r="BE39" i="2"/>
  <c r="EF40" i="2"/>
  <c r="AU40" i="2"/>
  <c r="BE40" i="2"/>
  <c r="BD39" i="2"/>
  <c r="AR42" i="2"/>
  <c r="BD40" i="2"/>
  <c r="AR39" i="2"/>
  <c r="AR41" i="2"/>
  <c r="AR40" i="2"/>
  <c r="BI42" i="2"/>
  <c r="BI41" i="2"/>
  <c r="FG29" i="2"/>
  <c r="G35" i="14"/>
  <c r="B35" i="14"/>
  <c r="AU46" i="2" l="1"/>
  <c r="BA46" i="2" s="1"/>
  <c r="EF50" i="2"/>
  <c r="EB50" i="2" s="1"/>
  <c r="AW46" i="2"/>
  <c r="AX46" i="2" s="1"/>
  <c r="CY44" i="2"/>
  <c r="CZ44" i="2"/>
  <c r="CZ49" i="2"/>
  <c r="CZ48" i="2"/>
  <c r="AW48" i="2"/>
  <c r="AX48" i="2" s="1"/>
  <c r="BE47" i="2"/>
  <c r="AY48" i="2"/>
  <c r="AZ48" i="2" s="1"/>
  <c r="BJ47" i="2"/>
  <c r="BK48" i="2"/>
  <c r="AY47" i="2"/>
  <c r="AZ47" i="2" s="1"/>
  <c r="AU48" i="2"/>
  <c r="BA48" i="2" s="1"/>
  <c r="BD47" i="2"/>
  <c r="EF47" i="2"/>
  <c r="EB47" i="2" s="1"/>
  <c r="BE48" i="2"/>
  <c r="BD48" i="2"/>
  <c r="CY48" i="2"/>
  <c r="BK46" i="2"/>
  <c r="BK47" i="2"/>
  <c r="AU47" i="2"/>
  <c r="BA47" i="2" s="1"/>
  <c r="CZ47" i="2"/>
  <c r="EF48" i="2"/>
  <c r="EB48" i="2" s="1"/>
  <c r="AW47" i="2"/>
  <c r="AX47" i="2" s="1"/>
  <c r="EF49" i="2"/>
  <c r="AW49" i="2"/>
  <c r="AX49" i="2" s="1"/>
  <c r="BK50" i="2"/>
  <c r="BE49" i="2"/>
  <c r="AU50" i="2"/>
  <c r="BA50" i="2" s="1"/>
  <c r="BD49" i="2"/>
  <c r="CY52" i="2"/>
  <c r="EF46" i="2"/>
  <c r="EB46" i="2" s="1"/>
  <c r="BE44" i="2"/>
  <c r="BD44" i="2"/>
  <c r="CY46" i="2"/>
  <c r="AY46" i="2"/>
  <c r="AZ46" i="2" s="1"/>
  <c r="BD50" i="2"/>
  <c r="BD46" i="2"/>
  <c r="AY44" i="2"/>
  <c r="AZ44" i="2" s="1"/>
  <c r="CZ46" i="2"/>
  <c r="BE46" i="2"/>
  <c r="AY50" i="2"/>
  <c r="AZ50" i="2" s="1"/>
  <c r="BJ45" i="2"/>
  <c r="BJ44" i="2"/>
  <c r="EF44" i="2"/>
  <c r="EB44" i="2" s="1"/>
  <c r="AW44" i="2"/>
  <c r="AX44" i="2" s="1"/>
  <c r="BJ50" i="2"/>
  <c r="CZ50" i="2"/>
  <c r="BE50" i="2"/>
  <c r="BJ49" i="2"/>
  <c r="AU49" i="2"/>
  <c r="BA49" i="2" s="1"/>
  <c r="BK49" i="2"/>
  <c r="AW52" i="2"/>
  <c r="AX52" i="2" s="1"/>
  <c r="AU44" i="2"/>
  <c r="BA44" i="2" s="1"/>
  <c r="CY50" i="2"/>
  <c r="CY49" i="2"/>
  <c r="AW45" i="2"/>
  <c r="AX45" i="2" s="1"/>
  <c r="AY52" i="2"/>
  <c r="AZ52" i="2" s="1"/>
  <c r="AU45" i="2"/>
  <c r="BA45" i="2" s="1"/>
  <c r="CZ52" i="2"/>
  <c r="BE45" i="2"/>
  <c r="BK52" i="2"/>
  <c r="AU52" i="2"/>
  <c r="BA52" i="2" s="1"/>
  <c r="AY45" i="2"/>
  <c r="AZ45" i="2" s="1"/>
  <c r="EF52" i="2"/>
  <c r="EB52" i="2" s="1"/>
  <c r="BE52" i="2"/>
  <c r="BD52" i="2"/>
  <c r="BK45" i="2"/>
  <c r="BD45" i="2"/>
  <c r="EF45" i="2"/>
  <c r="EB45" i="2" s="1"/>
  <c r="CZ45" i="2"/>
  <c r="AU51" i="2"/>
  <c r="BA51" i="2" s="1"/>
  <c r="AW51" i="2"/>
  <c r="AX51" i="2" s="1"/>
  <c r="CY51" i="2"/>
  <c r="CZ51" i="2"/>
  <c r="BE51" i="2"/>
  <c r="BD51" i="2"/>
  <c r="BK51" i="2"/>
  <c r="EF51" i="2"/>
  <c r="AY51" i="2"/>
  <c r="AZ51" i="2" s="1"/>
  <c r="BJ51" i="2"/>
  <c r="BE33" i="2"/>
  <c r="BD33" i="2"/>
  <c r="EF33" i="2"/>
  <c r="AU33" i="2"/>
  <c r="AU32" i="2"/>
  <c r="BE32" i="2"/>
  <c r="BD32" i="2"/>
  <c r="EF32" i="2"/>
  <c r="AU38" i="2"/>
  <c r="BE38" i="2"/>
  <c r="BD38" i="2"/>
  <c r="EF38" i="2"/>
  <c r="BE31" i="2"/>
  <c r="AU31" i="2"/>
  <c r="EF31" i="2"/>
  <c r="BD31" i="2"/>
  <c r="EF36" i="2"/>
  <c r="BE36" i="2"/>
  <c r="BD36" i="2"/>
  <c r="AU36" i="2"/>
  <c r="EF34" i="2"/>
  <c r="BD34" i="2"/>
  <c r="BE34" i="2"/>
  <c r="AU34" i="2"/>
  <c r="AU37" i="2"/>
  <c r="BE37" i="2"/>
  <c r="EF37" i="2"/>
  <c r="BD37" i="2"/>
  <c r="AU41" i="2"/>
  <c r="EF41" i="2"/>
  <c r="BE41" i="2"/>
  <c r="EF42" i="2"/>
  <c r="AU42" i="2"/>
  <c r="BE42" i="2"/>
  <c r="BD41" i="2"/>
  <c r="BD42" i="2"/>
  <c r="DM43" i="2"/>
  <c r="DM42" i="2"/>
  <c r="DM41" i="2"/>
  <c r="DM40" i="2"/>
  <c r="DM39" i="2"/>
  <c r="DM38" i="2"/>
  <c r="DM37" i="2"/>
  <c r="DM36" i="2"/>
  <c r="DM35" i="2"/>
  <c r="DM34" i="2"/>
  <c r="DM33" i="2"/>
  <c r="DM32" i="2"/>
  <c r="DM31" i="2"/>
  <c r="DM30" i="2"/>
  <c r="DM29" i="2"/>
  <c r="EB51" i="2" l="1"/>
  <c r="ED51" i="2"/>
  <c r="EB49" i="2"/>
  <c r="EE49" i="2"/>
  <c r="DL43" i="2"/>
  <c r="DL42" i="2"/>
  <c r="DL41" i="2"/>
  <c r="DL40" i="2"/>
  <c r="DL39" i="2"/>
  <c r="DL38" i="2"/>
  <c r="DL37" i="2"/>
  <c r="DL36" i="2"/>
  <c r="DL35" i="2"/>
  <c r="DL34" i="2"/>
  <c r="DL33" i="2"/>
  <c r="DL32" i="2"/>
  <c r="DL31" i="2"/>
  <c r="DL30" i="2"/>
  <c r="DL29" i="2"/>
  <c r="EA43" i="2" l="1"/>
  <c r="EA42" i="2"/>
  <c r="EA41" i="2"/>
  <c r="EA40" i="2"/>
  <c r="ED40" i="2" s="1"/>
  <c r="EA39" i="2"/>
  <c r="EB39" i="2" s="1"/>
  <c r="EA38" i="2"/>
  <c r="ED38" i="2" s="1"/>
  <c r="EA37" i="2"/>
  <c r="EA36" i="2"/>
  <c r="ED36" i="2" s="1"/>
  <c r="EA35" i="2"/>
  <c r="EA34" i="2"/>
  <c r="ED34" i="2" s="1"/>
  <c r="EA33" i="2"/>
  <c r="EA32" i="2"/>
  <c r="ED32" i="2" s="1"/>
  <c r="EA31" i="2"/>
  <c r="EA30" i="2"/>
  <c r="ED30" i="2" s="1"/>
  <c r="EA29" i="2"/>
  <c r="ED33" i="2" l="1"/>
  <c r="ED41" i="2"/>
  <c r="EE30" i="2"/>
  <c r="EE34" i="2"/>
  <c r="EE36" i="2"/>
  <c r="EE38" i="2"/>
  <c r="EE42" i="2"/>
  <c r="EC43" i="2"/>
  <c r="EB30" i="2"/>
  <c r="EB32" i="2"/>
  <c r="EB34" i="2"/>
  <c r="EB36" i="2"/>
  <c r="EB38" i="2"/>
  <c r="EB40" i="2"/>
  <c r="EB42" i="2"/>
  <c r="ED43" i="2"/>
  <c r="EE31" i="2"/>
  <c r="EE33" i="2"/>
  <c r="EE35" i="2"/>
  <c r="EC36" i="2"/>
  <c r="EE37" i="2"/>
  <c r="EC38" i="2"/>
  <c r="EE39" i="2"/>
  <c r="EE41" i="2"/>
  <c r="EE43" i="2"/>
  <c r="G33" i="14" l="1"/>
  <c r="G31" i="14"/>
  <c r="G28" i="14"/>
  <c r="B33" i="14"/>
  <c r="B31" i="14"/>
  <c r="B28" i="14"/>
  <c r="G26" i="14"/>
  <c r="B26" i="14"/>
  <c r="AL43" i="2" l="1"/>
  <c r="AK43" i="2"/>
  <c r="AL42" i="2"/>
  <c r="AY42" i="2" s="1"/>
  <c r="AK42" i="2"/>
  <c r="AW42" i="2" s="1"/>
  <c r="AL41" i="2"/>
  <c r="AY41" i="2" s="1"/>
  <c r="AK41" i="2"/>
  <c r="AW41" i="2" s="1"/>
  <c r="AL40" i="2"/>
  <c r="AY40" i="2" s="1"/>
  <c r="AK40" i="2"/>
  <c r="AW40" i="2" s="1"/>
  <c r="AL39" i="2"/>
  <c r="AY39" i="2" s="1"/>
  <c r="AK39" i="2"/>
  <c r="AW39" i="2" s="1"/>
  <c r="AL38" i="2"/>
  <c r="AY38" i="2" s="1"/>
  <c r="AK38" i="2"/>
  <c r="AW38" i="2" s="1"/>
  <c r="AL37" i="2"/>
  <c r="AY37" i="2" s="1"/>
  <c r="AK37" i="2"/>
  <c r="AW37" i="2" s="1"/>
  <c r="AL36" i="2"/>
  <c r="AY36" i="2" s="1"/>
  <c r="AK36" i="2"/>
  <c r="AW36" i="2" s="1"/>
  <c r="AL35" i="2"/>
  <c r="AK35" i="2"/>
  <c r="AL34" i="2"/>
  <c r="AY34" i="2" s="1"/>
  <c r="AK34" i="2"/>
  <c r="AW34" i="2" s="1"/>
  <c r="AL33" i="2"/>
  <c r="AY33" i="2" s="1"/>
  <c r="AK33" i="2"/>
  <c r="AW33" i="2" s="1"/>
  <c r="AL32" i="2"/>
  <c r="AY32" i="2" s="1"/>
  <c r="AK32" i="2"/>
  <c r="AW32" i="2" s="1"/>
  <c r="AL31" i="2"/>
  <c r="AY31" i="2" s="1"/>
  <c r="AK31" i="2"/>
  <c r="AW31" i="2" s="1"/>
  <c r="AL30" i="2"/>
  <c r="AK30" i="2"/>
  <c r="AL29" i="2"/>
  <c r="DI43" i="2" l="1"/>
  <c r="DG43" i="2"/>
  <c r="DI42" i="2"/>
  <c r="DG42" i="2"/>
  <c r="DI41" i="2"/>
  <c r="DG41" i="2"/>
  <c r="DI40" i="2"/>
  <c r="DG40" i="2"/>
  <c r="DI39" i="2"/>
  <c r="DG39" i="2"/>
  <c r="DI38" i="2"/>
  <c r="DG38" i="2"/>
  <c r="DI37" i="2"/>
  <c r="DG37" i="2"/>
  <c r="DI36" i="2"/>
  <c r="DG36" i="2"/>
  <c r="DI35" i="2"/>
  <c r="DG35" i="2"/>
  <c r="DI34" i="2"/>
  <c r="DG34" i="2"/>
  <c r="DI33" i="2"/>
  <c r="DG33" i="2"/>
  <c r="DI32" i="2"/>
  <c r="DG32" i="2"/>
  <c r="DI31" i="2"/>
  <c r="DG31" i="2"/>
  <c r="DI30" i="2"/>
  <c r="DG30" i="2"/>
  <c r="DG29" i="2" l="1"/>
  <c r="DI29" i="2"/>
  <c r="DF43" i="2" l="1"/>
  <c r="DD43" i="2"/>
  <c r="DC43" i="2"/>
  <c r="DN43" i="2" s="1"/>
  <c r="DB43" i="2"/>
  <c r="DF42" i="2"/>
  <c r="DD42" i="2"/>
  <c r="DC42" i="2"/>
  <c r="DN42" i="2" s="1"/>
  <c r="DB42" i="2"/>
  <c r="DF41" i="2"/>
  <c r="DD41" i="2"/>
  <c r="DC41" i="2"/>
  <c r="DN41" i="2" s="1"/>
  <c r="DB41" i="2"/>
  <c r="DF40" i="2"/>
  <c r="DD40" i="2"/>
  <c r="DC40" i="2"/>
  <c r="DN40" i="2" s="1"/>
  <c r="DB40" i="2"/>
  <c r="DF39" i="2"/>
  <c r="DD39" i="2"/>
  <c r="DC39" i="2"/>
  <c r="DN39" i="2" s="1"/>
  <c r="DB39" i="2"/>
  <c r="DF38" i="2"/>
  <c r="DD38" i="2"/>
  <c r="DC38" i="2"/>
  <c r="DN38" i="2" s="1"/>
  <c r="DB38" i="2"/>
  <c r="DF37" i="2"/>
  <c r="DD37" i="2"/>
  <c r="DC37" i="2"/>
  <c r="DN37" i="2" s="1"/>
  <c r="DB37" i="2"/>
  <c r="DF36" i="2"/>
  <c r="DD36" i="2"/>
  <c r="DC36" i="2"/>
  <c r="DN36" i="2" s="1"/>
  <c r="DB36" i="2"/>
  <c r="DF35" i="2"/>
  <c r="DD35" i="2"/>
  <c r="DC35" i="2"/>
  <c r="DN35" i="2" s="1"/>
  <c r="DB35" i="2"/>
  <c r="DF34" i="2"/>
  <c r="DD34" i="2"/>
  <c r="DC34" i="2"/>
  <c r="DN34" i="2" s="1"/>
  <c r="DB34" i="2"/>
  <c r="DF33" i="2"/>
  <c r="DD33" i="2"/>
  <c r="DC33" i="2"/>
  <c r="DN33" i="2" s="1"/>
  <c r="DB33" i="2"/>
  <c r="DF32" i="2"/>
  <c r="DD32" i="2"/>
  <c r="DC32" i="2"/>
  <c r="DN32" i="2" s="1"/>
  <c r="DB32" i="2"/>
  <c r="DF31" i="2"/>
  <c r="DD31" i="2"/>
  <c r="DC31" i="2"/>
  <c r="DN31" i="2" s="1"/>
  <c r="DB31" i="2"/>
  <c r="DF30" i="2"/>
  <c r="DD30" i="2"/>
  <c r="DC30" i="2"/>
  <c r="DN30" i="2" s="1"/>
  <c r="DB30" i="2"/>
  <c r="DF29" i="2"/>
  <c r="DD29" i="2"/>
  <c r="DC29" i="2"/>
  <c r="CZ32" i="2" l="1"/>
  <c r="BK32" i="2"/>
  <c r="BK34" i="2"/>
  <c r="CZ34" i="2"/>
  <c r="CZ36" i="2"/>
  <c r="BK36" i="2"/>
  <c r="CZ37" i="2"/>
  <c r="BK37" i="2"/>
  <c r="CZ38" i="2"/>
  <c r="BK38" i="2"/>
  <c r="CZ40" i="2"/>
  <c r="BK40" i="2"/>
  <c r="CZ41" i="2"/>
  <c r="BK41" i="2"/>
  <c r="BK42" i="2"/>
  <c r="CZ42" i="2"/>
  <c r="CZ33" i="2"/>
  <c r="BK33" i="2"/>
  <c r="DJ29" i="2"/>
  <c r="DN29" i="2"/>
  <c r="DN59" i="2" s="1"/>
  <c r="BK39" i="2"/>
  <c r="CZ39" i="2"/>
  <c r="CZ31" i="2"/>
  <c r="BK31" i="2"/>
  <c r="DE41" i="2"/>
  <c r="DE37" i="2"/>
  <c r="DE33" i="2"/>
  <c r="DJ30" i="2"/>
  <c r="DH30" i="2"/>
  <c r="DH32" i="2"/>
  <c r="DJ32" i="2"/>
  <c r="DJ34" i="2"/>
  <c r="DH34" i="2"/>
  <c r="DJ36" i="2"/>
  <c r="DH36" i="2"/>
  <c r="DJ38" i="2"/>
  <c r="DH38" i="2"/>
  <c r="DJ40" i="2"/>
  <c r="DH40" i="2"/>
  <c r="DH42" i="2"/>
  <c r="DJ42" i="2"/>
  <c r="DJ43" i="2"/>
  <c r="DH43" i="2"/>
  <c r="DE32" i="2"/>
  <c r="DE36" i="2"/>
  <c r="DE40" i="2"/>
  <c r="DE30" i="2"/>
  <c r="DE38" i="2"/>
  <c r="DE42" i="2"/>
  <c r="DH29" i="2"/>
  <c r="DH31" i="2"/>
  <c r="DJ31" i="2"/>
  <c r="DJ33" i="2"/>
  <c r="DH33" i="2"/>
  <c r="DJ35" i="2"/>
  <c r="DH35" i="2"/>
  <c r="DJ37" i="2"/>
  <c r="DH37" i="2"/>
  <c r="DH39" i="2"/>
  <c r="DJ39" i="2"/>
  <c r="DJ41" i="2"/>
  <c r="DH41" i="2"/>
  <c r="DE34" i="2"/>
  <c r="DE31" i="2"/>
  <c r="DE35" i="2"/>
  <c r="DE39" i="2"/>
  <c r="DE43" i="2"/>
  <c r="DE29" i="2"/>
  <c r="I35" i="14" l="1"/>
  <c r="D35" i="14"/>
  <c r="DJ59" i="2"/>
  <c r="DH59" i="2"/>
  <c r="DB29" i="2"/>
  <c r="AK29" i="2"/>
  <c r="AK59" i="2" l="1"/>
  <c r="I31" i="14"/>
  <c r="D31" i="14"/>
  <c r="D32" i="14"/>
  <c r="I32" i="14"/>
  <c r="DB59" i="2"/>
  <c r="BG43" i="2" l="1"/>
  <c r="BF43" i="2"/>
  <c r="BG42" i="2"/>
  <c r="BF42" i="2"/>
  <c r="BG41" i="2"/>
  <c r="BF41" i="2"/>
  <c r="BG40" i="2"/>
  <c r="BF40" i="2"/>
  <c r="BG39" i="2"/>
  <c r="BF39" i="2"/>
  <c r="BG38" i="2"/>
  <c r="BF38" i="2"/>
  <c r="BG37" i="2"/>
  <c r="BF37" i="2"/>
  <c r="BG36" i="2"/>
  <c r="BF36" i="2"/>
  <c r="BG35" i="2"/>
  <c r="BF35" i="2"/>
  <c r="BG34" i="2"/>
  <c r="BF34" i="2"/>
  <c r="BG33" i="2"/>
  <c r="BF33" i="2"/>
  <c r="BG32" i="2"/>
  <c r="BF32" i="2"/>
  <c r="BG31" i="2"/>
  <c r="BF31" i="2"/>
  <c r="BG30" i="2"/>
  <c r="BF30" i="2"/>
  <c r="BG29" i="2"/>
  <c r="BF29" i="2"/>
  <c r="B4" i="14" l="1"/>
  <c r="BC43" i="2" l="1"/>
  <c r="BC42" i="2"/>
  <c r="BC41" i="2"/>
  <c r="BC40" i="2"/>
  <c r="BC39" i="2"/>
  <c r="BC38" i="2"/>
  <c r="BC37" i="2"/>
  <c r="BC36" i="2"/>
  <c r="BC35" i="2"/>
  <c r="BC34" i="2"/>
  <c r="BC33" i="2"/>
  <c r="BC32" i="2"/>
  <c r="BC31" i="2"/>
  <c r="BC30" i="2"/>
  <c r="BC29" i="2"/>
  <c r="BB43" i="2"/>
  <c r="BB42" i="2"/>
  <c r="BB41" i="2"/>
  <c r="BB40" i="2"/>
  <c r="BB39" i="2"/>
  <c r="BB38" i="2"/>
  <c r="BB37" i="2"/>
  <c r="BB36" i="2"/>
  <c r="BB35" i="2"/>
  <c r="BB34" i="2"/>
  <c r="BB33" i="2"/>
  <c r="BB32" i="2"/>
  <c r="BB31" i="2"/>
  <c r="BB30" i="2"/>
  <c r="BB29" i="2"/>
  <c r="BC59" i="2" l="1"/>
  <c r="BB59" i="2"/>
  <c r="D38" i="14" l="1"/>
  <c r="D37" i="14"/>
  <c r="C55" i="6" l="1"/>
  <c r="C40" i="7" l="1"/>
  <c r="C51" i="15"/>
  <c r="C51" i="10"/>
  <c r="C51" i="9"/>
  <c r="C51" i="4"/>
  <c r="C66" i="2"/>
  <c r="W43" i="15" l="1"/>
  <c r="U43" i="15"/>
  <c r="T43" i="15"/>
  <c r="S43" i="15"/>
  <c r="W42" i="15"/>
  <c r="U42" i="15"/>
  <c r="T42" i="15"/>
  <c r="S42" i="15"/>
  <c r="W41" i="15"/>
  <c r="U41" i="15"/>
  <c r="T41" i="15"/>
  <c r="S41" i="15"/>
  <c r="W40" i="15"/>
  <c r="U40" i="15"/>
  <c r="T40" i="15"/>
  <c r="S40" i="15"/>
  <c r="W39" i="15"/>
  <c r="U39" i="15"/>
  <c r="T39" i="15"/>
  <c r="S39" i="15"/>
  <c r="W38" i="15"/>
  <c r="U38" i="15"/>
  <c r="T38" i="15"/>
  <c r="S38" i="15"/>
  <c r="W37" i="15"/>
  <c r="U37" i="15"/>
  <c r="T37" i="15"/>
  <c r="S37" i="15"/>
  <c r="W36" i="15"/>
  <c r="U36" i="15"/>
  <c r="T36" i="15"/>
  <c r="S36" i="15"/>
  <c r="W35" i="15"/>
  <c r="U35" i="15"/>
  <c r="T35" i="15"/>
  <c r="S35" i="15"/>
  <c r="W34" i="15"/>
  <c r="U34" i="15"/>
  <c r="T34" i="15"/>
  <c r="S34" i="15"/>
  <c r="W33" i="15"/>
  <c r="U33" i="15"/>
  <c r="T33" i="15"/>
  <c r="S33" i="15"/>
  <c r="W32" i="15"/>
  <c r="U32" i="15"/>
  <c r="T32" i="15"/>
  <c r="S32" i="15"/>
  <c r="W31" i="15"/>
  <c r="U31" i="15"/>
  <c r="T31" i="15"/>
  <c r="S31" i="15"/>
  <c r="W30" i="15"/>
  <c r="U30" i="15"/>
  <c r="T30" i="15"/>
  <c r="S30" i="15"/>
  <c r="W29" i="15"/>
  <c r="U29" i="15"/>
  <c r="T29" i="15"/>
  <c r="S29" i="15"/>
  <c r="W43" i="10"/>
  <c r="W42" i="10"/>
  <c r="W41" i="10"/>
  <c r="W40" i="10"/>
  <c r="W39" i="10"/>
  <c r="W38" i="10"/>
  <c r="W37" i="10"/>
  <c r="W36" i="10"/>
  <c r="W35" i="10"/>
  <c r="W34" i="10"/>
  <c r="W33" i="10"/>
  <c r="W32" i="10"/>
  <c r="W31" i="10"/>
  <c r="W30" i="10"/>
  <c r="W29" i="10"/>
  <c r="W43" i="9"/>
  <c r="W42" i="9"/>
  <c r="W41" i="9"/>
  <c r="W40" i="9"/>
  <c r="W39" i="9"/>
  <c r="W38" i="9"/>
  <c r="W37" i="9"/>
  <c r="W36" i="9"/>
  <c r="W35" i="9"/>
  <c r="W34" i="9"/>
  <c r="W33" i="9"/>
  <c r="W32" i="9"/>
  <c r="W31" i="9"/>
  <c r="W30" i="9"/>
  <c r="W29" i="9"/>
  <c r="W43" i="4"/>
  <c r="W42" i="4"/>
  <c r="W41" i="4"/>
  <c r="W40" i="4"/>
  <c r="W39" i="4"/>
  <c r="W38" i="4"/>
  <c r="W37" i="4"/>
  <c r="W36" i="4"/>
  <c r="W35" i="4"/>
  <c r="W34" i="4"/>
  <c r="W33" i="4"/>
  <c r="W32" i="4"/>
  <c r="W31" i="4"/>
  <c r="W30" i="4"/>
  <c r="W29" i="4"/>
  <c r="V36" i="15" l="1"/>
  <c r="V30" i="15"/>
  <c r="V31" i="15"/>
  <c r="V35" i="15"/>
  <c r="V39" i="15"/>
  <c r="V43" i="15"/>
  <c r="V38" i="15"/>
  <c r="V42" i="15"/>
  <c r="V32" i="15"/>
  <c r="V40" i="15"/>
  <c r="V34" i="15"/>
  <c r="V33" i="15"/>
  <c r="V37" i="15"/>
  <c r="V41" i="15"/>
  <c r="K29" i="15"/>
  <c r="I29" i="15"/>
  <c r="W44" i="15"/>
  <c r="H24" i="14" s="1"/>
  <c r="W44" i="4"/>
  <c r="H21" i="14" s="1"/>
  <c r="W44" i="10"/>
  <c r="H23" i="14" s="1"/>
  <c r="W44" i="9"/>
  <c r="H22" i="14" s="1"/>
  <c r="S44" i="15"/>
  <c r="D44" i="15"/>
  <c r="U44" i="15"/>
  <c r="T44" i="15"/>
  <c r="V29" i="15"/>
  <c r="L29" i="15"/>
  <c r="F29" i="15"/>
  <c r="J29" i="15"/>
  <c r="H44" i="15"/>
  <c r="E29" i="15"/>
  <c r="F44" i="15" l="1"/>
  <c r="I44" i="15"/>
  <c r="V44" i="15"/>
  <c r="G44" i="15" s="1"/>
  <c r="J44" i="15"/>
  <c r="E44" i="15"/>
  <c r="K44" i="15"/>
  <c r="L44" i="15"/>
  <c r="AT43" i="2" l="1"/>
  <c r="AT42" i="2"/>
  <c r="AT41" i="2"/>
  <c r="C41" i="16" s="1"/>
  <c r="AT40" i="2"/>
  <c r="AT39" i="2"/>
  <c r="AT38" i="2"/>
  <c r="AT37" i="2"/>
  <c r="C37" i="16" s="1"/>
  <c r="AT36" i="2"/>
  <c r="AT35" i="2"/>
  <c r="AT34" i="2"/>
  <c r="AT33" i="2"/>
  <c r="C33" i="16" s="1"/>
  <c r="AT32" i="2"/>
  <c r="AT31" i="2"/>
  <c r="AT30" i="2"/>
  <c r="AT29" i="2"/>
  <c r="C29" i="16" s="1"/>
  <c r="C43" i="12" l="1"/>
  <c r="C43" i="16"/>
  <c r="C43" i="13"/>
  <c r="C43" i="11"/>
  <c r="J33" i="16"/>
  <c r="F33" i="16"/>
  <c r="I33" i="16"/>
  <c r="E33" i="16"/>
  <c r="L33" i="16"/>
  <c r="D33" i="16"/>
  <c r="K33" i="16"/>
  <c r="H33" i="16"/>
  <c r="G33" i="16"/>
  <c r="J37" i="16"/>
  <c r="F37" i="16"/>
  <c r="I37" i="16"/>
  <c r="E37" i="16"/>
  <c r="H37" i="16"/>
  <c r="G37" i="16"/>
  <c r="L37" i="16"/>
  <c r="D37" i="16"/>
  <c r="K37" i="16"/>
  <c r="J41" i="16"/>
  <c r="F41" i="16"/>
  <c r="I41" i="16"/>
  <c r="E41" i="16"/>
  <c r="L41" i="16"/>
  <c r="D41" i="16"/>
  <c r="K41" i="16"/>
  <c r="H41" i="16"/>
  <c r="G41" i="16"/>
  <c r="D29" i="16"/>
  <c r="H29" i="16"/>
  <c r="G29" i="16"/>
  <c r="C31" i="13"/>
  <c r="C31" i="16"/>
  <c r="C32" i="12"/>
  <c r="C32" i="16"/>
  <c r="C36" i="12"/>
  <c r="C36" i="16"/>
  <c r="C40" i="12"/>
  <c r="C40" i="16"/>
  <c r="S29" i="16"/>
  <c r="K29" i="16"/>
  <c r="U29" i="16"/>
  <c r="T29" i="16"/>
  <c r="L29" i="16"/>
  <c r="T33" i="16"/>
  <c r="S33" i="16"/>
  <c r="U33" i="16"/>
  <c r="T37" i="16"/>
  <c r="U37" i="16"/>
  <c r="S37" i="16"/>
  <c r="T41" i="16"/>
  <c r="S41" i="16"/>
  <c r="U41" i="16"/>
  <c r="C30" i="13"/>
  <c r="C30" i="16"/>
  <c r="C34" i="13"/>
  <c r="C34" i="16"/>
  <c r="C38" i="13"/>
  <c r="C38" i="16"/>
  <c r="C42" i="13"/>
  <c r="C42" i="16"/>
  <c r="C35" i="13"/>
  <c r="C35" i="16"/>
  <c r="C39" i="13"/>
  <c r="C39" i="16"/>
  <c r="C40" i="11"/>
  <c r="C36" i="11"/>
  <c r="C33" i="11"/>
  <c r="C33" i="12"/>
  <c r="C41" i="11"/>
  <c r="C41" i="12"/>
  <c r="C30" i="11"/>
  <c r="C30" i="12"/>
  <c r="C38" i="11"/>
  <c r="C38" i="12"/>
  <c r="C42" i="11"/>
  <c r="C42" i="12"/>
  <c r="C35" i="11"/>
  <c r="C35" i="12"/>
  <c r="C39" i="11"/>
  <c r="C39" i="12"/>
  <c r="C32" i="13"/>
  <c r="C36" i="13"/>
  <c r="C40" i="13"/>
  <c r="C29" i="11"/>
  <c r="C29" i="13"/>
  <c r="C29" i="12"/>
  <c r="C37" i="11"/>
  <c r="C37" i="12"/>
  <c r="C34" i="11"/>
  <c r="C34" i="12"/>
  <c r="C31" i="11"/>
  <c r="C31" i="12"/>
  <c r="C32" i="11"/>
  <c r="C33" i="13"/>
  <c r="C37" i="13"/>
  <c r="C41" i="13"/>
  <c r="I43" i="11" l="1"/>
  <c r="S43" i="11"/>
  <c r="T43" i="11"/>
  <c r="F43" i="11"/>
  <c r="E43" i="11"/>
  <c r="J43" i="11"/>
  <c r="K43" i="11"/>
  <c r="U43" i="11"/>
  <c r="H43" i="11"/>
  <c r="G43" i="11"/>
  <c r="D43" i="11"/>
  <c r="L43" i="11"/>
  <c r="I43" i="13"/>
  <c r="S43" i="13"/>
  <c r="T43" i="13"/>
  <c r="F43" i="13"/>
  <c r="E43" i="13"/>
  <c r="J43" i="13"/>
  <c r="U43" i="13"/>
  <c r="D43" i="13"/>
  <c r="H43" i="13"/>
  <c r="G43" i="13"/>
  <c r="K43" i="13"/>
  <c r="L43" i="13"/>
  <c r="T43" i="16"/>
  <c r="F43" i="16"/>
  <c r="J43" i="16"/>
  <c r="I43" i="16"/>
  <c r="S43" i="16"/>
  <c r="E43" i="16"/>
  <c r="G43" i="16"/>
  <c r="K43" i="16"/>
  <c r="U43" i="16"/>
  <c r="D43" i="16"/>
  <c r="H43" i="16"/>
  <c r="L43" i="16"/>
  <c r="J43" i="12"/>
  <c r="T43" i="12"/>
  <c r="I43" i="12"/>
  <c r="F43" i="12"/>
  <c r="S43" i="12"/>
  <c r="E43" i="12"/>
  <c r="U43" i="12"/>
  <c r="D43" i="12"/>
  <c r="G43" i="12"/>
  <c r="K43" i="12"/>
  <c r="H43" i="12"/>
  <c r="L43" i="12"/>
  <c r="L37" i="12"/>
  <c r="H37" i="12"/>
  <c r="D37" i="12"/>
  <c r="K37" i="12"/>
  <c r="G37" i="12"/>
  <c r="J37" i="12"/>
  <c r="I37" i="12"/>
  <c r="F37" i="12"/>
  <c r="E37" i="12"/>
  <c r="H29" i="11"/>
  <c r="J29" i="11" s="1"/>
  <c r="G29" i="11"/>
  <c r="D29" i="11"/>
  <c r="F29" i="11" s="1"/>
  <c r="K38" i="12"/>
  <c r="G38" i="12"/>
  <c r="J38" i="12"/>
  <c r="F38" i="12"/>
  <c r="I38" i="12"/>
  <c r="H38" i="12"/>
  <c r="E38" i="12"/>
  <c r="L38" i="12"/>
  <c r="D38" i="12"/>
  <c r="L36" i="11"/>
  <c r="H36" i="11"/>
  <c r="D36" i="11"/>
  <c r="K36" i="11"/>
  <c r="G36" i="11"/>
  <c r="J36" i="11"/>
  <c r="F36" i="11"/>
  <c r="I36" i="11"/>
  <c r="E36" i="11"/>
  <c r="I42" i="16"/>
  <c r="E42" i="16"/>
  <c r="L42" i="16"/>
  <c r="H42" i="16"/>
  <c r="D42" i="16"/>
  <c r="K42" i="16"/>
  <c r="J42" i="16"/>
  <c r="G42" i="16"/>
  <c r="F42" i="16"/>
  <c r="K36" i="16"/>
  <c r="G36" i="16"/>
  <c r="J36" i="16"/>
  <c r="F36" i="16"/>
  <c r="I36" i="16"/>
  <c r="H36" i="16"/>
  <c r="E36" i="16"/>
  <c r="D36" i="16"/>
  <c r="L36" i="16"/>
  <c r="K37" i="11"/>
  <c r="G37" i="11"/>
  <c r="J37" i="11"/>
  <c r="F37" i="11"/>
  <c r="I37" i="11"/>
  <c r="D37" i="11"/>
  <c r="H37" i="11"/>
  <c r="E37" i="11"/>
  <c r="L37" i="11"/>
  <c r="I35" i="11"/>
  <c r="E35" i="11"/>
  <c r="L35" i="11"/>
  <c r="H35" i="11"/>
  <c r="D35" i="11"/>
  <c r="K35" i="11"/>
  <c r="F35" i="11"/>
  <c r="J35" i="11"/>
  <c r="G35" i="11"/>
  <c r="J38" i="11"/>
  <c r="F38" i="11"/>
  <c r="I38" i="11"/>
  <c r="E38" i="11"/>
  <c r="H38" i="11"/>
  <c r="D38" i="11"/>
  <c r="K38" i="11"/>
  <c r="G38" i="11"/>
  <c r="L38" i="11"/>
  <c r="K41" i="11"/>
  <c r="G41" i="11"/>
  <c r="J41" i="11"/>
  <c r="F41" i="11"/>
  <c r="E41" i="11"/>
  <c r="I41" i="11"/>
  <c r="H41" i="11"/>
  <c r="L41" i="11"/>
  <c r="D41" i="11"/>
  <c r="L40" i="11"/>
  <c r="H40" i="11"/>
  <c r="D40" i="11"/>
  <c r="K40" i="11"/>
  <c r="G40" i="11"/>
  <c r="F40" i="11"/>
  <c r="E40" i="11"/>
  <c r="J40" i="11"/>
  <c r="I40" i="11"/>
  <c r="I39" i="13"/>
  <c r="E39" i="13"/>
  <c r="L39" i="13"/>
  <c r="H39" i="13"/>
  <c r="D39" i="13"/>
  <c r="G39" i="13"/>
  <c r="F39" i="13"/>
  <c r="K39" i="13"/>
  <c r="J39" i="13"/>
  <c r="J42" i="13"/>
  <c r="F42" i="13"/>
  <c r="I42" i="13"/>
  <c r="E42" i="13"/>
  <c r="L42" i="13"/>
  <c r="D42" i="13"/>
  <c r="K42" i="13"/>
  <c r="H42" i="13"/>
  <c r="G42" i="13"/>
  <c r="J34" i="13"/>
  <c r="F34" i="13"/>
  <c r="I34" i="13"/>
  <c r="E34" i="13"/>
  <c r="L34" i="13"/>
  <c r="D34" i="13"/>
  <c r="K34" i="13"/>
  <c r="H34" i="13"/>
  <c r="G34" i="13"/>
  <c r="I36" i="12"/>
  <c r="E36" i="12"/>
  <c r="L36" i="12"/>
  <c r="H36" i="12"/>
  <c r="D36" i="12"/>
  <c r="K36" i="12"/>
  <c r="J36" i="12"/>
  <c r="G36" i="12"/>
  <c r="F36" i="12"/>
  <c r="I31" i="13"/>
  <c r="E31" i="13"/>
  <c r="L31" i="13"/>
  <c r="H31" i="13"/>
  <c r="D31" i="13"/>
  <c r="G31" i="13"/>
  <c r="F31" i="13"/>
  <c r="K31" i="13"/>
  <c r="J31" i="13"/>
  <c r="L31" i="12"/>
  <c r="H31" i="12"/>
  <c r="D31" i="12"/>
  <c r="K31" i="12"/>
  <c r="G31" i="12"/>
  <c r="F31" i="12"/>
  <c r="I31" i="12"/>
  <c r="E31" i="12"/>
  <c r="J31" i="12"/>
  <c r="L41" i="12"/>
  <c r="H41" i="12"/>
  <c r="D41" i="12"/>
  <c r="K41" i="12"/>
  <c r="G41" i="12"/>
  <c r="F41" i="12"/>
  <c r="E41" i="12"/>
  <c r="J41" i="12"/>
  <c r="I41" i="12"/>
  <c r="L39" i="16"/>
  <c r="H39" i="16"/>
  <c r="D39" i="16"/>
  <c r="K39" i="16"/>
  <c r="G39" i="16"/>
  <c r="F39" i="16"/>
  <c r="E39" i="16"/>
  <c r="J39" i="16"/>
  <c r="I39" i="16"/>
  <c r="I34" i="16"/>
  <c r="E34" i="16"/>
  <c r="L34" i="16"/>
  <c r="H34" i="16"/>
  <c r="D34" i="16"/>
  <c r="K34" i="16"/>
  <c r="J34" i="16"/>
  <c r="G34" i="16"/>
  <c r="F34" i="16"/>
  <c r="L31" i="16"/>
  <c r="H31" i="16"/>
  <c r="D31" i="16"/>
  <c r="K31" i="16"/>
  <c r="G31" i="16"/>
  <c r="F31" i="16"/>
  <c r="E31" i="16"/>
  <c r="J31" i="16"/>
  <c r="I31" i="16"/>
  <c r="K37" i="13"/>
  <c r="G37" i="13"/>
  <c r="J37" i="13"/>
  <c r="F37" i="13"/>
  <c r="I37" i="13"/>
  <c r="H37" i="13"/>
  <c r="E37" i="13"/>
  <c r="L37" i="13"/>
  <c r="D37" i="13"/>
  <c r="L40" i="13"/>
  <c r="H40" i="13"/>
  <c r="D40" i="13"/>
  <c r="K40" i="13"/>
  <c r="G40" i="13"/>
  <c r="F40" i="13"/>
  <c r="E40" i="13"/>
  <c r="J40" i="13"/>
  <c r="I40" i="13"/>
  <c r="K33" i="13"/>
  <c r="G33" i="13"/>
  <c r="J33" i="13"/>
  <c r="F33" i="13"/>
  <c r="E33" i="13"/>
  <c r="L33" i="13"/>
  <c r="D33" i="13"/>
  <c r="I33" i="13"/>
  <c r="H33" i="13"/>
  <c r="I34" i="12"/>
  <c r="E34" i="12"/>
  <c r="L34" i="12"/>
  <c r="H34" i="12"/>
  <c r="D34" i="12"/>
  <c r="K34" i="12"/>
  <c r="G34" i="12"/>
  <c r="J34" i="12"/>
  <c r="F34" i="12"/>
  <c r="D29" i="12"/>
  <c r="H29" i="12"/>
  <c r="G29" i="12"/>
  <c r="L36" i="13"/>
  <c r="H36" i="13"/>
  <c r="D36" i="13"/>
  <c r="K36" i="13"/>
  <c r="G36" i="13"/>
  <c r="J36" i="13"/>
  <c r="I36" i="13"/>
  <c r="F36" i="13"/>
  <c r="E36" i="13"/>
  <c r="J39" i="12"/>
  <c r="F39" i="12"/>
  <c r="I39" i="12"/>
  <c r="E39" i="12"/>
  <c r="H39" i="12"/>
  <c r="G39" i="12"/>
  <c r="L39" i="12"/>
  <c r="K39" i="12"/>
  <c r="D39" i="12"/>
  <c r="K42" i="12"/>
  <c r="G42" i="12"/>
  <c r="J42" i="12"/>
  <c r="F42" i="12"/>
  <c r="E42" i="12"/>
  <c r="L42" i="12"/>
  <c r="D42" i="12"/>
  <c r="I42" i="12"/>
  <c r="H42" i="12"/>
  <c r="I30" i="12"/>
  <c r="E30" i="12"/>
  <c r="L30" i="12"/>
  <c r="H30" i="12"/>
  <c r="D30" i="12"/>
  <c r="G30" i="12"/>
  <c r="J30" i="12"/>
  <c r="F30" i="12"/>
  <c r="K30" i="12"/>
  <c r="J33" i="12"/>
  <c r="F33" i="12"/>
  <c r="I33" i="12"/>
  <c r="E33" i="12"/>
  <c r="L33" i="12"/>
  <c r="D33" i="12"/>
  <c r="G33" i="12"/>
  <c r="K33" i="12"/>
  <c r="H33" i="12"/>
  <c r="L35" i="16"/>
  <c r="H35" i="16"/>
  <c r="D35" i="16"/>
  <c r="K35" i="16"/>
  <c r="G35" i="16"/>
  <c r="J35" i="16"/>
  <c r="I35" i="16"/>
  <c r="F35" i="16"/>
  <c r="E35" i="16"/>
  <c r="I38" i="16"/>
  <c r="E38" i="16"/>
  <c r="L38" i="16"/>
  <c r="H38" i="16"/>
  <c r="D38" i="16"/>
  <c r="G38" i="16"/>
  <c r="F38" i="16"/>
  <c r="K38" i="16"/>
  <c r="J38" i="16"/>
  <c r="I30" i="16"/>
  <c r="E30" i="16"/>
  <c r="L30" i="16"/>
  <c r="H30" i="16"/>
  <c r="D30" i="16"/>
  <c r="G30" i="16"/>
  <c r="F30" i="16"/>
  <c r="K30" i="16"/>
  <c r="J30" i="16"/>
  <c r="K40" i="16"/>
  <c r="G40" i="16"/>
  <c r="J40" i="16"/>
  <c r="F40" i="16"/>
  <c r="E40" i="16"/>
  <c r="L40" i="16"/>
  <c r="D40" i="16"/>
  <c r="H40" i="16"/>
  <c r="I40" i="16"/>
  <c r="K32" i="16"/>
  <c r="G32" i="16"/>
  <c r="J32" i="16"/>
  <c r="F32" i="16"/>
  <c r="E32" i="16"/>
  <c r="L32" i="16"/>
  <c r="D32" i="16"/>
  <c r="I32" i="16"/>
  <c r="H32" i="16"/>
  <c r="K41" i="13"/>
  <c r="G41" i="13"/>
  <c r="J41" i="13"/>
  <c r="F41" i="13"/>
  <c r="E41" i="13"/>
  <c r="L41" i="13"/>
  <c r="D41" i="13"/>
  <c r="I41" i="13"/>
  <c r="H41" i="13"/>
  <c r="J35" i="12"/>
  <c r="F35" i="12"/>
  <c r="I35" i="12"/>
  <c r="E35" i="12"/>
  <c r="L35" i="12"/>
  <c r="D35" i="12"/>
  <c r="K35" i="12"/>
  <c r="G35" i="12"/>
  <c r="H35" i="12"/>
  <c r="I31" i="11"/>
  <c r="E31" i="11"/>
  <c r="L31" i="11"/>
  <c r="H31" i="11"/>
  <c r="D31" i="11"/>
  <c r="G31" i="11"/>
  <c r="K31" i="11"/>
  <c r="J31" i="11"/>
  <c r="F31" i="11"/>
  <c r="L32" i="11"/>
  <c r="H32" i="11"/>
  <c r="D32" i="11"/>
  <c r="K32" i="11"/>
  <c r="G32" i="11"/>
  <c r="F32" i="11"/>
  <c r="E32" i="11"/>
  <c r="J32" i="11"/>
  <c r="I32" i="11"/>
  <c r="J34" i="11"/>
  <c r="F34" i="11"/>
  <c r="I34" i="11"/>
  <c r="E34" i="11"/>
  <c r="L34" i="11"/>
  <c r="D34" i="11"/>
  <c r="H34" i="11"/>
  <c r="K34" i="11"/>
  <c r="G34" i="11"/>
  <c r="G29" i="13"/>
  <c r="D29" i="13"/>
  <c r="H29" i="13"/>
  <c r="L32" i="13"/>
  <c r="H32" i="13"/>
  <c r="D32" i="13"/>
  <c r="K32" i="13"/>
  <c r="G32" i="13"/>
  <c r="F32" i="13"/>
  <c r="E32" i="13"/>
  <c r="J32" i="13"/>
  <c r="I32" i="13"/>
  <c r="I39" i="11"/>
  <c r="E39" i="11"/>
  <c r="L39" i="11"/>
  <c r="H39" i="11"/>
  <c r="D39" i="11"/>
  <c r="G39" i="11"/>
  <c r="K39" i="11"/>
  <c r="F39" i="11"/>
  <c r="J39" i="11"/>
  <c r="J42" i="11"/>
  <c r="F42" i="11"/>
  <c r="I42" i="11"/>
  <c r="E42" i="11"/>
  <c r="L42" i="11"/>
  <c r="D42" i="11"/>
  <c r="H42" i="11"/>
  <c r="K42" i="11"/>
  <c r="G42" i="11"/>
  <c r="J30" i="11"/>
  <c r="I30" i="11"/>
  <c r="H30" i="11"/>
  <c r="D30" i="11"/>
  <c r="F30" i="11"/>
  <c r="E30" i="11"/>
  <c r="G30" i="11"/>
  <c r="L30" i="11"/>
  <c r="K30" i="11"/>
  <c r="K33" i="11"/>
  <c r="G33" i="11"/>
  <c r="J33" i="11"/>
  <c r="F33" i="11"/>
  <c r="E33" i="11"/>
  <c r="I33" i="11"/>
  <c r="H33" i="11"/>
  <c r="L33" i="11"/>
  <c r="D33" i="11"/>
  <c r="I35" i="13"/>
  <c r="E35" i="13"/>
  <c r="L35" i="13"/>
  <c r="H35" i="13"/>
  <c r="D35" i="13"/>
  <c r="K35" i="13"/>
  <c r="J35" i="13"/>
  <c r="G35" i="13"/>
  <c r="F35" i="13"/>
  <c r="J38" i="13"/>
  <c r="F38" i="13"/>
  <c r="I38" i="13"/>
  <c r="E38" i="13"/>
  <c r="H38" i="13"/>
  <c r="G38" i="13"/>
  <c r="D38" i="13"/>
  <c r="L38" i="13"/>
  <c r="K38" i="13"/>
  <c r="J30" i="13"/>
  <c r="F30" i="13"/>
  <c r="I30" i="13"/>
  <c r="E30" i="13"/>
  <c r="H30" i="13"/>
  <c r="G30" i="13"/>
  <c r="L30" i="13"/>
  <c r="D30" i="13"/>
  <c r="K30" i="13"/>
  <c r="I40" i="12"/>
  <c r="E40" i="12"/>
  <c r="L40" i="12"/>
  <c r="H40" i="12"/>
  <c r="D40" i="12"/>
  <c r="G40" i="12"/>
  <c r="F40" i="12"/>
  <c r="K40" i="12"/>
  <c r="J40" i="12"/>
  <c r="K32" i="12"/>
  <c r="G32" i="12"/>
  <c r="J32" i="12"/>
  <c r="F32" i="12"/>
  <c r="E32" i="12"/>
  <c r="I32" i="12"/>
  <c r="L32" i="12"/>
  <c r="D32" i="12"/>
  <c r="H32" i="12"/>
  <c r="I29" i="16"/>
  <c r="J29" i="16"/>
  <c r="F29" i="16"/>
  <c r="E29" i="16"/>
  <c r="I29" i="12"/>
  <c r="V33" i="16"/>
  <c r="V29" i="16"/>
  <c r="E29" i="12"/>
  <c r="V37" i="16"/>
  <c r="S40" i="16"/>
  <c r="T40" i="16"/>
  <c r="U40" i="16"/>
  <c r="S32" i="16"/>
  <c r="T32" i="16"/>
  <c r="U32" i="16"/>
  <c r="T35" i="16"/>
  <c r="S35" i="16"/>
  <c r="U35" i="16"/>
  <c r="T38" i="16"/>
  <c r="S38" i="16"/>
  <c r="U38" i="16"/>
  <c r="S30" i="16"/>
  <c r="U30" i="16"/>
  <c r="T30" i="16"/>
  <c r="V41" i="16"/>
  <c r="U36" i="16"/>
  <c r="T36" i="16"/>
  <c r="S36" i="16"/>
  <c r="T31" i="16"/>
  <c r="S31" i="16"/>
  <c r="U31" i="16"/>
  <c r="S39" i="16"/>
  <c r="T39" i="16"/>
  <c r="U39" i="16"/>
  <c r="S42" i="16"/>
  <c r="T42" i="16"/>
  <c r="U42" i="16"/>
  <c r="T34" i="16"/>
  <c r="S34" i="16"/>
  <c r="U34" i="16"/>
  <c r="J29" i="13"/>
  <c r="K29" i="11"/>
  <c r="F29" i="13"/>
  <c r="E29" i="13"/>
  <c r="F29" i="12"/>
  <c r="K29" i="12"/>
  <c r="I29" i="11" l="1"/>
  <c r="V43" i="12"/>
  <c r="V43" i="11"/>
  <c r="V43" i="13"/>
  <c r="V43" i="16"/>
  <c r="J29" i="12"/>
  <c r="L29" i="12"/>
  <c r="V34" i="16"/>
  <c r="E29" i="11"/>
  <c r="L29" i="11"/>
  <c r="V40" i="16"/>
  <c r="V31" i="16"/>
  <c r="V39" i="16"/>
  <c r="V30" i="16"/>
  <c r="V38" i="16"/>
  <c r="V32" i="16"/>
  <c r="V42" i="16"/>
  <c r="V35" i="16"/>
  <c r="T54" i="16"/>
  <c r="U54" i="16"/>
  <c r="V36" i="16"/>
  <c r="H54" i="16"/>
  <c r="D54" i="16"/>
  <c r="S54" i="16"/>
  <c r="I29" i="13"/>
  <c r="K29" i="13"/>
  <c r="L29" i="13"/>
  <c r="U19" i="6"/>
  <c r="K54" i="16" l="1"/>
  <c r="U49" i="6"/>
  <c r="C24" i="14" s="1"/>
  <c r="F54" i="16"/>
  <c r="L54" i="16"/>
  <c r="I54" i="16"/>
  <c r="V54" i="16"/>
  <c r="G54" i="16" s="1"/>
  <c r="E54" i="16"/>
  <c r="J54" i="16"/>
  <c r="T19" i="6"/>
  <c r="S19" i="6"/>
  <c r="R19" i="6"/>
  <c r="R49" i="6" l="1"/>
  <c r="C21" i="14" s="1"/>
  <c r="S49" i="6"/>
  <c r="C22" i="14" s="1"/>
  <c r="T49" i="6"/>
  <c r="C23" i="14" s="1"/>
  <c r="V42" i="13"/>
  <c r="U42" i="13"/>
  <c r="T42" i="13"/>
  <c r="S42" i="13"/>
  <c r="V41" i="13"/>
  <c r="U41" i="13"/>
  <c r="T41" i="13"/>
  <c r="S41" i="13"/>
  <c r="V40" i="13"/>
  <c r="U40" i="13"/>
  <c r="T40" i="13"/>
  <c r="S40" i="13"/>
  <c r="V39" i="13"/>
  <c r="U39" i="13"/>
  <c r="T39" i="13"/>
  <c r="S39" i="13"/>
  <c r="V38" i="13"/>
  <c r="U38" i="13"/>
  <c r="T38" i="13"/>
  <c r="S38" i="13"/>
  <c r="V37" i="13"/>
  <c r="U37" i="13"/>
  <c r="T37" i="13"/>
  <c r="S37" i="13"/>
  <c r="V36" i="13"/>
  <c r="U36" i="13"/>
  <c r="T36" i="13"/>
  <c r="S36" i="13"/>
  <c r="V35" i="13"/>
  <c r="U35" i="13"/>
  <c r="T35" i="13"/>
  <c r="S35" i="13"/>
  <c r="V34" i="13"/>
  <c r="U34" i="13"/>
  <c r="T34" i="13"/>
  <c r="S34" i="13"/>
  <c r="V33" i="13"/>
  <c r="U33" i="13"/>
  <c r="T33" i="13"/>
  <c r="S33" i="13"/>
  <c r="U32" i="13"/>
  <c r="T32" i="13"/>
  <c r="S32" i="13"/>
  <c r="V32" i="13"/>
  <c r="U31" i="13"/>
  <c r="T31" i="13"/>
  <c r="S31" i="13"/>
  <c r="U30" i="13"/>
  <c r="T30" i="13"/>
  <c r="S30" i="13"/>
  <c r="U29" i="13"/>
  <c r="T29" i="13"/>
  <c r="S29" i="13"/>
  <c r="V42" i="12"/>
  <c r="U42" i="12"/>
  <c r="T42" i="12"/>
  <c r="S42" i="12"/>
  <c r="V41" i="12"/>
  <c r="U41" i="12"/>
  <c r="T41" i="12"/>
  <c r="S41" i="12"/>
  <c r="V40" i="12"/>
  <c r="U40" i="12"/>
  <c r="T40" i="12"/>
  <c r="S40" i="12"/>
  <c r="V39" i="12"/>
  <c r="U39" i="12"/>
  <c r="T39" i="12"/>
  <c r="S39" i="12"/>
  <c r="V38" i="12"/>
  <c r="U38" i="12"/>
  <c r="T38" i="12"/>
  <c r="S38" i="12"/>
  <c r="V37" i="12"/>
  <c r="U37" i="12"/>
  <c r="T37" i="12"/>
  <c r="S37" i="12"/>
  <c r="V36" i="12"/>
  <c r="U36" i="12"/>
  <c r="T36" i="12"/>
  <c r="S36" i="12"/>
  <c r="V35" i="12"/>
  <c r="U35" i="12"/>
  <c r="T35" i="12"/>
  <c r="S35" i="12"/>
  <c r="V34" i="12"/>
  <c r="U34" i="12"/>
  <c r="T34" i="12"/>
  <c r="S34" i="12"/>
  <c r="V33" i="12"/>
  <c r="U33" i="12"/>
  <c r="T33" i="12"/>
  <c r="S33" i="12"/>
  <c r="U32" i="12"/>
  <c r="T32" i="12"/>
  <c r="S32" i="12"/>
  <c r="U31" i="12"/>
  <c r="T31" i="12"/>
  <c r="S31" i="12"/>
  <c r="U30" i="12"/>
  <c r="T30" i="12"/>
  <c r="S30" i="12"/>
  <c r="U29" i="12"/>
  <c r="T29" i="12"/>
  <c r="S29" i="12"/>
  <c r="U42" i="11"/>
  <c r="T42" i="11"/>
  <c r="S42" i="11"/>
  <c r="U41" i="11"/>
  <c r="T41" i="11"/>
  <c r="S41" i="11"/>
  <c r="U40" i="11"/>
  <c r="T40" i="11"/>
  <c r="S40" i="11"/>
  <c r="U39" i="11"/>
  <c r="T39" i="11"/>
  <c r="S39" i="11"/>
  <c r="U38" i="11"/>
  <c r="T38" i="11"/>
  <c r="S38" i="11"/>
  <c r="U37" i="11"/>
  <c r="T37" i="11"/>
  <c r="S37" i="11"/>
  <c r="U36" i="11"/>
  <c r="T36" i="11"/>
  <c r="S36" i="11"/>
  <c r="U35" i="11"/>
  <c r="T35" i="11"/>
  <c r="S35" i="11"/>
  <c r="U34" i="11"/>
  <c r="T34" i="11"/>
  <c r="S34" i="11"/>
  <c r="U33" i="11"/>
  <c r="T33" i="11"/>
  <c r="S33" i="11"/>
  <c r="U32" i="11"/>
  <c r="T32" i="11"/>
  <c r="S32" i="11"/>
  <c r="U31" i="11"/>
  <c r="T31" i="11"/>
  <c r="S31" i="11"/>
  <c r="U30" i="11"/>
  <c r="T30" i="11"/>
  <c r="S30" i="11"/>
  <c r="U29" i="11"/>
  <c r="T29" i="11"/>
  <c r="S29" i="11"/>
  <c r="L59" i="2"/>
  <c r="AQ43" i="2"/>
  <c r="AQ42" i="2"/>
  <c r="AQ41" i="2"/>
  <c r="AQ40" i="2"/>
  <c r="AQ39" i="2"/>
  <c r="AQ38" i="2"/>
  <c r="AQ37" i="2"/>
  <c r="AQ36" i="2"/>
  <c r="AQ35" i="2"/>
  <c r="AQ34" i="2"/>
  <c r="AQ33" i="2"/>
  <c r="AQ32" i="2"/>
  <c r="AQ31" i="2"/>
  <c r="AQ30" i="2"/>
  <c r="AQ29" i="2"/>
  <c r="AP43" i="2"/>
  <c r="AP42" i="2"/>
  <c r="AP41" i="2"/>
  <c r="AP40" i="2"/>
  <c r="AP39" i="2"/>
  <c r="AP38" i="2"/>
  <c r="AP37" i="2"/>
  <c r="AP36" i="2"/>
  <c r="AP35" i="2"/>
  <c r="AP34" i="2"/>
  <c r="AP33" i="2"/>
  <c r="AP32" i="2"/>
  <c r="AP31" i="2"/>
  <c r="AP30" i="2"/>
  <c r="AP29" i="2"/>
  <c r="N59" i="2"/>
  <c r="C12" i="14" s="1"/>
  <c r="D13" i="14" s="1"/>
  <c r="AQ59" i="2" l="1"/>
  <c r="AP59" i="2"/>
  <c r="U54" i="12"/>
  <c r="V31" i="11"/>
  <c r="V32" i="11"/>
  <c r="V33" i="11"/>
  <c r="V34" i="11"/>
  <c r="V35" i="11"/>
  <c r="V36" i="11"/>
  <c r="V37" i="11"/>
  <c r="V38" i="11"/>
  <c r="V39" i="11"/>
  <c r="V40" i="11"/>
  <c r="V41" i="11"/>
  <c r="V42" i="11"/>
  <c r="H54" i="13"/>
  <c r="T54" i="11"/>
  <c r="F54" i="11" s="1"/>
  <c r="T54" i="13"/>
  <c r="E10" i="14" s="1"/>
  <c r="U54" i="13"/>
  <c r="D54" i="13"/>
  <c r="D10" i="14" s="1"/>
  <c r="S54" i="13"/>
  <c r="V29" i="13"/>
  <c r="V30" i="13"/>
  <c r="V31" i="13"/>
  <c r="V32" i="12"/>
  <c r="S54" i="12"/>
  <c r="E9" i="14" s="1"/>
  <c r="V31" i="12"/>
  <c r="H54" i="12"/>
  <c r="V30" i="12"/>
  <c r="D54" i="12"/>
  <c r="D9" i="14" s="1"/>
  <c r="T54" i="12"/>
  <c r="V29" i="12"/>
  <c r="H54" i="11"/>
  <c r="D54" i="11"/>
  <c r="D8" i="14" s="1"/>
  <c r="U54" i="11"/>
  <c r="V30" i="11"/>
  <c r="S54" i="11"/>
  <c r="E8" i="14" s="1"/>
  <c r="V29" i="11"/>
  <c r="U43" i="10"/>
  <c r="T43" i="10"/>
  <c r="S43" i="10"/>
  <c r="U42" i="10"/>
  <c r="T42" i="10"/>
  <c r="S42" i="10"/>
  <c r="U41" i="10"/>
  <c r="T41" i="10"/>
  <c r="S41" i="10"/>
  <c r="U40" i="10"/>
  <c r="T40" i="10"/>
  <c r="S40" i="10"/>
  <c r="U39" i="10"/>
  <c r="T39" i="10"/>
  <c r="S39" i="10"/>
  <c r="U38" i="10"/>
  <c r="T38" i="10"/>
  <c r="S38" i="10"/>
  <c r="U37" i="10"/>
  <c r="T37" i="10"/>
  <c r="S37" i="10"/>
  <c r="U36" i="10"/>
  <c r="T36" i="10"/>
  <c r="S36" i="10"/>
  <c r="U35" i="10"/>
  <c r="T35" i="10"/>
  <c r="S35" i="10"/>
  <c r="U34" i="10"/>
  <c r="T34" i="10"/>
  <c r="S34" i="10"/>
  <c r="U33" i="10"/>
  <c r="T33" i="10"/>
  <c r="S33" i="10"/>
  <c r="U32" i="10"/>
  <c r="T32" i="10"/>
  <c r="S32" i="10"/>
  <c r="U31" i="10"/>
  <c r="T31" i="10"/>
  <c r="S31" i="10"/>
  <c r="U30" i="10"/>
  <c r="T30" i="10"/>
  <c r="S30" i="10"/>
  <c r="U29" i="10"/>
  <c r="T29" i="10"/>
  <c r="S29" i="10"/>
  <c r="I29" i="10"/>
  <c r="U43" i="9"/>
  <c r="T43" i="9"/>
  <c r="S43" i="9"/>
  <c r="U42" i="9"/>
  <c r="T42" i="9"/>
  <c r="S42" i="9"/>
  <c r="U41" i="9"/>
  <c r="T41" i="9"/>
  <c r="S41" i="9"/>
  <c r="U40" i="9"/>
  <c r="T40" i="9"/>
  <c r="S40" i="9"/>
  <c r="U39" i="9"/>
  <c r="T39" i="9"/>
  <c r="S39" i="9"/>
  <c r="U38" i="9"/>
  <c r="T38" i="9"/>
  <c r="S38" i="9"/>
  <c r="U37" i="9"/>
  <c r="T37" i="9"/>
  <c r="S37" i="9"/>
  <c r="U36" i="9"/>
  <c r="T36" i="9"/>
  <c r="S36" i="9"/>
  <c r="U35" i="9"/>
  <c r="T35" i="9"/>
  <c r="S35" i="9"/>
  <c r="U34" i="9"/>
  <c r="T34" i="9"/>
  <c r="S34" i="9"/>
  <c r="U33" i="9"/>
  <c r="T33" i="9"/>
  <c r="S33" i="9"/>
  <c r="U32" i="9"/>
  <c r="T32" i="9"/>
  <c r="S32" i="9"/>
  <c r="U31" i="9"/>
  <c r="T31" i="9"/>
  <c r="S31" i="9"/>
  <c r="U30" i="9"/>
  <c r="T30" i="9"/>
  <c r="S30" i="9"/>
  <c r="U29" i="9"/>
  <c r="T29" i="9"/>
  <c r="S29" i="9"/>
  <c r="J54" i="13" l="1"/>
  <c r="V34" i="9"/>
  <c r="V34" i="10"/>
  <c r="V36" i="10"/>
  <c r="V38" i="10"/>
  <c r="V40" i="10"/>
  <c r="V42" i="10"/>
  <c r="V30" i="10"/>
  <c r="V32" i="10"/>
  <c r="V33" i="10"/>
  <c r="V35" i="10"/>
  <c r="V37" i="10"/>
  <c r="V39" i="10"/>
  <c r="V41" i="10"/>
  <c r="V43" i="10"/>
  <c r="V33" i="9"/>
  <c r="V35" i="9"/>
  <c r="V30" i="9"/>
  <c r="V31" i="9"/>
  <c r="V36" i="9"/>
  <c r="V38" i="9"/>
  <c r="V40" i="9"/>
  <c r="V42" i="9"/>
  <c r="V32" i="9"/>
  <c r="V37" i="9"/>
  <c r="V39" i="9"/>
  <c r="V41" i="9"/>
  <c r="V43" i="9"/>
  <c r="M59" i="2"/>
  <c r="C11" i="14" s="1"/>
  <c r="E13" i="14"/>
  <c r="C13" i="14" s="1"/>
  <c r="C10" i="14"/>
  <c r="C9" i="14"/>
  <c r="C8" i="14"/>
  <c r="K54" i="12"/>
  <c r="I54" i="13"/>
  <c r="J54" i="12"/>
  <c r="K54" i="11"/>
  <c r="H44" i="10"/>
  <c r="I54" i="12"/>
  <c r="E54" i="12"/>
  <c r="I54" i="11"/>
  <c r="L54" i="12"/>
  <c r="V54" i="11"/>
  <c r="G54" i="11" s="1"/>
  <c r="F54" i="13"/>
  <c r="L54" i="13"/>
  <c r="L54" i="11"/>
  <c r="E54" i="11"/>
  <c r="K54" i="13"/>
  <c r="V54" i="13"/>
  <c r="G54" i="13" s="1"/>
  <c r="E54" i="13"/>
  <c r="V54" i="12"/>
  <c r="G54" i="12" s="1"/>
  <c r="F54" i="12"/>
  <c r="J54" i="11"/>
  <c r="D44" i="9"/>
  <c r="I9" i="14" s="1"/>
  <c r="D44" i="10"/>
  <c r="I10" i="14" s="1"/>
  <c r="H44" i="9"/>
  <c r="U44" i="9"/>
  <c r="U44" i="10"/>
  <c r="T44" i="10"/>
  <c r="J10" i="14" s="1"/>
  <c r="S44" i="10"/>
  <c r="T44" i="9"/>
  <c r="K44" i="9" s="1"/>
  <c r="S44" i="9"/>
  <c r="J9" i="14" s="1"/>
  <c r="L29" i="10"/>
  <c r="V29" i="10"/>
  <c r="V31" i="10"/>
  <c r="F29" i="10"/>
  <c r="J29" i="10"/>
  <c r="K29" i="10"/>
  <c r="V29" i="9"/>
  <c r="AN43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E29" i="10"/>
  <c r="I44" i="10" l="1"/>
  <c r="I44" i="9"/>
  <c r="J44" i="10"/>
  <c r="H10" i="14"/>
  <c r="H9" i="14"/>
  <c r="J44" i="9"/>
  <c r="K44" i="10"/>
  <c r="L44" i="10"/>
  <c r="L44" i="9"/>
  <c r="E44" i="10"/>
  <c r="E44" i="9"/>
  <c r="F44" i="10"/>
  <c r="F44" i="9"/>
  <c r="V44" i="10"/>
  <c r="G44" i="10" s="1"/>
  <c r="V44" i="9"/>
  <c r="G44" i="9" s="1"/>
  <c r="AN59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E59" i="2"/>
  <c r="EC34" i="2" l="1"/>
  <c r="EC31" i="2"/>
  <c r="EC37" i="2"/>
  <c r="BA42" i="2"/>
  <c r="BA41" i="2"/>
  <c r="BA38" i="2"/>
  <c r="BA40" i="2"/>
  <c r="BA36" i="2"/>
  <c r="BA32" i="2"/>
  <c r="AL59" i="2"/>
  <c r="AH59" i="2"/>
  <c r="F59" i="2" s="1"/>
  <c r="AI59" i="2"/>
  <c r="G59" i="2" s="1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S43" i="4"/>
  <c r="S42" i="4"/>
  <c r="S41" i="4"/>
  <c r="S40" i="4"/>
  <c r="S39" i="4"/>
  <c r="S38" i="4"/>
  <c r="S37" i="4"/>
  <c r="S36" i="4"/>
  <c r="S35" i="4"/>
  <c r="S34" i="4"/>
  <c r="S33" i="4"/>
  <c r="S32" i="4"/>
  <c r="S31" i="4"/>
  <c r="S30" i="4"/>
  <c r="S29" i="4"/>
  <c r="ED42" i="2" l="1"/>
  <c r="EC42" i="2"/>
  <c r="EB41" i="2"/>
  <c r="EC41" i="2"/>
  <c r="EE40" i="2"/>
  <c r="EC40" i="2"/>
  <c r="ED39" i="2"/>
  <c r="EC39" i="2"/>
  <c r="ED35" i="2"/>
  <c r="EC35" i="2"/>
  <c r="EB33" i="2"/>
  <c r="EC33" i="2"/>
  <c r="EE32" i="2"/>
  <c r="EC32" i="2"/>
  <c r="ED37" i="2"/>
  <c r="EB37" i="2"/>
  <c r="EB31" i="2"/>
  <c r="ED31" i="2"/>
  <c r="BA37" i="2"/>
  <c r="C16" i="14"/>
  <c r="C14" i="14"/>
  <c r="U44" i="4"/>
  <c r="J13" i="14" s="1"/>
  <c r="T44" i="4"/>
  <c r="S44" i="4"/>
  <c r="J8" i="14" s="1"/>
  <c r="U43" i="2"/>
  <c r="U42" i="2"/>
  <c r="AZ42" i="2" s="1"/>
  <c r="U41" i="2"/>
  <c r="AZ41" i="2" s="1"/>
  <c r="U40" i="2"/>
  <c r="AZ40" i="2" s="1"/>
  <c r="U39" i="2"/>
  <c r="AZ39" i="2" s="1"/>
  <c r="U38" i="2"/>
  <c r="U37" i="2"/>
  <c r="AZ37" i="2" s="1"/>
  <c r="U36" i="2"/>
  <c r="U35" i="2"/>
  <c r="U34" i="2"/>
  <c r="U33" i="2"/>
  <c r="AZ33" i="2" s="1"/>
  <c r="U32" i="2"/>
  <c r="AZ32" i="2" s="1"/>
  <c r="U31" i="2"/>
  <c r="U30" i="2"/>
  <c r="U29" i="2"/>
  <c r="DO29" i="2" s="1"/>
  <c r="AM43" i="2" l="1"/>
  <c r="DO43" i="2"/>
  <c r="AM38" i="2"/>
  <c r="DO38" i="2"/>
  <c r="AZ38" i="2"/>
  <c r="AM36" i="2"/>
  <c r="DO36" i="2"/>
  <c r="AZ36" i="2"/>
  <c r="AM35" i="2"/>
  <c r="DO35" i="2"/>
  <c r="AZ34" i="2"/>
  <c r="DO34" i="2"/>
  <c r="DO31" i="2"/>
  <c r="AZ31" i="2"/>
  <c r="DO30" i="2"/>
  <c r="AM41" i="2"/>
  <c r="DO41" i="2"/>
  <c r="AM42" i="2"/>
  <c r="DO42" i="2"/>
  <c r="AM40" i="2"/>
  <c r="DO40" i="2"/>
  <c r="AM39" i="2"/>
  <c r="DO39" i="2"/>
  <c r="AM37" i="2"/>
  <c r="DO37" i="2"/>
  <c r="AM32" i="2"/>
  <c r="DO32" i="2"/>
  <c r="AM33" i="2"/>
  <c r="DO33" i="2"/>
  <c r="AM31" i="2"/>
  <c r="AM30" i="2"/>
  <c r="AM29" i="2"/>
  <c r="AM34" i="2"/>
  <c r="AG43" i="2"/>
  <c r="AG42" i="2"/>
  <c r="AG41" i="2"/>
  <c r="AG40" i="2"/>
  <c r="AG39" i="2"/>
  <c r="AG38" i="2"/>
  <c r="AG37" i="2"/>
  <c r="AG36" i="2"/>
  <c r="AG35" i="2"/>
  <c r="AG34" i="2"/>
  <c r="AG33" i="2"/>
  <c r="AG32" i="2"/>
  <c r="AG31" i="2"/>
  <c r="AG30" i="2"/>
  <c r="DO59" i="2" l="1"/>
  <c r="AM59" i="2"/>
  <c r="AG29" i="2"/>
  <c r="I36" i="14" l="1"/>
  <c r="D36" i="14"/>
  <c r="U59" i="2"/>
  <c r="C17" i="14" s="1"/>
  <c r="AE43" i="2" l="1"/>
  <c r="AE42" i="2"/>
  <c r="AE41" i="2"/>
  <c r="AE40" i="2"/>
  <c r="AE39" i="2"/>
  <c r="AE38" i="2"/>
  <c r="AE37" i="2"/>
  <c r="AE36" i="2"/>
  <c r="AE35" i="2"/>
  <c r="AE34" i="2"/>
  <c r="AE33" i="2"/>
  <c r="AE32" i="2"/>
  <c r="AE31" i="2"/>
  <c r="AE30" i="2"/>
  <c r="AE29" i="2"/>
  <c r="AD43" i="2" l="1"/>
  <c r="AC43" i="2"/>
  <c r="AD42" i="2"/>
  <c r="AC42" i="2"/>
  <c r="AD41" i="2"/>
  <c r="AC41" i="2"/>
  <c r="AD40" i="2"/>
  <c r="AC40" i="2"/>
  <c r="AD39" i="2"/>
  <c r="AC39" i="2"/>
  <c r="AD38" i="2"/>
  <c r="AC38" i="2"/>
  <c r="AD37" i="2"/>
  <c r="AC37" i="2"/>
  <c r="AD36" i="2"/>
  <c r="AC36" i="2"/>
  <c r="AD35" i="2"/>
  <c r="AC35" i="2"/>
  <c r="AD34" i="2"/>
  <c r="AC34" i="2"/>
  <c r="AD33" i="2"/>
  <c r="AC33" i="2"/>
  <c r="AD32" i="2"/>
  <c r="AC32" i="2"/>
  <c r="AD31" i="2"/>
  <c r="AC31" i="2"/>
  <c r="AD30" i="2"/>
  <c r="AC30" i="2"/>
  <c r="AD29" i="2"/>
  <c r="AC29" i="2"/>
  <c r="V34" i="4" l="1"/>
  <c r="V36" i="4"/>
  <c r="V38" i="4"/>
  <c r="V40" i="4"/>
  <c r="V42" i="4"/>
  <c r="V35" i="4"/>
  <c r="V37" i="4"/>
  <c r="V39" i="4"/>
  <c r="V41" i="4"/>
  <c r="V43" i="4"/>
  <c r="V30" i="4"/>
  <c r="V32" i="4"/>
  <c r="V33" i="4"/>
  <c r="D44" i="4"/>
  <c r="V29" i="4"/>
  <c r="H44" i="4"/>
  <c r="V31" i="4"/>
  <c r="K43" i="2"/>
  <c r="K42" i="2"/>
  <c r="AX42" i="2" s="1"/>
  <c r="K41" i="2"/>
  <c r="AX41" i="2" s="1"/>
  <c r="K40" i="2"/>
  <c r="AX40" i="2" s="1"/>
  <c r="K39" i="2"/>
  <c r="AX39" i="2" s="1"/>
  <c r="K38" i="2"/>
  <c r="AX38" i="2" s="1"/>
  <c r="K37" i="2"/>
  <c r="AX37" i="2" s="1"/>
  <c r="K36" i="2"/>
  <c r="AX36" i="2" s="1"/>
  <c r="K35" i="2"/>
  <c r="K34" i="2"/>
  <c r="K33" i="2"/>
  <c r="K32" i="2"/>
  <c r="K31" i="2"/>
  <c r="K30" i="2"/>
  <c r="K29" i="2"/>
  <c r="DK29" i="2" s="1"/>
  <c r="I43" i="2"/>
  <c r="I42" i="2"/>
  <c r="I41" i="2"/>
  <c r="I40" i="2"/>
  <c r="I39" i="2"/>
  <c r="I38" i="2"/>
  <c r="I37" i="2"/>
  <c r="I36" i="2"/>
  <c r="I35" i="2"/>
  <c r="DA35" i="2" s="1"/>
  <c r="I34" i="2"/>
  <c r="DA34" i="2" s="1"/>
  <c r="I33" i="2"/>
  <c r="I32" i="2"/>
  <c r="DA32" i="2" s="1"/>
  <c r="I31" i="2"/>
  <c r="I30" i="2"/>
  <c r="DA30" i="2" s="1"/>
  <c r="I29" i="2"/>
  <c r="AV29" i="2" s="1"/>
  <c r="G43" i="2"/>
  <c r="F43" i="2"/>
  <c r="G42" i="2"/>
  <c r="F42" i="2"/>
  <c r="G41" i="2"/>
  <c r="F41" i="2"/>
  <c r="G40" i="2"/>
  <c r="F40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DK33" i="2" l="1"/>
  <c r="AX33" i="2"/>
  <c r="DK32" i="2"/>
  <c r="AX32" i="2"/>
  <c r="DK31" i="2"/>
  <c r="AX31" i="2"/>
  <c r="DK34" i="2"/>
  <c r="AX34" i="2"/>
  <c r="AO43" i="2"/>
  <c r="DK43" i="2"/>
  <c r="AO38" i="2"/>
  <c r="DK38" i="2"/>
  <c r="AO37" i="2"/>
  <c r="DK37" i="2"/>
  <c r="AO36" i="2"/>
  <c r="DK36" i="2"/>
  <c r="AO35" i="2"/>
  <c r="DK35" i="2"/>
  <c r="CY34" i="2"/>
  <c r="BJ34" i="2"/>
  <c r="CY32" i="2"/>
  <c r="BJ32" i="2"/>
  <c r="DA31" i="2"/>
  <c r="AV31" i="2"/>
  <c r="BA31" i="2" s="1"/>
  <c r="DK30" i="2"/>
  <c r="AV39" i="2"/>
  <c r="BA39" i="2" s="1"/>
  <c r="AO41" i="2"/>
  <c r="DK41" i="2"/>
  <c r="AO42" i="2"/>
  <c r="DK42" i="2"/>
  <c r="AO40" i="2"/>
  <c r="DK40" i="2"/>
  <c r="AO39" i="2"/>
  <c r="DK39" i="2"/>
  <c r="DA43" i="2"/>
  <c r="AJ43" i="2"/>
  <c r="DA42" i="2"/>
  <c r="CY42" i="2" s="1"/>
  <c r="AJ42" i="2"/>
  <c r="DA41" i="2"/>
  <c r="CY41" i="2" s="1"/>
  <c r="AJ41" i="2"/>
  <c r="DA40" i="2"/>
  <c r="CY40" i="2" s="1"/>
  <c r="AJ40" i="2"/>
  <c r="DA39" i="2"/>
  <c r="CY39" i="2" s="1"/>
  <c r="AJ39" i="2"/>
  <c r="DA38" i="2"/>
  <c r="AJ38" i="2"/>
  <c r="DA37" i="2"/>
  <c r="AJ37" i="2"/>
  <c r="DA36" i="2"/>
  <c r="AJ36" i="2"/>
  <c r="AO32" i="2"/>
  <c r="AO33" i="2"/>
  <c r="DA33" i="2"/>
  <c r="BA33" i="2"/>
  <c r="DA29" i="2"/>
  <c r="BA34" i="2"/>
  <c r="AJ35" i="2"/>
  <c r="AJ32" i="2"/>
  <c r="AJ33" i="2"/>
  <c r="I44" i="4"/>
  <c r="L44" i="4"/>
  <c r="J44" i="4"/>
  <c r="K44" i="4"/>
  <c r="I8" i="14"/>
  <c r="H8" i="14" s="1"/>
  <c r="F44" i="4"/>
  <c r="AJ30" i="2"/>
  <c r="H12" i="14"/>
  <c r="I13" i="14" s="1"/>
  <c r="H13" i="14" s="1"/>
  <c r="AO31" i="2"/>
  <c r="AO29" i="2"/>
  <c r="AO30" i="2"/>
  <c r="AO34" i="2"/>
  <c r="AJ31" i="2"/>
  <c r="AJ34" i="2"/>
  <c r="AJ29" i="2"/>
  <c r="E44" i="4"/>
  <c r="V44" i="4"/>
  <c r="BJ38" i="2" l="1"/>
  <c r="CY38" i="2"/>
  <c r="CY37" i="2"/>
  <c r="BJ37" i="2"/>
  <c r="CY36" i="2"/>
  <c r="BJ36" i="2"/>
  <c r="CY33" i="2"/>
  <c r="BJ33" i="2"/>
  <c r="CY31" i="2"/>
  <c r="BJ31" i="2"/>
  <c r="BJ40" i="2"/>
  <c r="BJ42" i="2"/>
  <c r="BJ39" i="2"/>
  <c r="BJ41" i="2"/>
  <c r="DK59" i="2"/>
  <c r="DA59" i="2"/>
  <c r="I59" i="2" s="1"/>
  <c r="H11" i="14"/>
  <c r="G44" i="4"/>
  <c r="AO59" i="2"/>
  <c r="AJ59" i="2"/>
  <c r="AV59" i="2"/>
  <c r="K59" i="2" l="1"/>
  <c r="C15" i="14" s="1"/>
  <c r="C7" i="14"/>
  <c r="D43" i="2"/>
  <c r="D42" i="2"/>
  <c r="R42" i="2" s="1"/>
  <c r="D41" i="2"/>
  <c r="R41" i="2" s="1"/>
  <c r="D40" i="2"/>
  <c r="R40" i="2" s="1"/>
  <c r="D39" i="2"/>
  <c r="R39" i="2" s="1"/>
  <c r="D38" i="2"/>
  <c r="R38" i="2" s="1"/>
  <c r="D37" i="2"/>
  <c r="R37" i="2" s="1"/>
  <c r="D36" i="2"/>
  <c r="R36" i="2" s="1"/>
  <c r="D35" i="2"/>
  <c r="D34" i="2"/>
  <c r="R34" i="2" s="1"/>
  <c r="D33" i="2"/>
  <c r="R33" i="2" s="1"/>
  <c r="D32" i="2"/>
  <c r="R32" i="2" s="1"/>
  <c r="D31" i="2"/>
  <c r="R31" i="2" s="1"/>
  <c r="D30" i="2"/>
  <c r="D29" i="2"/>
  <c r="Y29" i="2" s="1"/>
  <c r="R43" i="2" l="1"/>
  <c r="Y43" i="2"/>
  <c r="R35" i="2"/>
  <c r="Y35" i="2"/>
  <c r="AR29" i="2"/>
  <c r="AA29" i="2"/>
  <c r="R30" i="2"/>
  <c r="Y30" i="2"/>
  <c r="R29" i="2"/>
  <c r="DE59" i="2"/>
  <c r="AS30" i="2"/>
  <c r="BH30" i="2" s="1"/>
  <c r="AF30" i="2"/>
  <c r="AS34" i="2"/>
  <c r="BH34" i="2" s="1"/>
  <c r="AF34" i="2"/>
  <c r="AS38" i="2"/>
  <c r="BH38" i="2" s="1"/>
  <c r="AF38" i="2"/>
  <c r="AS42" i="2"/>
  <c r="BH42" i="2" s="1"/>
  <c r="AF42" i="2"/>
  <c r="AS31" i="2"/>
  <c r="BH31" i="2" s="1"/>
  <c r="AF31" i="2"/>
  <c r="AS39" i="2"/>
  <c r="BH39" i="2" s="1"/>
  <c r="AF39" i="2"/>
  <c r="AS43" i="2"/>
  <c r="BH43" i="2" s="1"/>
  <c r="AF43" i="2"/>
  <c r="AS29" i="2"/>
  <c r="BH29" i="2" s="1"/>
  <c r="AF29" i="2"/>
  <c r="AS35" i="2"/>
  <c r="BH35" i="2" s="1"/>
  <c r="AF35" i="2"/>
  <c r="AS32" i="2"/>
  <c r="BH32" i="2" s="1"/>
  <c r="AF32" i="2"/>
  <c r="AS36" i="2"/>
  <c r="BH36" i="2" s="1"/>
  <c r="AF36" i="2"/>
  <c r="AS40" i="2"/>
  <c r="BH40" i="2" s="1"/>
  <c r="AF40" i="2"/>
  <c r="AS33" i="2"/>
  <c r="BH33" i="2" s="1"/>
  <c r="AF33" i="2"/>
  <c r="AS37" i="2"/>
  <c r="BH37" i="2" s="1"/>
  <c r="AF37" i="2"/>
  <c r="AS41" i="2"/>
  <c r="BH41" i="2" s="1"/>
  <c r="AF41" i="2"/>
  <c r="AA43" i="2" l="1"/>
  <c r="BI43" i="2" s="1"/>
  <c r="AR43" i="2"/>
  <c r="AR35" i="2"/>
  <c r="AA35" i="2"/>
  <c r="BI35" i="2" s="1"/>
  <c r="AA30" i="2"/>
  <c r="BI30" i="2" s="1"/>
  <c r="AR30" i="2"/>
  <c r="I34" i="14"/>
  <c r="D34" i="14"/>
  <c r="D33" i="14"/>
  <c r="I33" i="14"/>
  <c r="BH59" i="2"/>
  <c r="D28" i="14" s="1"/>
  <c r="AS59" i="2"/>
  <c r="E4" i="8"/>
  <c r="BE43" i="2" l="1"/>
  <c r="AU43" i="2"/>
  <c r="BA43" i="2" s="1"/>
  <c r="BD43" i="2"/>
  <c r="CZ43" i="2"/>
  <c r="EF43" i="2"/>
  <c r="EB43" i="2" s="1"/>
  <c r="BK43" i="2"/>
  <c r="AW43" i="2"/>
  <c r="AX43" i="2" s="1"/>
  <c r="AY43" i="2"/>
  <c r="AZ43" i="2" s="1"/>
  <c r="BJ43" i="2"/>
  <c r="CY43" i="2"/>
  <c r="AR59" i="2"/>
  <c r="I29" i="14" s="1"/>
  <c r="BK35" i="2"/>
  <c r="AU35" i="2"/>
  <c r="BA35" i="2" s="1"/>
  <c r="BE35" i="2"/>
  <c r="EF35" i="2"/>
  <c r="EB35" i="2" s="1"/>
  <c r="BD35" i="2"/>
  <c r="CZ35" i="2"/>
  <c r="AW35" i="2"/>
  <c r="AX35" i="2" s="1"/>
  <c r="AY35" i="2"/>
  <c r="AZ35" i="2" s="1"/>
  <c r="CY35" i="2"/>
  <c r="BJ35" i="2"/>
  <c r="BE30" i="2"/>
  <c r="CZ30" i="2"/>
  <c r="BD30" i="2"/>
  <c r="EF30" i="2"/>
  <c r="EC30" i="2" s="1"/>
  <c r="BK30" i="2"/>
  <c r="AU30" i="2"/>
  <c r="BA30" i="2" s="1"/>
  <c r="AY30" i="2"/>
  <c r="AZ30" i="2" s="1"/>
  <c r="AW30" i="2"/>
  <c r="AX30" i="2" s="1"/>
  <c r="CY30" i="2"/>
  <c r="BJ30" i="2"/>
  <c r="I28" i="14"/>
  <c r="E2" i="8"/>
  <c r="BI29" i="2"/>
  <c r="AW29" i="2" s="1"/>
  <c r="D29" i="14" l="1"/>
  <c r="AU29" i="2"/>
  <c r="AU59" i="2" s="1"/>
  <c r="AX29" i="2"/>
  <c r="AX59" i="2" s="1"/>
  <c r="AW59" i="2"/>
  <c r="H14" i="14" s="1"/>
  <c r="CY29" i="2"/>
  <c r="CY59" i="2" s="1"/>
  <c r="AY29" i="2"/>
  <c r="BE29" i="2"/>
  <c r="BE59" i="2" s="1"/>
  <c r="BK29" i="2"/>
  <c r="BK59" i="2" s="1"/>
  <c r="CZ29" i="2"/>
  <c r="CZ59" i="2" s="1"/>
  <c r="BI59" i="2"/>
  <c r="EF29" i="2"/>
  <c r="BD29" i="2"/>
  <c r="BD59" i="2" s="1"/>
  <c r="BJ29" i="2"/>
  <c r="BJ59" i="2" s="1"/>
  <c r="ED29" i="2" l="1"/>
  <c r="EE29" i="2"/>
  <c r="EB29" i="2"/>
  <c r="EC29" i="2"/>
  <c r="H7" i="14"/>
  <c r="H15" i="14"/>
  <c r="BA29" i="2"/>
  <c r="BA59" i="2" s="1"/>
  <c r="I37" i="14"/>
  <c r="I38" i="14"/>
  <c r="AZ29" i="2"/>
  <c r="AZ59" i="2" s="1"/>
  <c r="AY59" i="2"/>
  <c r="H16" i="14" s="1"/>
  <c r="H17" i="14" l="1"/>
</calcChain>
</file>

<file path=xl/comments1.xml><?xml version="1.0" encoding="utf-8"?>
<comments xmlns="http://schemas.openxmlformats.org/spreadsheetml/2006/main">
  <authors>
    <author>DEGREVE, Vincent</author>
  </authors>
  <commentList>
    <comment ref="Q25" authorId="0" shapeId="0">
      <text>
        <r>
          <rPr>
            <sz val="10"/>
            <color indexed="81"/>
            <rFont val="Calibri"/>
            <family val="2"/>
            <scheme val="minor"/>
          </rPr>
          <t>Si confirmation de la passation administrative et obtention du quitus de fin de PA
→ Clôture de la Phase GPA et transfert de responsabilité au SAV
→ Sélection de l'opération dans la liste déroulante de l'onglet suivant (Etablissement du Bilan final GPA
 en fonction du type d'ouvrage) / Conservation de l'opération dans cet onglet</t>
        </r>
      </text>
    </comment>
    <comment ref="T25" authorId="0" shapeId="0">
      <text>
        <r>
          <rPr>
            <sz val="10"/>
            <color indexed="81"/>
            <rFont val="Calibri"/>
            <family val="2"/>
            <scheme val="minor"/>
          </rPr>
          <t>Si confirmation de la passation administrative et obtention du quitus de fin de PA
→ Clôture de la Phase GPA et transfert de responsabilité au SAV
→ Sélection de l'opération dans la liste déroulante de l'onglet suivant (Etablissement du Bilan final GPA
 en fonction du type d'ouvrage) / Conservation de l'opération dans cet onglet</t>
        </r>
      </text>
    </comment>
  </commentList>
</comments>
</file>

<file path=xl/comments2.xml><?xml version="1.0" encoding="utf-8"?>
<comments xmlns="http://schemas.openxmlformats.org/spreadsheetml/2006/main">
  <authors>
    <author>DEGREVE, Vincent</author>
  </authors>
  <commentList>
    <comment ref="M25" authorId="0" shapeId="0">
      <text>
        <r>
          <rPr>
            <sz val="9"/>
            <color indexed="81"/>
            <rFont val="Tahoma"/>
            <family val="2"/>
          </rPr>
          <t>Après présentation du REX Fin de GPA de l'opération
→ Suppression de l'opération dans tous les onglets</t>
        </r>
      </text>
    </commen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Utilisation du document de l'onglet "Plan d'actions"</t>
        </r>
      </text>
    </comment>
  </commentList>
</comments>
</file>

<file path=xl/comments3.xml><?xml version="1.0" encoding="utf-8"?>
<comments xmlns="http://schemas.openxmlformats.org/spreadsheetml/2006/main">
  <authors>
    <author>DEGREVE, Vincent</author>
  </authors>
  <commentList>
    <comment ref="M25" authorId="0" shapeId="0">
      <text>
        <r>
          <rPr>
            <sz val="9"/>
            <color indexed="81"/>
            <rFont val="Tahoma"/>
            <family val="2"/>
          </rPr>
          <t>Après présentation du REX Fin de GPA de l'opération
→ Suppression de l'opération dans tous les onglets</t>
        </r>
      </text>
    </comment>
    <comment ref="O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Utilisation du document de l'onglet "Plan d'actions"</t>
        </r>
      </text>
    </comment>
  </commentList>
</comments>
</file>

<file path=xl/comments4.xml><?xml version="1.0" encoding="utf-8"?>
<comments xmlns="http://schemas.openxmlformats.org/spreadsheetml/2006/main">
  <authors>
    <author>DEGREVE, Vincent</author>
  </authors>
  <commentList>
    <comment ref="M25" authorId="0" shapeId="0">
      <text>
        <r>
          <rPr>
            <sz val="9"/>
            <color indexed="81"/>
            <rFont val="Tahoma"/>
            <family val="2"/>
          </rPr>
          <t>Après présentation du REX Fin de GPA de l'opération
→ Suppression de l'opération dans tous les onglets</t>
        </r>
      </text>
    </comment>
    <comment ref="O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Utilisation du document de l'onglet "Plan d'actions"</t>
        </r>
      </text>
    </comment>
  </commentList>
</comments>
</file>

<file path=xl/comments5.xml><?xml version="1.0" encoding="utf-8"?>
<comments xmlns="http://schemas.openxmlformats.org/spreadsheetml/2006/main">
  <authors>
    <author>DEGREVE, Vincent</author>
  </authors>
  <commentList>
    <comment ref="M25" authorId="0" shapeId="0">
      <text>
        <r>
          <rPr>
            <sz val="9"/>
            <color indexed="81"/>
            <rFont val="Tahoma"/>
            <family val="2"/>
          </rPr>
          <t>Après présentation du REX Fin de GPA de l'opération
→ Suppression de l'opération dans tous les onglets</t>
        </r>
      </text>
    </comment>
    <comment ref="O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Utilisation du document de l'onglet "Plan d'actions"</t>
        </r>
      </text>
    </comment>
  </commentList>
</comments>
</file>

<file path=xl/comments6.xml><?xml version="1.0" encoding="utf-8"?>
<comments xmlns="http://schemas.openxmlformats.org/spreadsheetml/2006/main">
  <authors>
    <author>DEGREVE, Vincent</author>
  </authors>
  <commentLis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Utiliser le document de l'onglet "Plan d'actions"</t>
        </r>
      </text>
    </comment>
  </commentList>
</comments>
</file>

<file path=xl/comments7.xml><?xml version="1.0" encoding="utf-8"?>
<comments xmlns="http://schemas.openxmlformats.org/spreadsheetml/2006/main">
  <authors>
    <author>DEGREVE, Vincent</author>
  </authors>
  <commentLis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Utiliser le document de l'onglet "Plan d'actions"</t>
        </r>
      </text>
    </comment>
  </commentList>
</comments>
</file>

<file path=xl/comments8.xml><?xml version="1.0" encoding="utf-8"?>
<comments xmlns="http://schemas.openxmlformats.org/spreadsheetml/2006/main">
  <authors>
    <author>DEGREVE, Vincent</author>
  </authors>
  <commentLis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Utiliser le document de l'onglet "Plan d'actions"</t>
        </r>
      </text>
    </comment>
  </commentList>
</comments>
</file>

<file path=xl/comments9.xml><?xml version="1.0" encoding="utf-8"?>
<comments xmlns="http://schemas.openxmlformats.org/spreadsheetml/2006/main">
  <authors>
    <author>DEGREVE, Vincent</author>
  </authors>
  <commentList>
    <comment ref="P25" authorId="0" shapeId="0">
      <text>
        <r>
          <rPr>
            <sz val="10"/>
            <color indexed="81"/>
            <rFont val="Calibri"/>
            <family val="2"/>
            <scheme val="minor"/>
          </rPr>
          <t>Si définition d'actions
→ Utiliser le document de l'onglet "Plan d'actions"</t>
        </r>
      </text>
    </comment>
  </commentList>
</comments>
</file>

<file path=xl/sharedStrings.xml><?xml version="1.0" encoding="utf-8"?>
<sst xmlns="http://schemas.openxmlformats.org/spreadsheetml/2006/main" count="436" uniqueCount="101">
  <si>
    <t>Opération</t>
  </si>
  <si>
    <t>Date de réception</t>
  </si>
  <si>
    <t>CI travaux</t>
  </si>
  <si>
    <t>Date</t>
  </si>
  <si>
    <t>Délai</t>
  </si>
  <si>
    <t>PP</t>
  </si>
  <si>
    <t>ST</t>
  </si>
  <si>
    <t>Nom de l'opération</t>
  </si>
  <si>
    <t>Problématique</t>
  </si>
  <si>
    <t>Actions à mener</t>
  </si>
  <si>
    <t>Responsable(s)</t>
  </si>
  <si>
    <t>Agence</t>
  </si>
  <si>
    <t>Avancement de la phase GPA en %</t>
  </si>
  <si>
    <t>Nombre cumulé
de réclamations
GPA</t>
  </si>
  <si>
    <t>Montant cumulé des dépenses GPA</t>
  </si>
  <si>
    <t>Coût moyen d'une réclamation GPA</t>
  </si>
  <si>
    <t>Date de présentation du Bilan annuel GPA
de BBGO</t>
  </si>
  <si>
    <t>Prorogation
de la GPA
Oui / Non</t>
  </si>
  <si>
    <t>CA en €</t>
  </si>
  <si>
    <t xml:space="preserve">Délai </t>
  </si>
  <si>
    <t>Montant cumulé des dépenses
GPA / CA
en %</t>
  </si>
  <si>
    <t>Nombre de
réserves / logt
HN / HR</t>
  </si>
  <si>
    <t>Nombre cumulé
de réclamations
GPA / logt
HN / HR</t>
  </si>
  <si>
    <t>Montant cumulé des dépenses
GPA / logt
HN / HR</t>
  </si>
  <si>
    <t>Nbre de logts
HN / HR</t>
  </si>
  <si>
    <t>HN</t>
  </si>
  <si>
    <t>HR</t>
  </si>
  <si>
    <t>OF</t>
  </si>
  <si>
    <t>Oui</t>
  </si>
  <si>
    <t>Non</t>
  </si>
  <si>
    <t>Nbre de réserves
de réception</t>
  </si>
  <si>
    <t>Réactivité
moyenne en nombre de jours</t>
  </si>
  <si>
    <t xml:space="preserve">Date : </t>
  </si>
  <si>
    <t xml:space="preserve">Agence : </t>
  </si>
  <si>
    <t>NE RIEN SAISIR DANS CETTE COLONNE SERT A REMPLIR LES AUTRE ONGLETS</t>
  </si>
  <si>
    <t>Présents :</t>
  </si>
  <si>
    <t>Destinataires :</t>
  </si>
  <si>
    <t>Avancement en %</t>
  </si>
  <si>
    <t>Note de Satisfaction générale Qualimétrie PAMS</t>
  </si>
  <si>
    <t>ü</t>
  </si>
  <si>
    <t>♺</t>
  </si>
  <si>
    <t>Maître d'ouvrage Linkcity
Oui / Non</t>
  </si>
  <si>
    <t>Détail des lots réalisés en part propre (Hors gros-œuvre)</t>
  </si>
  <si>
    <t>Commentaires</t>
  </si>
  <si>
    <t>Quitus de levée de réserves</t>
  </si>
  <si>
    <t>Passation technique</t>
  </si>
  <si>
    <t>Passation administrative</t>
  </si>
  <si>
    <t>Nombre cumulé
de réclamations GPA</t>
  </si>
  <si>
    <t>Nombre de réclamations GPA
à solder</t>
  </si>
  <si>
    <t>/</t>
  </si>
  <si>
    <t>Indicateurs agence</t>
  </si>
  <si>
    <t>INDICATEURS</t>
  </si>
  <si>
    <t>VALEUR</t>
  </si>
  <si>
    <t>Numérateur</t>
  </si>
  <si>
    <t>Dénominateur</t>
  </si>
  <si>
    <t>Délai d'obtention des quitus de levée de réserves</t>
  </si>
  <si>
    <t>GPA : Nb de réclamations GPA / 100 m² SHO (OF/IE)</t>
  </si>
  <si>
    <t>GPA : Réactivité globale  (en nombre de jours)</t>
  </si>
  <si>
    <t>Dépenses GPA en k€</t>
  </si>
  <si>
    <t>% de GPA / CA</t>
  </si>
  <si>
    <t>Délai de passation technique</t>
  </si>
  <si>
    <t>Délai de passation administrative</t>
  </si>
  <si>
    <t>Informations complémentaires :</t>
  </si>
  <si>
    <r>
      <t xml:space="preserve">     </t>
    </r>
    <r>
      <rPr>
        <sz val="10"/>
        <color theme="1"/>
        <rFont val="Calibri"/>
        <family val="2"/>
      </rPr>
      <t xml:space="preserve">● </t>
    </r>
    <r>
      <rPr>
        <sz val="10"/>
        <color theme="1"/>
        <rFont val="Calibri"/>
        <family val="2"/>
        <scheme val="minor"/>
      </rPr>
      <t>Le nombre d'affaires en GPA dont sont issues les données ci-dessus :</t>
    </r>
  </si>
  <si>
    <t>Type d'ouvrage
HN / HR / OF / IE</t>
  </si>
  <si>
    <t>IE</t>
  </si>
  <si>
    <t>Nombre de
rés. / 100 m² SHO
OF / IE</t>
  </si>
  <si>
    <t>Nombre cumulé
de réclamations
GPA / 100 m² SHO
OF / IE</t>
  </si>
  <si>
    <t>Montant cumulé des dépenses
GPA / 100 m² SHO
OF / IE</t>
  </si>
  <si>
    <t>SHO en m²
OF / IE</t>
  </si>
  <si>
    <t>XXXX</t>
  </si>
  <si>
    <t>en % :</t>
  </si>
  <si>
    <t>Clôture de la GPA</t>
  </si>
  <si>
    <t>Délai moyen :</t>
  </si>
  <si>
    <t>* : toutes affaires confondues</t>
  </si>
  <si>
    <t>** : affaires avec phase GPA clôturée</t>
  </si>
  <si>
    <r>
      <t xml:space="preserve">     </t>
    </r>
    <r>
      <rPr>
        <sz val="10"/>
        <color theme="1"/>
        <rFont val="Calibri"/>
        <family val="2"/>
      </rPr>
      <t xml:space="preserve">● </t>
    </r>
    <r>
      <rPr>
        <sz val="10"/>
        <color theme="1"/>
        <rFont val="Calibri"/>
        <family val="2"/>
        <scheme val="minor"/>
      </rPr>
      <t>Le nombre d'affaires avec la phase GPA clôturée receptionnées sans réserve ** :</t>
    </r>
  </si>
  <si>
    <r>
      <t xml:space="preserve">     </t>
    </r>
    <r>
      <rPr>
        <sz val="10"/>
        <color theme="1"/>
        <rFont val="Calibri"/>
        <family val="2"/>
      </rPr>
      <t xml:space="preserve">● </t>
    </r>
    <r>
      <rPr>
        <sz val="10"/>
        <color theme="1"/>
        <rFont val="Calibri"/>
        <family val="2"/>
        <scheme val="minor"/>
      </rPr>
      <t>Le nombre d'affaires receptionnées sans réserve * :</t>
    </r>
  </si>
  <si>
    <t>Montant cumulé des dépenses GPA
en €</t>
  </si>
  <si>
    <t>Coût moyen d'une réclamation GPA
en €</t>
  </si>
  <si>
    <t>Date de présentation du REX Fin de GPA</t>
  </si>
  <si>
    <r>
      <rPr>
        <sz val="10"/>
        <color theme="1"/>
        <rFont val="Calibri"/>
        <family val="2"/>
      </rPr>
      <t xml:space="preserve">     ● </t>
    </r>
    <r>
      <rPr>
        <sz val="10"/>
        <color theme="1"/>
        <rFont val="Calibri"/>
        <family val="2"/>
        <scheme val="minor"/>
      </rPr>
      <t>Le nombre de REX Fin de GPA réalisés sur ces affaires ** :</t>
    </r>
  </si>
  <si>
    <t>GPA : Nb de réclamations GPA / logt HN</t>
  </si>
  <si>
    <t>GPA : Nb de réclamations GPA / Logt HR</t>
  </si>
  <si>
    <t>GPA : Nb de réclamations GPA / Logt HN</t>
  </si>
  <si>
    <t>Nb de chantiers ayant fait l'objet d'une passation technique</t>
  </si>
  <si>
    <t>Nb de chantiers ayant fait l'objet d'une passation administrative</t>
  </si>
  <si>
    <t>Nombre cumulé
de réclamations
GPA / Logt
HN / HR</t>
  </si>
  <si>
    <t>Montant cumulé des dépenses
GPA / Logt
HN / HR</t>
  </si>
  <si>
    <t>Nombre cumulé
de réclamations
GPA / Logt</t>
  </si>
  <si>
    <t>Montant cumulé des dépenses
GPA / Logt</t>
  </si>
  <si>
    <t>Nombre cumulé
de réclamations
GPA / 100 m² SHO</t>
  </si>
  <si>
    <t>Montant cumulé des dépenses
GPA / 100 m² SHO</t>
  </si>
  <si>
    <t xml:space="preserve"> - HN :</t>
  </si>
  <si>
    <t xml:space="preserve"> - HR :</t>
  </si>
  <si>
    <t xml:space="preserve"> - OF :</t>
  </si>
  <si>
    <t xml:space="preserve"> - IE :  </t>
  </si>
  <si>
    <t>µ</t>
  </si>
  <si>
    <t>VDE</t>
  </si>
  <si>
    <t>A</t>
  </si>
  <si>
    <t>Suppression de l'opération dans les bilans
Oui /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</si>
</sst>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2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FF0000"/>
      <name val="Calibri"/>
      <family val="2"/>
      <scheme val="minor"/>
    </font>
    <font>
      <sz val="16"/>
      <color theme="0"/>
      <name val="Wingdings"/>
      <charset val="2"/>
    </font>
    <font>
      <sz val="11"/>
      <color theme="0"/>
      <name val="Yu Gothic UI Semilight"/>
      <family val="2"/>
    </font>
    <font>
      <sz val="8"/>
      <color rgb="FF000000"/>
      <name val="Segoe UI"/>
      <family val="2"/>
    </font>
    <font>
      <sz val="10"/>
      <color indexed="81"/>
      <name val="Calibri"/>
      <family val="2"/>
      <scheme val="minor"/>
    </font>
    <font>
      <sz val="11"/>
      <color theme="0"/>
      <name val="Calibri"/>
      <family val="2"/>
    </font>
    <font>
      <sz val="10"/>
      <color theme="1"/>
      <name val="Calibri"/>
      <family val="2"/>
    </font>
    <font>
      <i/>
      <sz val="11"/>
      <color theme="1"/>
      <name val="Calibri"/>
      <family val="2"/>
      <scheme val="minor"/>
    </font>
    <font>
      <sz val="9"/>
      <color rgb="FF3E3E3E"/>
      <name val="Courier New"/>
      <family val="3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0"/>
      <color theme="1"/>
      <name val="Californian FB"/>
      <family val="1"/>
    </font>
    <font>
      <sz val="9"/>
      <color indexed="81"/>
      <name val="Tahoma"/>
      <family val="2"/>
    </font>
    <font>
      <b/>
      <sz val="16"/>
      <color theme="0"/>
      <name val="Wingdings"/>
      <charset val="2"/>
    </font>
    <font>
      <b/>
      <sz val="20"/>
      <color theme="0"/>
      <name val="Wingdings"/>
      <charset val="2"/>
    </font>
    <font>
      <b/>
      <sz val="16"/>
      <color rgb="FFFF0000"/>
      <name val="Wingdings"/>
      <charset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gray0625"/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Fill="1"/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/>
    </xf>
    <xf numFmtId="1" fontId="2" fillId="4" borderId="9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5" fillId="0" borderId="0" xfId="0" applyFont="1"/>
    <xf numFmtId="1" fontId="2" fillId="0" borderId="9" xfId="0" applyNumberFormat="1" applyFont="1" applyBorder="1" applyAlignment="1">
      <alignment horizontal="center" vertical="center"/>
    </xf>
    <xf numFmtId="0" fontId="6" fillId="0" borderId="0" xfId="0" applyFont="1"/>
    <xf numFmtId="0" fontId="7" fillId="5" borderId="0" xfId="0" applyFont="1" applyFill="1" applyAlignment="1">
      <alignment wrapText="1"/>
    </xf>
    <xf numFmtId="0" fontId="0" fillId="5" borderId="0" xfId="0" applyFill="1"/>
    <xf numFmtId="0" fontId="8" fillId="8" borderId="0" xfId="0" applyFont="1" applyFill="1"/>
    <xf numFmtId="14" fontId="0" fillId="0" borderId="0" xfId="0" applyNumberForma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3" fontId="2" fillId="4" borderId="9" xfId="0" applyNumberFormat="1" applyFont="1" applyFill="1" applyBorder="1" applyAlignment="1">
      <alignment horizontal="center" vertical="center"/>
    </xf>
    <xf numFmtId="3" fontId="2" fillId="4" borderId="9" xfId="0" applyNumberFormat="1" applyFont="1" applyFill="1" applyBorder="1" applyAlignment="1" applyProtection="1">
      <alignment horizontal="center" vertical="center"/>
    </xf>
    <xf numFmtId="14" fontId="2" fillId="4" borderId="9" xfId="0" applyNumberFormat="1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14" fontId="2" fillId="0" borderId="9" xfId="0" applyNumberFormat="1" applyFont="1" applyBorder="1" applyAlignment="1" applyProtection="1">
      <alignment horizontal="center" vertical="center"/>
    </xf>
    <xf numFmtId="4" fontId="2" fillId="0" borderId="9" xfId="0" applyNumberFormat="1" applyFont="1" applyBorder="1" applyAlignment="1" applyProtection="1">
      <alignment horizontal="center" vertical="center"/>
    </xf>
    <xf numFmtId="1" fontId="2" fillId="0" borderId="9" xfId="0" applyNumberFormat="1" applyFont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</xf>
    <xf numFmtId="0" fontId="8" fillId="0" borderId="0" xfId="0" applyFont="1"/>
    <xf numFmtId="0" fontId="2" fillId="0" borderId="0" xfId="0" applyFont="1"/>
    <xf numFmtId="1" fontId="2" fillId="4" borderId="9" xfId="0" applyNumberFormat="1" applyFont="1" applyFill="1" applyBorder="1" applyAlignment="1" applyProtection="1">
      <alignment horizontal="center" vertical="center"/>
      <protection hidden="1"/>
    </xf>
    <xf numFmtId="2" fontId="2" fillId="4" borderId="9" xfId="0" applyNumberFormat="1" applyFont="1" applyFill="1" applyBorder="1" applyAlignment="1" applyProtection="1">
      <alignment horizontal="center" vertical="center"/>
      <protection hidden="1"/>
    </xf>
    <xf numFmtId="3" fontId="2" fillId="4" borderId="9" xfId="0" applyNumberFormat="1" applyFont="1" applyFill="1" applyBorder="1" applyAlignment="1" applyProtection="1">
      <alignment horizontal="center" vertical="center"/>
      <protection hidden="1"/>
    </xf>
    <xf numFmtId="4" fontId="2" fillId="4" borderId="9" xfId="0" applyNumberFormat="1" applyFont="1" applyFill="1" applyBorder="1" applyAlignment="1" applyProtection="1">
      <alignment horizontal="center" vertical="center"/>
      <protection hidden="1"/>
    </xf>
    <xf numFmtId="4" fontId="2" fillId="0" borderId="9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2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15" fillId="0" borderId="0" xfId="0" applyFont="1" applyProtection="1">
      <protection hidden="1"/>
    </xf>
    <xf numFmtId="0" fontId="2" fillId="0" borderId="8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2" fontId="5" fillId="4" borderId="0" xfId="0" applyNumberFormat="1" applyFont="1" applyFill="1" applyBorder="1" applyAlignment="1" applyProtection="1">
      <protection hidden="1"/>
    </xf>
    <xf numFmtId="2" fontId="8" fillId="0" borderId="0" xfId="0" applyNumberFormat="1" applyFont="1"/>
    <xf numFmtId="0" fontId="1" fillId="4" borderId="8" xfId="0" applyFont="1" applyFill="1" applyBorder="1" applyAlignment="1">
      <alignment horizontal="center" vertical="center"/>
    </xf>
    <xf numFmtId="1" fontId="1" fillId="4" borderId="9" xfId="0" applyNumberFormat="1" applyFont="1" applyFill="1" applyBorder="1" applyAlignment="1" applyProtection="1">
      <alignment horizontal="center" vertical="center"/>
      <protection hidden="1"/>
    </xf>
    <xf numFmtId="2" fontId="1" fillId="4" borderId="9" xfId="0" applyNumberFormat="1" applyFont="1" applyFill="1" applyBorder="1" applyAlignment="1" applyProtection="1">
      <alignment horizontal="center" vertical="center"/>
      <protection hidden="1"/>
    </xf>
    <xf numFmtId="3" fontId="1" fillId="4" borderId="9" xfId="0" applyNumberFormat="1" applyFont="1" applyFill="1" applyBorder="1" applyAlignment="1" applyProtection="1">
      <alignment horizontal="center" vertical="center"/>
      <protection hidden="1"/>
    </xf>
    <xf numFmtId="3" fontId="1" fillId="9" borderId="9" xfId="0" applyNumberFormat="1" applyFont="1" applyFill="1" applyBorder="1" applyAlignment="1" applyProtection="1">
      <alignment horizontal="center" vertical="center"/>
      <protection hidden="1"/>
    </xf>
    <xf numFmtId="4" fontId="1" fillId="4" borderId="9" xfId="0" applyNumberFormat="1" applyFont="1" applyFill="1" applyBorder="1" applyAlignment="1" applyProtection="1">
      <alignment horizontal="center" vertical="center"/>
      <protection hidden="1"/>
    </xf>
    <xf numFmtId="4" fontId="1" fillId="0" borderId="9" xfId="0" applyNumberFormat="1" applyFont="1" applyBorder="1" applyAlignment="1" applyProtection="1">
      <alignment horizontal="center" vertical="center"/>
      <protection hidden="1"/>
    </xf>
    <xf numFmtId="14" fontId="1" fillId="10" borderId="7" xfId="0" applyNumberFormat="1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0" borderId="0" xfId="0" applyFont="1" applyFill="1"/>
    <xf numFmtId="0" fontId="2" fillId="0" borderId="0" xfId="0" applyFont="1" applyAlignment="1">
      <alignment vertical="center"/>
    </xf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2" fontId="8" fillId="0" borderId="0" xfId="0" applyNumberFormat="1" applyFon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2" fillId="11" borderId="9" xfId="0" applyFont="1" applyFill="1" applyBorder="1" applyAlignment="1" applyProtection="1">
      <alignment horizontal="center" vertical="center"/>
      <protection hidden="1"/>
    </xf>
    <xf numFmtId="0" fontId="2" fillId="12" borderId="9" xfId="0" applyFont="1" applyFill="1" applyBorder="1" applyAlignment="1" applyProtection="1">
      <alignment horizontal="center" vertical="center"/>
      <protection hidden="1"/>
    </xf>
    <xf numFmtId="0" fontId="2" fillId="13" borderId="9" xfId="0" applyFont="1" applyFill="1" applyBorder="1" applyAlignment="1" applyProtection="1">
      <alignment horizontal="center" vertical="center"/>
      <protection hidden="1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" fontId="2" fillId="0" borderId="0" xfId="0" applyNumberFormat="1" applyFont="1" applyAlignment="1" applyProtection="1">
      <alignment horizontal="center" vertical="center"/>
      <protection hidden="1"/>
    </xf>
    <xf numFmtId="0" fontId="0" fillId="0" borderId="0" xfId="0" applyFont="1" applyAlignment="1">
      <alignment vertical="center"/>
    </xf>
    <xf numFmtId="0" fontId="2" fillId="4" borderId="8" xfId="0" applyFont="1" applyFill="1" applyBorder="1" applyAlignment="1" applyProtection="1">
      <alignment horizontal="center" vertical="center"/>
      <protection hidden="1"/>
    </xf>
    <xf numFmtId="0" fontId="2" fillId="2" borderId="9" xfId="0" applyFont="1" applyFill="1" applyBorder="1" applyAlignment="1" applyProtection="1">
      <alignment horizontal="center" vertical="center" wrapText="1"/>
      <protection hidden="1"/>
    </xf>
    <xf numFmtId="0" fontId="2" fillId="4" borderId="8" xfId="0" applyFont="1" applyFill="1" applyBorder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center" vertical="center"/>
      <protection hidden="1"/>
    </xf>
    <xf numFmtId="3" fontId="2" fillId="11" borderId="9" xfId="0" applyNumberFormat="1" applyFont="1" applyFill="1" applyBorder="1" applyAlignment="1" applyProtection="1">
      <alignment horizontal="center" vertical="center"/>
      <protection hidden="1"/>
    </xf>
    <xf numFmtId="1" fontId="2" fillId="11" borderId="9" xfId="0" applyNumberFormat="1" applyFont="1" applyFill="1" applyBorder="1" applyAlignment="1" applyProtection="1">
      <alignment horizontal="center" vertical="center"/>
      <protection hidden="1"/>
    </xf>
    <xf numFmtId="4" fontId="2" fillId="13" borderId="9" xfId="0" applyNumberFormat="1" applyFont="1" applyFill="1" applyBorder="1" applyAlignment="1" applyProtection="1">
      <alignment horizontal="center" vertical="center"/>
      <protection hidden="1"/>
    </xf>
    <xf numFmtId="1" fontId="2" fillId="2" borderId="9" xfId="0" applyNumberFormat="1" applyFont="1" applyFill="1" applyBorder="1" applyAlignment="1" applyProtection="1">
      <alignment horizontal="center" vertical="center"/>
      <protection hidden="1"/>
    </xf>
    <xf numFmtId="3" fontId="2" fillId="0" borderId="9" xfId="0" applyNumberFormat="1" applyFont="1" applyBorder="1" applyAlignment="1" applyProtection="1">
      <alignment horizontal="center" vertical="center"/>
    </xf>
    <xf numFmtId="3" fontId="2" fillId="0" borderId="9" xfId="0" applyNumberFormat="1" applyFont="1" applyBorder="1" applyAlignment="1" applyProtection="1">
      <alignment horizontal="center" vertical="center"/>
      <protection hidden="1"/>
    </xf>
    <xf numFmtId="3" fontId="1" fillId="0" borderId="9" xfId="0" applyNumberFormat="1" applyFont="1" applyBorder="1" applyAlignment="1" applyProtection="1">
      <alignment horizontal="center" vertical="center"/>
      <protection hidden="1"/>
    </xf>
    <xf numFmtId="164" fontId="0" fillId="0" borderId="0" xfId="0" applyNumberFormat="1" applyAlignment="1">
      <alignment horizontal="center" vertical="center"/>
    </xf>
    <xf numFmtId="0" fontId="18" fillId="0" borderId="0" xfId="0" applyFont="1"/>
    <xf numFmtId="1" fontId="2" fillId="4" borderId="9" xfId="0" applyNumberFormat="1" applyFont="1" applyFill="1" applyBorder="1" applyAlignment="1">
      <alignment horizontal="center" vertical="center"/>
    </xf>
    <xf numFmtId="0" fontId="0" fillId="0" borderId="0" xfId="0" applyFont="1"/>
    <xf numFmtId="14" fontId="8" fillId="0" borderId="0" xfId="0" applyNumberFormat="1" applyFont="1" applyProtection="1">
      <protection hidden="1"/>
    </xf>
    <xf numFmtId="0" fontId="2" fillId="0" borderId="0" xfId="0" applyFont="1" applyAlignment="1">
      <alignment horizontal="right" vertical="center"/>
    </xf>
    <xf numFmtId="3" fontId="2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4" fontId="2" fillId="12" borderId="9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vertical="center"/>
      <protection hidden="1"/>
    </xf>
    <xf numFmtId="0" fontId="2" fillId="0" borderId="8" xfId="0" applyFont="1" applyBorder="1" applyAlignment="1">
      <alignment horizontal="center" vertical="center" wrapText="1"/>
    </xf>
    <xf numFmtId="4" fontId="2" fillId="0" borderId="9" xfId="0" applyNumberFormat="1" applyFont="1" applyBorder="1" applyAlignment="1" applyProtection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4" borderId="9" xfId="0" applyNumberFormat="1" applyFont="1" applyFill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14" fontId="2" fillId="0" borderId="10" xfId="0" applyNumberFormat="1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4" fillId="0" borderId="0" xfId="0" applyFont="1" applyAlignment="1" applyProtection="1">
      <alignment horizontal="center" vertical="center"/>
      <protection hidden="1"/>
    </xf>
    <xf numFmtId="2" fontId="5" fillId="0" borderId="0" xfId="0" applyNumberFormat="1" applyFont="1" applyProtection="1"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2" fontId="6" fillId="4" borderId="0" xfId="0" applyNumberFormat="1" applyFont="1" applyFill="1" applyBorder="1" applyAlignment="1" applyProtection="1">
      <protection hidden="1"/>
    </xf>
    <xf numFmtId="2" fontId="6" fillId="0" borderId="0" xfId="0" applyNumberFormat="1" applyFont="1" applyProtection="1">
      <protection hidden="1"/>
    </xf>
    <xf numFmtId="0" fontId="26" fillId="0" borderId="0" xfId="0" applyFont="1" applyAlignment="1" applyProtection="1">
      <alignment horizontal="center" vertical="center"/>
      <protection hidden="1"/>
    </xf>
    <xf numFmtId="14" fontId="1" fillId="9" borderId="9" xfId="0" applyNumberFormat="1" applyFont="1" applyFill="1" applyBorder="1" applyAlignment="1" applyProtection="1">
      <alignment horizontal="center" vertical="center"/>
      <protection hidden="1"/>
    </xf>
    <xf numFmtId="3" fontId="1" fillId="9" borderId="7" xfId="0" applyNumberFormat="1" applyFont="1" applyFill="1" applyBorder="1" applyAlignment="1" applyProtection="1">
      <alignment horizontal="center" vertical="center"/>
      <protection hidden="1"/>
    </xf>
    <xf numFmtId="0" fontId="1" fillId="9" borderId="9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14" fontId="6" fillId="4" borderId="0" xfId="0" applyNumberFormat="1" applyFont="1" applyFill="1" applyBorder="1" applyAlignment="1" applyProtection="1">
      <protection hidden="1"/>
    </xf>
    <xf numFmtId="2" fontId="0" fillId="0" borderId="0" xfId="0" applyNumberFormat="1"/>
    <xf numFmtId="0" fontId="17" fillId="0" borderId="0" xfId="0" applyFont="1" applyAlignment="1" applyProtection="1">
      <alignment horizontal="center" vertical="center"/>
      <protection hidden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7" fillId="0" borderId="0" xfId="0" applyFont="1" applyFill="1" applyAlignment="1" applyProtection="1">
      <alignment horizontal="center" vertical="center"/>
      <protection hidden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1">
    <cellStyle name="Normal" xfId="0" builtinId="0"/>
  </cellStyles>
  <dxfs count="216"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auto="1"/>
      </font>
    </dxf>
    <dxf>
      <font>
        <color theme="0"/>
      </font>
      <fill>
        <patternFill patternType="gray0625"/>
      </fill>
    </dxf>
    <dxf>
      <font>
        <color theme="0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rgb="FFFF0000"/>
      </font>
    </dxf>
    <dxf>
      <font>
        <color rgb="FF00B050"/>
      </font>
    </dxf>
    <dxf>
      <font>
        <color theme="0"/>
      </font>
      <fill>
        <patternFill patternType="gray0625"/>
      </fill>
    </dxf>
    <dxf>
      <font>
        <color theme="1"/>
      </font>
    </dxf>
    <dxf>
      <font>
        <color theme="0"/>
      </font>
      <fill>
        <patternFill patternType="gray0625"/>
      </fill>
    </dxf>
    <dxf>
      <font>
        <color rgb="FF00B050"/>
      </font>
    </dxf>
    <dxf>
      <font>
        <color rgb="FFFF000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00B05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gray0625"/>
      </fill>
    </dxf>
    <dxf>
      <font>
        <color theme="0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rgb="FFFF0000"/>
      </font>
    </dxf>
    <dxf>
      <font>
        <color rgb="FF00B050"/>
      </font>
    </dxf>
    <dxf>
      <font>
        <color theme="0"/>
      </font>
      <fill>
        <patternFill patternType="gray0625"/>
      </fill>
    </dxf>
    <dxf>
      <font>
        <color theme="1"/>
      </font>
    </dxf>
    <dxf>
      <font>
        <color theme="0"/>
      </font>
      <fill>
        <patternFill patternType="gray0625"/>
      </fill>
    </dxf>
    <dxf>
      <font>
        <color rgb="FF00B050"/>
      </font>
    </dxf>
    <dxf>
      <font>
        <color rgb="FFFF000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00B05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rgb="FFFF0000"/>
      </font>
    </dxf>
    <dxf>
      <font>
        <color rgb="FF00B050"/>
      </font>
    </dxf>
    <dxf>
      <font>
        <color theme="0"/>
      </font>
      <fill>
        <patternFill patternType="gray0625"/>
      </fill>
    </dxf>
    <dxf>
      <font>
        <color theme="1"/>
      </font>
    </dxf>
    <dxf>
      <font>
        <color theme="0"/>
      </font>
      <fill>
        <patternFill patternType="gray0625"/>
      </fill>
    </dxf>
    <dxf>
      <font>
        <color theme="0"/>
      </font>
      <fill>
        <patternFill patternType="gray0625"/>
      </fill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00B05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0000"/>
      <color rgb="FFFFFFCC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18</xdr:row>
          <xdr:rowOff>85725</xdr:rowOff>
        </xdr:from>
        <xdr:to>
          <xdr:col>10</xdr:col>
          <xdr:colOff>1123950</xdr:colOff>
          <xdr:row>18</xdr:row>
          <xdr:rowOff>266700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4757</xdr:colOff>
      <xdr:row>9</xdr:row>
      <xdr:rowOff>4763</xdr:rowOff>
    </xdr:from>
    <xdr:to>
      <xdr:col>13</xdr:col>
      <xdr:colOff>55157</xdr:colOff>
      <xdr:row>12</xdr:row>
      <xdr:rowOff>189263</xdr:rowOff>
    </xdr:to>
    <xdr:sp macro="" textlink="">
      <xdr:nvSpPr>
        <xdr:cNvPr id="4" name="ZoneTexte 3"/>
        <xdr:cNvSpPr txBox="1"/>
      </xdr:nvSpPr>
      <xdr:spPr>
        <a:xfrm>
          <a:off x="61907" y="1585913"/>
          <a:ext cx="10108800" cy="756000"/>
        </a:xfrm>
        <a:prstGeom prst="roundRect">
          <a:avLst/>
        </a:prstGeom>
        <a:solidFill>
          <a:schemeClr val="bg1">
            <a:lumMod val="9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Données</a:t>
          </a:r>
          <a:r>
            <a:rPr lang="fr-FR" sz="1400" b="1" baseline="0">
              <a:solidFill>
                <a:schemeClr val="tx1"/>
              </a:solidFill>
            </a:rPr>
            <a:t> opérations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4767</xdr:colOff>
      <xdr:row>1</xdr:row>
      <xdr:rowOff>4763</xdr:rowOff>
    </xdr:from>
    <xdr:to>
      <xdr:col>10</xdr:col>
      <xdr:colOff>1318617</xdr:colOff>
      <xdr:row>6</xdr:row>
      <xdr:rowOff>189863</xdr:rowOff>
    </xdr:to>
    <xdr:sp macro="" textlink="'Feuille Saisie'!E2">
      <xdr:nvSpPr>
        <xdr:cNvPr id="2" name="ZoneTexte 1">
          <a:extLst>
            <a:ext uri="{FF2B5EF4-FFF2-40B4-BE49-F238E27FC236}">
              <a16:creationId xmlns="" xmlns:a16="http://schemas.microsoft.com/office/drawing/2014/main" id="{336C5E17-EF01-43B4-BA2F-2629C9DA112E}"/>
            </a:ext>
          </a:extLst>
        </xdr:cNvPr>
        <xdr:cNvSpPr txBox="1"/>
      </xdr:nvSpPr>
      <xdr:spPr>
        <a:xfrm>
          <a:off x="61917" y="61913"/>
          <a:ext cx="1242000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fld id="{78B3FDD3-A508-404A-BE79-B55CD8F614FE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>
              <a:lnSpc>
                <a:spcPts val="3400"/>
              </a:lnSpc>
            </a:pPr>
            <a:t>Agence : XXXX
Date : 20/02/2019</a:t>
          </a:fld>
          <a:endParaRPr lang="fr-FR" sz="1400" b="1"/>
        </a:p>
      </xdr:txBody>
    </xdr:sp>
    <xdr:clientData/>
  </xdr:twoCellAnchor>
  <xdr:twoCellAnchor>
    <xdr:from>
      <xdr:col>10</xdr:col>
      <xdr:colOff>1447941</xdr:colOff>
      <xdr:row>1</xdr:row>
      <xdr:rowOff>4763</xdr:rowOff>
    </xdr:from>
    <xdr:to>
      <xdr:col>13</xdr:col>
      <xdr:colOff>56691</xdr:colOff>
      <xdr:row>6</xdr:row>
      <xdr:rowOff>189863</xdr:rowOff>
    </xdr:to>
    <xdr:sp macro="" textlink="'Feuille Saisie'!E4">
      <xdr:nvSpPr>
        <xdr:cNvPr id="9" name="ZoneTexte 8">
          <a:extLst>
            <a:ext uri="{FF2B5EF4-FFF2-40B4-BE49-F238E27FC236}">
              <a16:creationId xmlns="" xmlns:a16="http://schemas.microsoft.com/office/drawing/2014/main" id="{336C5E17-EF01-43B4-BA2F-2629C9DA112E}"/>
            </a:ext>
          </a:extLst>
        </xdr:cNvPr>
        <xdr:cNvSpPr txBox="1"/>
      </xdr:nvSpPr>
      <xdr:spPr>
        <a:xfrm>
          <a:off x="12611241" y="61913"/>
          <a:ext cx="12420000" cy="11376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0" rIns="0" bIns="126000" rtlCol="0" anchor="ctr"/>
        <a:lstStyle/>
        <a:p>
          <a:pPr>
            <a:lnSpc>
              <a:spcPts val="3400"/>
            </a:lnSpc>
          </a:pPr>
          <a:fld id="{1EE38D43-F033-4B6A-9636-E592408209D7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>
              <a:lnSpc>
                <a:spcPts val="3400"/>
              </a:lnSpc>
            </a:pPr>
            <a:t>Présents : XXXX
Destinataires : XXXX</a:t>
          </a:fld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1</xdr:row>
          <xdr:rowOff>152400</xdr:rowOff>
        </xdr:from>
        <xdr:to>
          <xdr:col>10</xdr:col>
          <xdr:colOff>933450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 pour saisir le nom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 l'agence et la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7210425</xdr:colOff>
          <xdr:row>1</xdr:row>
          <xdr:rowOff>152400</xdr:rowOff>
        </xdr:from>
        <xdr:to>
          <xdr:col>12</xdr:col>
          <xdr:colOff>9058275</xdr:colOff>
          <xdr:row>6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 pour saisir le nom des présents et des destinataires en diffusion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18</xdr:row>
          <xdr:rowOff>85725</xdr:rowOff>
        </xdr:from>
        <xdr:to>
          <xdr:col>10</xdr:col>
          <xdr:colOff>2181225</xdr:colOff>
          <xdr:row>18</xdr:row>
          <xdr:rowOff>266700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18</xdr:row>
          <xdr:rowOff>371475</xdr:rowOff>
        </xdr:from>
        <xdr:to>
          <xdr:col>10</xdr:col>
          <xdr:colOff>828675</xdr:colOff>
          <xdr:row>18</xdr:row>
          <xdr:rowOff>552450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18</xdr:row>
          <xdr:rowOff>85725</xdr:rowOff>
        </xdr:from>
        <xdr:to>
          <xdr:col>10</xdr:col>
          <xdr:colOff>2943225</xdr:colOff>
          <xdr:row>18</xdr:row>
          <xdr:rowOff>266700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18</xdr:row>
          <xdr:rowOff>371475</xdr:rowOff>
        </xdr:from>
        <xdr:to>
          <xdr:col>10</xdr:col>
          <xdr:colOff>1771650</xdr:colOff>
          <xdr:row>18</xdr:row>
          <xdr:rowOff>552450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18</xdr:row>
          <xdr:rowOff>85725</xdr:rowOff>
        </xdr:from>
        <xdr:to>
          <xdr:col>10</xdr:col>
          <xdr:colOff>4257675</xdr:colOff>
          <xdr:row>18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18</xdr:row>
          <xdr:rowOff>85725</xdr:rowOff>
        </xdr:from>
        <xdr:to>
          <xdr:col>10</xdr:col>
          <xdr:colOff>3705225</xdr:colOff>
          <xdr:row>18</xdr:row>
          <xdr:rowOff>266700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18</xdr:row>
          <xdr:rowOff>371475</xdr:rowOff>
        </xdr:from>
        <xdr:to>
          <xdr:col>10</xdr:col>
          <xdr:colOff>3981450</xdr:colOff>
          <xdr:row>18</xdr:row>
          <xdr:rowOff>552450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19</xdr:row>
          <xdr:rowOff>85725</xdr:rowOff>
        </xdr:from>
        <xdr:to>
          <xdr:col>10</xdr:col>
          <xdr:colOff>1123950</xdr:colOff>
          <xdr:row>19</xdr:row>
          <xdr:rowOff>266700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19</xdr:row>
          <xdr:rowOff>85725</xdr:rowOff>
        </xdr:from>
        <xdr:to>
          <xdr:col>10</xdr:col>
          <xdr:colOff>2181225</xdr:colOff>
          <xdr:row>19</xdr:row>
          <xdr:rowOff>266700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19</xdr:row>
          <xdr:rowOff>371475</xdr:rowOff>
        </xdr:from>
        <xdr:to>
          <xdr:col>10</xdr:col>
          <xdr:colOff>828675</xdr:colOff>
          <xdr:row>19</xdr:row>
          <xdr:rowOff>552450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19</xdr:row>
          <xdr:rowOff>85725</xdr:rowOff>
        </xdr:from>
        <xdr:to>
          <xdr:col>10</xdr:col>
          <xdr:colOff>2943225</xdr:colOff>
          <xdr:row>19</xdr:row>
          <xdr:rowOff>266700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19</xdr:row>
          <xdr:rowOff>371475</xdr:rowOff>
        </xdr:from>
        <xdr:to>
          <xdr:col>10</xdr:col>
          <xdr:colOff>1771650</xdr:colOff>
          <xdr:row>19</xdr:row>
          <xdr:rowOff>552450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19</xdr:row>
          <xdr:rowOff>85725</xdr:rowOff>
        </xdr:from>
        <xdr:to>
          <xdr:col>10</xdr:col>
          <xdr:colOff>4257675</xdr:colOff>
          <xdr:row>19</xdr:row>
          <xdr:rowOff>266700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19</xdr:row>
          <xdr:rowOff>85725</xdr:rowOff>
        </xdr:from>
        <xdr:to>
          <xdr:col>10</xdr:col>
          <xdr:colOff>3705225</xdr:colOff>
          <xdr:row>19</xdr:row>
          <xdr:rowOff>266700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19</xdr:row>
          <xdr:rowOff>371475</xdr:rowOff>
        </xdr:from>
        <xdr:to>
          <xdr:col>10</xdr:col>
          <xdr:colOff>3981450</xdr:colOff>
          <xdr:row>19</xdr:row>
          <xdr:rowOff>552450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104775</xdr:rowOff>
        </xdr:from>
        <xdr:to>
          <xdr:col>10</xdr:col>
          <xdr:colOff>1123950</xdr:colOff>
          <xdr:row>20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20</xdr:row>
          <xdr:rowOff>85725</xdr:rowOff>
        </xdr:from>
        <xdr:to>
          <xdr:col>10</xdr:col>
          <xdr:colOff>2181225</xdr:colOff>
          <xdr:row>20</xdr:row>
          <xdr:rowOff>266700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371475</xdr:rowOff>
        </xdr:from>
        <xdr:to>
          <xdr:col>10</xdr:col>
          <xdr:colOff>828675</xdr:colOff>
          <xdr:row>20</xdr:row>
          <xdr:rowOff>552450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20</xdr:row>
          <xdr:rowOff>85725</xdr:rowOff>
        </xdr:from>
        <xdr:to>
          <xdr:col>10</xdr:col>
          <xdr:colOff>2943225</xdr:colOff>
          <xdr:row>20</xdr:row>
          <xdr:rowOff>266700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20</xdr:row>
          <xdr:rowOff>371475</xdr:rowOff>
        </xdr:from>
        <xdr:to>
          <xdr:col>10</xdr:col>
          <xdr:colOff>1771650</xdr:colOff>
          <xdr:row>20</xdr:row>
          <xdr:rowOff>552450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20</xdr:row>
          <xdr:rowOff>85725</xdr:rowOff>
        </xdr:from>
        <xdr:to>
          <xdr:col>10</xdr:col>
          <xdr:colOff>4257675</xdr:colOff>
          <xdr:row>20</xdr:row>
          <xdr:rowOff>266700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20</xdr:row>
          <xdr:rowOff>85725</xdr:rowOff>
        </xdr:from>
        <xdr:to>
          <xdr:col>10</xdr:col>
          <xdr:colOff>3705225</xdr:colOff>
          <xdr:row>20</xdr:row>
          <xdr:rowOff>266700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20</xdr:row>
          <xdr:rowOff>371475</xdr:rowOff>
        </xdr:from>
        <xdr:to>
          <xdr:col>10</xdr:col>
          <xdr:colOff>3981450</xdr:colOff>
          <xdr:row>20</xdr:row>
          <xdr:rowOff>552450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21</xdr:row>
          <xdr:rowOff>85725</xdr:rowOff>
        </xdr:from>
        <xdr:to>
          <xdr:col>10</xdr:col>
          <xdr:colOff>1123950</xdr:colOff>
          <xdr:row>21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21</xdr:row>
          <xdr:rowOff>85725</xdr:rowOff>
        </xdr:from>
        <xdr:to>
          <xdr:col>10</xdr:col>
          <xdr:colOff>2181225</xdr:colOff>
          <xdr:row>21</xdr:row>
          <xdr:rowOff>266700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21</xdr:row>
          <xdr:rowOff>371475</xdr:rowOff>
        </xdr:from>
        <xdr:to>
          <xdr:col>10</xdr:col>
          <xdr:colOff>828675</xdr:colOff>
          <xdr:row>21</xdr:row>
          <xdr:rowOff>552450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21</xdr:row>
          <xdr:rowOff>85725</xdr:rowOff>
        </xdr:from>
        <xdr:to>
          <xdr:col>10</xdr:col>
          <xdr:colOff>2943225</xdr:colOff>
          <xdr:row>21</xdr:row>
          <xdr:rowOff>266700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21</xdr:row>
          <xdr:rowOff>371475</xdr:rowOff>
        </xdr:from>
        <xdr:to>
          <xdr:col>10</xdr:col>
          <xdr:colOff>1771650</xdr:colOff>
          <xdr:row>21</xdr:row>
          <xdr:rowOff>552450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21</xdr:row>
          <xdr:rowOff>85725</xdr:rowOff>
        </xdr:from>
        <xdr:to>
          <xdr:col>10</xdr:col>
          <xdr:colOff>4257675</xdr:colOff>
          <xdr:row>21</xdr:row>
          <xdr:rowOff>266700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21</xdr:row>
          <xdr:rowOff>85725</xdr:rowOff>
        </xdr:from>
        <xdr:to>
          <xdr:col>10</xdr:col>
          <xdr:colOff>3705225</xdr:colOff>
          <xdr:row>21</xdr:row>
          <xdr:rowOff>266700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21</xdr:row>
          <xdr:rowOff>371475</xdr:rowOff>
        </xdr:from>
        <xdr:to>
          <xdr:col>10</xdr:col>
          <xdr:colOff>3981450</xdr:colOff>
          <xdr:row>21</xdr:row>
          <xdr:rowOff>552450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22</xdr:row>
          <xdr:rowOff>85725</xdr:rowOff>
        </xdr:from>
        <xdr:to>
          <xdr:col>10</xdr:col>
          <xdr:colOff>1123950</xdr:colOff>
          <xdr:row>22</xdr:row>
          <xdr:rowOff>266700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22</xdr:row>
          <xdr:rowOff>85725</xdr:rowOff>
        </xdr:from>
        <xdr:to>
          <xdr:col>10</xdr:col>
          <xdr:colOff>2181225</xdr:colOff>
          <xdr:row>22</xdr:row>
          <xdr:rowOff>266700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22</xdr:row>
          <xdr:rowOff>371475</xdr:rowOff>
        </xdr:from>
        <xdr:to>
          <xdr:col>10</xdr:col>
          <xdr:colOff>828675</xdr:colOff>
          <xdr:row>22</xdr:row>
          <xdr:rowOff>552450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22</xdr:row>
          <xdr:rowOff>85725</xdr:rowOff>
        </xdr:from>
        <xdr:to>
          <xdr:col>10</xdr:col>
          <xdr:colOff>2943225</xdr:colOff>
          <xdr:row>22</xdr:row>
          <xdr:rowOff>266700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22</xdr:row>
          <xdr:rowOff>371475</xdr:rowOff>
        </xdr:from>
        <xdr:to>
          <xdr:col>10</xdr:col>
          <xdr:colOff>1771650</xdr:colOff>
          <xdr:row>22</xdr:row>
          <xdr:rowOff>552450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22</xdr:row>
          <xdr:rowOff>85725</xdr:rowOff>
        </xdr:from>
        <xdr:to>
          <xdr:col>10</xdr:col>
          <xdr:colOff>4257675</xdr:colOff>
          <xdr:row>22</xdr:row>
          <xdr:rowOff>266700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22</xdr:row>
          <xdr:rowOff>85725</xdr:rowOff>
        </xdr:from>
        <xdr:to>
          <xdr:col>10</xdr:col>
          <xdr:colOff>3705225</xdr:colOff>
          <xdr:row>22</xdr:row>
          <xdr:rowOff>266700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22</xdr:row>
          <xdr:rowOff>371475</xdr:rowOff>
        </xdr:from>
        <xdr:to>
          <xdr:col>10</xdr:col>
          <xdr:colOff>3981450</xdr:colOff>
          <xdr:row>22</xdr:row>
          <xdr:rowOff>552450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23</xdr:row>
          <xdr:rowOff>85725</xdr:rowOff>
        </xdr:from>
        <xdr:to>
          <xdr:col>10</xdr:col>
          <xdr:colOff>1123950</xdr:colOff>
          <xdr:row>23</xdr:row>
          <xdr:rowOff>266700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23</xdr:row>
          <xdr:rowOff>85725</xdr:rowOff>
        </xdr:from>
        <xdr:to>
          <xdr:col>10</xdr:col>
          <xdr:colOff>2181225</xdr:colOff>
          <xdr:row>23</xdr:row>
          <xdr:rowOff>266700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23</xdr:row>
          <xdr:rowOff>371475</xdr:rowOff>
        </xdr:from>
        <xdr:to>
          <xdr:col>10</xdr:col>
          <xdr:colOff>828675</xdr:colOff>
          <xdr:row>23</xdr:row>
          <xdr:rowOff>552450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23</xdr:row>
          <xdr:rowOff>85725</xdr:rowOff>
        </xdr:from>
        <xdr:to>
          <xdr:col>10</xdr:col>
          <xdr:colOff>2943225</xdr:colOff>
          <xdr:row>23</xdr:row>
          <xdr:rowOff>266700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23</xdr:row>
          <xdr:rowOff>371475</xdr:rowOff>
        </xdr:from>
        <xdr:to>
          <xdr:col>10</xdr:col>
          <xdr:colOff>1771650</xdr:colOff>
          <xdr:row>23</xdr:row>
          <xdr:rowOff>552450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23</xdr:row>
          <xdr:rowOff>85725</xdr:rowOff>
        </xdr:from>
        <xdr:to>
          <xdr:col>10</xdr:col>
          <xdr:colOff>4257675</xdr:colOff>
          <xdr:row>23</xdr:row>
          <xdr:rowOff>266700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23</xdr:row>
          <xdr:rowOff>85725</xdr:rowOff>
        </xdr:from>
        <xdr:to>
          <xdr:col>10</xdr:col>
          <xdr:colOff>3705225</xdr:colOff>
          <xdr:row>23</xdr:row>
          <xdr:rowOff>266700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23</xdr:row>
          <xdr:rowOff>371475</xdr:rowOff>
        </xdr:from>
        <xdr:to>
          <xdr:col>10</xdr:col>
          <xdr:colOff>3981450</xdr:colOff>
          <xdr:row>23</xdr:row>
          <xdr:rowOff>552450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24</xdr:row>
          <xdr:rowOff>85725</xdr:rowOff>
        </xdr:from>
        <xdr:to>
          <xdr:col>10</xdr:col>
          <xdr:colOff>1123950</xdr:colOff>
          <xdr:row>24</xdr:row>
          <xdr:rowOff>266700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24</xdr:row>
          <xdr:rowOff>85725</xdr:rowOff>
        </xdr:from>
        <xdr:to>
          <xdr:col>10</xdr:col>
          <xdr:colOff>2181225</xdr:colOff>
          <xdr:row>24</xdr:row>
          <xdr:rowOff>266700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24</xdr:row>
          <xdr:rowOff>371475</xdr:rowOff>
        </xdr:from>
        <xdr:to>
          <xdr:col>10</xdr:col>
          <xdr:colOff>828675</xdr:colOff>
          <xdr:row>24</xdr:row>
          <xdr:rowOff>552450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24</xdr:row>
          <xdr:rowOff>85725</xdr:rowOff>
        </xdr:from>
        <xdr:to>
          <xdr:col>10</xdr:col>
          <xdr:colOff>2943225</xdr:colOff>
          <xdr:row>24</xdr:row>
          <xdr:rowOff>266700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24</xdr:row>
          <xdr:rowOff>371475</xdr:rowOff>
        </xdr:from>
        <xdr:to>
          <xdr:col>10</xdr:col>
          <xdr:colOff>1771650</xdr:colOff>
          <xdr:row>24</xdr:row>
          <xdr:rowOff>552450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24</xdr:row>
          <xdr:rowOff>85725</xdr:rowOff>
        </xdr:from>
        <xdr:to>
          <xdr:col>10</xdr:col>
          <xdr:colOff>4257675</xdr:colOff>
          <xdr:row>24</xdr:row>
          <xdr:rowOff>266700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24</xdr:row>
          <xdr:rowOff>85725</xdr:rowOff>
        </xdr:from>
        <xdr:to>
          <xdr:col>10</xdr:col>
          <xdr:colOff>3705225</xdr:colOff>
          <xdr:row>24</xdr:row>
          <xdr:rowOff>266700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24</xdr:row>
          <xdr:rowOff>371475</xdr:rowOff>
        </xdr:from>
        <xdr:to>
          <xdr:col>10</xdr:col>
          <xdr:colOff>3981450</xdr:colOff>
          <xdr:row>24</xdr:row>
          <xdr:rowOff>552450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25</xdr:row>
          <xdr:rowOff>85725</xdr:rowOff>
        </xdr:from>
        <xdr:to>
          <xdr:col>10</xdr:col>
          <xdr:colOff>1123950</xdr:colOff>
          <xdr:row>25</xdr:row>
          <xdr:rowOff>266700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25</xdr:row>
          <xdr:rowOff>85725</xdr:rowOff>
        </xdr:from>
        <xdr:to>
          <xdr:col>10</xdr:col>
          <xdr:colOff>2181225</xdr:colOff>
          <xdr:row>25</xdr:row>
          <xdr:rowOff>266700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25</xdr:row>
          <xdr:rowOff>371475</xdr:rowOff>
        </xdr:from>
        <xdr:to>
          <xdr:col>10</xdr:col>
          <xdr:colOff>828675</xdr:colOff>
          <xdr:row>25</xdr:row>
          <xdr:rowOff>552450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25</xdr:row>
          <xdr:rowOff>85725</xdr:rowOff>
        </xdr:from>
        <xdr:to>
          <xdr:col>10</xdr:col>
          <xdr:colOff>2943225</xdr:colOff>
          <xdr:row>25</xdr:row>
          <xdr:rowOff>266700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25</xdr:row>
          <xdr:rowOff>371475</xdr:rowOff>
        </xdr:from>
        <xdr:to>
          <xdr:col>10</xdr:col>
          <xdr:colOff>1771650</xdr:colOff>
          <xdr:row>25</xdr:row>
          <xdr:rowOff>552450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25</xdr:row>
          <xdr:rowOff>85725</xdr:rowOff>
        </xdr:from>
        <xdr:to>
          <xdr:col>10</xdr:col>
          <xdr:colOff>4257675</xdr:colOff>
          <xdr:row>25</xdr:row>
          <xdr:rowOff>266700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25</xdr:row>
          <xdr:rowOff>85725</xdr:rowOff>
        </xdr:from>
        <xdr:to>
          <xdr:col>10</xdr:col>
          <xdr:colOff>3705225</xdr:colOff>
          <xdr:row>25</xdr:row>
          <xdr:rowOff>266700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25</xdr:row>
          <xdr:rowOff>371475</xdr:rowOff>
        </xdr:from>
        <xdr:to>
          <xdr:col>10</xdr:col>
          <xdr:colOff>3981450</xdr:colOff>
          <xdr:row>25</xdr:row>
          <xdr:rowOff>552450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26</xdr:row>
          <xdr:rowOff>85725</xdr:rowOff>
        </xdr:from>
        <xdr:to>
          <xdr:col>10</xdr:col>
          <xdr:colOff>1123950</xdr:colOff>
          <xdr:row>26</xdr:row>
          <xdr:rowOff>266700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26</xdr:row>
          <xdr:rowOff>85725</xdr:rowOff>
        </xdr:from>
        <xdr:to>
          <xdr:col>10</xdr:col>
          <xdr:colOff>2181225</xdr:colOff>
          <xdr:row>26</xdr:row>
          <xdr:rowOff>266700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26</xdr:row>
          <xdr:rowOff>371475</xdr:rowOff>
        </xdr:from>
        <xdr:to>
          <xdr:col>10</xdr:col>
          <xdr:colOff>828675</xdr:colOff>
          <xdr:row>26</xdr:row>
          <xdr:rowOff>552450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26</xdr:row>
          <xdr:rowOff>85725</xdr:rowOff>
        </xdr:from>
        <xdr:to>
          <xdr:col>10</xdr:col>
          <xdr:colOff>2943225</xdr:colOff>
          <xdr:row>26</xdr:row>
          <xdr:rowOff>266700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26</xdr:row>
          <xdr:rowOff>371475</xdr:rowOff>
        </xdr:from>
        <xdr:to>
          <xdr:col>10</xdr:col>
          <xdr:colOff>1771650</xdr:colOff>
          <xdr:row>26</xdr:row>
          <xdr:rowOff>552450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26</xdr:row>
          <xdr:rowOff>85725</xdr:rowOff>
        </xdr:from>
        <xdr:to>
          <xdr:col>10</xdr:col>
          <xdr:colOff>4257675</xdr:colOff>
          <xdr:row>26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26</xdr:row>
          <xdr:rowOff>85725</xdr:rowOff>
        </xdr:from>
        <xdr:to>
          <xdr:col>10</xdr:col>
          <xdr:colOff>3705225</xdr:colOff>
          <xdr:row>26</xdr:row>
          <xdr:rowOff>266700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26</xdr:row>
          <xdr:rowOff>371475</xdr:rowOff>
        </xdr:from>
        <xdr:to>
          <xdr:col>10</xdr:col>
          <xdr:colOff>3981450</xdr:colOff>
          <xdr:row>26</xdr:row>
          <xdr:rowOff>552450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27</xdr:row>
          <xdr:rowOff>85725</xdr:rowOff>
        </xdr:from>
        <xdr:to>
          <xdr:col>10</xdr:col>
          <xdr:colOff>1123950</xdr:colOff>
          <xdr:row>27</xdr:row>
          <xdr:rowOff>266700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27</xdr:row>
          <xdr:rowOff>85725</xdr:rowOff>
        </xdr:from>
        <xdr:to>
          <xdr:col>10</xdr:col>
          <xdr:colOff>2181225</xdr:colOff>
          <xdr:row>27</xdr:row>
          <xdr:rowOff>266700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27</xdr:row>
          <xdr:rowOff>371475</xdr:rowOff>
        </xdr:from>
        <xdr:to>
          <xdr:col>10</xdr:col>
          <xdr:colOff>828675</xdr:colOff>
          <xdr:row>27</xdr:row>
          <xdr:rowOff>552450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27</xdr:row>
          <xdr:rowOff>85725</xdr:rowOff>
        </xdr:from>
        <xdr:to>
          <xdr:col>10</xdr:col>
          <xdr:colOff>2943225</xdr:colOff>
          <xdr:row>27</xdr:row>
          <xdr:rowOff>266700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27</xdr:row>
          <xdr:rowOff>371475</xdr:rowOff>
        </xdr:from>
        <xdr:to>
          <xdr:col>10</xdr:col>
          <xdr:colOff>1771650</xdr:colOff>
          <xdr:row>27</xdr:row>
          <xdr:rowOff>552450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27</xdr:row>
          <xdr:rowOff>85725</xdr:rowOff>
        </xdr:from>
        <xdr:to>
          <xdr:col>10</xdr:col>
          <xdr:colOff>4257675</xdr:colOff>
          <xdr:row>27</xdr:row>
          <xdr:rowOff>266700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27</xdr:row>
          <xdr:rowOff>85725</xdr:rowOff>
        </xdr:from>
        <xdr:to>
          <xdr:col>10</xdr:col>
          <xdr:colOff>3705225</xdr:colOff>
          <xdr:row>27</xdr:row>
          <xdr:rowOff>266700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27</xdr:row>
          <xdr:rowOff>371475</xdr:rowOff>
        </xdr:from>
        <xdr:to>
          <xdr:col>10</xdr:col>
          <xdr:colOff>3981450</xdr:colOff>
          <xdr:row>27</xdr:row>
          <xdr:rowOff>552450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28</xdr:row>
          <xdr:rowOff>85725</xdr:rowOff>
        </xdr:from>
        <xdr:to>
          <xdr:col>10</xdr:col>
          <xdr:colOff>1123950</xdr:colOff>
          <xdr:row>28</xdr:row>
          <xdr:rowOff>266700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28</xdr:row>
          <xdr:rowOff>85725</xdr:rowOff>
        </xdr:from>
        <xdr:to>
          <xdr:col>10</xdr:col>
          <xdr:colOff>2181225</xdr:colOff>
          <xdr:row>28</xdr:row>
          <xdr:rowOff>266700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28</xdr:row>
          <xdr:rowOff>371475</xdr:rowOff>
        </xdr:from>
        <xdr:to>
          <xdr:col>10</xdr:col>
          <xdr:colOff>828675</xdr:colOff>
          <xdr:row>28</xdr:row>
          <xdr:rowOff>552450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28</xdr:row>
          <xdr:rowOff>85725</xdr:rowOff>
        </xdr:from>
        <xdr:to>
          <xdr:col>10</xdr:col>
          <xdr:colOff>2943225</xdr:colOff>
          <xdr:row>28</xdr:row>
          <xdr:rowOff>266700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28</xdr:row>
          <xdr:rowOff>371475</xdr:rowOff>
        </xdr:from>
        <xdr:to>
          <xdr:col>10</xdr:col>
          <xdr:colOff>1771650</xdr:colOff>
          <xdr:row>28</xdr:row>
          <xdr:rowOff>552450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28</xdr:row>
          <xdr:rowOff>85725</xdr:rowOff>
        </xdr:from>
        <xdr:to>
          <xdr:col>10</xdr:col>
          <xdr:colOff>4257675</xdr:colOff>
          <xdr:row>28</xdr:row>
          <xdr:rowOff>266700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28</xdr:row>
          <xdr:rowOff>85725</xdr:rowOff>
        </xdr:from>
        <xdr:to>
          <xdr:col>10</xdr:col>
          <xdr:colOff>3705225</xdr:colOff>
          <xdr:row>28</xdr:row>
          <xdr:rowOff>266700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28</xdr:row>
          <xdr:rowOff>371475</xdr:rowOff>
        </xdr:from>
        <xdr:to>
          <xdr:col>10</xdr:col>
          <xdr:colOff>3981450</xdr:colOff>
          <xdr:row>28</xdr:row>
          <xdr:rowOff>552450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29</xdr:row>
          <xdr:rowOff>85725</xdr:rowOff>
        </xdr:from>
        <xdr:to>
          <xdr:col>10</xdr:col>
          <xdr:colOff>1123950</xdr:colOff>
          <xdr:row>29</xdr:row>
          <xdr:rowOff>266700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29</xdr:row>
          <xdr:rowOff>85725</xdr:rowOff>
        </xdr:from>
        <xdr:to>
          <xdr:col>10</xdr:col>
          <xdr:colOff>2181225</xdr:colOff>
          <xdr:row>29</xdr:row>
          <xdr:rowOff>266700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29</xdr:row>
          <xdr:rowOff>371475</xdr:rowOff>
        </xdr:from>
        <xdr:to>
          <xdr:col>10</xdr:col>
          <xdr:colOff>828675</xdr:colOff>
          <xdr:row>29</xdr:row>
          <xdr:rowOff>552450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29</xdr:row>
          <xdr:rowOff>85725</xdr:rowOff>
        </xdr:from>
        <xdr:to>
          <xdr:col>10</xdr:col>
          <xdr:colOff>2943225</xdr:colOff>
          <xdr:row>29</xdr:row>
          <xdr:rowOff>266700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29</xdr:row>
          <xdr:rowOff>371475</xdr:rowOff>
        </xdr:from>
        <xdr:to>
          <xdr:col>10</xdr:col>
          <xdr:colOff>1771650</xdr:colOff>
          <xdr:row>29</xdr:row>
          <xdr:rowOff>552450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29</xdr:row>
          <xdr:rowOff>85725</xdr:rowOff>
        </xdr:from>
        <xdr:to>
          <xdr:col>10</xdr:col>
          <xdr:colOff>4257675</xdr:colOff>
          <xdr:row>29</xdr:row>
          <xdr:rowOff>266700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29</xdr:row>
          <xdr:rowOff>85725</xdr:rowOff>
        </xdr:from>
        <xdr:to>
          <xdr:col>10</xdr:col>
          <xdr:colOff>3705225</xdr:colOff>
          <xdr:row>29</xdr:row>
          <xdr:rowOff>266700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29</xdr:row>
          <xdr:rowOff>371475</xdr:rowOff>
        </xdr:from>
        <xdr:to>
          <xdr:col>10</xdr:col>
          <xdr:colOff>3981450</xdr:colOff>
          <xdr:row>29</xdr:row>
          <xdr:rowOff>552450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30</xdr:row>
          <xdr:rowOff>85725</xdr:rowOff>
        </xdr:from>
        <xdr:to>
          <xdr:col>10</xdr:col>
          <xdr:colOff>1123950</xdr:colOff>
          <xdr:row>30</xdr:row>
          <xdr:rowOff>266700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30</xdr:row>
          <xdr:rowOff>85725</xdr:rowOff>
        </xdr:from>
        <xdr:to>
          <xdr:col>10</xdr:col>
          <xdr:colOff>2181225</xdr:colOff>
          <xdr:row>30</xdr:row>
          <xdr:rowOff>266700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30</xdr:row>
          <xdr:rowOff>371475</xdr:rowOff>
        </xdr:from>
        <xdr:to>
          <xdr:col>10</xdr:col>
          <xdr:colOff>828675</xdr:colOff>
          <xdr:row>30</xdr:row>
          <xdr:rowOff>552450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30</xdr:row>
          <xdr:rowOff>85725</xdr:rowOff>
        </xdr:from>
        <xdr:to>
          <xdr:col>10</xdr:col>
          <xdr:colOff>2943225</xdr:colOff>
          <xdr:row>30</xdr:row>
          <xdr:rowOff>266700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30</xdr:row>
          <xdr:rowOff>371475</xdr:rowOff>
        </xdr:from>
        <xdr:to>
          <xdr:col>10</xdr:col>
          <xdr:colOff>1771650</xdr:colOff>
          <xdr:row>30</xdr:row>
          <xdr:rowOff>552450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30</xdr:row>
          <xdr:rowOff>85725</xdr:rowOff>
        </xdr:from>
        <xdr:to>
          <xdr:col>10</xdr:col>
          <xdr:colOff>4257675</xdr:colOff>
          <xdr:row>30</xdr:row>
          <xdr:rowOff>266700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30</xdr:row>
          <xdr:rowOff>85725</xdr:rowOff>
        </xdr:from>
        <xdr:to>
          <xdr:col>10</xdr:col>
          <xdr:colOff>3705225</xdr:colOff>
          <xdr:row>30</xdr:row>
          <xdr:rowOff>266700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30</xdr:row>
          <xdr:rowOff>371475</xdr:rowOff>
        </xdr:from>
        <xdr:to>
          <xdr:col>10</xdr:col>
          <xdr:colOff>3981450</xdr:colOff>
          <xdr:row>30</xdr:row>
          <xdr:rowOff>552450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31</xdr:row>
          <xdr:rowOff>85725</xdr:rowOff>
        </xdr:from>
        <xdr:to>
          <xdr:col>10</xdr:col>
          <xdr:colOff>1123950</xdr:colOff>
          <xdr:row>31</xdr:row>
          <xdr:rowOff>266700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31</xdr:row>
          <xdr:rowOff>85725</xdr:rowOff>
        </xdr:from>
        <xdr:to>
          <xdr:col>10</xdr:col>
          <xdr:colOff>2181225</xdr:colOff>
          <xdr:row>31</xdr:row>
          <xdr:rowOff>266700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31</xdr:row>
          <xdr:rowOff>371475</xdr:rowOff>
        </xdr:from>
        <xdr:to>
          <xdr:col>10</xdr:col>
          <xdr:colOff>828675</xdr:colOff>
          <xdr:row>31</xdr:row>
          <xdr:rowOff>552450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31</xdr:row>
          <xdr:rowOff>85725</xdr:rowOff>
        </xdr:from>
        <xdr:to>
          <xdr:col>10</xdr:col>
          <xdr:colOff>2943225</xdr:colOff>
          <xdr:row>31</xdr:row>
          <xdr:rowOff>266700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31</xdr:row>
          <xdr:rowOff>371475</xdr:rowOff>
        </xdr:from>
        <xdr:to>
          <xdr:col>10</xdr:col>
          <xdr:colOff>1771650</xdr:colOff>
          <xdr:row>31</xdr:row>
          <xdr:rowOff>552450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31</xdr:row>
          <xdr:rowOff>85725</xdr:rowOff>
        </xdr:from>
        <xdr:to>
          <xdr:col>10</xdr:col>
          <xdr:colOff>4257675</xdr:colOff>
          <xdr:row>31</xdr:row>
          <xdr:rowOff>266700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31</xdr:row>
          <xdr:rowOff>85725</xdr:rowOff>
        </xdr:from>
        <xdr:to>
          <xdr:col>10</xdr:col>
          <xdr:colOff>3705225</xdr:colOff>
          <xdr:row>31</xdr:row>
          <xdr:rowOff>266700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31</xdr:row>
          <xdr:rowOff>371475</xdr:rowOff>
        </xdr:from>
        <xdr:to>
          <xdr:col>10</xdr:col>
          <xdr:colOff>3981450</xdr:colOff>
          <xdr:row>31</xdr:row>
          <xdr:rowOff>552450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32</xdr:row>
          <xdr:rowOff>85725</xdr:rowOff>
        </xdr:from>
        <xdr:to>
          <xdr:col>10</xdr:col>
          <xdr:colOff>1123950</xdr:colOff>
          <xdr:row>32</xdr:row>
          <xdr:rowOff>266700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32</xdr:row>
          <xdr:rowOff>85725</xdr:rowOff>
        </xdr:from>
        <xdr:to>
          <xdr:col>10</xdr:col>
          <xdr:colOff>2181225</xdr:colOff>
          <xdr:row>32</xdr:row>
          <xdr:rowOff>266700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32</xdr:row>
          <xdr:rowOff>371475</xdr:rowOff>
        </xdr:from>
        <xdr:to>
          <xdr:col>10</xdr:col>
          <xdr:colOff>828675</xdr:colOff>
          <xdr:row>32</xdr:row>
          <xdr:rowOff>552450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32</xdr:row>
          <xdr:rowOff>85725</xdr:rowOff>
        </xdr:from>
        <xdr:to>
          <xdr:col>10</xdr:col>
          <xdr:colOff>2943225</xdr:colOff>
          <xdr:row>32</xdr:row>
          <xdr:rowOff>266700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32</xdr:row>
          <xdr:rowOff>371475</xdr:rowOff>
        </xdr:from>
        <xdr:to>
          <xdr:col>10</xdr:col>
          <xdr:colOff>1771650</xdr:colOff>
          <xdr:row>32</xdr:row>
          <xdr:rowOff>552450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32</xdr:row>
          <xdr:rowOff>85725</xdr:rowOff>
        </xdr:from>
        <xdr:to>
          <xdr:col>10</xdr:col>
          <xdr:colOff>4257675</xdr:colOff>
          <xdr:row>32</xdr:row>
          <xdr:rowOff>266700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32</xdr:row>
          <xdr:rowOff>85725</xdr:rowOff>
        </xdr:from>
        <xdr:to>
          <xdr:col>10</xdr:col>
          <xdr:colOff>3705225</xdr:colOff>
          <xdr:row>32</xdr:row>
          <xdr:rowOff>266700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32</xdr:row>
          <xdr:rowOff>371475</xdr:rowOff>
        </xdr:from>
        <xdr:to>
          <xdr:col>10</xdr:col>
          <xdr:colOff>3981450</xdr:colOff>
          <xdr:row>32</xdr:row>
          <xdr:rowOff>552450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33</xdr:row>
          <xdr:rowOff>85725</xdr:rowOff>
        </xdr:from>
        <xdr:to>
          <xdr:col>10</xdr:col>
          <xdr:colOff>1123950</xdr:colOff>
          <xdr:row>33</xdr:row>
          <xdr:rowOff>266700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33</xdr:row>
          <xdr:rowOff>85725</xdr:rowOff>
        </xdr:from>
        <xdr:to>
          <xdr:col>10</xdr:col>
          <xdr:colOff>2181225</xdr:colOff>
          <xdr:row>33</xdr:row>
          <xdr:rowOff>266700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33</xdr:row>
          <xdr:rowOff>371475</xdr:rowOff>
        </xdr:from>
        <xdr:to>
          <xdr:col>10</xdr:col>
          <xdr:colOff>828675</xdr:colOff>
          <xdr:row>33</xdr:row>
          <xdr:rowOff>552450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33</xdr:row>
          <xdr:rowOff>85725</xdr:rowOff>
        </xdr:from>
        <xdr:to>
          <xdr:col>10</xdr:col>
          <xdr:colOff>2943225</xdr:colOff>
          <xdr:row>33</xdr:row>
          <xdr:rowOff>266700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33</xdr:row>
          <xdr:rowOff>371475</xdr:rowOff>
        </xdr:from>
        <xdr:to>
          <xdr:col>10</xdr:col>
          <xdr:colOff>1771650</xdr:colOff>
          <xdr:row>33</xdr:row>
          <xdr:rowOff>552450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33</xdr:row>
          <xdr:rowOff>85725</xdr:rowOff>
        </xdr:from>
        <xdr:to>
          <xdr:col>10</xdr:col>
          <xdr:colOff>4257675</xdr:colOff>
          <xdr:row>33</xdr:row>
          <xdr:rowOff>266700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33</xdr:row>
          <xdr:rowOff>85725</xdr:rowOff>
        </xdr:from>
        <xdr:to>
          <xdr:col>10</xdr:col>
          <xdr:colOff>3705225</xdr:colOff>
          <xdr:row>33</xdr:row>
          <xdr:rowOff>266700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33</xdr:row>
          <xdr:rowOff>371475</xdr:rowOff>
        </xdr:from>
        <xdr:to>
          <xdr:col>10</xdr:col>
          <xdr:colOff>3981450</xdr:colOff>
          <xdr:row>33</xdr:row>
          <xdr:rowOff>552450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34</xdr:row>
          <xdr:rowOff>85725</xdr:rowOff>
        </xdr:from>
        <xdr:to>
          <xdr:col>10</xdr:col>
          <xdr:colOff>1123950</xdr:colOff>
          <xdr:row>34</xdr:row>
          <xdr:rowOff>266700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34</xdr:row>
          <xdr:rowOff>85725</xdr:rowOff>
        </xdr:from>
        <xdr:to>
          <xdr:col>10</xdr:col>
          <xdr:colOff>2181225</xdr:colOff>
          <xdr:row>34</xdr:row>
          <xdr:rowOff>266700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34</xdr:row>
          <xdr:rowOff>371475</xdr:rowOff>
        </xdr:from>
        <xdr:to>
          <xdr:col>10</xdr:col>
          <xdr:colOff>828675</xdr:colOff>
          <xdr:row>34</xdr:row>
          <xdr:rowOff>552450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34</xdr:row>
          <xdr:rowOff>85725</xdr:rowOff>
        </xdr:from>
        <xdr:to>
          <xdr:col>10</xdr:col>
          <xdr:colOff>2943225</xdr:colOff>
          <xdr:row>34</xdr:row>
          <xdr:rowOff>266700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34</xdr:row>
          <xdr:rowOff>371475</xdr:rowOff>
        </xdr:from>
        <xdr:to>
          <xdr:col>10</xdr:col>
          <xdr:colOff>1771650</xdr:colOff>
          <xdr:row>34</xdr:row>
          <xdr:rowOff>552450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34</xdr:row>
          <xdr:rowOff>85725</xdr:rowOff>
        </xdr:from>
        <xdr:to>
          <xdr:col>10</xdr:col>
          <xdr:colOff>4257675</xdr:colOff>
          <xdr:row>34</xdr:row>
          <xdr:rowOff>266700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34</xdr:row>
          <xdr:rowOff>85725</xdr:rowOff>
        </xdr:from>
        <xdr:to>
          <xdr:col>10</xdr:col>
          <xdr:colOff>3705225</xdr:colOff>
          <xdr:row>34</xdr:row>
          <xdr:rowOff>266700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34</xdr:row>
          <xdr:rowOff>371475</xdr:rowOff>
        </xdr:from>
        <xdr:to>
          <xdr:col>10</xdr:col>
          <xdr:colOff>3981450</xdr:colOff>
          <xdr:row>34</xdr:row>
          <xdr:rowOff>552450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35</xdr:row>
          <xdr:rowOff>85725</xdr:rowOff>
        </xdr:from>
        <xdr:to>
          <xdr:col>10</xdr:col>
          <xdr:colOff>1123950</xdr:colOff>
          <xdr:row>35</xdr:row>
          <xdr:rowOff>266700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35</xdr:row>
          <xdr:rowOff>85725</xdr:rowOff>
        </xdr:from>
        <xdr:to>
          <xdr:col>10</xdr:col>
          <xdr:colOff>2181225</xdr:colOff>
          <xdr:row>35</xdr:row>
          <xdr:rowOff>266700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35</xdr:row>
          <xdr:rowOff>371475</xdr:rowOff>
        </xdr:from>
        <xdr:to>
          <xdr:col>10</xdr:col>
          <xdr:colOff>828675</xdr:colOff>
          <xdr:row>35</xdr:row>
          <xdr:rowOff>552450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35</xdr:row>
          <xdr:rowOff>85725</xdr:rowOff>
        </xdr:from>
        <xdr:to>
          <xdr:col>10</xdr:col>
          <xdr:colOff>2943225</xdr:colOff>
          <xdr:row>35</xdr:row>
          <xdr:rowOff>266700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35</xdr:row>
          <xdr:rowOff>371475</xdr:rowOff>
        </xdr:from>
        <xdr:to>
          <xdr:col>10</xdr:col>
          <xdr:colOff>1771650</xdr:colOff>
          <xdr:row>35</xdr:row>
          <xdr:rowOff>552450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35</xdr:row>
          <xdr:rowOff>85725</xdr:rowOff>
        </xdr:from>
        <xdr:to>
          <xdr:col>10</xdr:col>
          <xdr:colOff>4257675</xdr:colOff>
          <xdr:row>35</xdr:row>
          <xdr:rowOff>266700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35</xdr:row>
          <xdr:rowOff>85725</xdr:rowOff>
        </xdr:from>
        <xdr:to>
          <xdr:col>10</xdr:col>
          <xdr:colOff>3705225</xdr:colOff>
          <xdr:row>35</xdr:row>
          <xdr:rowOff>266700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35</xdr:row>
          <xdr:rowOff>371475</xdr:rowOff>
        </xdr:from>
        <xdr:to>
          <xdr:col>10</xdr:col>
          <xdr:colOff>3981450</xdr:colOff>
          <xdr:row>35</xdr:row>
          <xdr:rowOff>552450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36</xdr:row>
          <xdr:rowOff>85725</xdr:rowOff>
        </xdr:from>
        <xdr:to>
          <xdr:col>10</xdr:col>
          <xdr:colOff>1123950</xdr:colOff>
          <xdr:row>36</xdr:row>
          <xdr:rowOff>266700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36</xdr:row>
          <xdr:rowOff>85725</xdr:rowOff>
        </xdr:from>
        <xdr:to>
          <xdr:col>10</xdr:col>
          <xdr:colOff>2181225</xdr:colOff>
          <xdr:row>36</xdr:row>
          <xdr:rowOff>266700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36</xdr:row>
          <xdr:rowOff>371475</xdr:rowOff>
        </xdr:from>
        <xdr:to>
          <xdr:col>10</xdr:col>
          <xdr:colOff>828675</xdr:colOff>
          <xdr:row>36</xdr:row>
          <xdr:rowOff>552450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36</xdr:row>
          <xdr:rowOff>85725</xdr:rowOff>
        </xdr:from>
        <xdr:to>
          <xdr:col>10</xdr:col>
          <xdr:colOff>2943225</xdr:colOff>
          <xdr:row>36</xdr:row>
          <xdr:rowOff>266700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36</xdr:row>
          <xdr:rowOff>371475</xdr:rowOff>
        </xdr:from>
        <xdr:to>
          <xdr:col>10</xdr:col>
          <xdr:colOff>1771650</xdr:colOff>
          <xdr:row>36</xdr:row>
          <xdr:rowOff>552450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36</xdr:row>
          <xdr:rowOff>85725</xdr:rowOff>
        </xdr:from>
        <xdr:to>
          <xdr:col>10</xdr:col>
          <xdr:colOff>4257675</xdr:colOff>
          <xdr:row>36</xdr:row>
          <xdr:rowOff>266700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36</xdr:row>
          <xdr:rowOff>85725</xdr:rowOff>
        </xdr:from>
        <xdr:to>
          <xdr:col>10</xdr:col>
          <xdr:colOff>3705225</xdr:colOff>
          <xdr:row>36</xdr:row>
          <xdr:rowOff>266700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36</xdr:row>
          <xdr:rowOff>371475</xdr:rowOff>
        </xdr:from>
        <xdr:to>
          <xdr:col>10</xdr:col>
          <xdr:colOff>3981450</xdr:colOff>
          <xdr:row>36</xdr:row>
          <xdr:rowOff>552450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47</xdr:row>
          <xdr:rowOff>85725</xdr:rowOff>
        </xdr:from>
        <xdr:to>
          <xdr:col>10</xdr:col>
          <xdr:colOff>1123950</xdr:colOff>
          <xdr:row>47</xdr:row>
          <xdr:rowOff>266700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47</xdr:row>
          <xdr:rowOff>85725</xdr:rowOff>
        </xdr:from>
        <xdr:to>
          <xdr:col>10</xdr:col>
          <xdr:colOff>2181225</xdr:colOff>
          <xdr:row>47</xdr:row>
          <xdr:rowOff>266700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47</xdr:row>
          <xdr:rowOff>371475</xdr:rowOff>
        </xdr:from>
        <xdr:to>
          <xdr:col>10</xdr:col>
          <xdr:colOff>828675</xdr:colOff>
          <xdr:row>47</xdr:row>
          <xdr:rowOff>552450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47</xdr:row>
          <xdr:rowOff>85725</xdr:rowOff>
        </xdr:from>
        <xdr:to>
          <xdr:col>10</xdr:col>
          <xdr:colOff>2943225</xdr:colOff>
          <xdr:row>47</xdr:row>
          <xdr:rowOff>266700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47</xdr:row>
          <xdr:rowOff>371475</xdr:rowOff>
        </xdr:from>
        <xdr:to>
          <xdr:col>10</xdr:col>
          <xdr:colOff>1771650</xdr:colOff>
          <xdr:row>47</xdr:row>
          <xdr:rowOff>552450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47</xdr:row>
          <xdr:rowOff>85725</xdr:rowOff>
        </xdr:from>
        <xdr:to>
          <xdr:col>10</xdr:col>
          <xdr:colOff>4257675</xdr:colOff>
          <xdr:row>47</xdr:row>
          <xdr:rowOff>266700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47</xdr:row>
          <xdr:rowOff>85725</xdr:rowOff>
        </xdr:from>
        <xdr:to>
          <xdr:col>10</xdr:col>
          <xdr:colOff>3705225</xdr:colOff>
          <xdr:row>47</xdr:row>
          <xdr:rowOff>266700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47</xdr:row>
          <xdr:rowOff>371475</xdr:rowOff>
        </xdr:from>
        <xdr:to>
          <xdr:col>10</xdr:col>
          <xdr:colOff>3981450</xdr:colOff>
          <xdr:row>47</xdr:row>
          <xdr:rowOff>552450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xdr:twoCellAnchor editAs="absolute">
    <xdr:from>
      <xdr:col>2</xdr:col>
      <xdr:colOff>3314700</xdr:colOff>
      <xdr:row>18</xdr:row>
      <xdr:rowOff>466725</xdr:rowOff>
    </xdr:from>
    <xdr:to>
      <xdr:col>2</xdr:col>
      <xdr:colOff>3674700</xdr:colOff>
      <xdr:row>18</xdr:row>
      <xdr:rowOff>588900</xdr:rowOff>
    </xdr:to>
    <xdr:pic>
      <xdr:nvPicPr>
        <xdr:cNvPr id="192" name="Image 19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376078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19</xdr:row>
      <xdr:rowOff>466725</xdr:rowOff>
    </xdr:from>
    <xdr:to>
      <xdr:col>2</xdr:col>
      <xdr:colOff>3674700</xdr:colOff>
      <xdr:row>19</xdr:row>
      <xdr:rowOff>588900</xdr:rowOff>
    </xdr:to>
    <xdr:pic>
      <xdr:nvPicPr>
        <xdr:cNvPr id="193" name="Image 192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438785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20</xdr:row>
      <xdr:rowOff>466725</xdr:rowOff>
    </xdr:from>
    <xdr:to>
      <xdr:col>2</xdr:col>
      <xdr:colOff>3674700</xdr:colOff>
      <xdr:row>20</xdr:row>
      <xdr:rowOff>588900</xdr:rowOff>
    </xdr:to>
    <xdr:pic>
      <xdr:nvPicPr>
        <xdr:cNvPr id="194" name="Image 193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501491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21</xdr:row>
      <xdr:rowOff>466725</xdr:rowOff>
    </xdr:from>
    <xdr:to>
      <xdr:col>2</xdr:col>
      <xdr:colOff>3674700</xdr:colOff>
      <xdr:row>21</xdr:row>
      <xdr:rowOff>588900</xdr:rowOff>
    </xdr:to>
    <xdr:pic>
      <xdr:nvPicPr>
        <xdr:cNvPr id="195" name="Image 194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564197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22</xdr:row>
      <xdr:rowOff>466725</xdr:rowOff>
    </xdr:from>
    <xdr:to>
      <xdr:col>2</xdr:col>
      <xdr:colOff>3674700</xdr:colOff>
      <xdr:row>22</xdr:row>
      <xdr:rowOff>588900</xdr:rowOff>
    </xdr:to>
    <xdr:pic>
      <xdr:nvPicPr>
        <xdr:cNvPr id="196" name="Image 195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626903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23</xdr:row>
      <xdr:rowOff>466725</xdr:rowOff>
    </xdr:from>
    <xdr:to>
      <xdr:col>2</xdr:col>
      <xdr:colOff>3674700</xdr:colOff>
      <xdr:row>23</xdr:row>
      <xdr:rowOff>588900</xdr:rowOff>
    </xdr:to>
    <xdr:pic>
      <xdr:nvPicPr>
        <xdr:cNvPr id="197" name="Image 196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689610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24</xdr:row>
      <xdr:rowOff>466725</xdr:rowOff>
    </xdr:from>
    <xdr:to>
      <xdr:col>2</xdr:col>
      <xdr:colOff>3674700</xdr:colOff>
      <xdr:row>24</xdr:row>
      <xdr:rowOff>588900</xdr:rowOff>
    </xdr:to>
    <xdr:pic>
      <xdr:nvPicPr>
        <xdr:cNvPr id="198" name="Image 19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752316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25</xdr:row>
      <xdr:rowOff>466725</xdr:rowOff>
    </xdr:from>
    <xdr:to>
      <xdr:col>2</xdr:col>
      <xdr:colOff>3674700</xdr:colOff>
      <xdr:row>25</xdr:row>
      <xdr:rowOff>588900</xdr:rowOff>
    </xdr:to>
    <xdr:pic>
      <xdr:nvPicPr>
        <xdr:cNvPr id="199" name="Image 19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815022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26</xdr:row>
      <xdr:rowOff>466725</xdr:rowOff>
    </xdr:from>
    <xdr:to>
      <xdr:col>2</xdr:col>
      <xdr:colOff>3674700</xdr:colOff>
      <xdr:row>26</xdr:row>
      <xdr:rowOff>588900</xdr:rowOff>
    </xdr:to>
    <xdr:pic>
      <xdr:nvPicPr>
        <xdr:cNvPr id="200" name="Image 199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877728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27</xdr:row>
      <xdr:rowOff>466725</xdr:rowOff>
    </xdr:from>
    <xdr:to>
      <xdr:col>2</xdr:col>
      <xdr:colOff>3674700</xdr:colOff>
      <xdr:row>27</xdr:row>
      <xdr:rowOff>588900</xdr:rowOff>
    </xdr:to>
    <xdr:pic>
      <xdr:nvPicPr>
        <xdr:cNvPr id="201" name="Image 200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940435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28</xdr:row>
      <xdr:rowOff>466725</xdr:rowOff>
    </xdr:from>
    <xdr:to>
      <xdr:col>2</xdr:col>
      <xdr:colOff>3674700</xdr:colOff>
      <xdr:row>28</xdr:row>
      <xdr:rowOff>588900</xdr:rowOff>
    </xdr:to>
    <xdr:pic>
      <xdr:nvPicPr>
        <xdr:cNvPr id="202" name="Image 20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003141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29</xdr:row>
      <xdr:rowOff>466725</xdr:rowOff>
    </xdr:from>
    <xdr:to>
      <xdr:col>2</xdr:col>
      <xdr:colOff>3674700</xdr:colOff>
      <xdr:row>29</xdr:row>
      <xdr:rowOff>588900</xdr:rowOff>
    </xdr:to>
    <xdr:pic>
      <xdr:nvPicPr>
        <xdr:cNvPr id="203" name="Image 202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065847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30</xdr:row>
      <xdr:rowOff>466725</xdr:rowOff>
    </xdr:from>
    <xdr:to>
      <xdr:col>2</xdr:col>
      <xdr:colOff>3674700</xdr:colOff>
      <xdr:row>30</xdr:row>
      <xdr:rowOff>588900</xdr:rowOff>
    </xdr:to>
    <xdr:pic>
      <xdr:nvPicPr>
        <xdr:cNvPr id="204" name="Image 203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128553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31</xdr:row>
      <xdr:rowOff>466725</xdr:rowOff>
    </xdr:from>
    <xdr:to>
      <xdr:col>2</xdr:col>
      <xdr:colOff>3674700</xdr:colOff>
      <xdr:row>31</xdr:row>
      <xdr:rowOff>588900</xdr:rowOff>
    </xdr:to>
    <xdr:pic>
      <xdr:nvPicPr>
        <xdr:cNvPr id="205" name="Image 204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191260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32</xdr:row>
      <xdr:rowOff>466725</xdr:rowOff>
    </xdr:from>
    <xdr:to>
      <xdr:col>2</xdr:col>
      <xdr:colOff>3674700</xdr:colOff>
      <xdr:row>32</xdr:row>
      <xdr:rowOff>588900</xdr:rowOff>
    </xdr:to>
    <xdr:pic>
      <xdr:nvPicPr>
        <xdr:cNvPr id="206" name="Image 205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253966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33</xdr:row>
      <xdr:rowOff>466725</xdr:rowOff>
    </xdr:from>
    <xdr:to>
      <xdr:col>2</xdr:col>
      <xdr:colOff>3674700</xdr:colOff>
      <xdr:row>33</xdr:row>
      <xdr:rowOff>588900</xdr:rowOff>
    </xdr:to>
    <xdr:pic>
      <xdr:nvPicPr>
        <xdr:cNvPr id="207" name="Image 206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316672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34</xdr:row>
      <xdr:rowOff>466725</xdr:rowOff>
    </xdr:from>
    <xdr:to>
      <xdr:col>2</xdr:col>
      <xdr:colOff>3674700</xdr:colOff>
      <xdr:row>34</xdr:row>
      <xdr:rowOff>588900</xdr:rowOff>
    </xdr:to>
    <xdr:pic>
      <xdr:nvPicPr>
        <xdr:cNvPr id="208" name="Image 20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3793788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35</xdr:row>
      <xdr:rowOff>466725</xdr:rowOff>
    </xdr:from>
    <xdr:to>
      <xdr:col>2</xdr:col>
      <xdr:colOff>3674700</xdr:colOff>
      <xdr:row>35</xdr:row>
      <xdr:rowOff>588900</xdr:rowOff>
    </xdr:to>
    <xdr:pic>
      <xdr:nvPicPr>
        <xdr:cNvPr id="209" name="Image 20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442085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36</xdr:row>
      <xdr:rowOff>466725</xdr:rowOff>
    </xdr:from>
    <xdr:to>
      <xdr:col>2</xdr:col>
      <xdr:colOff>3674700</xdr:colOff>
      <xdr:row>36</xdr:row>
      <xdr:rowOff>588900</xdr:rowOff>
    </xdr:to>
    <xdr:pic>
      <xdr:nvPicPr>
        <xdr:cNvPr id="210" name="Image 209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504791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3314700</xdr:colOff>
      <xdr:row>37</xdr:row>
      <xdr:rowOff>466725</xdr:rowOff>
    </xdr:from>
    <xdr:to>
      <xdr:col>2</xdr:col>
      <xdr:colOff>3674700</xdr:colOff>
      <xdr:row>37</xdr:row>
      <xdr:rowOff>588900</xdr:rowOff>
    </xdr:to>
    <xdr:pic>
      <xdr:nvPicPr>
        <xdr:cNvPr id="211" name="Image 210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5825" y="15674975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3413124</xdr:colOff>
      <xdr:row>18</xdr:row>
      <xdr:rowOff>49212</xdr:rowOff>
    </xdr:from>
    <xdr:to>
      <xdr:col>2</xdr:col>
      <xdr:colOff>3665124</xdr:colOff>
      <xdr:row>18</xdr:row>
      <xdr:rowOff>301212</xdr:rowOff>
    </xdr:to>
    <xdr:sp macro="" textlink="$AB19">
      <xdr:nvSpPr>
        <xdr:cNvPr id="462" name="ZoneTexte 461"/>
        <xdr:cNvSpPr txBox="1">
          <a:spLocks/>
        </xdr:cNvSpPr>
      </xdr:nvSpPr>
      <xdr:spPr>
        <a:xfrm>
          <a:off x="3524249" y="33432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DBFFCD4-E136-4ACC-873B-18B3F413586A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3414711</xdr:colOff>
      <xdr:row>19</xdr:row>
      <xdr:rowOff>44737</xdr:rowOff>
    </xdr:from>
    <xdr:to>
      <xdr:col>2</xdr:col>
      <xdr:colOff>3666711</xdr:colOff>
      <xdr:row>19</xdr:row>
      <xdr:rowOff>296737</xdr:rowOff>
    </xdr:to>
    <xdr:sp macro="" textlink="$AB20">
      <xdr:nvSpPr>
        <xdr:cNvPr id="463" name="ZoneTexte 462"/>
        <xdr:cNvSpPr txBox="1">
          <a:spLocks/>
        </xdr:cNvSpPr>
      </xdr:nvSpPr>
      <xdr:spPr>
        <a:xfrm>
          <a:off x="3525836" y="39658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30B5A2D-57DD-4203-865E-3ABC2C84E4A0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20</xdr:row>
      <xdr:rowOff>46614</xdr:rowOff>
    </xdr:from>
    <xdr:to>
      <xdr:col>2</xdr:col>
      <xdr:colOff>3665124</xdr:colOff>
      <xdr:row>20</xdr:row>
      <xdr:rowOff>298614</xdr:rowOff>
    </xdr:to>
    <xdr:sp macro="" textlink="$AB21">
      <xdr:nvSpPr>
        <xdr:cNvPr id="464" name="ZoneTexte 463"/>
        <xdr:cNvSpPr txBox="1">
          <a:spLocks/>
        </xdr:cNvSpPr>
      </xdr:nvSpPr>
      <xdr:spPr>
        <a:xfrm>
          <a:off x="3524249" y="45948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494AFD6-DEC8-46CA-9371-B2B5D5E6A7F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21</xdr:row>
      <xdr:rowOff>50078</xdr:rowOff>
    </xdr:from>
    <xdr:to>
      <xdr:col>2</xdr:col>
      <xdr:colOff>3665124</xdr:colOff>
      <xdr:row>21</xdr:row>
      <xdr:rowOff>302078</xdr:rowOff>
    </xdr:to>
    <xdr:sp macro="" textlink="$AB22">
      <xdr:nvSpPr>
        <xdr:cNvPr id="465" name="ZoneTexte 464"/>
        <xdr:cNvSpPr txBox="1">
          <a:spLocks/>
        </xdr:cNvSpPr>
      </xdr:nvSpPr>
      <xdr:spPr>
        <a:xfrm>
          <a:off x="3524249" y="5225328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DCE6A1A6-73B4-4403-9B04-1C8567D41C2D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3413124</xdr:colOff>
      <xdr:row>22</xdr:row>
      <xdr:rowOff>45603</xdr:rowOff>
    </xdr:from>
    <xdr:to>
      <xdr:col>2</xdr:col>
      <xdr:colOff>3665124</xdr:colOff>
      <xdr:row>22</xdr:row>
      <xdr:rowOff>297603</xdr:rowOff>
    </xdr:to>
    <xdr:sp macro="" textlink="$AB23">
      <xdr:nvSpPr>
        <xdr:cNvPr id="466" name="ZoneTexte 465"/>
        <xdr:cNvSpPr txBox="1">
          <a:spLocks/>
        </xdr:cNvSpPr>
      </xdr:nvSpPr>
      <xdr:spPr>
        <a:xfrm>
          <a:off x="3524249" y="58479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13B1E6-9D93-408B-B58B-EF0BD3111A06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23</xdr:row>
      <xdr:rowOff>47480</xdr:rowOff>
    </xdr:from>
    <xdr:to>
      <xdr:col>2</xdr:col>
      <xdr:colOff>3665124</xdr:colOff>
      <xdr:row>23</xdr:row>
      <xdr:rowOff>299480</xdr:rowOff>
    </xdr:to>
    <xdr:sp macro="" textlink="$AB24">
      <xdr:nvSpPr>
        <xdr:cNvPr id="467" name="ZoneTexte 466"/>
        <xdr:cNvSpPr txBox="1">
          <a:spLocks/>
        </xdr:cNvSpPr>
      </xdr:nvSpPr>
      <xdr:spPr>
        <a:xfrm>
          <a:off x="3524249" y="647685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11716B1-01A4-4B1D-80BC-937104C898B6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24</xdr:row>
      <xdr:rowOff>50943</xdr:rowOff>
    </xdr:from>
    <xdr:to>
      <xdr:col>2</xdr:col>
      <xdr:colOff>3665124</xdr:colOff>
      <xdr:row>24</xdr:row>
      <xdr:rowOff>302943</xdr:rowOff>
    </xdr:to>
    <xdr:sp macro="" textlink="$AB25">
      <xdr:nvSpPr>
        <xdr:cNvPr id="468" name="ZoneTexte 467"/>
        <xdr:cNvSpPr txBox="1">
          <a:spLocks/>
        </xdr:cNvSpPr>
      </xdr:nvSpPr>
      <xdr:spPr>
        <a:xfrm>
          <a:off x="3524249" y="710738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356B2F4-439F-4444-A514-17199A44EF1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25</xdr:row>
      <xdr:rowOff>44882</xdr:rowOff>
    </xdr:from>
    <xdr:to>
      <xdr:col>2</xdr:col>
      <xdr:colOff>3665124</xdr:colOff>
      <xdr:row>25</xdr:row>
      <xdr:rowOff>296882</xdr:rowOff>
    </xdr:to>
    <xdr:sp macro="" textlink="$AB26">
      <xdr:nvSpPr>
        <xdr:cNvPr id="469" name="ZoneTexte 468"/>
        <xdr:cNvSpPr txBox="1">
          <a:spLocks/>
        </xdr:cNvSpPr>
      </xdr:nvSpPr>
      <xdr:spPr>
        <a:xfrm>
          <a:off x="3524249" y="77283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651A973-5DB5-44AB-8F32-E735DBA3362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26</xdr:row>
      <xdr:rowOff>48346</xdr:rowOff>
    </xdr:from>
    <xdr:to>
      <xdr:col>2</xdr:col>
      <xdr:colOff>3665124</xdr:colOff>
      <xdr:row>26</xdr:row>
      <xdr:rowOff>300346</xdr:rowOff>
    </xdr:to>
    <xdr:sp macro="" textlink="$AB27">
      <xdr:nvSpPr>
        <xdr:cNvPr id="470" name="ZoneTexte 469"/>
        <xdr:cNvSpPr txBox="1">
          <a:spLocks/>
        </xdr:cNvSpPr>
      </xdr:nvSpPr>
      <xdr:spPr>
        <a:xfrm>
          <a:off x="3524249" y="835890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D9F569B-7009-4B3E-86C7-5496C765680E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28</xdr:row>
      <xdr:rowOff>49212</xdr:rowOff>
    </xdr:from>
    <xdr:to>
      <xdr:col>2</xdr:col>
      <xdr:colOff>3665124</xdr:colOff>
      <xdr:row>28</xdr:row>
      <xdr:rowOff>301212</xdr:rowOff>
    </xdr:to>
    <xdr:sp macro="" textlink="$AB29">
      <xdr:nvSpPr>
        <xdr:cNvPr id="477" name="ZoneTexte 476"/>
        <xdr:cNvSpPr txBox="1">
          <a:spLocks/>
        </xdr:cNvSpPr>
      </xdr:nvSpPr>
      <xdr:spPr>
        <a:xfrm>
          <a:off x="3524249" y="96139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110AE1-42A6-4928-BEE9-269584C537A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29</xdr:row>
      <xdr:rowOff>44737</xdr:rowOff>
    </xdr:from>
    <xdr:to>
      <xdr:col>2</xdr:col>
      <xdr:colOff>3665124</xdr:colOff>
      <xdr:row>29</xdr:row>
      <xdr:rowOff>296737</xdr:rowOff>
    </xdr:to>
    <xdr:sp macro="" textlink="$AB30">
      <xdr:nvSpPr>
        <xdr:cNvPr id="478" name="ZoneTexte 477"/>
        <xdr:cNvSpPr txBox="1">
          <a:spLocks/>
        </xdr:cNvSpPr>
      </xdr:nvSpPr>
      <xdr:spPr>
        <a:xfrm>
          <a:off x="3524249" y="1023648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96C89C5-1DBC-49C4-BFE7-16B836438E1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30</xdr:row>
      <xdr:rowOff>46614</xdr:rowOff>
    </xdr:from>
    <xdr:to>
      <xdr:col>2</xdr:col>
      <xdr:colOff>3665124</xdr:colOff>
      <xdr:row>30</xdr:row>
      <xdr:rowOff>298614</xdr:rowOff>
    </xdr:to>
    <xdr:sp macro="" textlink="$AB31">
      <xdr:nvSpPr>
        <xdr:cNvPr id="479" name="ZoneTexte 478"/>
        <xdr:cNvSpPr txBox="1">
          <a:spLocks/>
        </xdr:cNvSpPr>
      </xdr:nvSpPr>
      <xdr:spPr>
        <a:xfrm>
          <a:off x="3524249" y="1086542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A99A16A-A0BD-4B73-803D-6F4A97353AFA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31</xdr:row>
      <xdr:rowOff>50078</xdr:rowOff>
    </xdr:from>
    <xdr:to>
      <xdr:col>2</xdr:col>
      <xdr:colOff>3665124</xdr:colOff>
      <xdr:row>31</xdr:row>
      <xdr:rowOff>302078</xdr:rowOff>
    </xdr:to>
    <xdr:sp macro="" textlink="$AB32">
      <xdr:nvSpPr>
        <xdr:cNvPr id="480" name="ZoneTexte 479"/>
        <xdr:cNvSpPr txBox="1">
          <a:spLocks/>
        </xdr:cNvSpPr>
      </xdr:nvSpPr>
      <xdr:spPr>
        <a:xfrm>
          <a:off x="3524249" y="11495953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B3DB69D0-5FEB-408B-AB6A-AD7C39FE61E6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3413124</xdr:colOff>
      <xdr:row>32</xdr:row>
      <xdr:rowOff>45603</xdr:rowOff>
    </xdr:from>
    <xdr:to>
      <xdr:col>2</xdr:col>
      <xdr:colOff>3665124</xdr:colOff>
      <xdr:row>32</xdr:row>
      <xdr:rowOff>297603</xdr:rowOff>
    </xdr:to>
    <xdr:sp macro="" textlink="$AB33">
      <xdr:nvSpPr>
        <xdr:cNvPr id="481" name="ZoneTexte 480"/>
        <xdr:cNvSpPr txBox="1">
          <a:spLocks/>
        </xdr:cNvSpPr>
      </xdr:nvSpPr>
      <xdr:spPr>
        <a:xfrm>
          <a:off x="3524249" y="121185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70603DF-2359-444B-84DC-FFD95BC7F55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33</xdr:row>
      <xdr:rowOff>47480</xdr:rowOff>
    </xdr:from>
    <xdr:to>
      <xdr:col>2</xdr:col>
      <xdr:colOff>3663537</xdr:colOff>
      <xdr:row>33</xdr:row>
      <xdr:rowOff>299480</xdr:rowOff>
    </xdr:to>
    <xdr:sp macro="" textlink="$AB34">
      <xdr:nvSpPr>
        <xdr:cNvPr id="482" name="ZoneTexte 481"/>
        <xdr:cNvSpPr txBox="1">
          <a:spLocks/>
        </xdr:cNvSpPr>
      </xdr:nvSpPr>
      <xdr:spPr>
        <a:xfrm>
          <a:off x="3522662" y="1274748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4F2B368-6A47-4776-AE96-EB97AAB3431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34</xdr:row>
      <xdr:rowOff>50943</xdr:rowOff>
    </xdr:from>
    <xdr:to>
      <xdr:col>2</xdr:col>
      <xdr:colOff>3665124</xdr:colOff>
      <xdr:row>34</xdr:row>
      <xdr:rowOff>302943</xdr:rowOff>
    </xdr:to>
    <xdr:sp macro="" textlink="$AB35">
      <xdr:nvSpPr>
        <xdr:cNvPr id="483" name="ZoneTexte 482"/>
        <xdr:cNvSpPr txBox="1">
          <a:spLocks/>
        </xdr:cNvSpPr>
      </xdr:nvSpPr>
      <xdr:spPr>
        <a:xfrm>
          <a:off x="3524249" y="1337800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5033BE4-747A-4049-BE7E-2CF6DD158BE0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35</xdr:row>
      <xdr:rowOff>44882</xdr:rowOff>
    </xdr:from>
    <xdr:to>
      <xdr:col>2</xdr:col>
      <xdr:colOff>3665124</xdr:colOff>
      <xdr:row>35</xdr:row>
      <xdr:rowOff>296882</xdr:rowOff>
    </xdr:to>
    <xdr:sp macro="" textlink="$AB36">
      <xdr:nvSpPr>
        <xdr:cNvPr id="484" name="ZoneTexte 483"/>
        <xdr:cNvSpPr txBox="1">
          <a:spLocks/>
        </xdr:cNvSpPr>
      </xdr:nvSpPr>
      <xdr:spPr>
        <a:xfrm>
          <a:off x="3524249" y="1399900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B20B434-5BB1-497A-BEE2-B0CDA62280CE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36</xdr:row>
      <xdr:rowOff>48346</xdr:rowOff>
    </xdr:from>
    <xdr:to>
      <xdr:col>2</xdr:col>
      <xdr:colOff>3665124</xdr:colOff>
      <xdr:row>36</xdr:row>
      <xdr:rowOff>300346</xdr:rowOff>
    </xdr:to>
    <xdr:sp macro="" textlink="$AB37">
      <xdr:nvSpPr>
        <xdr:cNvPr id="485" name="ZoneTexte 484"/>
        <xdr:cNvSpPr txBox="1">
          <a:spLocks/>
        </xdr:cNvSpPr>
      </xdr:nvSpPr>
      <xdr:spPr>
        <a:xfrm>
          <a:off x="3524249" y="1462953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D46EF79-A49A-4276-89E5-AA5705D49AB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37</xdr:row>
      <xdr:rowOff>43871</xdr:rowOff>
    </xdr:from>
    <xdr:to>
      <xdr:col>2</xdr:col>
      <xdr:colOff>3665124</xdr:colOff>
      <xdr:row>37</xdr:row>
      <xdr:rowOff>295871</xdr:rowOff>
    </xdr:to>
    <xdr:sp macro="" textlink="$AB38">
      <xdr:nvSpPr>
        <xdr:cNvPr id="486" name="ZoneTexte 485"/>
        <xdr:cNvSpPr txBox="1">
          <a:spLocks/>
        </xdr:cNvSpPr>
      </xdr:nvSpPr>
      <xdr:spPr>
        <a:xfrm>
          <a:off x="3524249" y="1525212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A40D0C6-90B2-48E0-B7AE-47940C70C3B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27</xdr:row>
      <xdr:rowOff>47625</xdr:rowOff>
    </xdr:from>
    <xdr:to>
      <xdr:col>2</xdr:col>
      <xdr:colOff>3665124</xdr:colOff>
      <xdr:row>27</xdr:row>
      <xdr:rowOff>299625</xdr:rowOff>
    </xdr:to>
    <xdr:sp macro="" textlink="$AB28">
      <xdr:nvSpPr>
        <xdr:cNvPr id="492" name="ZoneTexte 491"/>
        <xdr:cNvSpPr txBox="1">
          <a:spLocks/>
        </xdr:cNvSpPr>
      </xdr:nvSpPr>
      <xdr:spPr>
        <a:xfrm>
          <a:off x="3524249" y="89852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342A5C3-578E-429A-BDA3-21CED28A9C2F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89412</xdr:colOff>
      <xdr:row>49</xdr:row>
      <xdr:rowOff>0</xdr:rowOff>
    </xdr:from>
    <xdr:to>
      <xdr:col>12</xdr:col>
      <xdr:colOff>9272325</xdr:colOff>
      <xdr:row>53</xdr:row>
      <xdr:rowOff>40015</xdr:rowOff>
    </xdr:to>
    <xdr:grpSp>
      <xdr:nvGrpSpPr>
        <xdr:cNvPr id="15" name="Groupe 14"/>
        <xdr:cNvGrpSpPr/>
      </xdr:nvGrpSpPr>
      <xdr:grpSpPr>
        <a:xfrm>
          <a:off x="203712" y="22345650"/>
          <a:ext cx="24661038" cy="802015"/>
          <a:chOff x="203712" y="16154400"/>
          <a:chExt cx="24661038" cy="802015"/>
        </a:xfrm>
      </xdr:grpSpPr>
      <xdr:grpSp>
        <xdr:nvGrpSpPr>
          <xdr:cNvPr id="5" name="Groupe 4"/>
          <xdr:cNvGrpSpPr/>
        </xdr:nvGrpSpPr>
        <xdr:grpSpPr>
          <a:xfrm>
            <a:off x="15725775" y="16154400"/>
            <a:ext cx="9138975" cy="792013"/>
            <a:chOff x="15601950" y="15944850"/>
            <a:chExt cx="9138975" cy="792013"/>
          </a:xfrm>
        </xdr:grpSpPr>
        <xdr:sp macro="" textlink="">
          <xdr:nvSpPr>
            <xdr:cNvPr id="191" name="ZoneTexte 190"/>
            <xdr:cNvSpPr txBox="1"/>
          </xdr:nvSpPr>
          <xdr:spPr>
            <a:xfrm>
              <a:off x="20912153" y="15944863"/>
              <a:ext cx="324000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212" name="ZoneTexte 211"/>
            <xdr:cNvSpPr txBox="1"/>
          </xdr:nvSpPr>
          <xdr:spPr>
            <a:xfrm>
              <a:off x="16182975" y="159448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  <xdr:sp macro="" textlink="">
          <xdr:nvSpPr>
            <xdr:cNvPr id="3" name="Rectangle 2"/>
            <xdr:cNvSpPr/>
          </xdr:nvSpPr>
          <xdr:spPr>
            <a:xfrm>
              <a:off x="15601950" y="15944850"/>
              <a:ext cx="576000" cy="7905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13" name="Rectangle 212"/>
            <xdr:cNvSpPr/>
          </xdr:nvSpPr>
          <xdr:spPr>
            <a:xfrm>
              <a:off x="20335875" y="15944850"/>
              <a:ext cx="576000" cy="7905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15" name="Rectangle 214"/>
            <xdr:cNvSpPr/>
          </xdr:nvSpPr>
          <xdr:spPr>
            <a:xfrm>
              <a:off x="24164925" y="15944850"/>
              <a:ext cx="576000" cy="7905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214" name="ZoneTexte 213"/>
          <xdr:cNvSpPr txBox="1"/>
        </xdr:nvSpPr>
        <xdr:spPr>
          <a:xfrm>
            <a:off x="4429125" y="16211550"/>
            <a:ext cx="3708000" cy="28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rIns="0" rtlCol="0" anchor="ctr"/>
          <a:lstStyle/>
          <a:p>
            <a:pPr algn="l"/>
            <a:r>
              <a:rPr lang="fr-FR" sz="1000" b="0" u="none">
                <a:solidFill>
                  <a:srgbClr val="FF0000"/>
                </a:solidFill>
                <a:latin typeface="+mn-lt"/>
              </a:rPr>
              <a:t>   </a:t>
            </a:r>
            <a:r>
              <a:rPr lang="fr-FR" sz="1000" b="1" u="sng">
                <a:solidFill>
                  <a:srgbClr val="FF0000"/>
                </a:solidFill>
                <a:latin typeface="+mn-lt"/>
              </a:rPr>
              <a:t>Note importante </a:t>
            </a:r>
            <a:r>
              <a:rPr lang="fr-FR" sz="1000" b="1" u="none">
                <a:solidFill>
                  <a:srgbClr val="FF0000"/>
                </a:solidFill>
                <a:latin typeface="+mn-lt"/>
              </a:rPr>
              <a:t>: </a:t>
            </a:r>
            <a:r>
              <a:rPr lang="fr-FR" sz="1000">
                <a:solidFill>
                  <a:srgbClr val="FF0000"/>
                </a:solidFill>
                <a:latin typeface="+mn-lt"/>
              </a:rPr>
              <a:t>Ne pas laisser de ligne vide entre chaque opération</a:t>
            </a:r>
          </a:p>
        </xdr:txBody>
      </xdr:sp>
      <xdr:grpSp>
        <xdr:nvGrpSpPr>
          <xdr:cNvPr id="6" name="Groupe 5"/>
          <xdr:cNvGrpSpPr/>
        </xdr:nvGrpSpPr>
        <xdr:grpSpPr>
          <a:xfrm>
            <a:off x="203712" y="16221075"/>
            <a:ext cx="4140000" cy="288000"/>
            <a:chOff x="200024" y="15973424"/>
            <a:chExt cx="4483382" cy="288000"/>
          </a:xfrm>
        </xdr:grpSpPr>
        <xdr:sp macro="" textlink="">
          <xdr:nvSpPr>
            <xdr:cNvPr id="13" name="ZoneTexte 12"/>
            <xdr:cNvSpPr txBox="1"/>
          </xdr:nvSpPr>
          <xdr:spPr>
            <a:xfrm>
              <a:off x="200024" y="15973424"/>
              <a:ext cx="4483382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responsable Travaux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4" name="Rectangle 13"/>
            <xdr:cNvSpPr/>
          </xdr:nvSpPr>
          <xdr:spPr>
            <a:xfrm>
              <a:off x="200025" y="16021050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12" name="Groupe 11"/>
          <xdr:cNvGrpSpPr/>
        </xdr:nvGrpSpPr>
        <xdr:grpSpPr>
          <a:xfrm>
            <a:off x="209550" y="16668750"/>
            <a:ext cx="1656001" cy="287665"/>
            <a:chOff x="209550" y="16668750"/>
            <a:chExt cx="1656001" cy="287665"/>
          </a:xfrm>
        </xdr:grpSpPr>
        <xdr:sp macro="" textlink="">
          <xdr:nvSpPr>
            <xdr:cNvPr id="451" name="ZoneTexte 450"/>
            <xdr:cNvSpPr txBox="1"/>
          </xdr:nvSpPr>
          <xdr:spPr>
            <a:xfrm>
              <a:off x="209551" y="16668750"/>
              <a:ext cx="1656000" cy="28766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90000" rIns="90000" rtlCol="0" anchor="ctr"/>
            <a:lstStyle/>
            <a:p>
              <a:pPr algn="l"/>
              <a:r>
                <a:rPr lang="fr-FR" sz="1000">
                  <a:latin typeface="+mn-lt"/>
                </a:rPr>
                <a:t>          REX</a:t>
              </a:r>
              <a:r>
                <a:rPr lang="fr-FR" sz="1000" baseline="0">
                  <a:latin typeface="+mn-lt"/>
                </a:rPr>
                <a:t> Fin de GPA réalisé</a:t>
              </a:r>
              <a:endParaRPr lang="fr-FR" sz="1000">
                <a:latin typeface="+mn-lt"/>
              </a:endParaRPr>
            </a:p>
          </xdr:txBody>
        </xdr:sp>
        <xdr:pic>
          <xdr:nvPicPr>
            <xdr:cNvPr id="7" name="Image 6"/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/>
            <a:srcRect l="-2920" t="2750" r="-2920" b="2750"/>
            <a:stretch/>
          </xdr:blipFill>
          <xdr:spPr>
            <a:xfrm>
              <a:off x="209550" y="16687800"/>
              <a:ext cx="252000" cy="252000"/>
            </a:xfrm>
            <a:prstGeom prst="rect">
              <a:avLst/>
            </a:prstGeom>
          </xdr:spPr>
        </xdr:pic>
      </xdr:grpSp>
    </xdr:grpSp>
    <xdr:clientData/>
  </xdr:twoCellAnchor>
  <xdr:twoCellAnchor editAs="absolute">
    <xdr:from>
      <xdr:col>3</xdr:col>
      <xdr:colOff>0</xdr:colOff>
      <xdr:row>38</xdr:row>
      <xdr:rowOff>0</xdr:rowOff>
    </xdr:from>
    <xdr:to>
      <xdr:col>3</xdr:col>
      <xdr:colOff>252000</xdr:colOff>
      <xdr:row>38</xdr:row>
      <xdr:rowOff>252000</xdr:rowOff>
    </xdr:to>
    <xdr:sp macro="" textlink="$AB38">
      <xdr:nvSpPr>
        <xdr:cNvPr id="221" name="ZoneTexte 220"/>
        <xdr:cNvSpPr txBox="1">
          <a:spLocks/>
        </xdr:cNvSpPr>
      </xdr:nvSpPr>
      <xdr:spPr>
        <a:xfrm>
          <a:off x="3829050" y="158686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A40D0C6-90B2-48E0-B7AE-47940C70C3B7}" type="TxLink">
            <a:rPr lang="en-US" sz="1600" b="1" i="0" u="none" strike="noStrike">
              <a:solidFill>
                <a:srgbClr val="FFFFFF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3417888</xdr:colOff>
      <xdr:row>38</xdr:row>
      <xdr:rowOff>49213</xdr:rowOff>
    </xdr:from>
    <xdr:to>
      <xdr:col>2</xdr:col>
      <xdr:colOff>3669888</xdr:colOff>
      <xdr:row>38</xdr:row>
      <xdr:rowOff>301213</xdr:rowOff>
    </xdr:to>
    <xdr:sp macro="" textlink="$AB39">
      <xdr:nvSpPr>
        <xdr:cNvPr id="222" name="ZoneTexte 221"/>
        <xdr:cNvSpPr txBox="1">
          <a:spLocks/>
        </xdr:cNvSpPr>
      </xdr:nvSpPr>
      <xdr:spPr>
        <a:xfrm>
          <a:off x="3529013" y="1588452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DF9FB23-CFFA-4090-B934-0450384085B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3417888</xdr:colOff>
      <xdr:row>39</xdr:row>
      <xdr:rowOff>49212</xdr:rowOff>
    </xdr:from>
    <xdr:to>
      <xdr:col>2</xdr:col>
      <xdr:colOff>3669888</xdr:colOff>
      <xdr:row>39</xdr:row>
      <xdr:rowOff>301212</xdr:rowOff>
    </xdr:to>
    <xdr:sp macro="" textlink="$AB40">
      <xdr:nvSpPr>
        <xdr:cNvPr id="223" name="ZoneTexte 222"/>
        <xdr:cNvSpPr txBox="1">
          <a:spLocks/>
        </xdr:cNvSpPr>
      </xdr:nvSpPr>
      <xdr:spPr>
        <a:xfrm>
          <a:off x="3529013" y="1651158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BD2FD64-EB75-44C7-8E4C-738D94729F2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3417887</xdr:colOff>
      <xdr:row>40</xdr:row>
      <xdr:rowOff>49212</xdr:rowOff>
    </xdr:from>
    <xdr:to>
      <xdr:col>2</xdr:col>
      <xdr:colOff>3669887</xdr:colOff>
      <xdr:row>40</xdr:row>
      <xdr:rowOff>301212</xdr:rowOff>
    </xdr:to>
    <xdr:sp macro="" textlink="$AB41">
      <xdr:nvSpPr>
        <xdr:cNvPr id="224" name="ZoneTexte 223"/>
        <xdr:cNvSpPr txBox="1">
          <a:spLocks/>
        </xdr:cNvSpPr>
      </xdr:nvSpPr>
      <xdr:spPr>
        <a:xfrm>
          <a:off x="3529012" y="171386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FBF09A2-3A39-4AC6-93BC-904FD3B7B826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3413111</xdr:colOff>
      <xdr:row>41</xdr:row>
      <xdr:rowOff>47628</xdr:rowOff>
    </xdr:from>
    <xdr:to>
      <xdr:col>2</xdr:col>
      <xdr:colOff>3665111</xdr:colOff>
      <xdr:row>41</xdr:row>
      <xdr:rowOff>299628</xdr:rowOff>
    </xdr:to>
    <xdr:sp macro="" textlink="$AB42">
      <xdr:nvSpPr>
        <xdr:cNvPr id="225" name="ZoneTexte 224"/>
        <xdr:cNvSpPr txBox="1">
          <a:spLocks/>
        </xdr:cNvSpPr>
      </xdr:nvSpPr>
      <xdr:spPr>
        <a:xfrm>
          <a:off x="3524236" y="177641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459051C-1A5C-4EAC-8CBD-4C4F3368994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3413111</xdr:colOff>
      <xdr:row>42</xdr:row>
      <xdr:rowOff>47628</xdr:rowOff>
    </xdr:from>
    <xdr:to>
      <xdr:col>2</xdr:col>
      <xdr:colOff>3665111</xdr:colOff>
      <xdr:row>42</xdr:row>
      <xdr:rowOff>299628</xdr:rowOff>
    </xdr:to>
    <xdr:sp macro="" textlink="$AB43">
      <xdr:nvSpPr>
        <xdr:cNvPr id="226" name="ZoneTexte 225"/>
        <xdr:cNvSpPr txBox="1">
          <a:spLocks/>
        </xdr:cNvSpPr>
      </xdr:nvSpPr>
      <xdr:spPr>
        <a:xfrm>
          <a:off x="3524236" y="183911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68453FC-6DA4-424D-8601-C3214AA3DB3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3413114</xdr:colOff>
      <xdr:row>43</xdr:row>
      <xdr:rowOff>47628</xdr:rowOff>
    </xdr:from>
    <xdr:to>
      <xdr:col>2</xdr:col>
      <xdr:colOff>3665114</xdr:colOff>
      <xdr:row>43</xdr:row>
      <xdr:rowOff>299628</xdr:rowOff>
    </xdr:to>
    <xdr:sp macro="" textlink="$AB44">
      <xdr:nvSpPr>
        <xdr:cNvPr id="227" name="ZoneTexte 226"/>
        <xdr:cNvSpPr txBox="1">
          <a:spLocks/>
        </xdr:cNvSpPr>
      </xdr:nvSpPr>
      <xdr:spPr>
        <a:xfrm>
          <a:off x="3524239" y="190182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13DD18F-AEEF-4E07-A0CD-E0DC2892C7E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3413116</xdr:colOff>
      <xdr:row>44</xdr:row>
      <xdr:rowOff>47628</xdr:rowOff>
    </xdr:from>
    <xdr:to>
      <xdr:col>2</xdr:col>
      <xdr:colOff>3665116</xdr:colOff>
      <xdr:row>44</xdr:row>
      <xdr:rowOff>299628</xdr:rowOff>
    </xdr:to>
    <xdr:sp macro="" textlink="$AB45">
      <xdr:nvSpPr>
        <xdr:cNvPr id="228" name="ZoneTexte 227"/>
        <xdr:cNvSpPr txBox="1">
          <a:spLocks/>
        </xdr:cNvSpPr>
      </xdr:nvSpPr>
      <xdr:spPr>
        <a:xfrm>
          <a:off x="3524241" y="196453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85BB633-0BD4-4B85-95C8-A7476F17AE6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3413110</xdr:colOff>
      <xdr:row>45</xdr:row>
      <xdr:rowOff>47628</xdr:rowOff>
    </xdr:from>
    <xdr:to>
      <xdr:col>2</xdr:col>
      <xdr:colOff>3665110</xdr:colOff>
      <xdr:row>45</xdr:row>
      <xdr:rowOff>299628</xdr:rowOff>
    </xdr:to>
    <xdr:sp macro="" textlink="$AB46">
      <xdr:nvSpPr>
        <xdr:cNvPr id="229" name="ZoneTexte 228"/>
        <xdr:cNvSpPr txBox="1">
          <a:spLocks/>
        </xdr:cNvSpPr>
      </xdr:nvSpPr>
      <xdr:spPr>
        <a:xfrm>
          <a:off x="3524235" y="2027237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9D77A2D-9E75-4999-B50F-942D195B8F62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3413118</xdr:colOff>
      <xdr:row>46</xdr:row>
      <xdr:rowOff>47628</xdr:rowOff>
    </xdr:from>
    <xdr:to>
      <xdr:col>2</xdr:col>
      <xdr:colOff>3665118</xdr:colOff>
      <xdr:row>46</xdr:row>
      <xdr:rowOff>299628</xdr:rowOff>
    </xdr:to>
    <xdr:sp macro="" textlink="$AB47">
      <xdr:nvSpPr>
        <xdr:cNvPr id="230" name="ZoneTexte 229"/>
        <xdr:cNvSpPr txBox="1">
          <a:spLocks/>
        </xdr:cNvSpPr>
      </xdr:nvSpPr>
      <xdr:spPr>
        <a:xfrm>
          <a:off x="3524243" y="208994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D371ADE-4047-41DA-B59B-CBAE4E48CFB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3413114</xdr:colOff>
      <xdr:row>47</xdr:row>
      <xdr:rowOff>47628</xdr:rowOff>
    </xdr:from>
    <xdr:to>
      <xdr:col>2</xdr:col>
      <xdr:colOff>3665114</xdr:colOff>
      <xdr:row>47</xdr:row>
      <xdr:rowOff>299628</xdr:rowOff>
    </xdr:to>
    <xdr:sp macro="" textlink="$AB48">
      <xdr:nvSpPr>
        <xdr:cNvPr id="231" name="ZoneTexte 230"/>
        <xdr:cNvSpPr txBox="1">
          <a:spLocks/>
        </xdr:cNvSpPr>
      </xdr:nvSpPr>
      <xdr:spPr>
        <a:xfrm>
          <a:off x="3524239" y="215265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4A44DAC-3B86-44E1-B7CC-F695436C2F32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37</xdr:row>
          <xdr:rowOff>85725</xdr:rowOff>
        </xdr:from>
        <xdr:to>
          <xdr:col>10</xdr:col>
          <xdr:colOff>1123950</xdr:colOff>
          <xdr:row>37</xdr:row>
          <xdr:rowOff>266700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37</xdr:row>
          <xdr:rowOff>85725</xdr:rowOff>
        </xdr:from>
        <xdr:to>
          <xdr:col>10</xdr:col>
          <xdr:colOff>2181225</xdr:colOff>
          <xdr:row>37</xdr:row>
          <xdr:rowOff>266700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37</xdr:row>
          <xdr:rowOff>371475</xdr:rowOff>
        </xdr:from>
        <xdr:to>
          <xdr:col>10</xdr:col>
          <xdr:colOff>828675</xdr:colOff>
          <xdr:row>37</xdr:row>
          <xdr:rowOff>552450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37</xdr:row>
          <xdr:rowOff>85725</xdr:rowOff>
        </xdr:from>
        <xdr:to>
          <xdr:col>10</xdr:col>
          <xdr:colOff>2943225</xdr:colOff>
          <xdr:row>37</xdr:row>
          <xdr:rowOff>266700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37</xdr:row>
          <xdr:rowOff>371475</xdr:rowOff>
        </xdr:from>
        <xdr:to>
          <xdr:col>10</xdr:col>
          <xdr:colOff>1771650</xdr:colOff>
          <xdr:row>37</xdr:row>
          <xdr:rowOff>552450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37</xdr:row>
          <xdr:rowOff>85725</xdr:rowOff>
        </xdr:from>
        <xdr:to>
          <xdr:col>10</xdr:col>
          <xdr:colOff>4257675</xdr:colOff>
          <xdr:row>37</xdr:row>
          <xdr:rowOff>266700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37</xdr:row>
          <xdr:rowOff>85725</xdr:rowOff>
        </xdr:from>
        <xdr:to>
          <xdr:col>10</xdr:col>
          <xdr:colOff>3705225</xdr:colOff>
          <xdr:row>37</xdr:row>
          <xdr:rowOff>266700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37</xdr:row>
          <xdr:rowOff>371475</xdr:rowOff>
        </xdr:from>
        <xdr:to>
          <xdr:col>10</xdr:col>
          <xdr:colOff>3981450</xdr:colOff>
          <xdr:row>37</xdr:row>
          <xdr:rowOff>552450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38</xdr:row>
          <xdr:rowOff>85725</xdr:rowOff>
        </xdr:from>
        <xdr:to>
          <xdr:col>10</xdr:col>
          <xdr:colOff>1123950</xdr:colOff>
          <xdr:row>38</xdr:row>
          <xdr:rowOff>266700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38</xdr:row>
          <xdr:rowOff>85725</xdr:rowOff>
        </xdr:from>
        <xdr:to>
          <xdr:col>10</xdr:col>
          <xdr:colOff>2181225</xdr:colOff>
          <xdr:row>38</xdr:row>
          <xdr:rowOff>266700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38</xdr:row>
          <xdr:rowOff>371475</xdr:rowOff>
        </xdr:from>
        <xdr:to>
          <xdr:col>10</xdr:col>
          <xdr:colOff>828675</xdr:colOff>
          <xdr:row>38</xdr:row>
          <xdr:rowOff>552450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38</xdr:row>
          <xdr:rowOff>85725</xdr:rowOff>
        </xdr:from>
        <xdr:to>
          <xdr:col>10</xdr:col>
          <xdr:colOff>2943225</xdr:colOff>
          <xdr:row>38</xdr:row>
          <xdr:rowOff>266700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38</xdr:row>
          <xdr:rowOff>371475</xdr:rowOff>
        </xdr:from>
        <xdr:to>
          <xdr:col>10</xdr:col>
          <xdr:colOff>1771650</xdr:colOff>
          <xdr:row>38</xdr:row>
          <xdr:rowOff>552450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38</xdr:row>
          <xdr:rowOff>85725</xdr:rowOff>
        </xdr:from>
        <xdr:to>
          <xdr:col>10</xdr:col>
          <xdr:colOff>4257675</xdr:colOff>
          <xdr:row>38</xdr:row>
          <xdr:rowOff>266700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38</xdr:row>
          <xdr:rowOff>85725</xdr:rowOff>
        </xdr:from>
        <xdr:to>
          <xdr:col>10</xdr:col>
          <xdr:colOff>3705225</xdr:colOff>
          <xdr:row>38</xdr:row>
          <xdr:rowOff>266700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38</xdr:row>
          <xdr:rowOff>371475</xdr:rowOff>
        </xdr:from>
        <xdr:to>
          <xdr:col>10</xdr:col>
          <xdr:colOff>3981450</xdr:colOff>
          <xdr:row>38</xdr:row>
          <xdr:rowOff>552450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39</xdr:row>
          <xdr:rowOff>85725</xdr:rowOff>
        </xdr:from>
        <xdr:to>
          <xdr:col>10</xdr:col>
          <xdr:colOff>1123950</xdr:colOff>
          <xdr:row>39</xdr:row>
          <xdr:rowOff>266700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39</xdr:row>
          <xdr:rowOff>85725</xdr:rowOff>
        </xdr:from>
        <xdr:to>
          <xdr:col>10</xdr:col>
          <xdr:colOff>2181225</xdr:colOff>
          <xdr:row>39</xdr:row>
          <xdr:rowOff>266700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39</xdr:row>
          <xdr:rowOff>371475</xdr:rowOff>
        </xdr:from>
        <xdr:to>
          <xdr:col>10</xdr:col>
          <xdr:colOff>828675</xdr:colOff>
          <xdr:row>39</xdr:row>
          <xdr:rowOff>552450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39</xdr:row>
          <xdr:rowOff>85725</xdr:rowOff>
        </xdr:from>
        <xdr:to>
          <xdr:col>10</xdr:col>
          <xdr:colOff>2943225</xdr:colOff>
          <xdr:row>39</xdr:row>
          <xdr:rowOff>266700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39</xdr:row>
          <xdr:rowOff>371475</xdr:rowOff>
        </xdr:from>
        <xdr:to>
          <xdr:col>10</xdr:col>
          <xdr:colOff>1771650</xdr:colOff>
          <xdr:row>39</xdr:row>
          <xdr:rowOff>552450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39</xdr:row>
          <xdr:rowOff>85725</xdr:rowOff>
        </xdr:from>
        <xdr:to>
          <xdr:col>10</xdr:col>
          <xdr:colOff>4257675</xdr:colOff>
          <xdr:row>39</xdr:row>
          <xdr:rowOff>266700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39</xdr:row>
          <xdr:rowOff>85725</xdr:rowOff>
        </xdr:from>
        <xdr:to>
          <xdr:col>10</xdr:col>
          <xdr:colOff>3705225</xdr:colOff>
          <xdr:row>39</xdr:row>
          <xdr:rowOff>266700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39</xdr:row>
          <xdr:rowOff>371475</xdr:rowOff>
        </xdr:from>
        <xdr:to>
          <xdr:col>10</xdr:col>
          <xdr:colOff>3981450</xdr:colOff>
          <xdr:row>39</xdr:row>
          <xdr:rowOff>552450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40</xdr:row>
          <xdr:rowOff>85725</xdr:rowOff>
        </xdr:from>
        <xdr:to>
          <xdr:col>10</xdr:col>
          <xdr:colOff>1123950</xdr:colOff>
          <xdr:row>40</xdr:row>
          <xdr:rowOff>266700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40</xdr:row>
          <xdr:rowOff>85725</xdr:rowOff>
        </xdr:from>
        <xdr:to>
          <xdr:col>10</xdr:col>
          <xdr:colOff>2181225</xdr:colOff>
          <xdr:row>40</xdr:row>
          <xdr:rowOff>266700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40</xdr:row>
          <xdr:rowOff>371475</xdr:rowOff>
        </xdr:from>
        <xdr:to>
          <xdr:col>10</xdr:col>
          <xdr:colOff>828675</xdr:colOff>
          <xdr:row>40</xdr:row>
          <xdr:rowOff>552450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40</xdr:row>
          <xdr:rowOff>85725</xdr:rowOff>
        </xdr:from>
        <xdr:to>
          <xdr:col>10</xdr:col>
          <xdr:colOff>2943225</xdr:colOff>
          <xdr:row>40</xdr:row>
          <xdr:rowOff>266700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40</xdr:row>
          <xdr:rowOff>371475</xdr:rowOff>
        </xdr:from>
        <xdr:to>
          <xdr:col>10</xdr:col>
          <xdr:colOff>1771650</xdr:colOff>
          <xdr:row>40</xdr:row>
          <xdr:rowOff>552450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40</xdr:row>
          <xdr:rowOff>85725</xdr:rowOff>
        </xdr:from>
        <xdr:to>
          <xdr:col>10</xdr:col>
          <xdr:colOff>4257675</xdr:colOff>
          <xdr:row>40</xdr:row>
          <xdr:rowOff>266700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40</xdr:row>
          <xdr:rowOff>85725</xdr:rowOff>
        </xdr:from>
        <xdr:to>
          <xdr:col>10</xdr:col>
          <xdr:colOff>3705225</xdr:colOff>
          <xdr:row>40</xdr:row>
          <xdr:rowOff>266700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40</xdr:row>
          <xdr:rowOff>371475</xdr:rowOff>
        </xdr:from>
        <xdr:to>
          <xdr:col>10</xdr:col>
          <xdr:colOff>3981450</xdr:colOff>
          <xdr:row>40</xdr:row>
          <xdr:rowOff>552450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41</xdr:row>
          <xdr:rowOff>85725</xdr:rowOff>
        </xdr:from>
        <xdr:to>
          <xdr:col>10</xdr:col>
          <xdr:colOff>1123950</xdr:colOff>
          <xdr:row>41</xdr:row>
          <xdr:rowOff>266700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41</xdr:row>
          <xdr:rowOff>85725</xdr:rowOff>
        </xdr:from>
        <xdr:to>
          <xdr:col>10</xdr:col>
          <xdr:colOff>2181225</xdr:colOff>
          <xdr:row>41</xdr:row>
          <xdr:rowOff>266700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41</xdr:row>
          <xdr:rowOff>371475</xdr:rowOff>
        </xdr:from>
        <xdr:to>
          <xdr:col>10</xdr:col>
          <xdr:colOff>828675</xdr:colOff>
          <xdr:row>41</xdr:row>
          <xdr:rowOff>552450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41</xdr:row>
          <xdr:rowOff>85725</xdr:rowOff>
        </xdr:from>
        <xdr:to>
          <xdr:col>10</xdr:col>
          <xdr:colOff>2943225</xdr:colOff>
          <xdr:row>41</xdr:row>
          <xdr:rowOff>266700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41</xdr:row>
          <xdr:rowOff>371475</xdr:rowOff>
        </xdr:from>
        <xdr:to>
          <xdr:col>10</xdr:col>
          <xdr:colOff>1771650</xdr:colOff>
          <xdr:row>41</xdr:row>
          <xdr:rowOff>552450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41</xdr:row>
          <xdr:rowOff>85725</xdr:rowOff>
        </xdr:from>
        <xdr:to>
          <xdr:col>10</xdr:col>
          <xdr:colOff>4257675</xdr:colOff>
          <xdr:row>41</xdr:row>
          <xdr:rowOff>266700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41</xdr:row>
          <xdr:rowOff>85725</xdr:rowOff>
        </xdr:from>
        <xdr:to>
          <xdr:col>10</xdr:col>
          <xdr:colOff>3705225</xdr:colOff>
          <xdr:row>41</xdr:row>
          <xdr:rowOff>266700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41</xdr:row>
          <xdr:rowOff>371475</xdr:rowOff>
        </xdr:from>
        <xdr:to>
          <xdr:col>10</xdr:col>
          <xdr:colOff>3981450</xdr:colOff>
          <xdr:row>41</xdr:row>
          <xdr:rowOff>552450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42</xdr:row>
          <xdr:rowOff>85725</xdr:rowOff>
        </xdr:from>
        <xdr:to>
          <xdr:col>10</xdr:col>
          <xdr:colOff>1123950</xdr:colOff>
          <xdr:row>42</xdr:row>
          <xdr:rowOff>266700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42</xdr:row>
          <xdr:rowOff>85725</xdr:rowOff>
        </xdr:from>
        <xdr:to>
          <xdr:col>10</xdr:col>
          <xdr:colOff>2181225</xdr:colOff>
          <xdr:row>42</xdr:row>
          <xdr:rowOff>266700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42</xdr:row>
          <xdr:rowOff>371475</xdr:rowOff>
        </xdr:from>
        <xdr:to>
          <xdr:col>10</xdr:col>
          <xdr:colOff>828675</xdr:colOff>
          <xdr:row>42</xdr:row>
          <xdr:rowOff>552450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42</xdr:row>
          <xdr:rowOff>85725</xdr:rowOff>
        </xdr:from>
        <xdr:to>
          <xdr:col>10</xdr:col>
          <xdr:colOff>2943225</xdr:colOff>
          <xdr:row>42</xdr:row>
          <xdr:rowOff>266700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42</xdr:row>
          <xdr:rowOff>371475</xdr:rowOff>
        </xdr:from>
        <xdr:to>
          <xdr:col>10</xdr:col>
          <xdr:colOff>1771650</xdr:colOff>
          <xdr:row>42</xdr:row>
          <xdr:rowOff>552450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42</xdr:row>
          <xdr:rowOff>85725</xdr:rowOff>
        </xdr:from>
        <xdr:to>
          <xdr:col>10</xdr:col>
          <xdr:colOff>4257675</xdr:colOff>
          <xdr:row>42</xdr:row>
          <xdr:rowOff>266700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42</xdr:row>
          <xdr:rowOff>85725</xdr:rowOff>
        </xdr:from>
        <xdr:to>
          <xdr:col>10</xdr:col>
          <xdr:colOff>3705225</xdr:colOff>
          <xdr:row>42</xdr:row>
          <xdr:rowOff>266700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42</xdr:row>
          <xdr:rowOff>371475</xdr:rowOff>
        </xdr:from>
        <xdr:to>
          <xdr:col>10</xdr:col>
          <xdr:colOff>3981450</xdr:colOff>
          <xdr:row>42</xdr:row>
          <xdr:rowOff>552450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43</xdr:row>
          <xdr:rowOff>85725</xdr:rowOff>
        </xdr:from>
        <xdr:to>
          <xdr:col>10</xdr:col>
          <xdr:colOff>1123950</xdr:colOff>
          <xdr:row>43</xdr:row>
          <xdr:rowOff>266700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43</xdr:row>
          <xdr:rowOff>85725</xdr:rowOff>
        </xdr:from>
        <xdr:to>
          <xdr:col>10</xdr:col>
          <xdr:colOff>2181225</xdr:colOff>
          <xdr:row>43</xdr:row>
          <xdr:rowOff>266700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43</xdr:row>
          <xdr:rowOff>371475</xdr:rowOff>
        </xdr:from>
        <xdr:to>
          <xdr:col>10</xdr:col>
          <xdr:colOff>828675</xdr:colOff>
          <xdr:row>43</xdr:row>
          <xdr:rowOff>552450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43</xdr:row>
          <xdr:rowOff>85725</xdr:rowOff>
        </xdr:from>
        <xdr:to>
          <xdr:col>10</xdr:col>
          <xdr:colOff>2943225</xdr:colOff>
          <xdr:row>43</xdr:row>
          <xdr:rowOff>266700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43</xdr:row>
          <xdr:rowOff>371475</xdr:rowOff>
        </xdr:from>
        <xdr:to>
          <xdr:col>10</xdr:col>
          <xdr:colOff>1771650</xdr:colOff>
          <xdr:row>43</xdr:row>
          <xdr:rowOff>552450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43</xdr:row>
          <xdr:rowOff>85725</xdr:rowOff>
        </xdr:from>
        <xdr:to>
          <xdr:col>10</xdr:col>
          <xdr:colOff>4257675</xdr:colOff>
          <xdr:row>43</xdr:row>
          <xdr:rowOff>266700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43</xdr:row>
          <xdr:rowOff>85725</xdr:rowOff>
        </xdr:from>
        <xdr:to>
          <xdr:col>10</xdr:col>
          <xdr:colOff>3705225</xdr:colOff>
          <xdr:row>43</xdr:row>
          <xdr:rowOff>266700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43</xdr:row>
          <xdr:rowOff>371475</xdr:rowOff>
        </xdr:from>
        <xdr:to>
          <xdr:col>10</xdr:col>
          <xdr:colOff>3981450</xdr:colOff>
          <xdr:row>43</xdr:row>
          <xdr:rowOff>552450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44</xdr:row>
          <xdr:rowOff>85725</xdr:rowOff>
        </xdr:from>
        <xdr:to>
          <xdr:col>10</xdr:col>
          <xdr:colOff>1123950</xdr:colOff>
          <xdr:row>44</xdr:row>
          <xdr:rowOff>266700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44</xdr:row>
          <xdr:rowOff>85725</xdr:rowOff>
        </xdr:from>
        <xdr:to>
          <xdr:col>10</xdr:col>
          <xdr:colOff>2181225</xdr:colOff>
          <xdr:row>44</xdr:row>
          <xdr:rowOff>266700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44</xdr:row>
          <xdr:rowOff>371475</xdr:rowOff>
        </xdr:from>
        <xdr:to>
          <xdr:col>10</xdr:col>
          <xdr:colOff>828675</xdr:colOff>
          <xdr:row>44</xdr:row>
          <xdr:rowOff>552450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44</xdr:row>
          <xdr:rowOff>85725</xdr:rowOff>
        </xdr:from>
        <xdr:to>
          <xdr:col>10</xdr:col>
          <xdr:colOff>2943225</xdr:colOff>
          <xdr:row>44</xdr:row>
          <xdr:rowOff>266700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44</xdr:row>
          <xdr:rowOff>371475</xdr:rowOff>
        </xdr:from>
        <xdr:to>
          <xdr:col>10</xdr:col>
          <xdr:colOff>1771650</xdr:colOff>
          <xdr:row>44</xdr:row>
          <xdr:rowOff>552450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44</xdr:row>
          <xdr:rowOff>85725</xdr:rowOff>
        </xdr:from>
        <xdr:to>
          <xdr:col>10</xdr:col>
          <xdr:colOff>4257675</xdr:colOff>
          <xdr:row>44</xdr:row>
          <xdr:rowOff>266700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44</xdr:row>
          <xdr:rowOff>85725</xdr:rowOff>
        </xdr:from>
        <xdr:to>
          <xdr:col>10</xdr:col>
          <xdr:colOff>3705225</xdr:colOff>
          <xdr:row>44</xdr:row>
          <xdr:rowOff>266700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44</xdr:row>
          <xdr:rowOff>371475</xdr:rowOff>
        </xdr:from>
        <xdr:to>
          <xdr:col>10</xdr:col>
          <xdr:colOff>3981450</xdr:colOff>
          <xdr:row>44</xdr:row>
          <xdr:rowOff>552450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45</xdr:row>
          <xdr:rowOff>85725</xdr:rowOff>
        </xdr:from>
        <xdr:to>
          <xdr:col>10</xdr:col>
          <xdr:colOff>1123950</xdr:colOff>
          <xdr:row>45</xdr:row>
          <xdr:rowOff>266700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45</xdr:row>
          <xdr:rowOff>85725</xdr:rowOff>
        </xdr:from>
        <xdr:to>
          <xdr:col>10</xdr:col>
          <xdr:colOff>2181225</xdr:colOff>
          <xdr:row>45</xdr:row>
          <xdr:rowOff>266700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45</xdr:row>
          <xdr:rowOff>371475</xdr:rowOff>
        </xdr:from>
        <xdr:to>
          <xdr:col>10</xdr:col>
          <xdr:colOff>828675</xdr:colOff>
          <xdr:row>45</xdr:row>
          <xdr:rowOff>552450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45</xdr:row>
          <xdr:rowOff>85725</xdr:rowOff>
        </xdr:from>
        <xdr:to>
          <xdr:col>10</xdr:col>
          <xdr:colOff>2943225</xdr:colOff>
          <xdr:row>45</xdr:row>
          <xdr:rowOff>266700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45</xdr:row>
          <xdr:rowOff>371475</xdr:rowOff>
        </xdr:from>
        <xdr:to>
          <xdr:col>10</xdr:col>
          <xdr:colOff>1771650</xdr:colOff>
          <xdr:row>45</xdr:row>
          <xdr:rowOff>552450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45</xdr:row>
          <xdr:rowOff>85725</xdr:rowOff>
        </xdr:from>
        <xdr:to>
          <xdr:col>10</xdr:col>
          <xdr:colOff>4257675</xdr:colOff>
          <xdr:row>45</xdr:row>
          <xdr:rowOff>266700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45</xdr:row>
          <xdr:rowOff>85725</xdr:rowOff>
        </xdr:from>
        <xdr:to>
          <xdr:col>10</xdr:col>
          <xdr:colOff>3705225</xdr:colOff>
          <xdr:row>45</xdr:row>
          <xdr:rowOff>266700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45</xdr:row>
          <xdr:rowOff>371475</xdr:rowOff>
        </xdr:from>
        <xdr:to>
          <xdr:col>10</xdr:col>
          <xdr:colOff>3981450</xdr:colOff>
          <xdr:row>45</xdr:row>
          <xdr:rowOff>552450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46</xdr:row>
          <xdr:rowOff>85725</xdr:rowOff>
        </xdr:from>
        <xdr:to>
          <xdr:col>10</xdr:col>
          <xdr:colOff>1123950</xdr:colOff>
          <xdr:row>46</xdr:row>
          <xdr:rowOff>266700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extérieures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46</xdr:row>
          <xdr:rowOff>85725</xdr:rowOff>
        </xdr:from>
        <xdr:to>
          <xdr:col>10</xdr:col>
          <xdr:colOff>2181225</xdr:colOff>
          <xdr:row>46</xdr:row>
          <xdr:rowOff>266700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Men. intérieures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46</xdr:row>
          <xdr:rowOff>371475</xdr:rowOff>
        </xdr:from>
        <xdr:to>
          <xdr:col>10</xdr:col>
          <xdr:colOff>828675</xdr:colOff>
          <xdr:row>46</xdr:row>
          <xdr:rowOff>552450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Electricité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2190750</xdr:colOff>
          <xdr:row>46</xdr:row>
          <xdr:rowOff>85725</xdr:rowOff>
        </xdr:from>
        <xdr:to>
          <xdr:col>10</xdr:col>
          <xdr:colOff>2943225</xdr:colOff>
          <xdr:row>46</xdr:row>
          <xdr:rowOff>266700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Plomberie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46</xdr:row>
          <xdr:rowOff>371475</xdr:rowOff>
        </xdr:from>
        <xdr:to>
          <xdr:col>10</xdr:col>
          <xdr:colOff>1771650</xdr:colOff>
          <xdr:row>46</xdr:row>
          <xdr:rowOff>552450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Bardage / 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3714750</xdr:colOff>
          <xdr:row>46</xdr:row>
          <xdr:rowOff>85725</xdr:rowOff>
        </xdr:from>
        <xdr:to>
          <xdr:col>10</xdr:col>
          <xdr:colOff>4257675</xdr:colOff>
          <xdr:row>46</xdr:row>
          <xdr:rowOff>266700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VMC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2952750</xdr:colOff>
          <xdr:row>46</xdr:row>
          <xdr:rowOff>85725</xdr:rowOff>
        </xdr:from>
        <xdr:to>
          <xdr:col>10</xdr:col>
          <xdr:colOff>3705225</xdr:colOff>
          <xdr:row>46</xdr:row>
          <xdr:rowOff>266700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Chauffage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1781175</xdr:colOff>
          <xdr:row>46</xdr:row>
          <xdr:rowOff>371475</xdr:rowOff>
        </xdr:from>
        <xdr:to>
          <xdr:col>10</xdr:col>
          <xdr:colOff>3981450</xdr:colOff>
          <xdr:row>46</xdr:row>
          <xdr:rowOff>552450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 Autre lot (Préciser dans les commentaires)</a:t>
              </a:r>
            </a:p>
          </xdr:txBody>
        </xdr:sp>
        <xdr:clientData/>
      </xdr:twoCellAnchor>
    </mc:Choice>
    <mc:Fallback/>
  </mc:AlternateContent>
  <xdr:twoCellAnchor editAs="absolute">
    <xdr:from>
      <xdr:col>2</xdr:col>
      <xdr:colOff>3317871</xdr:colOff>
      <xdr:row>38</xdr:row>
      <xdr:rowOff>468317</xdr:rowOff>
    </xdr:from>
    <xdr:to>
      <xdr:col>2</xdr:col>
      <xdr:colOff>3677871</xdr:colOff>
      <xdr:row>38</xdr:row>
      <xdr:rowOff>590492</xdr:rowOff>
    </xdr:to>
    <xdr:pic>
      <xdr:nvPicPr>
        <xdr:cNvPr id="312" name="Image 31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6" y="1630363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3317868</xdr:colOff>
      <xdr:row>39</xdr:row>
      <xdr:rowOff>468315</xdr:rowOff>
    </xdr:from>
    <xdr:to>
      <xdr:col>2</xdr:col>
      <xdr:colOff>3677868</xdr:colOff>
      <xdr:row>39</xdr:row>
      <xdr:rowOff>590490</xdr:rowOff>
    </xdr:to>
    <xdr:pic>
      <xdr:nvPicPr>
        <xdr:cNvPr id="313" name="Image 312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3" y="1693069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3317866</xdr:colOff>
      <xdr:row>40</xdr:row>
      <xdr:rowOff>468318</xdr:rowOff>
    </xdr:from>
    <xdr:to>
      <xdr:col>2</xdr:col>
      <xdr:colOff>3677866</xdr:colOff>
      <xdr:row>40</xdr:row>
      <xdr:rowOff>590493</xdr:rowOff>
    </xdr:to>
    <xdr:pic>
      <xdr:nvPicPr>
        <xdr:cNvPr id="314" name="Image 313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1" y="17557756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3317874</xdr:colOff>
      <xdr:row>41</xdr:row>
      <xdr:rowOff>468314</xdr:rowOff>
    </xdr:from>
    <xdr:to>
      <xdr:col>2</xdr:col>
      <xdr:colOff>3677874</xdr:colOff>
      <xdr:row>41</xdr:row>
      <xdr:rowOff>590489</xdr:rowOff>
    </xdr:to>
    <xdr:pic>
      <xdr:nvPicPr>
        <xdr:cNvPr id="315" name="Image 314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9" y="18184814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3317871</xdr:colOff>
      <xdr:row>42</xdr:row>
      <xdr:rowOff>468310</xdr:rowOff>
    </xdr:from>
    <xdr:to>
      <xdr:col>2</xdr:col>
      <xdr:colOff>3677871</xdr:colOff>
      <xdr:row>42</xdr:row>
      <xdr:rowOff>590485</xdr:rowOff>
    </xdr:to>
    <xdr:pic>
      <xdr:nvPicPr>
        <xdr:cNvPr id="316" name="Image 315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6" y="18811873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3317865</xdr:colOff>
      <xdr:row>43</xdr:row>
      <xdr:rowOff>468315</xdr:rowOff>
    </xdr:from>
    <xdr:to>
      <xdr:col>2</xdr:col>
      <xdr:colOff>3677865</xdr:colOff>
      <xdr:row>43</xdr:row>
      <xdr:rowOff>590490</xdr:rowOff>
    </xdr:to>
    <xdr:pic>
      <xdr:nvPicPr>
        <xdr:cNvPr id="317" name="Image 316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0" y="19438940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3317875</xdr:colOff>
      <xdr:row>44</xdr:row>
      <xdr:rowOff>468314</xdr:rowOff>
    </xdr:from>
    <xdr:to>
      <xdr:col>2</xdr:col>
      <xdr:colOff>3677875</xdr:colOff>
      <xdr:row>44</xdr:row>
      <xdr:rowOff>590489</xdr:rowOff>
    </xdr:to>
    <xdr:pic>
      <xdr:nvPicPr>
        <xdr:cNvPr id="318" name="Image 31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20066002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3317877</xdr:colOff>
      <xdr:row>45</xdr:row>
      <xdr:rowOff>468314</xdr:rowOff>
    </xdr:from>
    <xdr:to>
      <xdr:col>2</xdr:col>
      <xdr:colOff>3677877</xdr:colOff>
      <xdr:row>45</xdr:row>
      <xdr:rowOff>590489</xdr:rowOff>
    </xdr:to>
    <xdr:pic>
      <xdr:nvPicPr>
        <xdr:cNvPr id="319" name="Image 31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2" y="20693064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3317874</xdr:colOff>
      <xdr:row>46</xdr:row>
      <xdr:rowOff>468311</xdr:rowOff>
    </xdr:from>
    <xdr:to>
      <xdr:col>2</xdr:col>
      <xdr:colOff>3677874</xdr:colOff>
      <xdr:row>46</xdr:row>
      <xdr:rowOff>590486</xdr:rowOff>
    </xdr:to>
    <xdr:pic>
      <xdr:nvPicPr>
        <xdr:cNvPr id="320" name="Image 319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9" y="21320124"/>
          <a:ext cx="360000" cy="122175"/>
        </a:xfrm>
        <a:prstGeom prst="rect">
          <a:avLst/>
        </a:prstGeom>
      </xdr:spPr>
    </xdr:pic>
    <xdr:clientData/>
  </xdr:twoCellAnchor>
  <xdr:twoCellAnchor editAs="absolute">
    <xdr:from>
      <xdr:col>2</xdr:col>
      <xdr:colOff>3317877</xdr:colOff>
      <xdr:row>47</xdr:row>
      <xdr:rowOff>468314</xdr:rowOff>
    </xdr:from>
    <xdr:to>
      <xdr:col>2</xdr:col>
      <xdr:colOff>3677877</xdr:colOff>
      <xdr:row>47</xdr:row>
      <xdr:rowOff>590489</xdr:rowOff>
    </xdr:to>
    <xdr:pic>
      <xdr:nvPicPr>
        <xdr:cNvPr id="321" name="Image 320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2" y="21947189"/>
          <a:ext cx="360000" cy="122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4760</xdr:colOff>
      <xdr:row>1</xdr:row>
      <xdr:rowOff>4763</xdr:rowOff>
    </xdr:from>
    <xdr:to>
      <xdr:col>21</xdr:col>
      <xdr:colOff>53360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10" y="61913"/>
          <a:ext cx="226800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21</xdr:col>
      <xdr:colOff>56062</xdr:colOff>
      <xdr:row>22</xdr:row>
      <xdr:rowOff>189262</xdr:rowOff>
    </xdr:to>
    <xdr:sp macro="" textlink="">
      <xdr:nvSpPr>
        <xdr:cNvPr id="6" name="ZoneTexte 5"/>
        <xdr:cNvSpPr txBox="1"/>
      </xdr:nvSpPr>
      <xdr:spPr>
        <a:xfrm>
          <a:off x="61912" y="3490912"/>
          <a:ext cx="22111200" cy="7560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P</a:t>
          </a:r>
          <a:r>
            <a:rPr lang="fr-FR" sz="1400" b="1">
              <a:solidFill>
                <a:schemeClr val="tx1"/>
              </a:solidFill>
            </a:rPr>
            <a:t>hase GPA → De la réception à la passation administrative (R + 13 mois)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21</xdr:col>
      <xdr:colOff>55674</xdr:colOff>
      <xdr:row>16</xdr:row>
      <xdr:rowOff>189863</xdr:rowOff>
    </xdr:to>
    <xdr:grpSp>
      <xdr:nvGrpSpPr>
        <xdr:cNvPr id="2" name="Groupe 1"/>
        <xdr:cNvGrpSpPr/>
      </xdr:nvGrpSpPr>
      <xdr:grpSpPr>
        <a:xfrm>
          <a:off x="61917" y="1966913"/>
          <a:ext cx="22682307" cy="1137600"/>
          <a:chOff x="61917" y="1966913"/>
          <a:chExt cx="23510981" cy="1137600"/>
        </a:xfrm>
      </xdr:grpSpPr>
      <xdr:sp macro="" textlink="'Feuille Saisie'!E2">
        <xdr:nvSpPr>
          <xdr:cNvPr id="32" name="ZoneTexte 3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30" name="ZoneTexte 29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3413119</xdr:colOff>
      <xdr:row>28</xdr:row>
      <xdr:rowOff>50802</xdr:rowOff>
    </xdr:from>
    <xdr:to>
      <xdr:col>2</xdr:col>
      <xdr:colOff>3665119</xdr:colOff>
      <xdr:row>28</xdr:row>
      <xdr:rowOff>304390</xdr:rowOff>
    </xdr:to>
    <xdr:sp macro="" textlink="$Y29">
      <xdr:nvSpPr>
        <xdr:cNvPr id="104" name="ZoneTexte 103"/>
        <xdr:cNvSpPr txBox="1">
          <a:spLocks/>
        </xdr:cNvSpPr>
      </xdr:nvSpPr>
      <xdr:spPr>
        <a:xfrm>
          <a:off x="3524244" y="5249865"/>
          <a:ext cx="252000" cy="253588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5182104-9E02-4B4E-9790-4466FC5E22A6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ü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29</xdr:row>
      <xdr:rowOff>49209</xdr:rowOff>
    </xdr:from>
    <xdr:to>
      <xdr:col>2</xdr:col>
      <xdr:colOff>3668299</xdr:colOff>
      <xdr:row>29</xdr:row>
      <xdr:rowOff>301209</xdr:rowOff>
    </xdr:to>
    <xdr:sp macro="" textlink="$Y30">
      <xdr:nvSpPr>
        <xdr:cNvPr id="105" name="ZoneTexte 104"/>
        <xdr:cNvSpPr txBox="1">
          <a:spLocks/>
        </xdr:cNvSpPr>
      </xdr:nvSpPr>
      <xdr:spPr>
        <a:xfrm>
          <a:off x="3527424" y="587533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FD56C23-A37D-4570-AC49-84CB1FECED7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30</xdr:row>
      <xdr:rowOff>44449</xdr:rowOff>
    </xdr:from>
    <xdr:to>
      <xdr:col>2</xdr:col>
      <xdr:colOff>3668299</xdr:colOff>
      <xdr:row>30</xdr:row>
      <xdr:rowOff>296449</xdr:rowOff>
    </xdr:to>
    <xdr:sp macro="" textlink="$Y31">
      <xdr:nvSpPr>
        <xdr:cNvPr id="106" name="ZoneTexte 105"/>
        <xdr:cNvSpPr txBox="1">
          <a:spLocks/>
        </xdr:cNvSpPr>
      </xdr:nvSpPr>
      <xdr:spPr>
        <a:xfrm>
          <a:off x="3527424" y="649763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4FF9A91-534B-4392-8005-386AE90317DA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31</xdr:row>
      <xdr:rowOff>44449</xdr:rowOff>
    </xdr:from>
    <xdr:to>
      <xdr:col>2</xdr:col>
      <xdr:colOff>3668299</xdr:colOff>
      <xdr:row>31</xdr:row>
      <xdr:rowOff>296449</xdr:rowOff>
    </xdr:to>
    <xdr:sp macro="" textlink="$Y32">
      <xdr:nvSpPr>
        <xdr:cNvPr id="107" name="ZoneTexte 106"/>
        <xdr:cNvSpPr txBox="1">
          <a:spLocks/>
        </xdr:cNvSpPr>
      </xdr:nvSpPr>
      <xdr:spPr>
        <a:xfrm>
          <a:off x="3527424" y="712469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ED4A809-2644-48D1-90FA-1E18158865E3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32</xdr:row>
      <xdr:rowOff>44448</xdr:rowOff>
    </xdr:from>
    <xdr:to>
      <xdr:col>2</xdr:col>
      <xdr:colOff>3668299</xdr:colOff>
      <xdr:row>32</xdr:row>
      <xdr:rowOff>296448</xdr:rowOff>
    </xdr:to>
    <xdr:sp macro="" textlink="$Y33">
      <xdr:nvSpPr>
        <xdr:cNvPr id="108" name="ZoneTexte 107"/>
        <xdr:cNvSpPr txBox="1">
          <a:spLocks/>
        </xdr:cNvSpPr>
      </xdr:nvSpPr>
      <xdr:spPr>
        <a:xfrm>
          <a:off x="3527424" y="775176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B3F5FDE-113D-42E2-9E9E-81DE2BB68542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33</xdr:row>
      <xdr:rowOff>44448</xdr:rowOff>
    </xdr:from>
    <xdr:to>
      <xdr:col>2</xdr:col>
      <xdr:colOff>3668299</xdr:colOff>
      <xdr:row>33</xdr:row>
      <xdr:rowOff>296448</xdr:rowOff>
    </xdr:to>
    <xdr:sp macro="" textlink="$Y34">
      <xdr:nvSpPr>
        <xdr:cNvPr id="109" name="ZoneTexte 108"/>
        <xdr:cNvSpPr txBox="1">
          <a:spLocks/>
        </xdr:cNvSpPr>
      </xdr:nvSpPr>
      <xdr:spPr>
        <a:xfrm>
          <a:off x="3527424" y="837882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119F012-2106-44DC-A5E6-C6BB43FDCED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34</xdr:row>
      <xdr:rowOff>52386</xdr:rowOff>
    </xdr:from>
    <xdr:to>
      <xdr:col>2</xdr:col>
      <xdr:colOff>3668299</xdr:colOff>
      <xdr:row>34</xdr:row>
      <xdr:rowOff>304386</xdr:rowOff>
    </xdr:to>
    <xdr:sp macro="" textlink="$Y35">
      <xdr:nvSpPr>
        <xdr:cNvPr id="110" name="ZoneTexte 109"/>
        <xdr:cNvSpPr txBox="1">
          <a:spLocks/>
        </xdr:cNvSpPr>
      </xdr:nvSpPr>
      <xdr:spPr>
        <a:xfrm>
          <a:off x="3527424" y="901382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E75B45D-23CD-4FDA-AEC0-3400E1969209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35</xdr:row>
      <xdr:rowOff>44449</xdr:rowOff>
    </xdr:from>
    <xdr:to>
      <xdr:col>2</xdr:col>
      <xdr:colOff>3668299</xdr:colOff>
      <xdr:row>35</xdr:row>
      <xdr:rowOff>296449</xdr:rowOff>
    </xdr:to>
    <xdr:sp macro="" textlink="$Y36">
      <xdr:nvSpPr>
        <xdr:cNvPr id="111" name="ZoneTexte 110"/>
        <xdr:cNvSpPr txBox="1">
          <a:spLocks/>
        </xdr:cNvSpPr>
      </xdr:nvSpPr>
      <xdr:spPr>
        <a:xfrm>
          <a:off x="3527424" y="963294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B62BDCD-4EB6-41AA-BA09-BC2152A5857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36</xdr:row>
      <xdr:rowOff>44448</xdr:rowOff>
    </xdr:from>
    <xdr:to>
      <xdr:col>2</xdr:col>
      <xdr:colOff>3668299</xdr:colOff>
      <xdr:row>36</xdr:row>
      <xdr:rowOff>296448</xdr:rowOff>
    </xdr:to>
    <xdr:sp macro="" textlink="$Y37">
      <xdr:nvSpPr>
        <xdr:cNvPr id="112" name="ZoneTexte 111"/>
        <xdr:cNvSpPr txBox="1">
          <a:spLocks/>
        </xdr:cNvSpPr>
      </xdr:nvSpPr>
      <xdr:spPr>
        <a:xfrm>
          <a:off x="3527424" y="1026001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825CCDD-78E4-477E-9CD1-A2711A15DC90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37</xdr:row>
      <xdr:rowOff>44448</xdr:rowOff>
    </xdr:from>
    <xdr:to>
      <xdr:col>2</xdr:col>
      <xdr:colOff>3668299</xdr:colOff>
      <xdr:row>37</xdr:row>
      <xdr:rowOff>296448</xdr:rowOff>
    </xdr:to>
    <xdr:sp macro="" textlink="$Y38">
      <xdr:nvSpPr>
        <xdr:cNvPr id="113" name="ZoneTexte 112"/>
        <xdr:cNvSpPr txBox="1">
          <a:spLocks/>
        </xdr:cNvSpPr>
      </xdr:nvSpPr>
      <xdr:spPr>
        <a:xfrm>
          <a:off x="3527424" y="1088707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3802FF4-F3ED-4EE3-AD75-87A7A1256D94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38</xdr:row>
      <xdr:rowOff>44448</xdr:rowOff>
    </xdr:from>
    <xdr:to>
      <xdr:col>2</xdr:col>
      <xdr:colOff>3668299</xdr:colOff>
      <xdr:row>38</xdr:row>
      <xdr:rowOff>296448</xdr:rowOff>
    </xdr:to>
    <xdr:sp macro="" textlink="$Y39">
      <xdr:nvSpPr>
        <xdr:cNvPr id="114" name="ZoneTexte 113"/>
        <xdr:cNvSpPr txBox="1">
          <a:spLocks/>
        </xdr:cNvSpPr>
      </xdr:nvSpPr>
      <xdr:spPr>
        <a:xfrm>
          <a:off x="3527424" y="1151413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753E057-C7C6-46BD-884D-B5F035FA6BF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39</xdr:row>
      <xdr:rowOff>44449</xdr:rowOff>
    </xdr:from>
    <xdr:to>
      <xdr:col>2</xdr:col>
      <xdr:colOff>3668299</xdr:colOff>
      <xdr:row>39</xdr:row>
      <xdr:rowOff>296449</xdr:rowOff>
    </xdr:to>
    <xdr:sp macro="" textlink="$Y40">
      <xdr:nvSpPr>
        <xdr:cNvPr id="115" name="ZoneTexte 114"/>
        <xdr:cNvSpPr txBox="1">
          <a:spLocks/>
        </xdr:cNvSpPr>
      </xdr:nvSpPr>
      <xdr:spPr>
        <a:xfrm>
          <a:off x="3527424" y="1214119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0C25D4F-D7C3-4EFC-B943-6A62DD91885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40</xdr:row>
      <xdr:rowOff>44448</xdr:rowOff>
    </xdr:from>
    <xdr:to>
      <xdr:col>2</xdr:col>
      <xdr:colOff>3668299</xdr:colOff>
      <xdr:row>40</xdr:row>
      <xdr:rowOff>296448</xdr:rowOff>
    </xdr:to>
    <xdr:sp macro="" textlink="$Y41">
      <xdr:nvSpPr>
        <xdr:cNvPr id="116" name="ZoneTexte 115"/>
        <xdr:cNvSpPr txBox="1">
          <a:spLocks/>
        </xdr:cNvSpPr>
      </xdr:nvSpPr>
      <xdr:spPr>
        <a:xfrm>
          <a:off x="3527424" y="1276826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38DF5AC-0481-4F53-9CBE-674F64007B1F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41</xdr:row>
      <xdr:rowOff>44448</xdr:rowOff>
    </xdr:from>
    <xdr:to>
      <xdr:col>2</xdr:col>
      <xdr:colOff>3668299</xdr:colOff>
      <xdr:row>41</xdr:row>
      <xdr:rowOff>296448</xdr:rowOff>
    </xdr:to>
    <xdr:sp macro="" textlink="$Y42">
      <xdr:nvSpPr>
        <xdr:cNvPr id="117" name="ZoneTexte 116"/>
        <xdr:cNvSpPr txBox="1">
          <a:spLocks/>
        </xdr:cNvSpPr>
      </xdr:nvSpPr>
      <xdr:spPr>
        <a:xfrm>
          <a:off x="3527424" y="1339532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48F3077-87E0-4D01-89B4-5ED6D872D7E2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3416299</xdr:colOff>
      <xdr:row>42</xdr:row>
      <xdr:rowOff>44448</xdr:rowOff>
    </xdr:from>
    <xdr:to>
      <xdr:col>2</xdr:col>
      <xdr:colOff>3668299</xdr:colOff>
      <xdr:row>42</xdr:row>
      <xdr:rowOff>296448</xdr:rowOff>
    </xdr:to>
    <xdr:sp macro="" textlink="$Y43">
      <xdr:nvSpPr>
        <xdr:cNvPr id="118" name="ZoneTexte 117"/>
        <xdr:cNvSpPr txBox="1">
          <a:spLocks/>
        </xdr:cNvSpPr>
      </xdr:nvSpPr>
      <xdr:spPr>
        <a:xfrm>
          <a:off x="3527424" y="1402238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CC9FC5-9BC4-40CC-866F-B9F1A6CF318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3417911</xdr:colOff>
      <xdr:row>28</xdr:row>
      <xdr:rowOff>47622</xdr:rowOff>
    </xdr:from>
    <xdr:to>
      <xdr:col>2</xdr:col>
      <xdr:colOff>3669911</xdr:colOff>
      <xdr:row>28</xdr:row>
      <xdr:rowOff>299622</xdr:rowOff>
    </xdr:to>
    <xdr:sp macro="" textlink="$AA29">
      <xdr:nvSpPr>
        <xdr:cNvPr id="120" name="ZoneTexte 119"/>
        <xdr:cNvSpPr txBox="1">
          <a:spLocks/>
        </xdr:cNvSpPr>
      </xdr:nvSpPr>
      <xdr:spPr>
        <a:xfrm>
          <a:off x="3529036" y="524668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2C9F095-CDCC-4D8D-8FB9-3A5F2905285B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29</xdr:row>
      <xdr:rowOff>47625</xdr:rowOff>
    </xdr:from>
    <xdr:to>
      <xdr:col>2</xdr:col>
      <xdr:colOff>3666729</xdr:colOff>
      <xdr:row>29</xdr:row>
      <xdr:rowOff>299625</xdr:rowOff>
    </xdr:to>
    <xdr:sp macro="" textlink="$AA30">
      <xdr:nvSpPr>
        <xdr:cNvPr id="121" name="ZoneTexte 120"/>
        <xdr:cNvSpPr txBox="1">
          <a:spLocks/>
        </xdr:cNvSpPr>
      </xdr:nvSpPr>
      <xdr:spPr>
        <a:xfrm>
          <a:off x="3525854" y="58737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A60F169-2DB9-48C3-8299-D46668D7A01C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30</xdr:row>
      <xdr:rowOff>47625</xdr:rowOff>
    </xdr:from>
    <xdr:to>
      <xdr:col>2</xdr:col>
      <xdr:colOff>3666729</xdr:colOff>
      <xdr:row>30</xdr:row>
      <xdr:rowOff>299625</xdr:rowOff>
    </xdr:to>
    <xdr:sp macro="" textlink="$AA31">
      <xdr:nvSpPr>
        <xdr:cNvPr id="122" name="ZoneTexte 121"/>
        <xdr:cNvSpPr txBox="1">
          <a:spLocks/>
        </xdr:cNvSpPr>
      </xdr:nvSpPr>
      <xdr:spPr>
        <a:xfrm>
          <a:off x="3525854" y="650081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6CD99D7-2C7A-4891-8DFC-89E852FF94B7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31</xdr:row>
      <xdr:rowOff>47625</xdr:rowOff>
    </xdr:from>
    <xdr:to>
      <xdr:col>2</xdr:col>
      <xdr:colOff>3666729</xdr:colOff>
      <xdr:row>31</xdr:row>
      <xdr:rowOff>299625</xdr:rowOff>
    </xdr:to>
    <xdr:sp macro="" textlink="$AA32">
      <xdr:nvSpPr>
        <xdr:cNvPr id="123" name="ZoneTexte 122"/>
        <xdr:cNvSpPr txBox="1">
          <a:spLocks/>
        </xdr:cNvSpPr>
      </xdr:nvSpPr>
      <xdr:spPr>
        <a:xfrm>
          <a:off x="3525854" y="71278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95232CA-EF6D-4564-80C3-B6611A9EC746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3414725</xdr:colOff>
      <xdr:row>32</xdr:row>
      <xdr:rowOff>47625</xdr:rowOff>
    </xdr:from>
    <xdr:to>
      <xdr:col>2</xdr:col>
      <xdr:colOff>3666725</xdr:colOff>
      <xdr:row>32</xdr:row>
      <xdr:rowOff>299625</xdr:rowOff>
    </xdr:to>
    <xdr:sp macro="" textlink="$AA33">
      <xdr:nvSpPr>
        <xdr:cNvPr id="124" name="ZoneTexte 123"/>
        <xdr:cNvSpPr txBox="1">
          <a:spLocks/>
        </xdr:cNvSpPr>
      </xdr:nvSpPr>
      <xdr:spPr>
        <a:xfrm>
          <a:off x="3525850" y="775493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EAD5599-9FFA-4C64-8B3C-3E91BA4C8F83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3413135</xdr:colOff>
      <xdr:row>33</xdr:row>
      <xdr:rowOff>47626</xdr:rowOff>
    </xdr:from>
    <xdr:to>
      <xdr:col>2</xdr:col>
      <xdr:colOff>3665135</xdr:colOff>
      <xdr:row>33</xdr:row>
      <xdr:rowOff>299626</xdr:rowOff>
    </xdr:to>
    <xdr:sp macro="" textlink="$AA34">
      <xdr:nvSpPr>
        <xdr:cNvPr id="125" name="ZoneTexte 124"/>
        <xdr:cNvSpPr txBox="1">
          <a:spLocks/>
        </xdr:cNvSpPr>
      </xdr:nvSpPr>
      <xdr:spPr>
        <a:xfrm>
          <a:off x="3524260" y="838200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8C29C67-D8FF-4907-A241-8303B18C6615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3414726</xdr:colOff>
      <xdr:row>34</xdr:row>
      <xdr:rowOff>47625</xdr:rowOff>
    </xdr:from>
    <xdr:to>
      <xdr:col>2</xdr:col>
      <xdr:colOff>3666726</xdr:colOff>
      <xdr:row>34</xdr:row>
      <xdr:rowOff>299625</xdr:rowOff>
    </xdr:to>
    <xdr:sp macro="" textlink="$AA35">
      <xdr:nvSpPr>
        <xdr:cNvPr id="126" name="ZoneTexte 125"/>
        <xdr:cNvSpPr txBox="1">
          <a:spLocks/>
        </xdr:cNvSpPr>
      </xdr:nvSpPr>
      <xdr:spPr>
        <a:xfrm>
          <a:off x="3525851" y="900906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8F6867-9BFD-4C69-AE50-ED0AA2D2C440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35</xdr:row>
      <xdr:rowOff>47625</xdr:rowOff>
    </xdr:from>
    <xdr:to>
      <xdr:col>2</xdr:col>
      <xdr:colOff>3666729</xdr:colOff>
      <xdr:row>35</xdr:row>
      <xdr:rowOff>299625</xdr:rowOff>
    </xdr:to>
    <xdr:sp macro="" textlink="$AA36">
      <xdr:nvSpPr>
        <xdr:cNvPr id="127" name="ZoneTexte 126"/>
        <xdr:cNvSpPr txBox="1">
          <a:spLocks/>
        </xdr:cNvSpPr>
      </xdr:nvSpPr>
      <xdr:spPr>
        <a:xfrm>
          <a:off x="3525854" y="963612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E770E3-3D64-4300-A85E-526154ABE5E2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36</xdr:row>
      <xdr:rowOff>47625</xdr:rowOff>
    </xdr:from>
    <xdr:to>
      <xdr:col>2</xdr:col>
      <xdr:colOff>3666729</xdr:colOff>
      <xdr:row>36</xdr:row>
      <xdr:rowOff>299625</xdr:rowOff>
    </xdr:to>
    <xdr:sp macro="" textlink="$AA37">
      <xdr:nvSpPr>
        <xdr:cNvPr id="128" name="ZoneTexte 127"/>
        <xdr:cNvSpPr txBox="1">
          <a:spLocks/>
        </xdr:cNvSpPr>
      </xdr:nvSpPr>
      <xdr:spPr>
        <a:xfrm>
          <a:off x="3525854" y="1026318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3B3BAC1-B53E-4E62-9038-5C9252CDF7CB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3414729</xdr:colOff>
      <xdr:row>37</xdr:row>
      <xdr:rowOff>47625</xdr:rowOff>
    </xdr:from>
    <xdr:to>
      <xdr:col>2</xdr:col>
      <xdr:colOff>3666729</xdr:colOff>
      <xdr:row>37</xdr:row>
      <xdr:rowOff>299625</xdr:rowOff>
    </xdr:to>
    <xdr:sp macro="" textlink="$AA38">
      <xdr:nvSpPr>
        <xdr:cNvPr id="129" name="ZoneTexte 128"/>
        <xdr:cNvSpPr txBox="1">
          <a:spLocks/>
        </xdr:cNvSpPr>
      </xdr:nvSpPr>
      <xdr:spPr>
        <a:xfrm>
          <a:off x="3525854" y="108902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42A694E-E3EA-4BA1-B6DB-5EFB8E83E044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3414730</xdr:colOff>
      <xdr:row>38</xdr:row>
      <xdr:rowOff>47626</xdr:rowOff>
    </xdr:from>
    <xdr:to>
      <xdr:col>2</xdr:col>
      <xdr:colOff>3666730</xdr:colOff>
      <xdr:row>38</xdr:row>
      <xdr:rowOff>299626</xdr:rowOff>
    </xdr:to>
    <xdr:sp macro="" textlink="$AA39">
      <xdr:nvSpPr>
        <xdr:cNvPr id="130" name="ZoneTexte 129"/>
        <xdr:cNvSpPr txBox="1">
          <a:spLocks/>
        </xdr:cNvSpPr>
      </xdr:nvSpPr>
      <xdr:spPr>
        <a:xfrm>
          <a:off x="3525855" y="1151731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DB49E55-B1B7-47A2-BA0C-523A3C46C72C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3414728</xdr:colOff>
      <xdr:row>39</xdr:row>
      <xdr:rowOff>47625</xdr:rowOff>
    </xdr:from>
    <xdr:to>
      <xdr:col>2</xdr:col>
      <xdr:colOff>3666728</xdr:colOff>
      <xdr:row>39</xdr:row>
      <xdr:rowOff>299625</xdr:rowOff>
    </xdr:to>
    <xdr:sp macro="" textlink="$AA40">
      <xdr:nvSpPr>
        <xdr:cNvPr id="131" name="ZoneTexte 130"/>
        <xdr:cNvSpPr txBox="1">
          <a:spLocks/>
        </xdr:cNvSpPr>
      </xdr:nvSpPr>
      <xdr:spPr>
        <a:xfrm>
          <a:off x="3525853" y="121443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807A8A7-57E1-4DC5-B9BD-92999BE9C4F3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3414730</xdr:colOff>
      <xdr:row>40</xdr:row>
      <xdr:rowOff>47625</xdr:rowOff>
    </xdr:from>
    <xdr:to>
      <xdr:col>2</xdr:col>
      <xdr:colOff>3666730</xdr:colOff>
      <xdr:row>40</xdr:row>
      <xdr:rowOff>299625</xdr:rowOff>
    </xdr:to>
    <xdr:sp macro="" textlink="$AA41">
      <xdr:nvSpPr>
        <xdr:cNvPr id="132" name="ZoneTexte 131"/>
        <xdr:cNvSpPr txBox="1">
          <a:spLocks/>
        </xdr:cNvSpPr>
      </xdr:nvSpPr>
      <xdr:spPr>
        <a:xfrm>
          <a:off x="3525855" y="1277143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C759F42-97A3-4F68-8203-E47BB2B6CA76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3414732</xdr:colOff>
      <xdr:row>41</xdr:row>
      <xdr:rowOff>47625</xdr:rowOff>
    </xdr:from>
    <xdr:to>
      <xdr:col>2</xdr:col>
      <xdr:colOff>3666732</xdr:colOff>
      <xdr:row>41</xdr:row>
      <xdr:rowOff>299625</xdr:rowOff>
    </xdr:to>
    <xdr:sp macro="" textlink="$AA42">
      <xdr:nvSpPr>
        <xdr:cNvPr id="133" name="ZoneTexte 132"/>
        <xdr:cNvSpPr txBox="1">
          <a:spLocks/>
        </xdr:cNvSpPr>
      </xdr:nvSpPr>
      <xdr:spPr>
        <a:xfrm>
          <a:off x="3525857" y="133985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2985D33-C6EB-4B32-B3EE-BD65536B8575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3413153</xdr:colOff>
      <xdr:row>42</xdr:row>
      <xdr:rowOff>47623</xdr:rowOff>
    </xdr:from>
    <xdr:to>
      <xdr:col>2</xdr:col>
      <xdr:colOff>3665153</xdr:colOff>
      <xdr:row>42</xdr:row>
      <xdr:rowOff>299623</xdr:rowOff>
    </xdr:to>
    <xdr:sp macro="" textlink="$AA43">
      <xdr:nvSpPr>
        <xdr:cNvPr id="134" name="ZoneTexte 133"/>
        <xdr:cNvSpPr txBox="1">
          <a:spLocks/>
        </xdr:cNvSpPr>
      </xdr:nvSpPr>
      <xdr:spPr>
        <a:xfrm>
          <a:off x="3524278" y="1402556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8EA748A-176E-4FF1-9FE0-3CD66CA48567}" type="TxLink">
            <a:rPr lang="en-US" sz="1600" b="0" i="0" u="none" strike="noStrike">
              <a:solidFill>
                <a:srgbClr val="00B05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13</xdr:col>
      <xdr:colOff>457200</xdr:colOff>
      <xdr:row>59</xdr:row>
      <xdr:rowOff>180975</xdr:rowOff>
    </xdr:from>
    <xdr:to>
      <xdr:col>13</xdr:col>
      <xdr:colOff>601200</xdr:colOff>
      <xdr:row>64</xdr:row>
      <xdr:rowOff>9525</xdr:rowOff>
    </xdr:to>
    <xdr:sp macro="" textlink="">
      <xdr:nvSpPr>
        <xdr:cNvPr id="154" name="Rectangle 153"/>
        <xdr:cNvSpPr/>
      </xdr:nvSpPr>
      <xdr:spPr>
        <a:xfrm>
          <a:off x="14763750" y="15440025"/>
          <a:ext cx="144000" cy="790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571500</xdr:colOff>
      <xdr:row>59</xdr:row>
      <xdr:rowOff>180975</xdr:rowOff>
    </xdr:from>
    <xdr:to>
      <xdr:col>17</xdr:col>
      <xdr:colOff>715500</xdr:colOff>
      <xdr:row>64</xdr:row>
      <xdr:rowOff>9525</xdr:rowOff>
    </xdr:to>
    <xdr:sp macro="" textlink="">
      <xdr:nvSpPr>
        <xdr:cNvPr id="155" name="Rectangle 154"/>
        <xdr:cNvSpPr/>
      </xdr:nvSpPr>
      <xdr:spPr>
        <a:xfrm>
          <a:off x="19069050" y="15440025"/>
          <a:ext cx="144000" cy="790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828675</xdr:colOff>
      <xdr:row>59</xdr:row>
      <xdr:rowOff>180975</xdr:rowOff>
    </xdr:from>
    <xdr:to>
      <xdr:col>20</xdr:col>
      <xdr:colOff>972675</xdr:colOff>
      <xdr:row>64</xdr:row>
      <xdr:rowOff>9525</xdr:rowOff>
    </xdr:to>
    <xdr:sp macro="" textlink="">
      <xdr:nvSpPr>
        <xdr:cNvPr id="156" name="Rectangle 155"/>
        <xdr:cNvSpPr/>
      </xdr:nvSpPr>
      <xdr:spPr>
        <a:xfrm>
          <a:off x="22469475" y="15440025"/>
          <a:ext cx="144000" cy="790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60</xdr:row>
      <xdr:rowOff>13</xdr:rowOff>
    </xdr:from>
    <xdr:to>
      <xdr:col>20</xdr:col>
      <xdr:colOff>815903</xdr:colOff>
      <xdr:row>64</xdr:row>
      <xdr:rowOff>30013</xdr:rowOff>
    </xdr:to>
    <xdr:grpSp>
      <xdr:nvGrpSpPr>
        <xdr:cNvPr id="4" name="Groupe 3"/>
        <xdr:cNvGrpSpPr/>
      </xdr:nvGrpSpPr>
      <xdr:grpSpPr>
        <a:xfrm>
          <a:off x="200025" y="24879313"/>
          <a:ext cx="22256678" cy="801525"/>
          <a:chOff x="200025" y="15440038"/>
          <a:chExt cx="22256678" cy="801525"/>
        </a:xfrm>
      </xdr:grpSpPr>
      <xdr:sp macro="" textlink="">
        <xdr:nvSpPr>
          <xdr:cNvPr id="152" name="ZoneTexte 151"/>
          <xdr:cNvSpPr txBox="1"/>
        </xdr:nvSpPr>
        <xdr:spPr>
          <a:xfrm>
            <a:off x="19216703" y="15440038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≤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≤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grpSp>
        <xdr:nvGrpSpPr>
          <xdr:cNvPr id="24" name="Groupe 23"/>
          <xdr:cNvGrpSpPr/>
        </xdr:nvGrpSpPr>
        <xdr:grpSpPr>
          <a:xfrm>
            <a:off x="200025" y="15449563"/>
            <a:ext cx="18856125" cy="792000"/>
            <a:chOff x="200025" y="15449563"/>
            <a:chExt cx="18856125" cy="792000"/>
          </a:xfrm>
        </xdr:grpSpPr>
        <xdr:sp macro="" textlink="">
          <xdr:nvSpPr>
            <xdr:cNvPr id="153" name="ZoneTexte 152"/>
            <xdr:cNvSpPr txBox="1"/>
          </xdr:nvSpPr>
          <xdr:spPr>
            <a:xfrm>
              <a:off x="14916150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  <xdr:grpSp>
          <xdr:nvGrpSpPr>
            <xdr:cNvPr id="23" name="Groupe 22"/>
            <xdr:cNvGrpSpPr/>
          </xdr:nvGrpSpPr>
          <xdr:grpSpPr>
            <a:xfrm>
              <a:off x="200025" y="15476415"/>
              <a:ext cx="11729700" cy="738784"/>
              <a:chOff x="200025" y="15485940"/>
              <a:chExt cx="11729700" cy="738784"/>
            </a:xfrm>
          </xdr:grpSpPr>
          <xdr:grpSp>
            <xdr:nvGrpSpPr>
              <xdr:cNvPr id="22" name="Groupe 21"/>
              <xdr:cNvGrpSpPr/>
            </xdr:nvGrpSpPr>
            <xdr:grpSpPr>
              <a:xfrm>
                <a:off x="200025" y="15485940"/>
                <a:ext cx="11729700" cy="288571"/>
                <a:chOff x="200025" y="15485940"/>
                <a:chExt cx="11729700" cy="288571"/>
              </a:xfrm>
            </xdr:grpSpPr>
            <xdr:grpSp>
              <xdr:nvGrpSpPr>
                <xdr:cNvPr id="18" name="Groupe 17"/>
                <xdr:cNvGrpSpPr/>
              </xdr:nvGrpSpPr>
              <xdr:grpSpPr>
                <a:xfrm>
                  <a:off x="200025" y="15485940"/>
                  <a:ext cx="5148000" cy="288527"/>
                  <a:chOff x="200025" y="15485940"/>
                  <a:chExt cx="5148000" cy="288527"/>
                </a:xfrm>
              </xdr:grpSpPr>
              <xdr:sp macro="" textlink="">
                <xdr:nvSpPr>
                  <xdr:cNvPr id="95" name="ZoneTexte 94"/>
                  <xdr:cNvSpPr txBox="1"/>
                </xdr:nvSpPr>
                <xdr:spPr>
                  <a:xfrm>
                    <a:off x="200025" y="15485940"/>
                    <a:ext cx="5148000" cy="288527"/>
                  </a:xfrm>
                  <a:prstGeom prst="rect">
                    <a:avLst/>
                  </a:prstGeom>
                  <a:solidFill>
                    <a:schemeClr val="lt1"/>
                  </a:solidFill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r>
                      <a:rPr lang="fr-FR" sz="1000" baseline="0">
                        <a:latin typeface="+mn-lt"/>
                      </a:rPr>
                      <a:t>                    </a:t>
                    </a:r>
                    <a:r>
                      <a:rPr lang="fr-FR" sz="1000">
                        <a:latin typeface="+mn-lt"/>
                      </a:rPr>
                      <a:t>Informations relatives </a:t>
                    </a:r>
                    <a:r>
                      <a:rPr lang="fr-FR" sz="1000" baseline="0">
                        <a:latin typeface="+mn-lt"/>
                      </a:rPr>
                      <a:t>à la</a:t>
                    </a:r>
                    <a:r>
                      <a:rPr lang="fr-FR" sz="1000">
                        <a:latin typeface="+mn-lt"/>
                      </a:rPr>
                      <a:t> phase</a:t>
                    </a:r>
                    <a:r>
                      <a:rPr lang="fr-FR" sz="1000" baseline="0">
                        <a:latin typeface="+mn-lt"/>
                      </a:rPr>
                      <a:t> transmises par le référent QE / responsable Travaux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96" name="Rectangle 95"/>
                  <xdr:cNvSpPr/>
                </xdr:nvSpPr>
                <xdr:spPr>
                  <a:xfrm>
                    <a:off x="200026" y="15533632"/>
                    <a:ext cx="540000" cy="180329"/>
                  </a:xfrm>
                  <a:prstGeom prst="rect">
                    <a:avLst/>
                  </a:prstGeom>
                  <a:solidFill>
                    <a:schemeClr val="accent6">
                      <a:lumMod val="20000"/>
                      <a:lumOff val="80000"/>
                    </a:schemeClr>
                  </a:solidFill>
                  <a:ln w="9525">
                    <a:solidFill>
                      <a:schemeClr val="tx1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grpSp>
              <xdr:nvGrpSpPr>
                <xdr:cNvPr id="20" name="Groupe 19"/>
                <xdr:cNvGrpSpPr/>
              </xdr:nvGrpSpPr>
              <xdr:grpSpPr>
                <a:xfrm>
                  <a:off x="5505450" y="15485940"/>
                  <a:ext cx="3564000" cy="288527"/>
                  <a:chOff x="5505450" y="15485940"/>
                  <a:chExt cx="3564000" cy="288527"/>
                </a:xfrm>
              </xdr:grpSpPr>
              <xdr:sp macro="" textlink="">
                <xdr:nvSpPr>
                  <xdr:cNvPr id="93" name="ZoneTexte 92"/>
                  <xdr:cNvSpPr txBox="1"/>
                </xdr:nvSpPr>
                <xdr:spPr>
                  <a:xfrm>
                    <a:off x="5505450" y="15485940"/>
                    <a:ext cx="3564000" cy="288527"/>
                  </a:xfrm>
                  <a:prstGeom prst="rect">
                    <a:avLst/>
                  </a:prstGeom>
                  <a:solidFill>
                    <a:schemeClr val="lt1"/>
                  </a:solidFill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r>
                      <a:rPr lang="fr-FR" sz="1000" baseline="0">
                        <a:latin typeface="+mn-lt"/>
                      </a:rPr>
                      <a:t>                    </a:t>
                    </a:r>
                    <a:r>
                      <a:rPr lang="fr-FR" sz="1000">
                        <a:latin typeface="+mn-lt"/>
                      </a:rPr>
                      <a:t>Informations</a:t>
                    </a:r>
                    <a:r>
                      <a:rPr lang="fr-FR" sz="1000" baseline="0">
                        <a:latin typeface="+mn-lt"/>
                      </a:rPr>
                      <a:t> relatives à </a:t>
                    </a:r>
                    <a:r>
                      <a:rPr lang="fr-FR" sz="1000">
                        <a:latin typeface="+mn-lt"/>
                      </a:rPr>
                      <a:t>la phase </a:t>
                    </a:r>
                    <a:r>
                      <a:rPr lang="fr-FR" sz="1000" baseline="0">
                        <a:latin typeface="+mn-lt"/>
                      </a:rPr>
                      <a:t>transmises par le CFI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94" name="Rectangle 93"/>
                  <xdr:cNvSpPr/>
                </xdr:nvSpPr>
                <xdr:spPr>
                  <a:xfrm>
                    <a:off x="5505451" y="15533632"/>
                    <a:ext cx="540000" cy="180329"/>
                  </a:xfrm>
                  <a:prstGeom prst="rect">
                    <a:avLst/>
                  </a:prstGeom>
                  <a:solidFill>
                    <a:schemeClr val="accent1">
                      <a:lumMod val="20000"/>
                      <a:lumOff val="80000"/>
                    </a:schemeClr>
                  </a:solidFill>
                  <a:ln w="9525">
                    <a:solidFill>
                      <a:schemeClr val="tx1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grpSp>
              <xdr:nvGrpSpPr>
                <xdr:cNvPr id="21" name="Groupe 20"/>
                <xdr:cNvGrpSpPr/>
              </xdr:nvGrpSpPr>
              <xdr:grpSpPr>
                <a:xfrm>
                  <a:off x="9229725" y="15485984"/>
                  <a:ext cx="2700000" cy="288527"/>
                  <a:chOff x="9229725" y="15485984"/>
                  <a:chExt cx="2700000" cy="288527"/>
                </a:xfrm>
              </xdr:grpSpPr>
              <xdr:sp macro="" textlink="">
                <xdr:nvSpPr>
                  <xdr:cNvPr id="91" name="ZoneTexte 90"/>
                  <xdr:cNvSpPr txBox="1"/>
                </xdr:nvSpPr>
                <xdr:spPr>
                  <a:xfrm>
                    <a:off x="9229725" y="15485984"/>
                    <a:ext cx="2700000" cy="288527"/>
                  </a:xfrm>
                  <a:prstGeom prst="rect">
                    <a:avLst/>
                  </a:prstGeom>
                  <a:solidFill>
                    <a:schemeClr val="lt1"/>
                  </a:solidFill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r>
                      <a:rPr lang="fr-FR" sz="1000" baseline="0">
                        <a:latin typeface="+mn-lt"/>
                      </a:rPr>
                      <a:t>                    </a:t>
                    </a:r>
                    <a:r>
                      <a:rPr lang="fr-FR" sz="1000">
                        <a:latin typeface="+mn-lt"/>
                      </a:rPr>
                      <a:t>Indicteurs</a:t>
                    </a:r>
                    <a:r>
                      <a:rPr lang="fr-FR" sz="1000" baseline="0">
                        <a:latin typeface="+mn-lt"/>
                      </a:rPr>
                      <a:t> calculés automatiquement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92" name="Rectangle 91"/>
                  <xdr:cNvSpPr/>
                </xdr:nvSpPr>
                <xdr:spPr>
                  <a:xfrm>
                    <a:off x="9229726" y="15533614"/>
                    <a:ext cx="540000" cy="180329"/>
                  </a:xfrm>
                  <a:prstGeom prst="rect">
                    <a:avLst/>
                  </a:prstGeom>
                  <a:solidFill>
                    <a:schemeClr val="accent2">
                      <a:lumMod val="20000"/>
                      <a:lumOff val="80000"/>
                    </a:schemeClr>
                  </a:solidFill>
                  <a:ln w="9525">
                    <a:solidFill>
                      <a:schemeClr val="tx1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</xdr:grpSp>
          <xdr:grpSp>
            <xdr:nvGrpSpPr>
              <xdr:cNvPr id="13" name="Groupe 12"/>
              <xdr:cNvGrpSpPr/>
            </xdr:nvGrpSpPr>
            <xdr:grpSpPr>
              <a:xfrm>
                <a:off x="200033" y="15935664"/>
                <a:ext cx="4465864" cy="289060"/>
                <a:chOff x="200033" y="15935664"/>
                <a:chExt cx="4465864" cy="289060"/>
              </a:xfrm>
            </xdr:grpSpPr>
            <xdr:grpSp>
              <xdr:nvGrpSpPr>
                <xdr:cNvPr id="11" name="Groupe 10"/>
                <xdr:cNvGrpSpPr/>
              </xdr:nvGrpSpPr>
              <xdr:grpSpPr>
                <a:xfrm>
                  <a:off x="1620989" y="15935680"/>
                  <a:ext cx="1224001" cy="287665"/>
                  <a:chOff x="1620989" y="15935680"/>
                  <a:chExt cx="1224001" cy="287665"/>
                </a:xfrm>
              </xdr:grpSpPr>
              <xdr:sp macro="" textlink="">
                <xdr:nvSpPr>
                  <xdr:cNvPr id="149" name="ZoneTexte 148"/>
                  <xdr:cNvSpPr txBox="1"/>
                </xdr:nvSpPr>
                <xdr:spPr>
                  <a:xfrm>
                    <a:off x="1620990" y="15935680"/>
                    <a:ext cx="1224000" cy="28766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90000" rIns="90000" rtlCol="0" anchor="ctr"/>
                  <a:lstStyle/>
                  <a:p>
                    <a:pPr algn="l"/>
                    <a:r>
                      <a:rPr lang="fr-FR" sz="1000">
                        <a:latin typeface="+mn-lt"/>
                      </a:rPr>
                      <a:t>  </a:t>
                    </a:r>
                    <a:r>
                      <a:rPr lang="fr-FR" sz="1000" baseline="0">
                        <a:latin typeface="+mn-lt"/>
                      </a:rPr>
                      <a:t>       </a:t>
                    </a:r>
                    <a:r>
                      <a:rPr lang="fr-FR" sz="1000">
                        <a:latin typeface="+mn-lt"/>
                      </a:rPr>
                      <a:t>Phase</a:t>
                    </a:r>
                    <a:r>
                      <a:rPr lang="fr-FR" sz="1000" baseline="0">
                        <a:latin typeface="+mn-lt"/>
                      </a:rPr>
                      <a:t> clôturée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150" name="ZoneTexte 149"/>
                  <xdr:cNvSpPr txBox="1"/>
                </xdr:nvSpPr>
                <xdr:spPr>
                  <a:xfrm>
                    <a:off x="1620989" y="15954692"/>
                    <a:ext cx="216000" cy="251703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36000" tIns="0" rIns="0" bIns="126000" rtlCol="0" anchor="ctr"/>
                  <a:lstStyle/>
                  <a:p>
                    <a:pPr>
                      <a:lnSpc>
                        <a:spcPts val="3400"/>
                      </a:lnSpc>
                    </a:pPr>
                    <a:r>
                      <a:rPr lang="fr-FR" sz="1600" b="0" i="0" u="none" strike="noStrike">
                        <a:solidFill>
                          <a:srgbClr val="FF0000"/>
                        </a:solidFill>
                        <a:latin typeface="Wingdings" panose="05000000000000000000" pitchFamily="2" charset="2"/>
                        <a:sym typeface="Wingdings" panose="05000000000000000000" pitchFamily="2" charset="2"/>
                      </a:rPr>
                      <a:t></a:t>
                    </a:r>
                    <a:endParaRPr lang="fr-FR" sz="1600" b="0" i="0" u="none" strike="noStrike">
                      <a:solidFill>
                        <a:srgbClr val="FF0000"/>
                      </a:solidFill>
                      <a:latin typeface="Wingdings" panose="05000000000000000000" pitchFamily="2" charset="2"/>
                    </a:endParaRPr>
                  </a:p>
                </xdr:txBody>
              </xdr:sp>
            </xdr:grpSp>
            <xdr:grpSp>
              <xdr:nvGrpSpPr>
                <xdr:cNvPr id="9" name="Groupe 8"/>
                <xdr:cNvGrpSpPr/>
              </xdr:nvGrpSpPr>
              <xdr:grpSpPr>
                <a:xfrm>
                  <a:off x="200033" y="15935664"/>
                  <a:ext cx="1260000" cy="287665"/>
                  <a:chOff x="200033" y="15935664"/>
                  <a:chExt cx="1260000" cy="287665"/>
                </a:xfrm>
              </xdr:grpSpPr>
              <xdr:sp macro="" textlink="">
                <xdr:nvSpPr>
                  <xdr:cNvPr id="147" name="ZoneTexte 146"/>
                  <xdr:cNvSpPr txBox="1"/>
                </xdr:nvSpPr>
                <xdr:spPr>
                  <a:xfrm>
                    <a:off x="200033" y="15935664"/>
                    <a:ext cx="1260000" cy="28766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90000" rIns="90000" rtlCol="0" anchor="ctr"/>
                  <a:lstStyle/>
                  <a:p>
                    <a:pPr algn="l"/>
                    <a:r>
                      <a:rPr lang="fr-FR" sz="1000">
                        <a:latin typeface="+mn-lt"/>
                      </a:rPr>
                      <a:t>          Phase</a:t>
                    </a:r>
                    <a:r>
                      <a:rPr lang="fr-FR" sz="1000" baseline="0">
                        <a:latin typeface="+mn-lt"/>
                      </a:rPr>
                      <a:t> en cours</a:t>
                    </a:r>
                    <a:endParaRPr lang="fr-FR" sz="1000">
                      <a:latin typeface="+mn-lt"/>
                    </a:endParaRPr>
                  </a:p>
                </xdr:txBody>
              </xdr:sp>
              <xdr:sp macro="" textlink="">
                <xdr:nvSpPr>
                  <xdr:cNvPr id="148" name="ZoneTexte 147"/>
                  <xdr:cNvSpPr txBox="1"/>
                </xdr:nvSpPr>
                <xdr:spPr>
                  <a:xfrm>
                    <a:off x="200033" y="15954692"/>
                    <a:ext cx="252000" cy="251703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36000" tIns="0" rIns="0" bIns="126000" rtlCol="0" anchor="ctr"/>
                  <a:lstStyle/>
                  <a:p>
                    <a:pPr>
                      <a:lnSpc>
                        <a:spcPts val="3400"/>
                      </a:lnSpc>
                    </a:pPr>
                    <a:r>
                      <a:rPr lang="fr-FR" sz="1600" b="0" i="0" u="none" strike="noStrike">
                        <a:solidFill>
                          <a:srgbClr val="00B050"/>
                        </a:solidFill>
                        <a:latin typeface="Wingdings" panose="05000000000000000000" pitchFamily="2" charset="2"/>
                        <a:ea typeface="Yu Gothic UI Semilight" panose="020B0400000000000000" pitchFamily="34" charset="-128"/>
                      </a:rPr>
                      <a:t>♺</a:t>
                    </a:r>
                    <a:endParaRPr lang="fr-FR" sz="1600" b="0" i="0" u="none" strike="noStrike">
                      <a:solidFill>
                        <a:srgbClr val="00B050"/>
                      </a:solidFill>
                      <a:latin typeface="Wingdings" panose="05000000000000000000" pitchFamily="2" charset="2"/>
                    </a:endParaRPr>
                  </a:p>
                </xdr:txBody>
              </xdr:sp>
            </xdr:grpSp>
            <xdr:grpSp>
              <xdr:nvGrpSpPr>
                <xdr:cNvPr id="12" name="Groupe 11"/>
                <xdr:cNvGrpSpPr/>
              </xdr:nvGrpSpPr>
              <xdr:grpSpPr>
                <a:xfrm>
                  <a:off x="3009897" y="15937059"/>
                  <a:ext cx="1656000" cy="287665"/>
                  <a:chOff x="3038472" y="15965634"/>
                  <a:chExt cx="1656000" cy="287665"/>
                </a:xfrm>
              </xdr:grpSpPr>
              <xdr:sp macro="" textlink="">
                <xdr:nvSpPr>
                  <xdr:cNvPr id="66" name="ZoneTexte 65"/>
                  <xdr:cNvSpPr txBox="1"/>
                </xdr:nvSpPr>
                <xdr:spPr>
                  <a:xfrm>
                    <a:off x="3038472" y="15965634"/>
                    <a:ext cx="1656000" cy="28766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lIns="90000" rIns="90000" rtlCol="0" anchor="ctr"/>
                  <a:lstStyle/>
                  <a:p>
                    <a:pPr algn="l"/>
                    <a:r>
                      <a:rPr lang="fr-FR" sz="1000">
                        <a:latin typeface="+mn-lt"/>
                      </a:rPr>
                      <a:t>          REX</a:t>
                    </a:r>
                    <a:r>
                      <a:rPr lang="fr-FR" sz="1000" baseline="0">
                        <a:latin typeface="+mn-lt"/>
                      </a:rPr>
                      <a:t> Fin de GPA réalisé</a:t>
                    </a:r>
                    <a:endParaRPr lang="fr-FR" sz="1000">
                      <a:latin typeface="+mn-lt"/>
                    </a:endParaRPr>
                  </a:p>
                </xdr:txBody>
              </xdr:sp>
              <xdr:pic>
                <xdr:nvPicPr>
                  <xdr:cNvPr id="5" name="Image 4"/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/>
                  <a:stretch>
                    <a:fillRect/>
                  </a:stretch>
                </xdr:blipFill>
                <xdr:spPr>
                  <a:xfrm>
                    <a:off x="3038475" y="15973425"/>
                    <a:ext cx="238095" cy="266667"/>
                  </a:xfrm>
                  <a:prstGeom prst="rect">
                    <a:avLst/>
                  </a:prstGeom>
                </xdr:spPr>
              </xdr:pic>
            </xdr:grpSp>
          </xdr:grpSp>
        </xdr:grpSp>
      </xdr:grpSp>
    </xdr:grpSp>
    <xdr:clientData/>
  </xdr:twoCellAnchor>
  <xdr:twoCellAnchor editAs="absolute">
    <xdr:from>
      <xdr:col>2</xdr:col>
      <xdr:colOff>3411562</xdr:colOff>
      <xdr:row>28</xdr:row>
      <xdr:rowOff>47628</xdr:rowOff>
    </xdr:from>
    <xdr:to>
      <xdr:col>2</xdr:col>
      <xdr:colOff>3663562</xdr:colOff>
      <xdr:row>28</xdr:row>
      <xdr:rowOff>299628</xdr:rowOff>
    </xdr:to>
    <xdr:sp macro="" textlink="$BL29">
      <xdr:nvSpPr>
        <xdr:cNvPr id="67" name="ZoneTexte 66"/>
        <xdr:cNvSpPr txBox="1">
          <a:spLocks/>
        </xdr:cNvSpPr>
      </xdr:nvSpPr>
      <xdr:spPr>
        <a:xfrm>
          <a:off x="3522687" y="52466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1F0B824-6E91-4FFA-9B28-D0FF5535C28A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3411563</xdr:colOff>
      <xdr:row>29</xdr:row>
      <xdr:rowOff>47628</xdr:rowOff>
    </xdr:from>
    <xdr:to>
      <xdr:col>2</xdr:col>
      <xdr:colOff>3663563</xdr:colOff>
      <xdr:row>29</xdr:row>
      <xdr:rowOff>299628</xdr:rowOff>
    </xdr:to>
    <xdr:sp macro="" textlink="$BL30">
      <xdr:nvSpPr>
        <xdr:cNvPr id="68" name="ZoneTexte 67"/>
        <xdr:cNvSpPr txBox="1">
          <a:spLocks/>
        </xdr:cNvSpPr>
      </xdr:nvSpPr>
      <xdr:spPr>
        <a:xfrm>
          <a:off x="3522688" y="58737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8796751-3AC6-412E-AFEF-51A195F45019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3411568</xdr:colOff>
      <xdr:row>30</xdr:row>
      <xdr:rowOff>47626</xdr:rowOff>
    </xdr:from>
    <xdr:to>
      <xdr:col>2</xdr:col>
      <xdr:colOff>3663568</xdr:colOff>
      <xdr:row>30</xdr:row>
      <xdr:rowOff>299626</xdr:rowOff>
    </xdr:to>
    <xdr:sp macro="" textlink="$BL31">
      <xdr:nvSpPr>
        <xdr:cNvPr id="69" name="ZoneTexte 68"/>
        <xdr:cNvSpPr txBox="1">
          <a:spLocks/>
        </xdr:cNvSpPr>
      </xdr:nvSpPr>
      <xdr:spPr>
        <a:xfrm>
          <a:off x="3522693" y="650081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5EA641C-F0B8-4416-8EB9-A04F14864B6F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3411566</xdr:colOff>
      <xdr:row>31</xdr:row>
      <xdr:rowOff>47628</xdr:rowOff>
    </xdr:from>
    <xdr:to>
      <xdr:col>2</xdr:col>
      <xdr:colOff>3663566</xdr:colOff>
      <xdr:row>31</xdr:row>
      <xdr:rowOff>299628</xdr:rowOff>
    </xdr:to>
    <xdr:sp macro="" textlink="$BL32">
      <xdr:nvSpPr>
        <xdr:cNvPr id="70" name="ZoneTexte 69"/>
        <xdr:cNvSpPr txBox="1">
          <a:spLocks/>
        </xdr:cNvSpPr>
      </xdr:nvSpPr>
      <xdr:spPr>
        <a:xfrm>
          <a:off x="3522691" y="712787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ABA4DF4-752C-411C-AD20-C7894517A3E5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3411573</xdr:colOff>
      <xdr:row>32</xdr:row>
      <xdr:rowOff>47628</xdr:rowOff>
    </xdr:from>
    <xdr:to>
      <xdr:col>2</xdr:col>
      <xdr:colOff>3663573</xdr:colOff>
      <xdr:row>32</xdr:row>
      <xdr:rowOff>299628</xdr:rowOff>
    </xdr:to>
    <xdr:sp macro="" textlink="$BL33">
      <xdr:nvSpPr>
        <xdr:cNvPr id="71" name="ZoneTexte 70"/>
        <xdr:cNvSpPr txBox="1">
          <a:spLocks/>
        </xdr:cNvSpPr>
      </xdr:nvSpPr>
      <xdr:spPr>
        <a:xfrm>
          <a:off x="3522698" y="77549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EA1CD87-CE8A-4953-94A5-2DA5DDF32537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3414744</xdr:colOff>
      <xdr:row>33</xdr:row>
      <xdr:rowOff>47628</xdr:rowOff>
    </xdr:from>
    <xdr:to>
      <xdr:col>2</xdr:col>
      <xdr:colOff>3666744</xdr:colOff>
      <xdr:row>33</xdr:row>
      <xdr:rowOff>299628</xdr:rowOff>
    </xdr:to>
    <xdr:sp macro="" textlink="$BL34">
      <xdr:nvSpPr>
        <xdr:cNvPr id="73" name="ZoneTexte 72"/>
        <xdr:cNvSpPr txBox="1">
          <a:spLocks/>
        </xdr:cNvSpPr>
      </xdr:nvSpPr>
      <xdr:spPr>
        <a:xfrm>
          <a:off x="3525869" y="83820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E6C1F37-51D6-4A01-ABC8-1FAA9F0338DD}" type="TxLink">
            <a:rPr lang="en-US" sz="1100" b="0" i="0" u="none" strike="noStrike">
              <a:solidFill>
                <a:srgbClr val="FFFFFF"/>
              </a:solidFill>
              <a:latin typeface="Calibri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3416317</xdr:colOff>
      <xdr:row>34</xdr:row>
      <xdr:rowOff>49212</xdr:rowOff>
    </xdr:from>
    <xdr:to>
      <xdr:col>2</xdr:col>
      <xdr:colOff>3668317</xdr:colOff>
      <xdr:row>34</xdr:row>
      <xdr:rowOff>301212</xdr:rowOff>
    </xdr:to>
    <xdr:sp macro="" textlink="$BL35">
      <xdr:nvSpPr>
        <xdr:cNvPr id="75" name="ZoneTexte 74"/>
        <xdr:cNvSpPr txBox="1">
          <a:spLocks/>
        </xdr:cNvSpPr>
      </xdr:nvSpPr>
      <xdr:spPr>
        <a:xfrm>
          <a:off x="3527442" y="90106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7226928-DC28-4933-9A91-199D3A0DC058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3411570</xdr:colOff>
      <xdr:row>35</xdr:row>
      <xdr:rowOff>47628</xdr:rowOff>
    </xdr:from>
    <xdr:to>
      <xdr:col>2</xdr:col>
      <xdr:colOff>3663570</xdr:colOff>
      <xdr:row>35</xdr:row>
      <xdr:rowOff>299628</xdr:rowOff>
    </xdr:to>
    <xdr:sp macro="" textlink="$BL36">
      <xdr:nvSpPr>
        <xdr:cNvPr id="76" name="ZoneTexte 75"/>
        <xdr:cNvSpPr txBox="1">
          <a:spLocks/>
        </xdr:cNvSpPr>
      </xdr:nvSpPr>
      <xdr:spPr>
        <a:xfrm>
          <a:off x="3522695" y="96361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0F19872-A6A1-4319-963E-24DCC1A04E36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3411562</xdr:colOff>
      <xdr:row>36</xdr:row>
      <xdr:rowOff>47628</xdr:rowOff>
    </xdr:from>
    <xdr:to>
      <xdr:col>2</xdr:col>
      <xdr:colOff>3663562</xdr:colOff>
      <xdr:row>36</xdr:row>
      <xdr:rowOff>299628</xdr:rowOff>
    </xdr:to>
    <xdr:sp macro="" textlink="$BL37">
      <xdr:nvSpPr>
        <xdr:cNvPr id="78" name="ZoneTexte 77"/>
        <xdr:cNvSpPr txBox="1">
          <a:spLocks/>
        </xdr:cNvSpPr>
      </xdr:nvSpPr>
      <xdr:spPr>
        <a:xfrm>
          <a:off x="3522687" y="102631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5271130-7F6A-4DDA-AB47-83B9C8F20D94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3411565</xdr:colOff>
      <xdr:row>37</xdr:row>
      <xdr:rowOff>47628</xdr:rowOff>
    </xdr:from>
    <xdr:to>
      <xdr:col>2</xdr:col>
      <xdr:colOff>3663565</xdr:colOff>
      <xdr:row>37</xdr:row>
      <xdr:rowOff>299628</xdr:rowOff>
    </xdr:to>
    <xdr:sp macro="" textlink="$BL38">
      <xdr:nvSpPr>
        <xdr:cNvPr id="79" name="ZoneTexte 78"/>
        <xdr:cNvSpPr txBox="1">
          <a:spLocks/>
        </xdr:cNvSpPr>
      </xdr:nvSpPr>
      <xdr:spPr>
        <a:xfrm>
          <a:off x="3522690" y="108902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0565AA7-3B77-4CE4-AFF6-75AA25231F9D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3411575</xdr:colOff>
      <xdr:row>38</xdr:row>
      <xdr:rowOff>47628</xdr:rowOff>
    </xdr:from>
    <xdr:to>
      <xdr:col>2</xdr:col>
      <xdr:colOff>3663575</xdr:colOff>
      <xdr:row>38</xdr:row>
      <xdr:rowOff>299628</xdr:rowOff>
    </xdr:to>
    <xdr:sp macro="" textlink="$BL39">
      <xdr:nvSpPr>
        <xdr:cNvPr id="80" name="ZoneTexte 79"/>
        <xdr:cNvSpPr txBox="1">
          <a:spLocks/>
        </xdr:cNvSpPr>
      </xdr:nvSpPr>
      <xdr:spPr>
        <a:xfrm>
          <a:off x="3522700" y="115173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964960F-5954-4A7E-9101-9E40909EEBAA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3411573</xdr:colOff>
      <xdr:row>39</xdr:row>
      <xdr:rowOff>47628</xdr:rowOff>
    </xdr:from>
    <xdr:to>
      <xdr:col>2</xdr:col>
      <xdr:colOff>3663573</xdr:colOff>
      <xdr:row>39</xdr:row>
      <xdr:rowOff>299628</xdr:rowOff>
    </xdr:to>
    <xdr:sp macro="" textlink="$BL40">
      <xdr:nvSpPr>
        <xdr:cNvPr id="81" name="ZoneTexte 80"/>
        <xdr:cNvSpPr txBox="1">
          <a:spLocks/>
        </xdr:cNvSpPr>
      </xdr:nvSpPr>
      <xdr:spPr>
        <a:xfrm>
          <a:off x="3522698" y="1214437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920242D-8F18-4397-A46A-58C8CA78D423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3411575</xdr:colOff>
      <xdr:row>40</xdr:row>
      <xdr:rowOff>47628</xdr:rowOff>
    </xdr:from>
    <xdr:to>
      <xdr:col>2</xdr:col>
      <xdr:colOff>3663575</xdr:colOff>
      <xdr:row>40</xdr:row>
      <xdr:rowOff>299628</xdr:rowOff>
    </xdr:to>
    <xdr:sp macro="" textlink="$BL41">
      <xdr:nvSpPr>
        <xdr:cNvPr id="82" name="ZoneTexte 81"/>
        <xdr:cNvSpPr txBox="1">
          <a:spLocks/>
        </xdr:cNvSpPr>
      </xdr:nvSpPr>
      <xdr:spPr>
        <a:xfrm>
          <a:off x="3522700" y="127714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DA47328-5A11-4AA2-B7D2-424FE7DF8D58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3411566</xdr:colOff>
      <xdr:row>41</xdr:row>
      <xdr:rowOff>47628</xdr:rowOff>
    </xdr:from>
    <xdr:to>
      <xdr:col>2</xdr:col>
      <xdr:colOff>3663566</xdr:colOff>
      <xdr:row>41</xdr:row>
      <xdr:rowOff>299628</xdr:rowOff>
    </xdr:to>
    <xdr:sp macro="" textlink="$BL42">
      <xdr:nvSpPr>
        <xdr:cNvPr id="84" name="ZoneTexte 83"/>
        <xdr:cNvSpPr txBox="1">
          <a:spLocks/>
        </xdr:cNvSpPr>
      </xdr:nvSpPr>
      <xdr:spPr>
        <a:xfrm>
          <a:off x="3522691" y="133985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D795CBF-DBE8-4B6F-8BC4-678531DF7DE0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3417920</xdr:colOff>
      <xdr:row>42</xdr:row>
      <xdr:rowOff>47629</xdr:rowOff>
    </xdr:from>
    <xdr:to>
      <xdr:col>2</xdr:col>
      <xdr:colOff>3669920</xdr:colOff>
      <xdr:row>42</xdr:row>
      <xdr:rowOff>299629</xdr:rowOff>
    </xdr:to>
    <xdr:sp macro="" textlink="$BL43">
      <xdr:nvSpPr>
        <xdr:cNvPr id="85" name="ZoneTexte 84"/>
        <xdr:cNvSpPr txBox="1">
          <a:spLocks/>
        </xdr:cNvSpPr>
      </xdr:nvSpPr>
      <xdr:spPr>
        <a:xfrm>
          <a:off x="3529045" y="1402556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662EE66-C83F-4003-96D0-9F21D1B9C517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3411511</xdr:colOff>
      <xdr:row>43</xdr:row>
      <xdr:rowOff>47628</xdr:rowOff>
    </xdr:from>
    <xdr:to>
      <xdr:col>2</xdr:col>
      <xdr:colOff>3663511</xdr:colOff>
      <xdr:row>43</xdr:row>
      <xdr:rowOff>299628</xdr:rowOff>
    </xdr:to>
    <xdr:sp macro="" textlink="$Y44">
      <xdr:nvSpPr>
        <xdr:cNvPr id="83" name="ZoneTexte 82"/>
        <xdr:cNvSpPr txBox="1">
          <a:spLocks/>
        </xdr:cNvSpPr>
      </xdr:nvSpPr>
      <xdr:spPr>
        <a:xfrm>
          <a:off x="3522636" y="146526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2DDD176-5A3D-4C19-B4D7-0B62D9ADF91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3416292</xdr:colOff>
      <xdr:row>43</xdr:row>
      <xdr:rowOff>50805</xdr:rowOff>
    </xdr:from>
    <xdr:to>
      <xdr:col>2</xdr:col>
      <xdr:colOff>3668292</xdr:colOff>
      <xdr:row>43</xdr:row>
      <xdr:rowOff>302805</xdr:rowOff>
    </xdr:to>
    <xdr:sp macro="" textlink="$AA44">
      <xdr:nvSpPr>
        <xdr:cNvPr id="86" name="ZoneTexte 85"/>
        <xdr:cNvSpPr txBox="1">
          <a:spLocks/>
        </xdr:cNvSpPr>
      </xdr:nvSpPr>
      <xdr:spPr>
        <a:xfrm>
          <a:off x="3527417" y="1465580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94A8296-5621-40E0-934B-9B61A3EF4A9A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3413122</xdr:colOff>
      <xdr:row>43</xdr:row>
      <xdr:rowOff>50806</xdr:rowOff>
    </xdr:from>
    <xdr:to>
      <xdr:col>2</xdr:col>
      <xdr:colOff>3665122</xdr:colOff>
      <xdr:row>43</xdr:row>
      <xdr:rowOff>302806</xdr:rowOff>
    </xdr:to>
    <xdr:sp macro="" textlink="$BL44">
      <xdr:nvSpPr>
        <xdr:cNvPr id="87" name="ZoneTexte 86"/>
        <xdr:cNvSpPr txBox="1">
          <a:spLocks/>
        </xdr:cNvSpPr>
      </xdr:nvSpPr>
      <xdr:spPr>
        <a:xfrm>
          <a:off x="3524247" y="1465580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FE7768F-1FA0-4C30-AC55-7DE0CF0E549D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3411513</xdr:colOff>
      <xdr:row>44</xdr:row>
      <xdr:rowOff>47628</xdr:rowOff>
    </xdr:from>
    <xdr:to>
      <xdr:col>2</xdr:col>
      <xdr:colOff>3663513</xdr:colOff>
      <xdr:row>44</xdr:row>
      <xdr:rowOff>299628</xdr:rowOff>
    </xdr:to>
    <xdr:sp macro="" textlink="$Y45">
      <xdr:nvSpPr>
        <xdr:cNvPr id="88" name="ZoneTexte 87"/>
        <xdr:cNvSpPr txBox="1">
          <a:spLocks/>
        </xdr:cNvSpPr>
      </xdr:nvSpPr>
      <xdr:spPr>
        <a:xfrm>
          <a:off x="3522638" y="152796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CB8C28B-91BC-405F-8116-842ACE6E17EC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3416292</xdr:colOff>
      <xdr:row>44</xdr:row>
      <xdr:rowOff>50801</xdr:rowOff>
    </xdr:from>
    <xdr:to>
      <xdr:col>2</xdr:col>
      <xdr:colOff>3668292</xdr:colOff>
      <xdr:row>44</xdr:row>
      <xdr:rowOff>302801</xdr:rowOff>
    </xdr:to>
    <xdr:sp macro="" textlink="$AA45">
      <xdr:nvSpPr>
        <xdr:cNvPr id="89" name="ZoneTexte 88"/>
        <xdr:cNvSpPr txBox="1">
          <a:spLocks/>
        </xdr:cNvSpPr>
      </xdr:nvSpPr>
      <xdr:spPr>
        <a:xfrm>
          <a:off x="3527417" y="1528286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02D1E88-FE5A-4F4C-88CF-D46AE6BFCD1F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3413125</xdr:colOff>
      <xdr:row>44</xdr:row>
      <xdr:rowOff>50807</xdr:rowOff>
    </xdr:from>
    <xdr:to>
      <xdr:col>2</xdr:col>
      <xdr:colOff>3665125</xdr:colOff>
      <xdr:row>44</xdr:row>
      <xdr:rowOff>302807</xdr:rowOff>
    </xdr:to>
    <xdr:sp macro="" textlink="$BL45">
      <xdr:nvSpPr>
        <xdr:cNvPr id="90" name="ZoneTexte 89"/>
        <xdr:cNvSpPr txBox="1">
          <a:spLocks/>
        </xdr:cNvSpPr>
      </xdr:nvSpPr>
      <xdr:spPr>
        <a:xfrm>
          <a:off x="3524250" y="1528287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2E4EDAD-7C95-431F-94D1-5DD396140768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3411517</xdr:colOff>
      <xdr:row>45</xdr:row>
      <xdr:rowOff>47628</xdr:rowOff>
    </xdr:from>
    <xdr:to>
      <xdr:col>2</xdr:col>
      <xdr:colOff>3663517</xdr:colOff>
      <xdr:row>45</xdr:row>
      <xdr:rowOff>299628</xdr:rowOff>
    </xdr:to>
    <xdr:sp macro="" textlink="$Y46">
      <xdr:nvSpPr>
        <xdr:cNvPr id="97" name="ZoneTexte 96"/>
        <xdr:cNvSpPr txBox="1">
          <a:spLocks/>
        </xdr:cNvSpPr>
      </xdr:nvSpPr>
      <xdr:spPr>
        <a:xfrm>
          <a:off x="3522642" y="159067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C938AAB-115C-4014-AF36-812DF28F3B34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3416291</xdr:colOff>
      <xdr:row>45</xdr:row>
      <xdr:rowOff>50800</xdr:rowOff>
    </xdr:from>
    <xdr:to>
      <xdr:col>2</xdr:col>
      <xdr:colOff>3668291</xdr:colOff>
      <xdr:row>45</xdr:row>
      <xdr:rowOff>302800</xdr:rowOff>
    </xdr:to>
    <xdr:sp macro="" textlink="$AA46">
      <xdr:nvSpPr>
        <xdr:cNvPr id="98" name="ZoneTexte 97"/>
        <xdr:cNvSpPr txBox="1">
          <a:spLocks/>
        </xdr:cNvSpPr>
      </xdr:nvSpPr>
      <xdr:spPr>
        <a:xfrm>
          <a:off x="3527416" y="1590992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27D5803-92BA-48E4-8A88-BD569C6A2030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3413121</xdr:colOff>
      <xdr:row>45</xdr:row>
      <xdr:rowOff>50808</xdr:rowOff>
    </xdr:from>
    <xdr:to>
      <xdr:col>2</xdr:col>
      <xdr:colOff>3665121</xdr:colOff>
      <xdr:row>45</xdr:row>
      <xdr:rowOff>302808</xdr:rowOff>
    </xdr:to>
    <xdr:sp macro="" textlink="$BL46">
      <xdr:nvSpPr>
        <xdr:cNvPr id="99" name="ZoneTexte 98"/>
        <xdr:cNvSpPr txBox="1">
          <a:spLocks/>
        </xdr:cNvSpPr>
      </xdr:nvSpPr>
      <xdr:spPr>
        <a:xfrm>
          <a:off x="3524246" y="1590993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D3EC33EC-DFDC-42BC-8D9E-78499A54C670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3411521</xdr:colOff>
      <xdr:row>46</xdr:row>
      <xdr:rowOff>47628</xdr:rowOff>
    </xdr:from>
    <xdr:to>
      <xdr:col>2</xdr:col>
      <xdr:colOff>3663521</xdr:colOff>
      <xdr:row>46</xdr:row>
      <xdr:rowOff>299628</xdr:rowOff>
    </xdr:to>
    <xdr:sp macro="" textlink="$Y47">
      <xdr:nvSpPr>
        <xdr:cNvPr id="100" name="ZoneTexte 99"/>
        <xdr:cNvSpPr txBox="1">
          <a:spLocks/>
        </xdr:cNvSpPr>
      </xdr:nvSpPr>
      <xdr:spPr>
        <a:xfrm>
          <a:off x="3522646" y="165338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1684F04-1790-4D0D-9C1D-CE85AFB114BB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3416295</xdr:colOff>
      <xdr:row>46</xdr:row>
      <xdr:rowOff>50804</xdr:rowOff>
    </xdr:from>
    <xdr:to>
      <xdr:col>2</xdr:col>
      <xdr:colOff>3668295</xdr:colOff>
      <xdr:row>46</xdr:row>
      <xdr:rowOff>302804</xdr:rowOff>
    </xdr:to>
    <xdr:sp macro="" textlink="$AA47">
      <xdr:nvSpPr>
        <xdr:cNvPr id="101" name="ZoneTexte 100"/>
        <xdr:cNvSpPr txBox="1">
          <a:spLocks/>
        </xdr:cNvSpPr>
      </xdr:nvSpPr>
      <xdr:spPr>
        <a:xfrm>
          <a:off x="3527420" y="1653699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F2E8E53-58A2-4476-ABDC-282A54D970F5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46</xdr:row>
      <xdr:rowOff>50807</xdr:rowOff>
    </xdr:from>
    <xdr:to>
      <xdr:col>2</xdr:col>
      <xdr:colOff>3665124</xdr:colOff>
      <xdr:row>46</xdr:row>
      <xdr:rowOff>302807</xdr:rowOff>
    </xdr:to>
    <xdr:sp macro="" textlink="$BL47">
      <xdr:nvSpPr>
        <xdr:cNvPr id="102" name="ZoneTexte 101"/>
        <xdr:cNvSpPr txBox="1">
          <a:spLocks/>
        </xdr:cNvSpPr>
      </xdr:nvSpPr>
      <xdr:spPr>
        <a:xfrm>
          <a:off x="3524249" y="1653699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9418FCA-B711-4A1D-AA0D-AAF773C69671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3411511</xdr:colOff>
      <xdr:row>47</xdr:row>
      <xdr:rowOff>47628</xdr:rowOff>
    </xdr:from>
    <xdr:to>
      <xdr:col>2</xdr:col>
      <xdr:colOff>3663511</xdr:colOff>
      <xdr:row>47</xdr:row>
      <xdr:rowOff>299628</xdr:rowOff>
    </xdr:to>
    <xdr:sp macro="" textlink="$Y48">
      <xdr:nvSpPr>
        <xdr:cNvPr id="103" name="ZoneTexte 102"/>
        <xdr:cNvSpPr txBox="1">
          <a:spLocks/>
        </xdr:cNvSpPr>
      </xdr:nvSpPr>
      <xdr:spPr>
        <a:xfrm>
          <a:off x="3522636" y="1716087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388C808-2707-48E4-BE53-BD3CA9E40C59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3416295</xdr:colOff>
      <xdr:row>47</xdr:row>
      <xdr:rowOff>50803</xdr:rowOff>
    </xdr:from>
    <xdr:to>
      <xdr:col>2</xdr:col>
      <xdr:colOff>3668295</xdr:colOff>
      <xdr:row>47</xdr:row>
      <xdr:rowOff>302803</xdr:rowOff>
    </xdr:to>
    <xdr:sp macro="" textlink="$AA48">
      <xdr:nvSpPr>
        <xdr:cNvPr id="119" name="ZoneTexte 118"/>
        <xdr:cNvSpPr txBox="1">
          <a:spLocks/>
        </xdr:cNvSpPr>
      </xdr:nvSpPr>
      <xdr:spPr>
        <a:xfrm>
          <a:off x="3527420" y="1716405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B52048A-015E-4C1A-A6B3-D4E3AD54FF20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47</xdr:row>
      <xdr:rowOff>50807</xdr:rowOff>
    </xdr:from>
    <xdr:to>
      <xdr:col>2</xdr:col>
      <xdr:colOff>3665124</xdr:colOff>
      <xdr:row>47</xdr:row>
      <xdr:rowOff>302807</xdr:rowOff>
    </xdr:to>
    <xdr:sp macro="" textlink="$BL48">
      <xdr:nvSpPr>
        <xdr:cNvPr id="135" name="ZoneTexte 134"/>
        <xdr:cNvSpPr txBox="1">
          <a:spLocks/>
        </xdr:cNvSpPr>
      </xdr:nvSpPr>
      <xdr:spPr>
        <a:xfrm>
          <a:off x="3524249" y="1716405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353B44F1-664E-43C5-9502-EF46598CCF90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3411515</xdr:colOff>
      <xdr:row>48</xdr:row>
      <xdr:rowOff>47628</xdr:rowOff>
    </xdr:from>
    <xdr:to>
      <xdr:col>2</xdr:col>
      <xdr:colOff>3663515</xdr:colOff>
      <xdr:row>48</xdr:row>
      <xdr:rowOff>299628</xdr:rowOff>
    </xdr:to>
    <xdr:sp macro="" textlink="$Y49">
      <xdr:nvSpPr>
        <xdr:cNvPr id="136" name="ZoneTexte 135"/>
        <xdr:cNvSpPr txBox="1">
          <a:spLocks/>
        </xdr:cNvSpPr>
      </xdr:nvSpPr>
      <xdr:spPr>
        <a:xfrm>
          <a:off x="3522640" y="1778794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98E509D-B427-4E35-BA29-50F0D836F1B4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3416294</xdr:colOff>
      <xdr:row>48</xdr:row>
      <xdr:rowOff>50804</xdr:rowOff>
    </xdr:from>
    <xdr:to>
      <xdr:col>2</xdr:col>
      <xdr:colOff>3668294</xdr:colOff>
      <xdr:row>48</xdr:row>
      <xdr:rowOff>302804</xdr:rowOff>
    </xdr:to>
    <xdr:sp macro="" textlink="$AA49">
      <xdr:nvSpPr>
        <xdr:cNvPr id="137" name="ZoneTexte 136"/>
        <xdr:cNvSpPr txBox="1">
          <a:spLocks/>
        </xdr:cNvSpPr>
      </xdr:nvSpPr>
      <xdr:spPr>
        <a:xfrm>
          <a:off x="3527419" y="1779111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84857B1-E5D1-420D-87CE-A89BA61EDD6E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3413124</xdr:colOff>
      <xdr:row>48</xdr:row>
      <xdr:rowOff>50807</xdr:rowOff>
    </xdr:from>
    <xdr:to>
      <xdr:col>2</xdr:col>
      <xdr:colOff>3665124</xdr:colOff>
      <xdr:row>48</xdr:row>
      <xdr:rowOff>302807</xdr:rowOff>
    </xdr:to>
    <xdr:sp macro="" textlink="$BL49">
      <xdr:nvSpPr>
        <xdr:cNvPr id="138" name="ZoneTexte 137"/>
        <xdr:cNvSpPr txBox="1">
          <a:spLocks/>
        </xdr:cNvSpPr>
      </xdr:nvSpPr>
      <xdr:spPr>
        <a:xfrm>
          <a:off x="3524249" y="1779112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5FC6825-481E-40D8-B635-7127A5B5DC06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3411515</xdr:colOff>
      <xdr:row>49</xdr:row>
      <xdr:rowOff>47628</xdr:rowOff>
    </xdr:from>
    <xdr:to>
      <xdr:col>2</xdr:col>
      <xdr:colOff>3663515</xdr:colOff>
      <xdr:row>49</xdr:row>
      <xdr:rowOff>299628</xdr:rowOff>
    </xdr:to>
    <xdr:sp macro="" textlink="$Y50">
      <xdr:nvSpPr>
        <xdr:cNvPr id="139" name="ZoneTexte 138"/>
        <xdr:cNvSpPr txBox="1">
          <a:spLocks/>
        </xdr:cNvSpPr>
      </xdr:nvSpPr>
      <xdr:spPr>
        <a:xfrm>
          <a:off x="3522640" y="184150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D9BADB4-3178-4B8E-8B4F-5EF9FC82AF86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3416293</xdr:colOff>
      <xdr:row>49</xdr:row>
      <xdr:rowOff>50802</xdr:rowOff>
    </xdr:from>
    <xdr:to>
      <xdr:col>2</xdr:col>
      <xdr:colOff>3668293</xdr:colOff>
      <xdr:row>49</xdr:row>
      <xdr:rowOff>302802</xdr:rowOff>
    </xdr:to>
    <xdr:sp macro="" textlink="$AA50">
      <xdr:nvSpPr>
        <xdr:cNvPr id="140" name="ZoneTexte 139"/>
        <xdr:cNvSpPr txBox="1">
          <a:spLocks/>
        </xdr:cNvSpPr>
      </xdr:nvSpPr>
      <xdr:spPr>
        <a:xfrm>
          <a:off x="3527418" y="1841817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1AAD95B-F2EB-4300-94C3-616CD2FEEE8F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3413123</xdr:colOff>
      <xdr:row>49</xdr:row>
      <xdr:rowOff>50808</xdr:rowOff>
    </xdr:from>
    <xdr:to>
      <xdr:col>2</xdr:col>
      <xdr:colOff>3665123</xdr:colOff>
      <xdr:row>49</xdr:row>
      <xdr:rowOff>302808</xdr:rowOff>
    </xdr:to>
    <xdr:sp macro="" textlink="$BL50">
      <xdr:nvSpPr>
        <xdr:cNvPr id="141" name="ZoneTexte 140"/>
        <xdr:cNvSpPr txBox="1">
          <a:spLocks/>
        </xdr:cNvSpPr>
      </xdr:nvSpPr>
      <xdr:spPr>
        <a:xfrm>
          <a:off x="3524248" y="1841818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63E1473-7857-4553-A699-E17E910FEED4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3411515</xdr:colOff>
      <xdr:row>50</xdr:row>
      <xdr:rowOff>47628</xdr:rowOff>
    </xdr:from>
    <xdr:to>
      <xdr:col>2</xdr:col>
      <xdr:colOff>3663515</xdr:colOff>
      <xdr:row>50</xdr:row>
      <xdr:rowOff>299628</xdr:rowOff>
    </xdr:to>
    <xdr:sp macro="" textlink="$Y51">
      <xdr:nvSpPr>
        <xdr:cNvPr id="142" name="ZoneTexte 141"/>
        <xdr:cNvSpPr txBox="1">
          <a:spLocks/>
        </xdr:cNvSpPr>
      </xdr:nvSpPr>
      <xdr:spPr>
        <a:xfrm>
          <a:off x="3522640" y="1904206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7F4CD7D-B4F2-4E93-ACF1-AAF150F6BF20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3416293</xdr:colOff>
      <xdr:row>50</xdr:row>
      <xdr:rowOff>50804</xdr:rowOff>
    </xdr:from>
    <xdr:to>
      <xdr:col>2</xdr:col>
      <xdr:colOff>3668293</xdr:colOff>
      <xdr:row>50</xdr:row>
      <xdr:rowOff>302804</xdr:rowOff>
    </xdr:to>
    <xdr:sp macro="" textlink="$AA51">
      <xdr:nvSpPr>
        <xdr:cNvPr id="143" name="ZoneTexte 142"/>
        <xdr:cNvSpPr txBox="1">
          <a:spLocks/>
        </xdr:cNvSpPr>
      </xdr:nvSpPr>
      <xdr:spPr>
        <a:xfrm>
          <a:off x="3527418" y="1904524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2D33F6A-4A13-4C23-B620-FCFD9609CBD6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3413125</xdr:colOff>
      <xdr:row>50</xdr:row>
      <xdr:rowOff>50808</xdr:rowOff>
    </xdr:from>
    <xdr:to>
      <xdr:col>2</xdr:col>
      <xdr:colOff>3665125</xdr:colOff>
      <xdr:row>50</xdr:row>
      <xdr:rowOff>302808</xdr:rowOff>
    </xdr:to>
    <xdr:sp macro="" textlink="$BL51">
      <xdr:nvSpPr>
        <xdr:cNvPr id="144" name="ZoneTexte 143"/>
        <xdr:cNvSpPr txBox="1">
          <a:spLocks/>
        </xdr:cNvSpPr>
      </xdr:nvSpPr>
      <xdr:spPr>
        <a:xfrm>
          <a:off x="3524250" y="1904524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82DDD9D-9EDF-4297-A89A-E508C753CD4F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3411518</xdr:colOff>
      <xdr:row>51</xdr:row>
      <xdr:rowOff>47628</xdr:rowOff>
    </xdr:from>
    <xdr:to>
      <xdr:col>2</xdr:col>
      <xdr:colOff>3663518</xdr:colOff>
      <xdr:row>51</xdr:row>
      <xdr:rowOff>299628</xdr:rowOff>
    </xdr:to>
    <xdr:sp macro="" textlink="$Y52">
      <xdr:nvSpPr>
        <xdr:cNvPr id="145" name="ZoneTexte 144"/>
        <xdr:cNvSpPr txBox="1">
          <a:spLocks/>
        </xdr:cNvSpPr>
      </xdr:nvSpPr>
      <xdr:spPr>
        <a:xfrm>
          <a:off x="3522643" y="196691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8966B45-47CB-4925-BA26-80FF8785EA9F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3416295</xdr:colOff>
      <xdr:row>51</xdr:row>
      <xdr:rowOff>50801</xdr:rowOff>
    </xdr:from>
    <xdr:to>
      <xdr:col>2</xdr:col>
      <xdr:colOff>3668295</xdr:colOff>
      <xdr:row>51</xdr:row>
      <xdr:rowOff>302801</xdr:rowOff>
    </xdr:to>
    <xdr:sp macro="" textlink="$AA52">
      <xdr:nvSpPr>
        <xdr:cNvPr id="146" name="ZoneTexte 145"/>
        <xdr:cNvSpPr txBox="1">
          <a:spLocks/>
        </xdr:cNvSpPr>
      </xdr:nvSpPr>
      <xdr:spPr>
        <a:xfrm>
          <a:off x="3527420" y="1967230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40905B8-4C31-4615-9F34-8046BD2CFA7D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3413123</xdr:colOff>
      <xdr:row>51</xdr:row>
      <xdr:rowOff>50807</xdr:rowOff>
    </xdr:from>
    <xdr:to>
      <xdr:col>2</xdr:col>
      <xdr:colOff>3665123</xdr:colOff>
      <xdr:row>51</xdr:row>
      <xdr:rowOff>302807</xdr:rowOff>
    </xdr:to>
    <xdr:sp macro="" textlink="$BL52">
      <xdr:nvSpPr>
        <xdr:cNvPr id="151" name="ZoneTexte 150"/>
        <xdr:cNvSpPr txBox="1">
          <a:spLocks/>
        </xdr:cNvSpPr>
      </xdr:nvSpPr>
      <xdr:spPr>
        <a:xfrm>
          <a:off x="3524248" y="1967230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DDD1234-EEE4-4855-A186-77F8D9898EB6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3411508</xdr:colOff>
      <xdr:row>52</xdr:row>
      <xdr:rowOff>49218</xdr:rowOff>
    </xdr:from>
    <xdr:to>
      <xdr:col>2</xdr:col>
      <xdr:colOff>3663508</xdr:colOff>
      <xdr:row>52</xdr:row>
      <xdr:rowOff>301218</xdr:rowOff>
    </xdr:to>
    <xdr:sp macro="" textlink="$Y53">
      <xdr:nvSpPr>
        <xdr:cNvPr id="157" name="ZoneTexte 156"/>
        <xdr:cNvSpPr txBox="1">
          <a:spLocks/>
        </xdr:cNvSpPr>
      </xdr:nvSpPr>
      <xdr:spPr>
        <a:xfrm>
          <a:off x="3522633" y="2029778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D866CE-DF1F-4DBB-B1B4-7AC7EA88AAD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3416295</xdr:colOff>
      <xdr:row>52</xdr:row>
      <xdr:rowOff>50802</xdr:rowOff>
    </xdr:from>
    <xdr:to>
      <xdr:col>2</xdr:col>
      <xdr:colOff>3668295</xdr:colOff>
      <xdr:row>52</xdr:row>
      <xdr:rowOff>302802</xdr:rowOff>
    </xdr:to>
    <xdr:sp macro="" textlink="$AA53">
      <xdr:nvSpPr>
        <xdr:cNvPr id="158" name="ZoneTexte 157"/>
        <xdr:cNvSpPr txBox="1">
          <a:spLocks/>
        </xdr:cNvSpPr>
      </xdr:nvSpPr>
      <xdr:spPr>
        <a:xfrm>
          <a:off x="3527420" y="2029936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87900DB-5353-47F5-AB7D-FBA98EB0823F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3411548</xdr:colOff>
      <xdr:row>52</xdr:row>
      <xdr:rowOff>50807</xdr:rowOff>
    </xdr:from>
    <xdr:to>
      <xdr:col>2</xdr:col>
      <xdr:colOff>3663548</xdr:colOff>
      <xdr:row>52</xdr:row>
      <xdr:rowOff>302807</xdr:rowOff>
    </xdr:to>
    <xdr:sp macro="" textlink="$BL53">
      <xdr:nvSpPr>
        <xdr:cNvPr id="159" name="ZoneTexte 158"/>
        <xdr:cNvSpPr txBox="1">
          <a:spLocks/>
        </xdr:cNvSpPr>
      </xdr:nvSpPr>
      <xdr:spPr>
        <a:xfrm>
          <a:off x="3522673" y="2029937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B7DF028-8091-46E1-A331-D3691B5E1658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53</xdr:row>
      <xdr:rowOff>49215</xdr:rowOff>
    </xdr:from>
    <xdr:to>
      <xdr:col>2</xdr:col>
      <xdr:colOff>3669857</xdr:colOff>
      <xdr:row>53</xdr:row>
      <xdr:rowOff>301215</xdr:rowOff>
    </xdr:to>
    <xdr:sp macro="" textlink="$Y54">
      <xdr:nvSpPr>
        <xdr:cNvPr id="160" name="ZoneTexte 159"/>
        <xdr:cNvSpPr txBox="1">
          <a:spLocks/>
        </xdr:cNvSpPr>
      </xdr:nvSpPr>
      <xdr:spPr>
        <a:xfrm>
          <a:off x="3528982" y="2092484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3EE6C40-8A65-4BF1-902B-7A5BDC603E55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3417891</xdr:colOff>
      <xdr:row>53</xdr:row>
      <xdr:rowOff>50802</xdr:rowOff>
    </xdr:from>
    <xdr:to>
      <xdr:col>2</xdr:col>
      <xdr:colOff>3669891</xdr:colOff>
      <xdr:row>53</xdr:row>
      <xdr:rowOff>302802</xdr:rowOff>
    </xdr:to>
    <xdr:sp macro="" textlink="$AA54">
      <xdr:nvSpPr>
        <xdr:cNvPr id="161" name="ZoneTexte 160"/>
        <xdr:cNvSpPr txBox="1">
          <a:spLocks/>
        </xdr:cNvSpPr>
      </xdr:nvSpPr>
      <xdr:spPr>
        <a:xfrm>
          <a:off x="3529016" y="2092642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71F52FF-E65D-4F15-9476-6E539B303E9D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3413130</xdr:colOff>
      <xdr:row>53</xdr:row>
      <xdr:rowOff>50807</xdr:rowOff>
    </xdr:from>
    <xdr:to>
      <xdr:col>2</xdr:col>
      <xdr:colOff>3665130</xdr:colOff>
      <xdr:row>53</xdr:row>
      <xdr:rowOff>302807</xdr:rowOff>
    </xdr:to>
    <xdr:sp macro="" textlink="$BL54">
      <xdr:nvSpPr>
        <xdr:cNvPr id="162" name="ZoneTexte 161"/>
        <xdr:cNvSpPr txBox="1">
          <a:spLocks/>
        </xdr:cNvSpPr>
      </xdr:nvSpPr>
      <xdr:spPr>
        <a:xfrm>
          <a:off x="3524255" y="2092643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83FC223-8F04-4611-BA6A-59945769BE0B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54</xdr:row>
      <xdr:rowOff>49215</xdr:rowOff>
    </xdr:from>
    <xdr:to>
      <xdr:col>2</xdr:col>
      <xdr:colOff>3669857</xdr:colOff>
      <xdr:row>54</xdr:row>
      <xdr:rowOff>301215</xdr:rowOff>
    </xdr:to>
    <xdr:sp macro="" textlink="$Y55">
      <xdr:nvSpPr>
        <xdr:cNvPr id="163" name="ZoneTexte 162"/>
        <xdr:cNvSpPr txBox="1">
          <a:spLocks/>
        </xdr:cNvSpPr>
      </xdr:nvSpPr>
      <xdr:spPr>
        <a:xfrm>
          <a:off x="3528982" y="215519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81E00D9-8B55-41B7-A911-9C9FFF503E38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3417896</xdr:colOff>
      <xdr:row>54</xdr:row>
      <xdr:rowOff>50802</xdr:rowOff>
    </xdr:from>
    <xdr:to>
      <xdr:col>2</xdr:col>
      <xdr:colOff>3669896</xdr:colOff>
      <xdr:row>54</xdr:row>
      <xdr:rowOff>302802</xdr:rowOff>
    </xdr:to>
    <xdr:sp macro="" textlink="$AA55">
      <xdr:nvSpPr>
        <xdr:cNvPr id="164" name="ZoneTexte 163"/>
        <xdr:cNvSpPr txBox="1">
          <a:spLocks/>
        </xdr:cNvSpPr>
      </xdr:nvSpPr>
      <xdr:spPr>
        <a:xfrm>
          <a:off x="3529021" y="2155349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3EED83C-8817-4519-86E9-E1E6706052B7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3413137</xdr:colOff>
      <xdr:row>54</xdr:row>
      <xdr:rowOff>50807</xdr:rowOff>
    </xdr:from>
    <xdr:to>
      <xdr:col>2</xdr:col>
      <xdr:colOff>3665137</xdr:colOff>
      <xdr:row>54</xdr:row>
      <xdr:rowOff>302807</xdr:rowOff>
    </xdr:to>
    <xdr:sp macro="" textlink="$BL55">
      <xdr:nvSpPr>
        <xdr:cNvPr id="165" name="ZoneTexte 164"/>
        <xdr:cNvSpPr txBox="1">
          <a:spLocks/>
        </xdr:cNvSpPr>
      </xdr:nvSpPr>
      <xdr:spPr>
        <a:xfrm>
          <a:off x="3524262" y="2155349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DD4D0F8-B723-4EAE-90D2-CA82BA25B24E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55</xdr:row>
      <xdr:rowOff>49215</xdr:rowOff>
    </xdr:from>
    <xdr:to>
      <xdr:col>2</xdr:col>
      <xdr:colOff>3669857</xdr:colOff>
      <xdr:row>55</xdr:row>
      <xdr:rowOff>301215</xdr:rowOff>
    </xdr:to>
    <xdr:sp macro="" textlink="$Y56">
      <xdr:nvSpPr>
        <xdr:cNvPr id="166" name="ZoneTexte 165"/>
        <xdr:cNvSpPr txBox="1">
          <a:spLocks/>
        </xdr:cNvSpPr>
      </xdr:nvSpPr>
      <xdr:spPr>
        <a:xfrm>
          <a:off x="3528982" y="2217896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5118D0B-011F-4FF9-9950-234F1E4F16AA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3417895</xdr:colOff>
      <xdr:row>55</xdr:row>
      <xdr:rowOff>50802</xdr:rowOff>
    </xdr:from>
    <xdr:to>
      <xdr:col>2</xdr:col>
      <xdr:colOff>3669895</xdr:colOff>
      <xdr:row>55</xdr:row>
      <xdr:rowOff>302802</xdr:rowOff>
    </xdr:to>
    <xdr:sp macro="" textlink="$AA56">
      <xdr:nvSpPr>
        <xdr:cNvPr id="167" name="ZoneTexte 166"/>
        <xdr:cNvSpPr txBox="1">
          <a:spLocks/>
        </xdr:cNvSpPr>
      </xdr:nvSpPr>
      <xdr:spPr>
        <a:xfrm>
          <a:off x="3529020" y="2218055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C76A791-EAF2-4258-A782-D3C04D070887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3413133</xdr:colOff>
      <xdr:row>55</xdr:row>
      <xdr:rowOff>50807</xdr:rowOff>
    </xdr:from>
    <xdr:to>
      <xdr:col>2</xdr:col>
      <xdr:colOff>3665133</xdr:colOff>
      <xdr:row>55</xdr:row>
      <xdr:rowOff>302807</xdr:rowOff>
    </xdr:to>
    <xdr:sp macro="" textlink="$BL56">
      <xdr:nvSpPr>
        <xdr:cNvPr id="168" name="ZoneTexte 167"/>
        <xdr:cNvSpPr txBox="1">
          <a:spLocks/>
        </xdr:cNvSpPr>
      </xdr:nvSpPr>
      <xdr:spPr>
        <a:xfrm>
          <a:off x="3524258" y="2218055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C698B2D-B584-45C2-9970-72F15EE035BB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56</xdr:row>
      <xdr:rowOff>49215</xdr:rowOff>
    </xdr:from>
    <xdr:to>
      <xdr:col>2</xdr:col>
      <xdr:colOff>3669857</xdr:colOff>
      <xdr:row>56</xdr:row>
      <xdr:rowOff>301215</xdr:rowOff>
    </xdr:to>
    <xdr:sp macro="" textlink="$Y57">
      <xdr:nvSpPr>
        <xdr:cNvPr id="169" name="ZoneTexte 168"/>
        <xdr:cNvSpPr txBox="1">
          <a:spLocks/>
        </xdr:cNvSpPr>
      </xdr:nvSpPr>
      <xdr:spPr>
        <a:xfrm>
          <a:off x="3528982" y="2280602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316C351-5081-46DD-A4FE-1651EE9AAEB4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3417886</xdr:colOff>
      <xdr:row>56</xdr:row>
      <xdr:rowOff>50802</xdr:rowOff>
    </xdr:from>
    <xdr:to>
      <xdr:col>2</xdr:col>
      <xdr:colOff>3669886</xdr:colOff>
      <xdr:row>56</xdr:row>
      <xdr:rowOff>302802</xdr:rowOff>
    </xdr:to>
    <xdr:sp macro="" textlink="$AA57">
      <xdr:nvSpPr>
        <xdr:cNvPr id="170" name="ZoneTexte 169"/>
        <xdr:cNvSpPr txBox="1">
          <a:spLocks/>
        </xdr:cNvSpPr>
      </xdr:nvSpPr>
      <xdr:spPr>
        <a:xfrm>
          <a:off x="3529011" y="2280761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EA55A27-3C34-473F-A891-2C27692600E2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3413128</xdr:colOff>
      <xdr:row>56</xdr:row>
      <xdr:rowOff>50807</xdr:rowOff>
    </xdr:from>
    <xdr:to>
      <xdr:col>2</xdr:col>
      <xdr:colOff>3665128</xdr:colOff>
      <xdr:row>56</xdr:row>
      <xdr:rowOff>302807</xdr:rowOff>
    </xdr:to>
    <xdr:sp macro="" textlink="$BL57">
      <xdr:nvSpPr>
        <xdr:cNvPr id="171" name="ZoneTexte 170"/>
        <xdr:cNvSpPr txBox="1">
          <a:spLocks/>
        </xdr:cNvSpPr>
      </xdr:nvSpPr>
      <xdr:spPr>
        <a:xfrm>
          <a:off x="3524253" y="2280762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3E64637-A0B7-47E3-B46C-15045C80F93F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3417857</xdr:colOff>
      <xdr:row>57</xdr:row>
      <xdr:rowOff>49215</xdr:rowOff>
    </xdr:from>
    <xdr:to>
      <xdr:col>2</xdr:col>
      <xdr:colOff>3669857</xdr:colOff>
      <xdr:row>57</xdr:row>
      <xdr:rowOff>301215</xdr:rowOff>
    </xdr:to>
    <xdr:sp macro="" textlink="$Y58">
      <xdr:nvSpPr>
        <xdr:cNvPr id="172" name="ZoneTexte 171"/>
        <xdr:cNvSpPr txBox="1">
          <a:spLocks/>
        </xdr:cNvSpPr>
      </xdr:nvSpPr>
      <xdr:spPr>
        <a:xfrm>
          <a:off x="3528982" y="2343309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61C8A49-238A-4FB3-A62D-488BD27E4B17}" type="TxLink">
            <a:rPr lang="en-US" sz="1600" b="0" i="0" u="none" strike="noStrike">
              <a:solidFill>
                <a:srgbClr val="FF000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3417886</xdr:colOff>
      <xdr:row>57</xdr:row>
      <xdr:rowOff>50802</xdr:rowOff>
    </xdr:from>
    <xdr:to>
      <xdr:col>2</xdr:col>
      <xdr:colOff>3669886</xdr:colOff>
      <xdr:row>57</xdr:row>
      <xdr:rowOff>302802</xdr:rowOff>
    </xdr:to>
    <xdr:sp macro="" textlink="$AA58">
      <xdr:nvSpPr>
        <xdr:cNvPr id="173" name="ZoneTexte 172"/>
        <xdr:cNvSpPr txBox="1">
          <a:spLocks/>
        </xdr:cNvSpPr>
      </xdr:nvSpPr>
      <xdr:spPr>
        <a:xfrm>
          <a:off x="3529011" y="2343467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60FF447-2384-41B0-B2E6-A495E8C92A6A}" type="TxLink">
            <a:rPr lang="en-US" sz="1600" b="0" i="0" u="none" strike="noStrike">
              <a:solidFill>
                <a:srgbClr val="00B05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B05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3413133</xdr:colOff>
      <xdr:row>57</xdr:row>
      <xdr:rowOff>50807</xdr:rowOff>
    </xdr:from>
    <xdr:to>
      <xdr:col>2</xdr:col>
      <xdr:colOff>3665133</xdr:colOff>
      <xdr:row>57</xdr:row>
      <xdr:rowOff>302807</xdr:rowOff>
    </xdr:to>
    <xdr:sp macro="" textlink="$BL58">
      <xdr:nvSpPr>
        <xdr:cNvPr id="174" name="ZoneTexte 173"/>
        <xdr:cNvSpPr txBox="1">
          <a:spLocks/>
        </xdr:cNvSpPr>
      </xdr:nvSpPr>
      <xdr:spPr>
        <a:xfrm>
          <a:off x="3524258" y="234346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87EFA8B-169B-48CE-882A-7F8C2DA08131}" type="TxLink">
            <a:rPr lang="en-US" sz="1600" b="0" i="0" u="none" strike="noStrike">
              <a:solidFill>
                <a:srgbClr val="0070C0"/>
              </a:solidFill>
              <a:latin typeface="Wingdings" panose="05000000000000000000" pitchFamily="2" charset="2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09" y="61913"/>
          <a:ext cx="235116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6" name="ZoneTexte 5"/>
        <xdr:cNvSpPr txBox="1"/>
      </xdr:nvSpPr>
      <xdr:spPr>
        <a:xfrm>
          <a:off x="61912" y="3490912"/>
          <a:ext cx="22111200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 HN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2" name="Groupe 1"/>
        <xdr:cNvGrpSpPr/>
      </xdr:nvGrpSpPr>
      <xdr:grpSpPr>
        <a:xfrm>
          <a:off x="61917" y="1966913"/>
          <a:ext cx="22348931" cy="1137600"/>
          <a:chOff x="61917" y="1966913"/>
          <a:chExt cx="23510981" cy="1137600"/>
        </a:xfrm>
      </xdr:grpSpPr>
      <xdr:sp macro="" textlink="'Feuille Saisie'!E2">
        <xdr:nvSpPr>
          <xdr:cNvPr id="39" name="ZoneTexte 38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37" name="ZoneTexte 36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3411534</xdr:colOff>
      <xdr:row>28</xdr:row>
      <xdr:rowOff>50802</xdr:rowOff>
    </xdr:from>
    <xdr:to>
      <xdr:col>2</xdr:col>
      <xdr:colOff>3663534</xdr:colOff>
      <xdr:row>28</xdr:row>
      <xdr:rowOff>302802</xdr:rowOff>
    </xdr:to>
    <xdr:sp macro="" textlink="$Z29">
      <xdr:nvSpPr>
        <xdr:cNvPr id="49" name="ZoneTexte 48"/>
        <xdr:cNvSpPr txBox="1">
          <a:spLocks/>
        </xdr:cNvSpPr>
      </xdr:nvSpPr>
      <xdr:spPr>
        <a:xfrm>
          <a:off x="3522659" y="524986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9A3908-5908-46F3-89F1-A701F183CF7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29</xdr:row>
      <xdr:rowOff>49212</xdr:rowOff>
    </xdr:from>
    <xdr:to>
      <xdr:col>2</xdr:col>
      <xdr:colOff>3663536</xdr:colOff>
      <xdr:row>29</xdr:row>
      <xdr:rowOff>301212</xdr:rowOff>
    </xdr:to>
    <xdr:sp macro="" textlink="$Z30">
      <xdr:nvSpPr>
        <xdr:cNvPr id="54" name="ZoneTexte 53"/>
        <xdr:cNvSpPr txBox="1">
          <a:spLocks/>
        </xdr:cNvSpPr>
      </xdr:nvSpPr>
      <xdr:spPr>
        <a:xfrm>
          <a:off x="3522661" y="587533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0D15C1-CDBA-49CE-8F76-7EF973B9C9E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30</xdr:row>
      <xdr:rowOff>49212</xdr:rowOff>
    </xdr:from>
    <xdr:to>
      <xdr:col>2</xdr:col>
      <xdr:colOff>3663536</xdr:colOff>
      <xdr:row>30</xdr:row>
      <xdr:rowOff>301212</xdr:rowOff>
    </xdr:to>
    <xdr:sp macro="" textlink="$Z31">
      <xdr:nvSpPr>
        <xdr:cNvPr id="55" name="ZoneTexte 54"/>
        <xdr:cNvSpPr txBox="1">
          <a:spLocks/>
        </xdr:cNvSpPr>
      </xdr:nvSpPr>
      <xdr:spPr>
        <a:xfrm>
          <a:off x="3522661" y="65024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F09E30-E0F1-45C7-B668-49B785D67FE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31</xdr:row>
      <xdr:rowOff>49212</xdr:rowOff>
    </xdr:from>
    <xdr:to>
      <xdr:col>2</xdr:col>
      <xdr:colOff>3663537</xdr:colOff>
      <xdr:row>31</xdr:row>
      <xdr:rowOff>301212</xdr:rowOff>
    </xdr:to>
    <xdr:sp macro="" textlink="$Z32">
      <xdr:nvSpPr>
        <xdr:cNvPr id="61" name="ZoneTexte 60"/>
        <xdr:cNvSpPr txBox="1">
          <a:spLocks/>
        </xdr:cNvSpPr>
      </xdr:nvSpPr>
      <xdr:spPr>
        <a:xfrm>
          <a:off x="3522662" y="7129462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14A7E86-B1E0-4EA4-8600-7C5DD9CF6F0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3411537</xdr:colOff>
      <xdr:row>32</xdr:row>
      <xdr:rowOff>49212</xdr:rowOff>
    </xdr:from>
    <xdr:to>
      <xdr:col>2</xdr:col>
      <xdr:colOff>3663537</xdr:colOff>
      <xdr:row>32</xdr:row>
      <xdr:rowOff>301212</xdr:rowOff>
    </xdr:to>
    <xdr:sp macro="" textlink="$Z33">
      <xdr:nvSpPr>
        <xdr:cNvPr id="62" name="ZoneTexte 61"/>
        <xdr:cNvSpPr txBox="1">
          <a:spLocks/>
        </xdr:cNvSpPr>
      </xdr:nvSpPr>
      <xdr:spPr>
        <a:xfrm>
          <a:off x="3522662" y="775652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ACFECE-AF04-4EEC-BC98-A6DDE0D76B0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33</xdr:row>
      <xdr:rowOff>49213</xdr:rowOff>
    </xdr:from>
    <xdr:to>
      <xdr:col>2</xdr:col>
      <xdr:colOff>3663535</xdr:colOff>
      <xdr:row>33</xdr:row>
      <xdr:rowOff>301213</xdr:rowOff>
    </xdr:to>
    <xdr:sp macro="" textlink="$Z34">
      <xdr:nvSpPr>
        <xdr:cNvPr id="63" name="ZoneTexte 62"/>
        <xdr:cNvSpPr txBox="1">
          <a:spLocks/>
        </xdr:cNvSpPr>
      </xdr:nvSpPr>
      <xdr:spPr>
        <a:xfrm>
          <a:off x="3522660" y="838358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25BB23A-52FA-4530-8A51-C97A6A6E5B7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34</xdr:row>
      <xdr:rowOff>49212</xdr:rowOff>
    </xdr:from>
    <xdr:to>
      <xdr:col>2</xdr:col>
      <xdr:colOff>3663537</xdr:colOff>
      <xdr:row>34</xdr:row>
      <xdr:rowOff>301212</xdr:rowOff>
    </xdr:to>
    <xdr:sp macro="" textlink="$Z35">
      <xdr:nvSpPr>
        <xdr:cNvPr id="64" name="ZoneTexte 63"/>
        <xdr:cNvSpPr txBox="1">
          <a:spLocks/>
        </xdr:cNvSpPr>
      </xdr:nvSpPr>
      <xdr:spPr>
        <a:xfrm>
          <a:off x="3522662" y="90106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28DEE3-4C59-4826-A719-FB0E3EEE833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35</xdr:row>
      <xdr:rowOff>49212</xdr:rowOff>
    </xdr:from>
    <xdr:to>
      <xdr:col>2</xdr:col>
      <xdr:colOff>3663537</xdr:colOff>
      <xdr:row>35</xdr:row>
      <xdr:rowOff>301212</xdr:rowOff>
    </xdr:to>
    <xdr:sp macro="" textlink="$Z36">
      <xdr:nvSpPr>
        <xdr:cNvPr id="65" name="ZoneTexte 64"/>
        <xdr:cNvSpPr txBox="1">
          <a:spLocks/>
        </xdr:cNvSpPr>
      </xdr:nvSpPr>
      <xdr:spPr>
        <a:xfrm>
          <a:off x="3522662" y="963771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E9D09C7-616D-4FB9-8171-B70B6E3ACB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36</xdr:row>
      <xdr:rowOff>49212</xdr:rowOff>
    </xdr:from>
    <xdr:to>
      <xdr:col>2</xdr:col>
      <xdr:colOff>3663537</xdr:colOff>
      <xdr:row>36</xdr:row>
      <xdr:rowOff>301212</xdr:rowOff>
    </xdr:to>
    <xdr:sp macro="" textlink="$Z37">
      <xdr:nvSpPr>
        <xdr:cNvPr id="66" name="ZoneTexte 65"/>
        <xdr:cNvSpPr txBox="1">
          <a:spLocks/>
        </xdr:cNvSpPr>
      </xdr:nvSpPr>
      <xdr:spPr>
        <a:xfrm>
          <a:off x="3522662" y="102647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DAAF6A-5545-40C5-AF29-A4F3F1899F9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37</xdr:row>
      <xdr:rowOff>49212</xdr:rowOff>
    </xdr:from>
    <xdr:to>
      <xdr:col>2</xdr:col>
      <xdr:colOff>3663537</xdr:colOff>
      <xdr:row>37</xdr:row>
      <xdr:rowOff>301212</xdr:rowOff>
    </xdr:to>
    <xdr:sp macro="" textlink="$Z38">
      <xdr:nvSpPr>
        <xdr:cNvPr id="67" name="ZoneTexte 66"/>
        <xdr:cNvSpPr txBox="1">
          <a:spLocks/>
        </xdr:cNvSpPr>
      </xdr:nvSpPr>
      <xdr:spPr>
        <a:xfrm>
          <a:off x="3522662" y="1089183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0E53628-4692-4D9B-BA36-835D13D3C4A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38</xdr:row>
      <xdr:rowOff>49212</xdr:rowOff>
    </xdr:from>
    <xdr:to>
      <xdr:col>2</xdr:col>
      <xdr:colOff>3663537</xdr:colOff>
      <xdr:row>38</xdr:row>
      <xdr:rowOff>301212</xdr:rowOff>
    </xdr:to>
    <xdr:sp macro="" textlink="$Z39">
      <xdr:nvSpPr>
        <xdr:cNvPr id="68" name="ZoneTexte 67"/>
        <xdr:cNvSpPr txBox="1">
          <a:spLocks/>
        </xdr:cNvSpPr>
      </xdr:nvSpPr>
      <xdr:spPr>
        <a:xfrm>
          <a:off x="3522662" y="115189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20353F-1391-47FF-A5AB-97DBB05DD02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39</xdr:row>
      <xdr:rowOff>49212</xdr:rowOff>
    </xdr:from>
    <xdr:to>
      <xdr:col>2</xdr:col>
      <xdr:colOff>3663536</xdr:colOff>
      <xdr:row>39</xdr:row>
      <xdr:rowOff>301212</xdr:rowOff>
    </xdr:to>
    <xdr:sp macro="" textlink="$Z40">
      <xdr:nvSpPr>
        <xdr:cNvPr id="69" name="ZoneTexte 68"/>
        <xdr:cNvSpPr txBox="1">
          <a:spLocks/>
        </xdr:cNvSpPr>
      </xdr:nvSpPr>
      <xdr:spPr>
        <a:xfrm>
          <a:off x="3522661" y="121459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7F8902B-7A4B-4873-AA9D-C75AEE5A376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40</xdr:row>
      <xdr:rowOff>49212</xdr:rowOff>
    </xdr:from>
    <xdr:to>
      <xdr:col>2</xdr:col>
      <xdr:colOff>3663537</xdr:colOff>
      <xdr:row>40</xdr:row>
      <xdr:rowOff>301212</xdr:rowOff>
    </xdr:to>
    <xdr:sp macro="" textlink="$Z41">
      <xdr:nvSpPr>
        <xdr:cNvPr id="70" name="ZoneTexte 69"/>
        <xdr:cNvSpPr txBox="1">
          <a:spLocks/>
        </xdr:cNvSpPr>
      </xdr:nvSpPr>
      <xdr:spPr>
        <a:xfrm>
          <a:off x="3522662" y="1277302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5E97F2B-C69F-4A09-B106-2D0DAC2310B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41</xdr:row>
      <xdr:rowOff>49212</xdr:rowOff>
    </xdr:from>
    <xdr:to>
      <xdr:col>2</xdr:col>
      <xdr:colOff>3663537</xdr:colOff>
      <xdr:row>41</xdr:row>
      <xdr:rowOff>301212</xdr:rowOff>
    </xdr:to>
    <xdr:sp macro="" textlink="$Z42">
      <xdr:nvSpPr>
        <xdr:cNvPr id="71" name="ZoneTexte 70"/>
        <xdr:cNvSpPr txBox="1">
          <a:spLocks/>
        </xdr:cNvSpPr>
      </xdr:nvSpPr>
      <xdr:spPr>
        <a:xfrm>
          <a:off x="3522662" y="1340008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85B4754-BC2B-41AE-B64F-CF6C02C662F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42</xdr:row>
      <xdr:rowOff>49212</xdr:rowOff>
    </xdr:from>
    <xdr:to>
      <xdr:col>2</xdr:col>
      <xdr:colOff>3663537</xdr:colOff>
      <xdr:row>42</xdr:row>
      <xdr:rowOff>301212</xdr:rowOff>
    </xdr:to>
    <xdr:sp macro="" textlink="$Z43">
      <xdr:nvSpPr>
        <xdr:cNvPr id="72" name="ZoneTexte 71"/>
        <xdr:cNvSpPr txBox="1">
          <a:spLocks/>
        </xdr:cNvSpPr>
      </xdr:nvSpPr>
      <xdr:spPr>
        <a:xfrm>
          <a:off x="3522662" y="140271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0CE229B-51B5-4841-8E26-E758FBA7BBC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85725</xdr:colOff>
      <xdr:row>45</xdr:row>
      <xdr:rowOff>13</xdr:rowOff>
    </xdr:from>
    <xdr:to>
      <xdr:col>15</xdr:col>
      <xdr:colOff>6949631</xdr:colOff>
      <xdr:row>49</xdr:row>
      <xdr:rowOff>30013</xdr:rowOff>
    </xdr:to>
    <xdr:grpSp>
      <xdr:nvGrpSpPr>
        <xdr:cNvPr id="11" name="Groupe 10"/>
        <xdr:cNvGrpSpPr/>
      </xdr:nvGrpSpPr>
      <xdr:grpSpPr>
        <a:xfrm>
          <a:off x="200025" y="15449563"/>
          <a:ext cx="20122706" cy="792000"/>
          <a:chOff x="200025" y="15449563"/>
          <a:chExt cx="22122956" cy="792000"/>
        </a:xfrm>
      </xdr:grpSpPr>
      <xdr:grpSp>
        <xdr:nvGrpSpPr>
          <xdr:cNvPr id="10" name="Groupe 9"/>
          <xdr:cNvGrpSpPr/>
        </xdr:nvGrpSpPr>
        <xdr:grpSpPr>
          <a:xfrm>
            <a:off x="12363450" y="15449563"/>
            <a:ext cx="9959531" cy="792000"/>
            <a:chOff x="12334875" y="15449563"/>
            <a:chExt cx="9959531" cy="792000"/>
          </a:xfrm>
        </xdr:grpSpPr>
        <xdr:sp macro="" textlink="">
          <xdr:nvSpPr>
            <xdr:cNvPr id="26" name="Rectangle 25"/>
            <xdr:cNvSpPr/>
          </xdr:nvSpPr>
          <xdr:spPr>
            <a:xfrm>
              <a:off x="12334875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8" name="Rectangle 27"/>
            <xdr:cNvSpPr/>
          </xdr:nvSpPr>
          <xdr:spPr>
            <a:xfrm>
              <a:off x="17070492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2" name="Rectangle 31"/>
            <xdr:cNvSpPr/>
          </xdr:nvSpPr>
          <xdr:spPr>
            <a:xfrm>
              <a:off x="21718406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3" name="ZoneTexte 22"/>
            <xdr:cNvSpPr txBox="1"/>
          </xdr:nvSpPr>
          <xdr:spPr>
            <a:xfrm>
              <a:off x="17646295" y="15449563"/>
              <a:ext cx="406561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24" name="ZoneTexte 23"/>
            <xdr:cNvSpPr txBox="1"/>
          </xdr:nvSpPr>
          <xdr:spPr>
            <a:xfrm>
              <a:off x="12916634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</xdr:grpSp>
      <xdr:grpSp>
        <xdr:nvGrpSpPr>
          <xdr:cNvPr id="7" name="Groupe 6"/>
          <xdr:cNvGrpSpPr/>
        </xdr:nvGrpSpPr>
        <xdr:grpSpPr>
          <a:xfrm>
            <a:off x="200025" y="15478125"/>
            <a:ext cx="6606753" cy="735340"/>
            <a:chOff x="200025" y="15468600"/>
            <a:chExt cx="6606753" cy="735340"/>
          </a:xfrm>
        </xdr:grpSpPr>
        <xdr:grpSp>
          <xdr:nvGrpSpPr>
            <xdr:cNvPr id="27" name="Groupe 26"/>
            <xdr:cNvGrpSpPr/>
          </xdr:nvGrpSpPr>
          <xdr:grpSpPr>
            <a:xfrm>
              <a:off x="200025" y="15468600"/>
              <a:ext cx="3677448" cy="288000"/>
              <a:chOff x="200025" y="15973425"/>
              <a:chExt cx="3780000" cy="288000"/>
            </a:xfrm>
          </xdr:grpSpPr>
          <xdr:sp macro="" textlink="">
            <xdr:nvSpPr>
              <xdr:cNvPr id="34" name="ZoneTexte 33"/>
              <xdr:cNvSpPr txBox="1"/>
            </xdr:nvSpPr>
            <xdr:spPr>
              <a:xfrm>
                <a:off x="200025" y="15973425"/>
                <a:ext cx="3780000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Informations</a:t>
                </a:r>
                <a:r>
                  <a:rPr lang="fr-FR" sz="1000" baseline="0">
                    <a:latin typeface="+mn-lt"/>
                  </a:rPr>
                  <a:t> transmises par le référent QE / référent PA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35" name="Rectangle 34"/>
              <xdr:cNvSpPr/>
            </xdr:nvSpPr>
            <xdr:spPr>
              <a:xfrm>
                <a:off x="200026" y="16021051"/>
                <a:ext cx="540000" cy="180000"/>
              </a:xfrm>
              <a:prstGeom prst="rect">
                <a:avLst/>
              </a:prstGeom>
              <a:solidFill>
                <a:schemeClr val="accent6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29" name="Groupe 28"/>
            <xdr:cNvGrpSpPr/>
          </xdr:nvGrpSpPr>
          <xdr:grpSpPr>
            <a:xfrm>
              <a:off x="4034778" y="15468600"/>
              <a:ext cx="2772000" cy="288000"/>
              <a:chOff x="8486773" y="15973424"/>
              <a:chExt cx="3248866" cy="288000"/>
            </a:xfrm>
          </xdr:grpSpPr>
          <xdr:sp macro="" textlink="">
            <xdr:nvSpPr>
              <xdr:cNvPr id="30" name="ZoneTexte 29"/>
              <xdr:cNvSpPr txBox="1"/>
            </xdr:nvSpPr>
            <xdr:spPr>
              <a:xfrm>
                <a:off x="8486773" y="15973424"/>
                <a:ext cx="3248866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Indicateurs</a:t>
                </a:r>
                <a:r>
                  <a:rPr lang="fr-FR" sz="1000" baseline="0">
                    <a:latin typeface="+mn-lt"/>
                  </a:rPr>
                  <a:t> calculés automatiquement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31" name="Rectangle 30"/>
              <xdr:cNvSpPr/>
            </xdr:nvSpPr>
            <xdr:spPr>
              <a:xfrm>
                <a:off x="8486775" y="16021050"/>
                <a:ext cx="540000" cy="1800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5" name="Groupe 4"/>
            <xdr:cNvGrpSpPr/>
          </xdr:nvGrpSpPr>
          <xdr:grpSpPr>
            <a:xfrm>
              <a:off x="200025" y="15916275"/>
              <a:ext cx="1656005" cy="287665"/>
              <a:chOff x="238125" y="16354425"/>
              <a:chExt cx="1656005" cy="287665"/>
            </a:xfrm>
          </xdr:grpSpPr>
          <xdr:sp macro="" textlink="">
            <xdr:nvSpPr>
              <xdr:cNvPr id="46" name="ZoneTexte 45"/>
              <xdr:cNvSpPr txBox="1"/>
            </xdr:nvSpPr>
            <xdr:spPr>
              <a:xfrm>
                <a:off x="238130" y="16354425"/>
                <a:ext cx="1656000" cy="2876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000" rIns="90000" rtlCol="0" anchor="ctr"/>
              <a:lstStyle/>
              <a:p>
                <a:pPr algn="l"/>
                <a:r>
                  <a:rPr lang="fr-FR" sz="1000">
                    <a:latin typeface="+mn-lt"/>
                  </a:rPr>
                  <a:t>          REX</a:t>
                </a:r>
                <a:r>
                  <a:rPr lang="fr-FR" sz="1000" baseline="0">
                    <a:latin typeface="+mn-lt"/>
                  </a:rPr>
                  <a:t> Fin de GPA réalisé</a:t>
                </a:r>
                <a:endParaRPr lang="fr-FR" sz="1000">
                  <a:latin typeface="+mn-lt"/>
                </a:endParaRPr>
              </a:p>
            </xdr:txBody>
          </xdr:sp>
          <xdr:pic>
            <xdr:nvPicPr>
              <xdr:cNvPr id="4" name="Image 3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238125" y="16363950"/>
                <a:ext cx="238095" cy="266667"/>
              </a:xfrm>
              <a:prstGeom prst="rect">
                <a:avLst/>
              </a:prstGeom>
            </xdr:spPr>
          </xdr:pic>
        </xdr:grp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 HR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34893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3411537</xdr:colOff>
      <xdr:row>28</xdr:row>
      <xdr:rowOff>49213</xdr:rowOff>
    </xdr:from>
    <xdr:to>
      <xdr:col>2</xdr:col>
      <xdr:colOff>3663537</xdr:colOff>
      <xdr:row>28</xdr:row>
      <xdr:rowOff>301213</xdr:rowOff>
    </xdr:to>
    <xdr:sp macro="" textlink="$Z29">
      <xdr:nvSpPr>
        <xdr:cNvPr id="35" name="ZoneTexte 34"/>
        <xdr:cNvSpPr txBox="1">
          <a:spLocks/>
        </xdr:cNvSpPr>
      </xdr:nvSpPr>
      <xdr:spPr>
        <a:xfrm>
          <a:off x="3522662" y="524827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9A3908-5908-46F3-89F1-A701F183CF7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29</xdr:row>
      <xdr:rowOff>44738</xdr:rowOff>
    </xdr:from>
    <xdr:to>
      <xdr:col>2</xdr:col>
      <xdr:colOff>3663537</xdr:colOff>
      <xdr:row>29</xdr:row>
      <xdr:rowOff>296738</xdr:rowOff>
    </xdr:to>
    <xdr:sp macro="" textlink="$Z30">
      <xdr:nvSpPr>
        <xdr:cNvPr id="36" name="ZoneTexte 35"/>
        <xdr:cNvSpPr txBox="1">
          <a:spLocks/>
        </xdr:cNvSpPr>
      </xdr:nvSpPr>
      <xdr:spPr>
        <a:xfrm>
          <a:off x="3522662" y="587086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0D15C1-CDBA-49CE-8F76-7EF973B9C9E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30</xdr:row>
      <xdr:rowOff>46615</xdr:rowOff>
    </xdr:from>
    <xdr:to>
      <xdr:col>2</xdr:col>
      <xdr:colOff>3663537</xdr:colOff>
      <xdr:row>30</xdr:row>
      <xdr:rowOff>298615</xdr:rowOff>
    </xdr:to>
    <xdr:sp macro="" textlink="$Z31">
      <xdr:nvSpPr>
        <xdr:cNvPr id="37" name="ZoneTexte 36"/>
        <xdr:cNvSpPr txBox="1">
          <a:spLocks/>
        </xdr:cNvSpPr>
      </xdr:nvSpPr>
      <xdr:spPr>
        <a:xfrm>
          <a:off x="3522662" y="649980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F09E30-E0F1-45C7-B668-49B785D67FE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31</xdr:row>
      <xdr:rowOff>50080</xdr:rowOff>
    </xdr:from>
    <xdr:to>
      <xdr:col>2</xdr:col>
      <xdr:colOff>3663535</xdr:colOff>
      <xdr:row>31</xdr:row>
      <xdr:rowOff>302080</xdr:rowOff>
    </xdr:to>
    <xdr:sp macro="" textlink="$Z32">
      <xdr:nvSpPr>
        <xdr:cNvPr id="38" name="ZoneTexte 37"/>
        <xdr:cNvSpPr txBox="1">
          <a:spLocks/>
        </xdr:cNvSpPr>
      </xdr:nvSpPr>
      <xdr:spPr>
        <a:xfrm>
          <a:off x="3522660" y="7130330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14A7E86-B1E0-4EA4-8600-7C5DD9CF6F0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3411537</xdr:colOff>
      <xdr:row>32</xdr:row>
      <xdr:rowOff>45604</xdr:rowOff>
    </xdr:from>
    <xdr:to>
      <xdr:col>2</xdr:col>
      <xdr:colOff>3663537</xdr:colOff>
      <xdr:row>32</xdr:row>
      <xdr:rowOff>297604</xdr:rowOff>
    </xdr:to>
    <xdr:sp macro="" textlink="$Z33">
      <xdr:nvSpPr>
        <xdr:cNvPr id="39" name="ZoneTexte 38"/>
        <xdr:cNvSpPr txBox="1">
          <a:spLocks/>
        </xdr:cNvSpPr>
      </xdr:nvSpPr>
      <xdr:spPr>
        <a:xfrm>
          <a:off x="3522662" y="775291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ACFECE-AF04-4EEC-BC98-A6DDE0D76B0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33</xdr:row>
      <xdr:rowOff>47481</xdr:rowOff>
    </xdr:from>
    <xdr:to>
      <xdr:col>2</xdr:col>
      <xdr:colOff>3663537</xdr:colOff>
      <xdr:row>33</xdr:row>
      <xdr:rowOff>299481</xdr:rowOff>
    </xdr:to>
    <xdr:sp macro="" textlink="$Z34">
      <xdr:nvSpPr>
        <xdr:cNvPr id="40" name="ZoneTexte 39"/>
        <xdr:cNvSpPr txBox="1">
          <a:spLocks/>
        </xdr:cNvSpPr>
      </xdr:nvSpPr>
      <xdr:spPr>
        <a:xfrm>
          <a:off x="3522662" y="838185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25BB23A-52FA-4530-8A51-C97A6A6E5B7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34</xdr:row>
      <xdr:rowOff>50944</xdr:rowOff>
    </xdr:from>
    <xdr:to>
      <xdr:col>2</xdr:col>
      <xdr:colOff>3663537</xdr:colOff>
      <xdr:row>34</xdr:row>
      <xdr:rowOff>302944</xdr:rowOff>
    </xdr:to>
    <xdr:sp macro="" textlink="$Z35">
      <xdr:nvSpPr>
        <xdr:cNvPr id="41" name="ZoneTexte 40"/>
        <xdr:cNvSpPr txBox="1">
          <a:spLocks/>
        </xdr:cNvSpPr>
      </xdr:nvSpPr>
      <xdr:spPr>
        <a:xfrm>
          <a:off x="3522662" y="90123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28DEE3-4C59-4826-A719-FB0E3EEE833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35</xdr:row>
      <xdr:rowOff>44883</xdr:rowOff>
    </xdr:from>
    <xdr:to>
      <xdr:col>2</xdr:col>
      <xdr:colOff>3663537</xdr:colOff>
      <xdr:row>35</xdr:row>
      <xdr:rowOff>296883</xdr:rowOff>
    </xdr:to>
    <xdr:sp macro="" textlink="$Z36">
      <xdr:nvSpPr>
        <xdr:cNvPr id="42" name="ZoneTexte 41"/>
        <xdr:cNvSpPr txBox="1">
          <a:spLocks/>
        </xdr:cNvSpPr>
      </xdr:nvSpPr>
      <xdr:spPr>
        <a:xfrm>
          <a:off x="3522662" y="963338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E9D09C7-616D-4FB9-8171-B70B6E3ACB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36</xdr:row>
      <xdr:rowOff>48347</xdr:rowOff>
    </xdr:from>
    <xdr:to>
      <xdr:col>2</xdr:col>
      <xdr:colOff>3663535</xdr:colOff>
      <xdr:row>36</xdr:row>
      <xdr:rowOff>300347</xdr:rowOff>
    </xdr:to>
    <xdr:sp macro="" textlink="$Z37">
      <xdr:nvSpPr>
        <xdr:cNvPr id="43" name="ZoneTexte 42"/>
        <xdr:cNvSpPr txBox="1">
          <a:spLocks/>
        </xdr:cNvSpPr>
      </xdr:nvSpPr>
      <xdr:spPr>
        <a:xfrm>
          <a:off x="3522660" y="1026391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DAAF6A-5545-40C5-AF29-A4F3F1899F9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3411534</xdr:colOff>
      <xdr:row>37</xdr:row>
      <xdr:rowOff>43872</xdr:rowOff>
    </xdr:from>
    <xdr:to>
      <xdr:col>2</xdr:col>
      <xdr:colOff>3663534</xdr:colOff>
      <xdr:row>37</xdr:row>
      <xdr:rowOff>295872</xdr:rowOff>
    </xdr:to>
    <xdr:sp macro="" textlink="$Z38">
      <xdr:nvSpPr>
        <xdr:cNvPr id="44" name="ZoneTexte 43"/>
        <xdr:cNvSpPr txBox="1">
          <a:spLocks/>
        </xdr:cNvSpPr>
      </xdr:nvSpPr>
      <xdr:spPr>
        <a:xfrm>
          <a:off x="3522659" y="1088649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0E53628-4692-4D9B-BA36-835D13D3C4A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38</xdr:row>
      <xdr:rowOff>45749</xdr:rowOff>
    </xdr:from>
    <xdr:to>
      <xdr:col>2</xdr:col>
      <xdr:colOff>3663536</xdr:colOff>
      <xdr:row>38</xdr:row>
      <xdr:rowOff>297749</xdr:rowOff>
    </xdr:to>
    <xdr:sp macro="" textlink="$Z39">
      <xdr:nvSpPr>
        <xdr:cNvPr id="45" name="ZoneTexte 44"/>
        <xdr:cNvSpPr txBox="1">
          <a:spLocks/>
        </xdr:cNvSpPr>
      </xdr:nvSpPr>
      <xdr:spPr>
        <a:xfrm>
          <a:off x="3522661" y="1151543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20353F-1391-47FF-A5AB-97DBB05DD02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39</xdr:row>
      <xdr:rowOff>49213</xdr:rowOff>
    </xdr:from>
    <xdr:to>
      <xdr:col>2</xdr:col>
      <xdr:colOff>3663537</xdr:colOff>
      <xdr:row>39</xdr:row>
      <xdr:rowOff>301213</xdr:rowOff>
    </xdr:to>
    <xdr:sp macro="" textlink="$Z40">
      <xdr:nvSpPr>
        <xdr:cNvPr id="46" name="ZoneTexte 45"/>
        <xdr:cNvSpPr txBox="1">
          <a:spLocks/>
        </xdr:cNvSpPr>
      </xdr:nvSpPr>
      <xdr:spPr>
        <a:xfrm>
          <a:off x="3522662" y="1214596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7F8902B-7A4B-4873-AA9D-C75AEE5A376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40</xdr:row>
      <xdr:rowOff>44738</xdr:rowOff>
    </xdr:from>
    <xdr:to>
      <xdr:col>2</xdr:col>
      <xdr:colOff>3663536</xdr:colOff>
      <xdr:row>40</xdr:row>
      <xdr:rowOff>296738</xdr:rowOff>
    </xdr:to>
    <xdr:sp macro="" textlink="$Z41">
      <xdr:nvSpPr>
        <xdr:cNvPr id="47" name="ZoneTexte 46"/>
        <xdr:cNvSpPr txBox="1">
          <a:spLocks/>
        </xdr:cNvSpPr>
      </xdr:nvSpPr>
      <xdr:spPr>
        <a:xfrm>
          <a:off x="3522661" y="1276855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5E97F2B-C69F-4A09-B106-2D0DAC2310B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41</xdr:row>
      <xdr:rowOff>46615</xdr:rowOff>
    </xdr:from>
    <xdr:to>
      <xdr:col>2</xdr:col>
      <xdr:colOff>3663537</xdr:colOff>
      <xdr:row>41</xdr:row>
      <xdr:rowOff>298615</xdr:rowOff>
    </xdr:to>
    <xdr:sp macro="" textlink="$Z42">
      <xdr:nvSpPr>
        <xdr:cNvPr id="48" name="ZoneTexte 47"/>
        <xdr:cNvSpPr txBox="1">
          <a:spLocks/>
        </xdr:cNvSpPr>
      </xdr:nvSpPr>
      <xdr:spPr>
        <a:xfrm>
          <a:off x="3522662" y="1339749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85B4754-BC2B-41AE-B64F-CF6C02C662F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42</xdr:row>
      <xdr:rowOff>50079</xdr:rowOff>
    </xdr:from>
    <xdr:to>
      <xdr:col>2</xdr:col>
      <xdr:colOff>3663537</xdr:colOff>
      <xdr:row>42</xdr:row>
      <xdr:rowOff>302079</xdr:rowOff>
    </xdr:to>
    <xdr:sp macro="" textlink="$Z43">
      <xdr:nvSpPr>
        <xdr:cNvPr id="49" name="ZoneTexte 48"/>
        <xdr:cNvSpPr txBox="1">
          <a:spLocks/>
        </xdr:cNvSpPr>
      </xdr:nvSpPr>
      <xdr:spPr>
        <a:xfrm>
          <a:off x="3522662" y="1402801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0CE229B-51B5-4841-8E26-E758FBA7BBC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85725</xdr:colOff>
      <xdr:row>45</xdr:row>
      <xdr:rowOff>0</xdr:rowOff>
    </xdr:from>
    <xdr:to>
      <xdr:col>15</xdr:col>
      <xdr:colOff>6949631</xdr:colOff>
      <xdr:row>49</xdr:row>
      <xdr:rowOff>30000</xdr:rowOff>
    </xdr:to>
    <xdr:grpSp>
      <xdr:nvGrpSpPr>
        <xdr:cNvPr id="75" name="Groupe 74"/>
        <xdr:cNvGrpSpPr/>
      </xdr:nvGrpSpPr>
      <xdr:grpSpPr>
        <a:xfrm>
          <a:off x="200025" y="15449550"/>
          <a:ext cx="22122956" cy="792000"/>
          <a:chOff x="200025" y="15449563"/>
          <a:chExt cx="22122956" cy="792000"/>
        </a:xfrm>
      </xdr:grpSpPr>
      <xdr:grpSp>
        <xdr:nvGrpSpPr>
          <xdr:cNvPr id="76" name="Groupe 75"/>
          <xdr:cNvGrpSpPr/>
        </xdr:nvGrpSpPr>
        <xdr:grpSpPr>
          <a:xfrm>
            <a:off x="12363450" y="15449563"/>
            <a:ext cx="9959531" cy="792000"/>
            <a:chOff x="12334875" y="15449563"/>
            <a:chExt cx="9959531" cy="792000"/>
          </a:xfrm>
        </xdr:grpSpPr>
        <xdr:sp macro="" textlink="">
          <xdr:nvSpPr>
            <xdr:cNvPr id="87" name="Rectangle 86"/>
            <xdr:cNvSpPr/>
          </xdr:nvSpPr>
          <xdr:spPr>
            <a:xfrm>
              <a:off x="12334875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8" name="Rectangle 87"/>
            <xdr:cNvSpPr/>
          </xdr:nvSpPr>
          <xdr:spPr>
            <a:xfrm>
              <a:off x="17070492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9" name="Rectangle 88"/>
            <xdr:cNvSpPr/>
          </xdr:nvSpPr>
          <xdr:spPr>
            <a:xfrm>
              <a:off x="21718406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90" name="ZoneTexte 89"/>
            <xdr:cNvSpPr txBox="1"/>
          </xdr:nvSpPr>
          <xdr:spPr>
            <a:xfrm>
              <a:off x="17646295" y="15449563"/>
              <a:ext cx="406561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91" name="ZoneTexte 90"/>
            <xdr:cNvSpPr txBox="1"/>
          </xdr:nvSpPr>
          <xdr:spPr>
            <a:xfrm>
              <a:off x="12916634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</xdr:grpSp>
      <xdr:grpSp>
        <xdr:nvGrpSpPr>
          <xdr:cNvPr id="77" name="Groupe 76"/>
          <xdr:cNvGrpSpPr/>
        </xdr:nvGrpSpPr>
        <xdr:grpSpPr>
          <a:xfrm>
            <a:off x="200025" y="15478125"/>
            <a:ext cx="6606753" cy="735340"/>
            <a:chOff x="200025" y="15468600"/>
            <a:chExt cx="6606753" cy="735340"/>
          </a:xfrm>
        </xdr:grpSpPr>
        <xdr:grpSp>
          <xdr:nvGrpSpPr>
            <xdr:cNvPr id="78" name="Groupe 77"/>
            <xdr:cNvGrpSpPr/>
          </xdr:nvGrpSpPr>
          <xdr:grpSpPr>
            <a:xfrm>
              <a:off x="200025" y="15468600"/>
              <a:ext cx="3677448" cy="288000"/>
              <a:chOff x="200025" y="15973425"/>
              <a:chExt cx="3780000" cy="288000"/>
            </a:xfrm>
          </xdr:grpSpPr>
          <xdr:sp macro="" textlink="">
            <xdr:nvSpPr>
              <xdr:cNvPr id="85" name="ZoneTexte 84"/>
              <xdr:cNvSpPr txBox="1"/>
            </xdr:nvSpPr>
            <xdr:spPr>
              <a:xfrm>
                <a:off x="200025" y="15973425"/>
                <a:ext cx="3780000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Informations</a:t>
                </a:r>
                <a:r>
                  <a:rPr lang="fr-FR" sz="1000" baseline="0">
                    <a:latin typeface="+mn-lt"/>
                  </a:rPr>
                  <a:t> transmises par le référent QE / référent PA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6" name="Rectangle 85"/>
              <xdr:cNvSpPr/>
            </xdr:nvSpPr>
            <xdr:spPr>
              <a:xfrm>
                <a:off x="200026" y="16021051"/>
                <a:ext cx="540000" cy="180000"/>
              </a:xfrm>
              <a:prstGeom prst="rect">
                <a:avLst/>
              </a:prstGeom>
              <a:solidFill>
                <a:schemeClr val="accent6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79" name="Groupe 78"/>
            <xdr:cNvGrpSpPr/>
          </xdr:nvGrpSpPr>
          <xdr:grpSpPr>
            <a:xfrm>
              <a:off x="4034778" y="15468600"/>
              <a:ext cx="2772000" cy="288000"/>
              <a:chOff x="8486773" y="15973424"/>
              <a:chExt cx="3248866" cy="288000"/>
            </a:xfrm>
          </xdr:grpSpPr>
          <xdr:sp macro="" textlink="">
            <xdr:nvSpPr>
              <xdr:cNvPr id="83" name="ZoneTexte 82"/>
              <xdr:cNvSpPr txBox="1"/>
            </xdr:nvSpPr>
            <xdr:spPr>
              <a:xfrm>
                <a:off x="8486773" y="15973424"/>
                <a:ext cx="3248866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Indicateurs</a:t>
                </a:r>
                <a:r>
                  <a:rPr lang="fr-FR" sz="1000" baseline="0">
                    <a:latin typeface="+mn-lt"/>
                  </a:rPr>
                  <a:t> calculés automatiquement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4" name="Rectangle 83"/>
              <xdr:cNvSpPr/>
            </xdr:nvSpPr>
            <xdr:spPr>
              <a:xfrm>
                <a:off x="8486775" y="16021050"/>
                <a:ext cx="540000" cy="1800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80" name="Groupe 79"/>
            <xdr:cNvGrpSpPr/>
          </xdr:nvGrpSpPr>
          <xdr:grpSpPr>
            <a:xfrm>
              <a:off x="200025" y="15916275"/>
              <a:ext cx="1656005" cy="287665"/>
              <a:chOff x="238125" y="16354425"/>
              <a:chExt cx="1656005" cy="287665"/>
            </a:xfrm>
          </xdr:grpSpPr>
          <xdr:sp macro="" textlink="">
            <xdr:nvSpPr>
              <xdr:cNvPr id="81" name="ZoneTexte 80"/>
              <xdr:cNvSpPr txBox="1"/>
            </xdr:nvSpPr>
            <xdr:spPr>
              <a:xfrm>
                <a:off x="238130" y="16354425"/>
                <a:ext cx="1656000" cy="2876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000" rIns="90000" rtlCol="0" anchor="ctr"/>
              <a:lstStyle/>
              <a:p>
                <a:pPr algn="l"/>
                <a:r>
                  <a:rPr lang="fr-FR" sz="1000">
                    <a:latin typeface="+mn-lt"/>
                  </a:rPr>
                  <a:t>          REX</a:t>
                </a:r>
                <a:r>
                  <a:rPr lang="fr-FR" sz="1000" baseline="0">
                    <a:latin typeface="+mn-lt"/>
                  </a:rPr>
                  <a:t> Fin de GPA réalisé</a:t>
                </a:r>
                <a:endParaRPr lang="fr-FR" sz="1000">
                  <a:latin typeface="+mn-lt"/>
                </a:endParaRPr>
              </a:p>
            </xdr:txBody>
          </xdr:sp>
          <xdr:pic>
            <xdr:nvPicPr>
              <xdr:cNvPr id="82" name="Image 81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238125" y="16363950"/>
                <a:ext cx="238095" cy="266667"/>
              </a:xfrm>
              <a:prstGeom prst="rect">
                <a:avLst/>
              </a:prstGeom>
            </xdr:spPr>
          </xdr:pic>
        </xdr:grp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 OF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34893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3411536</xdr:colOff>
      <xdr:row>28</xdr:row>
      <xdr:rowOff>49212</xdr:rowOff>
    </xdr:from>
    <xdr:to>
      <xdr:col>2</xdr:col>
      <xdr:colOff>3663536</xdr:colOff>
      <xdr:row>28</xdr:row>
      <xdr:rowOff>301212</xdr:rowOff>
    </xdr:to>
    <xdr:sp macro="" textlink="$Z29">
      <xdr:nvSpPr>
        <xdr:cNvPr id="35" name="ZoneTexte 34"/>
        <xdr:cNvSpPr txBox="1">
          <a:spLocks/>
        </xdr:cNvSpPr>
      </xdr:nvSpPr>
      <xdr:spPr>
        <a:xfrm>
          <a:off x="3522661" y="52482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9A3908-5908-46F3-89F1-A701F183CF7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29</xdr:row>
      <xdr:rowOff>44737</xdr:rowOff>
    </xdr:from>
    <xdr:to>
      <xdr:col>2</xdr:col>
      <xdr:colOff>3663537</xdr:colOff>
      <xdr:row>29</xdr:row>
      <xdr:rowOff>296737</xdr:rowOff>
    </xdr:to>
    <xdr:sp macro="" textlink="$Z30">
      <xdr:nvSpPr>
        <xdr:cNvPr id="36" name="ZoneTexte 35"/>
        <xdr:cNvSpPr txBox="1">
          <a:spLocks/>
        </xdr:cNvSpPr>
      </xdr:nvSpPr>
      <xdr:spPr>
        <a:xfrm>
          <a:off x="3522662" y="58708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0D15C1-CDBA-49CE-8F76-7EF973B9C9E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30</xdr:row>
      <xdr:rowOff>46614</xdr:rowOff>
    </xdr:from>
    <xdr:to>
      <xdr:col>2</xdr:col>
      <xdr:colOff>3663537</xdr:colOff>
      <xdr:row>30</xdr:row>
      <xdr:rowOff>298614</xdr:rowOff>
    </xdr:to>
    <xdr:sp macro="" textlink="$Z31">
      <xdr:nvSpPr>
        <xdr:cNvPr id="37" name="ZoneTexte 36"/>
        <xdr:cNvSpPr txBox="1">
          <a:spLocks/>
        </xdr:cNvSpPr>
      </xdr:nvSpPr>
      <xdr:spPr>
        <a:xfrm>
          <a:off x="3522662" y="64998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F09E30-E0F1-45C7-B668-49B785D67FE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31</xdr:row>
      <xdr:rowOff>50078</xdr:rowOff>
    </xdr:from>
    <xdr:to>
      <xdr:col>2</xdr:col>
      <xdr:colOff>3663537</xdr:colOff>
      <xdr:row>31</xdr:row>
      <xdr:rowOff>302078</xdr:rowOff>
    </xdr:to>
    <xdr:sp macro="" textlink="$Z32">
      <xdr:nvSpPr>
        <xdr:cNvPr id="38" name="ZoneTexte 37"/>
        <xdr:cNvSpPr txBox="1">
          <a:spLocks/>
        </xdr:cNvSpPr>
      </xdr:nvSpPr>
      <xdr:spPr>
        <a:xfrm>
          <a:off x="3522662" y="7130328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14A7E86-B1E0-4EA4-8600-7C5DD9CF6F0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3411537</xdr:colOff>
      <xdr:row>32</xdr:row>
      <xdr:rowOff>45603</xdr:rowOff>
    </xdr:from>
    <xdr:to>
      <xdr:col>2</xdr:col>
      <xdr:colOff>3663537</xdr:colOff>
      <xdr:row>32</xdr:row>
      <xdr:rowOff>297603</xdr:rowOff>
    </xdr:to>
    <xdr:sp macro="" textlink="$Z33">
      <xdr:nvSpPr>
        <xdr:cNvPr id="39" name="ZoneTexte 38"/>
        <xdr:cNvSpPr txBox="1">
          <a:spLocks/>
        </xdr:cNvSpPr>
      </xdr:nvSpPr>
      <xdr:spPr>
        <a:xfrm>
          <a:off x="3522662" y="77529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ACFECE-AF04-4EEC-BC98-A6DDE0D76B0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33</xdr:row>
      <xdr:rowOff>47480</xdr:rowOff>
    </xdr:from>
    <xdr:to>
      <xdr:col>2</xdr:col>
      <xdr:colOff>3663535</xdr:colOff>
      <xdr:row>33</xdr:row>
      <xdr:rowOff>299480</xdr:rowOff>
    </xdr:to>
    <xdr:sp macro="" textlink="$Z34">
      <xdr:nvSpPr>
        <xdr:cNvPr id="40" name="ZoneTexte 39"/>
        <xdr:cNvSpPr txBox="1">
          <a:spLocks/>
        </xdr:cNvSpPr>
      </xdr:nvSpPr>
      <xdr:spPr>
        <a:xfrm>
          <a:off x="3522660" y="838185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25BB23A-52FA-4530-8A51-C97A6A6E5B7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34</xdr:row>
      <xdr:rowOff>50943</xdr:rowOff>
    </xdr:from>
    <xdr:to>
      <xdr:col>2</xdr:col>
      <xdr:colOff>3663537</xdr:colOff>
      <xdr:row>34</xdr:row>
      <xdr:rowOff>302943</xdr:rowOff>
    </xdr:to>
    <xdr:sp macro="" textlink="$Z35">
      <xdr:nvSpPr>
        <xdr:cNvPr id="41" name="ZoneTexte 40"/>
        <xdr:cNvSpPr txBox="1">
          <a:spLocks/>
        </xdr:cNvSpPr>
      </xdr:nvSpPr>
      <xdr:spPr>
        <a:xfrm>
          <a:off x="3522662" y="901238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28DEE3-4C59-4826-A719-FB0E3EEE833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35</xdr:row>
      <xdr:rowOff>44882</xdr:rowOff>
    </xdr:from>
    <xdr:to>
      <xdr:col>2</xdr:col>
      <xdr:colOff>3663537</xdr:colOff>
      <xdr:row>35</xdr:row>
      <xdr:rowOff>296882</xdr:rowOff>
    </xdr:to>
    <xdr:sp macro="" textlink="$Z36">
      <xdr:nvSpPr>
        <xdr:cNvPr id="42" name="ZoneTexte 41"/>
        <xdr:cNvSpPr txBox="1">
          <a:spLocks/>
        </xdr:cNvSpPr>
      </xdr:nvSpPr>
      <xdr:spPr>
        <a:xfrm>
          <a:off x="3522662" y="96333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E9D09C7-616D-4FB9-8171-B70B6E3ACB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36</xdr:row>
      <xdr:rowOff>48346</xdr:rowOff>
    </xdr:from>
    <xdr:to>
      <xdr:col>2</xdr:col>
      <xdr:colOff>3663537</xdr:colOff>
      <xdr:row>36</xdr:row>
      <xdr:rowOff>300346</xdr:rowOff>
    </xdr:to>
    <xdr:sp macro="" textlink="$Z37">
      <xdr:nvSpPr>
        <xdr:cNvPr id="43" name="ZoneTexte 42"/>
        <xdr:cNvSpPr txBox="1">
          <a:spLocks/>
        </xdr:cNvSpPr>
      </xdr:nvSpPr>
      <xdr:spPr>
        <a:xfrm>
          <a:off x="3522662" y="1026390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DAAF6A-5545-40C5-AF29-A4F3F1899F9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37</xdr:row>
      <xdr:rowOff>43871</xdr:rowOff>
    </xdr:from>
    <xdr:to>
      <xdr:col>2</xdr:col>
      <xdr:colOff>3663537</xdr:colOff>
      <xdr:row>37</xdr:row>
      <xdr:rowOff>295871</xdr:rowOff>
    </xdr:to>
    <xdr:sp macro="" textlink="$Z38">
      <xdr:nvSpPr>
        <xdr:cNvPr id="44" name="ZoneTexte 43"/>
        <xdr:cNvSpPr txBox="1">
          <a:spLocks/>
        </xdr:cNvSpPr>
      </xdr:nvSpPr>
      <xdr:spPr>
        <a:xfrm>
          <a:off x="3522662" y="1088649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0E53628-4692-4D9B-BA36-835D13D3C4A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38</xdr:row>
      <xdr:rowOff>45748</xdr:rowOff>
    </xdr:from>
    <xdr:to>
      <xdr:col>2</xdr:col>
      <xdr:colOff>3663537</xdr:colOff>
      <xdr:row>38</xdr:row>
      <xdr:rowOff>297748</xdr:rowOff>
    </xdr:to>
    <xdr:sp macro="" textlink="$Z39">
      <xdr:nvSpPr>
        <xdr:cNvPr id="45" name="ZoneTexte 44"/>
        <xdr:cNvSpPr txBox="1">
          <a:spLocks/>
        </xdr:cNvSpPr>
      </xdr:nvSpPr>
      <xdr:spPr>
        <a:xfrm>
          <a:off x="3522662" y="1151543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20353F-1391-47FF-A5AB-97DBB05DD02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39</xdr:row>
      <xdr:rowOff>49212</xdr:rowOff>
    </xdr:from>
    <xdr:to>
      <xdr:col>2</xdr:col>
      <xdr:colOff>3663537</xdr:colOff>
      <xdr:row>39</xdr:row>
      <xdr:rowOff>301212</xdr:rowOff>
    </xdr:to>
    <xdr:sp macro="" textlink="$Z40">
      <xdr:nvSpPr>
        <xdr:cNvPr id="46" name="ZoneTexte 45"/>
        <xdr:cNvSpPr txBox="1">
          <a:spLocks/>
        </xdr:cNvSpPr>
      </xdr:nvSpPr>
      <xdr:spPr>
        <a:xfrm>
          <a:off x="3522662" y="121459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7F8902B-7A4B-4873-AA9D-C75AEE5A376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40</xdr:row>
      <xdr:rowOff>44737</xdr:rowOff>
    </xdr:from>
    <xdr:to>
      <xdr:col>2</xdr:col>
      <xdr:colOff>3663537</xdr:colOff>
      <xdr:row>40</xdr:row>
      <xdr:rowOff>296737</xdr:rowOff>
    </xdr:to>
    <xdr:sp macro="" textlink="$Z41">
      <xdr:nvSpPr>
        <xdr:cNvPr id="47" name="ZoneTexte 46"/>
        <xdr:cNvSpPr txBox="1">
          <a:spLocks/>
        </xdr:cNvSpPr>
      </xdr:nvSpPr>
      <xdr:spPr>
        <a:xfrm>
          <a:off x="3522662" y="127685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5E97F2B-C69F-4A09-B106-2D0DAC2310B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41</xdr:row>
      <xdr:rowOff>46614</xdr:rowOff>
    </xdr:from>
    <xdr:to>
      <xdr:col>2</xdr:col>
      <xdr:colOff>3663537</xdr:colOff>
      <xdr:row>41</xdr:row>
      <xdr:rowOff>298614</xdr:rowOff>
    </xdr:to>
    <xdr:sp macro="" textlink="$Z42">
      <xdr:nvSpPr>
        <xdr:cNvPr id="48" name="ZoneTexte 47"/>
        <xdr:cNvSpPr txBox="1">
          <a:spLocks/>
        </xdr:cNvSpPr>
      </xdr:nvSpPr>
      <xdr:spPr>
        <a:xfrm>
          <a:off x="3522662" y="1339748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85B4754-BC2B-41AE-B64F-CF6C02C662F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42</xdr:row>
      <xdr:rowOff>50078</xdr:rowOff>
    </xdr:from>
    <xdr:to>
      <xdr:col>2</xdr:col>
      <xdr:colOff>3663537</xdr:colOff>
      <xdr:row>42</xdr:row>
      <xdr:rowOff>302078</xdr:rowOff>
    </xdr:to>
    <xdr:sp macro="" textlink="$Z43">
      <xdr:nvSpPr>
        <xdr:cNvPr id="49" name="ZoneTexte 48"/>
        <xdr:cNvSpPr txBox="1">
          <a:spLocks/>
        </xdr:cNvSpPr>
      </xdr:nvSpPr>
      <xdr:spPr>
        <a:xfrm>
          <a:off x="3522662" y="140280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0CE229B-51B5-4841-8E26-E758FBA7BBC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85725</xdr:colOff>
      <xdr:row>45</xdr:row>
      <xdr:rowOff>0</xdr:rowOff>
    </xdr:from>
    <xdr:to>
      <xdr:col>15</xdr:col>
      <xdr:colOff>6949631</xdr:colOff>
      <xdr:row>49</xdr:row>
      <xdr:rowOff>30000</xdr:rowOff>
    </xdr:to>
    <xdr:grpSp>
      <xdr:nvGrpSpPr>
        <xdr:cNvPr id="75" name="Groupe 74"/>
        <xdr:cNvGrpSpPr/>
      </xdr:nvGrpSpPr>
      <xdr:grpSpPr>
        <a:xfrm>
          <a:off x="200025" y="15449550"/>
          <a:ext cx="22122956" cy="792000"/>
          <a:chOff x="200025" y="15449563"/>
          <a:chExt cx="22122956" cy="792000"/>
        </a:xfrm>
      </xdr:grpSpPr>
      <xdr:grpSp>
        <xdr:nvGrpSpPr>
          <xdr:cNvPr id="76" name="Groupe 75"/>
          <xdr:cNvGrpSpPr/>
        </xdr:nvGrpSpPr>
        <xdr:grpSpPr>
          <a:xfrm>
            <a:off x="12363450" y="15449563"/>
            <a:ext cx="9959531" cy="792000"/>
            <a:chOff x="12334875" y="15449563"/>
            <a:chExt cx="9959531" cy="792000"/>
          </a:xfrm>
        </xdr:grpSpPr>
        <xdr:sp macro="" textlink="">
          <xdr:nvSpPr>
            <xdr:cNvPr id="87" name="Rectangle 86"/>
            <xdr:cNvSpPr/>
          </xdr:nvSpPr>
          <xdr:spPr>
            <a:xfrm>
              <a:off x="12334875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8" name="Rectangle 87"/>
            <xdr:cNvSpPr/>
          </xdr:nvSpPr>
          <xdr:spPr>
            <a:xfrm>
              <a:off x="17070492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9" name="Rectangle 88"/>
            <xdr:cNvSpPr/>
          </xdr:nvSpPr>
          <xdr:spPr>
            <a:xfrm>
              <a:off x="21718406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90" name="ZoneTexte 89"/>
            <xdr:cNvSpPr txBox="1"/>
          </xdr:nvSpPr>
          <xdr:spPr>
            <a:xfrm>
              <a:off x="17646295" y="15449563"/>
              <a:ext cx="406561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91" name="ZoneTexte 90"/>
            <xdr:cNvSpPr txBox="1"/>
          </xdr:nvSpPr>
          <xdr:spPr>
            <a:xfrm>
              <a:off x="12916634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</xdr:grpSp>
      <xdr:grpSp>
        <xdr:nvGrpSpPr>
          <xdr:cNvPr id="77" name="Groupe 76"/>
          <xdr:cNvGrpSpPr/>
        </xdr:nvGrpSpPr>
        <xdr:grpSpPr>
          <a:xfrm>
            <a:off x="200025" y="15478125"/>
            <a:ext cx="6606753" cy="735340"/>
            <a:chOff x="200025" y="15468600"/>
            <a:chExt cx="6606753" cy="735340"/>
          </a:xfrm>
        </xdr:grpSpPr>
        <xdr:grpSp>
          <xdr:nvGrpSpPr>
            <xdr:cNvPr id="78" name="Groupe 77"/>
            <xdr:cNvGrpSpPr/>
          </xdr:nvGrpSpPr>
          <xdr:grpSpPr>
            <a:xfrm>
              <a:off x="200025" y="15468600"/>
              <a:ext cx="3677448" cy="288000"/>
              <a:chOff x="200025" y="15973425"/>
              <a:chExt cx="3780000" cy="288000"/>
            </a:xfrm>
          </xdr:grpSpPr>
          <xdr:sp macro="" textlink="">
            <xdr:nvSpPr>
              <xdr:cNvPr id="85" name="ZoneTexte 84"/>
              <xdr:cNvSpPr txBox="1"/>
            </xdr:nvSpPr>
            <xdr:spPr>
              <a:xfrm>
                <a:off x="200025" y="15973425"/>
                <a:ext cx="3780000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Informations</a:t>
                </a:r>
                <a:r>
                  <a:rPr lang="fr-FR" sz="1000" baseline="0">
                    <a:latin typeface="+mn-lt"/>
                  </a:rPr>
                  <a:t> transmises par le référent QE / référent PA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6" name="Rectangle 85"/>
              <xdr:cNvSpPr/>
            </xdr:nvSpPr>
            <xdr:spPr>
              <a:xfrm>
                <a:off x="200026" y="16021051"/>
                <a:ext cx="540000" cy="180000"/>
              </a:xfrm>
              <a:prstGeom prst="rect">
                <a:avLst/>
              </a:prstGeom>
              <a:solidFill>
                <a:schemeClr val="accent6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79" name="Groupe 78"/>
            <xdr:cNvGrpSpPr/>
          </xdr:nvGrpSpPr>
          <xdr:grpSpPr>
            <a:xfrm>
              <a:off x="4034778" y="15468600"/>
              <a:ext cx="2772000" cy="288000"/>
              <a:chOff x="8486773" y="15973424"/>
              <a:chExt cx="3248866" cy="288000"/>
            </a:xfrm>
          </xdr:grpSpPr>
          <xdr:sp macro="" textlink="">
            <xdr:nvSpPr>
              <xdr:cNvPr id="83" name="ZoneTexte 82"/>
              <xdr:cNvSpPr txBox="1"/>
            </xdr:nvSpPr>
            <xdr:spPr>
              <a:xfrm>
                <a:off x="8486773" y="15973424"/>
                <a:ext cx="3248866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Indicateurs</a:t>
                </a:r>
                <a:r>
                  <a:rPr lang="fr-FR" sz="1000" baseline="0">
                    <a:latin typeface="+mn-lt"/>
                  </a:rPr>
                  <a:t> calculés automatiquement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4" name="Rectangle 83"/>
              <xdr:cNvSpPr/>
            </xdr:nvSpPr>
            <xdr:spPr>
              <a:xfrm>
                <a:off x="8486775" y="16021050"/>
                <a:ext cx="540000" cy="1800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80" name="Groupe 79"/>
            <xdr:cNvGrpSpPr/>
          </xdr:nvGrpSpPr>
          <xdr:grpSpPr>
            <a:xfrm>
              <a:off x="200025" y="15916275"/>
              <a:ext cx="1656005" cy="287665"/>
              <a:chOff x="238125" y="16354425"/>
              <a:chExt cx="1656005" cy="287665"/>
            </a:xfrm>
          </xdr:grpSpPr>
          <xdr:sp macro="" textlink="">
            <xdr:nvSpPr>
              <xdr:cNvPr id="81" name="ZoneTexte 80"/>
              <xdr:cNvSpPr txBox="1"/>
            </xdr:nvSpPr>
            <xdr:spPr>
              <a:xfrm>
                <a:off x="238130" y="16354425"/>
                <a:ext cx="1656000" cy="2876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000" rIns="90000" rtlCol="0" anchor="ctr"/>
              <a:lstStyle/>
              <a:p>
                <a:pPr algn="l"/>
                <a:r>
                  <a:rPr lang="fr-FR" sz="1000">
                    <a:latin typeface="+mn-lt"/>
                  </a:rPr>
                  <a:t>          REX</a:t>
                </a:r>
                <a:r>
                  <a:rPr lang="fr-FR" sz="1000" baseline="0">
                    <a:latin typeface="+mn-lt"/>
                  </a:rPr>
                  <a:t> Fin de GPA réalisé</a:t>
                </a:r>
                <a:endParaRPr lang="fr-FR" sz="1000">
                  <a:latin typeface="+mn-lt"/>
                </a:endParaRPr>
              </a:p>
            </xdr:txBody>
          </xdr:sp>
          <xdr:pic>
            <xdr:nvPicPr>
              <xdr:cNvPr id="82" name="Image 81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238125" y="16363950"/>
                <a:ext cx="238095" cy="266667"/>
              </a:xfrm>
              <a:prstGeom prst="rect">
                <a:avLst/>
              </a:prstGeom>
            </xdr:spPr>
          </xdr:pic>
        </xdr:grpSp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final GPA IE</a:t>
          </a:r>
        </a:p>
      </xdr:txBody>
    </xdr: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34893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 editAs="absolute">
    <xdr:from>
      <xdr:col>2</xdr:col>
      <xdr:colOff>3413122</xdr:colOff>
      <xdr:row>28</xdr:row>
      <xdr:rowOff>49212</xdr:rowOff>
    </xdr:from>
    <xdr:to>
      <xdr:col>2</xdr:col>
      <xdr:colOff>3665122</xdr:colOff>
      <xdr:row>28</xdr:row>
      <xdr:rowOff>301212</xdr:rowOff>
    </xdr:to>
    <xdr:sp macro="" textlink="$Z29">
      <xdr:nvSpPr>
        <xdr:cNvPr id="35" name="ZoneTexte 34"/>
        <xdr:cNvSpPr txBox="1">
          <a:spLocks/>
        </xdr:cNvSpPr>
      </xdr:nvSpPr>
      <xdr:spPr>
        <a:xfrm>
          <a:off x="3524247" y="52482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9A3908-5908-46F3-89F1-A701F183CF75}" type="TxLink">
            <a:rPr lang="en-US" sz="1600" b="0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29</xdr:row>
      <xdr:rowOff>44737</xdr:rowOff>
    </xdr:from>
    <xdr:to>
      <xdr:col>2</xdr:col>
      <xdr:colOff>3663537</xdr:colOff>
      <xdr:row>29</xdr:row>
      <xdr:rowOff>296737</xdr:rowOff>
    </xdr:to>
    <xdr:sp macro="" textlink="$Z30">
      <xdr:nvSpPr>
        <xdr:cNvPr id="36" name="ZoneTexte 35"/>
        <xdr:cNvSpPr txBox="1">
          <a:spLocks/>
        </xdr:cNvSpPr>
      </xdr:nvSpPr>
      <xdr:spPr>
        <a:xfrm>
          <a:off x="3522662" y="58708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B0D15C1-CDBA-49CE-8F76-7EF973B9C9E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30</xdr:row>
      <xdr:rowOff>46614</xdr:rowOff>
    </xdr:from>
    <xdr:to>
      <xdr:col>2</xdr:col>
      <xdr:colOff>3663537</xdr:colOff>
      <xdr:row>30</xdr:row>
      <xdr:rowOff>298614</xdr:rowOff>
    </xdr:to>
    <xdr:sp macro="" textlink="$Z31">
      <xdr:nvSpPr>
        <xdr:cNvPr id="37" name="ZoneTexte 36"/>
        <xdr:cNvSpPr txBox="1">
          <a:spLocks/>
        </xdr:cNvSpPr>
      </xdr:nvSpPr>
      <xdr:spPr>
        <a:xfrm>
          <a:off x="3522662" y="64998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FF09E30-E0F1-45C7-B668-49B785D67FE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31</xdr:row>
      <xdr:rowOff>50078</xdr:rowOff>
    </xdr:from>
    <xdr:to>
      <xdr:col>2</xdr:col>
      <xdr:colOff>3663537</xdr:colOff>
      <xdr:row>31</xdr:row>
      <xdr:rowOff>302078</xdr:rowOff>
    </xdr:to>
    <xdr:sp macro="" textlink="$Z32">
      <xdr:nvSpPr>
        <xdr:cNvPr id="38" name="ZoneTexte 37"/>
        <xdr:cNvSpPr txBox="1">
          <a:spLocks/>
        </xdr:cNvSpPr>
      </xdr:nvSpPr>
      <xdr:spPr>
        <a:xfrm>
          <a:off x="3522662" y="7130328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14A7E86-B1E0-4EA4-8600-7C5DD9CF6F0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3411537</xdr:colOff>
      <xdr:row>32</xdr:row>
      <xdr:rowOff>45604</xdr:rowOff>
    </xdr:from>
    <xdr:to>
      <xdr:col>2</xdr:col>
      <xdr:colOff>3663537</xdr:colOff>
      <xdr:row>32</xdr:row>
      <xdr:rowOff>297604</xdr:rowOff>
    </xdr:to>
    <xdr:sp macro="" textlink="$Z33">
      <xdr:nvSpPr>
        <xdr:cNvPr id="39" name="ZoneTexte 38"/>
        <xdr:cNvSpPr txBox="1">
          <a:spLocks/>
        </xdr:cNvSpPr>
      </xdr:nvSpPr>
      <xdr:spPr>
        <a:xfrm>
          <a:off x="3522662" y="775291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3ACFECE-AF04-4EEC-BC98-A6DDE0D76B0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33</xdr:row>
      <xdr:rowOff>47480</xdr:rowOff>
    </xdr:from>
    <xdr:to>
      <xdr:col>2</xdr:col>
      <xdr:colOff>3663536</xdr:colOff>
      <xdr:row>33</xdr:row>
      <xdr:rowOff>299480</xdr:rowOff>
    </xdr:to>
    <xdr:sp macro="" textlink="$Z34">
      <xdr:nvSpPr>
        <xdr:cNvPr id="40" name="ZoneTexte 39"/>
        <xdr:cNvSpPr txBox="1">
          <a:spLocks/>
        </xdr:cNvSpPr>
      </xdr:nvSpPr>
      <xdr:spPr>
        <a:xfrm>
          <a:off x="3522661" y="838185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25BB23A-52FA-4530-8A51-C97A6A6E5B7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34</xdr:row>
      <xdr:rowOff>50943</xdr:rowOff>
    </xdr:from>
    <xdr:to>
      <xdr:col>2</xdr:col>
      <xdr:colOff>3663537</xdr:colOff>
      <xdr:row>34</xdr:row>
      <xdr:rowOff>302943</xdr:rowOff>
    </xdr:to>
    <xdr:sp macro="" textlink="$Z35">
      <xdr:nvSpPr>
        <xdr:cNvPr id="56" name="ZoneTexte 55"/>
        <xdr:cNvSpPr txBox="1">
          <a:spLocks/>
        </xdr:cNvSpPr>
      </xdr:nvSpPr>
      <xdr:spPr>
        <a:xfrm>
          <a:off x="3522662" y="901238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428DEE3-4C59-4826-A719-FB0E3EEE8335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35</xdr:row>
      <xdr:rowOff>44882</xdr:rowOff>
    </xdr:from>
    <xdr:to>
      <xdr:col>2</xdr:col>
      <xdr:colOff>3663537</xdr:colOff>
      <xdr:row>35</xdr:row>
      <xdr:rowOff>296882</xdr:rowOff>
    </xdr:to>
    <xdr:sp macro="" textlink="$Z36">
      <xdr:nvSpPr>
        <xdr:cNvPr id="57" name="ZoneTexte 56"/>
        <xdr:cNvSpPr txBox="1">
          <a:spLocks/>
        </xdr:cNvSpPr>
      </xdr:nvSpPr>
      <xdr:spPr>
        <a:xfrm>
          <a:off x="3522662" y="963338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1E9D09C7-616D-4FB9-8171-B70B6E3ACB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36</xdr:row>
      <xdr:rowOff>48346</xdr:rowOff>
    </xdr:from>
    <xdr:to>
      <xdr:col>2</xdr:col>
      <xdr:colOff>3663537</xdr:colOff>
      <xdr:row>36</xdr:row>
      <xdr:rowOff>300346</xdr:rowOff>
    </xdr:to>
    <xdr:sp macro="" textlink="$Z37">
      <xdr:nvSpPr>
        <xdr:cNvPr id="58" name="ZoneTexte 57"/>
        <xdr:cNvSpPr txBox="1">
          <a:spLocks/>
        </xdr:cNvSpPr>
      </xdr:nvSpPr>
      <xdr:spPr>
        <a:xfrm>
          <a:off x="3522662" y="1026390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DAAF6A-5545-40C5-AF29-A4F3F1899F99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3411535</xdr:colOff>
      <xdr:row>37</xdr:row>
      <xdr:rowOff>43872</xdr:rowOff>
    </xdr:from>
    <xdr:to>
      <xdr:col>2</xdr:col>
      <xdr:colOff>3663535</xdr:colOff>
      <xdr:row>37</xdr:row>
      <xdr:rowOff>295872</xdr:rowOff>
    </xdr:to>
    <xdr:sp macro="" textlink="$Z38">
      <xdr:nvSpPr>
        <xdr:cNvPr id="59" name="ZoneTexte 58"/>
        <xdr:cNvSpPr txBox="1">
          <a:spLocks/>
        </xdr:cNvSpPr>
      </xdr:nvSpPr>
      <xdr:spPr>
        <a:xfrm>
          <a:off x="3522660" y="10886497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00E53628-4692-4D9B-BA36-835D13D3C4A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38</xdr:row>
      <xdr:rowOff>45748</xdr:rowOff>
    </xdr:from>
    <xdr:to>
      <xdr:col>2</xdr:col>
      <xdr:colOff>3663537</xdr:colOff>
      <xdr:row>38</xdr:row>
      <xdr:rowOff>297748</xdr:rowOff>
    </xdr:to>
    <xdr:sp macro="" textlink="$Z39">
      <xdr:nvSpPr>
        <xdr:cNvPr id="60" name="ZoneTexte 59"/>
        <xdr:cNvSpPr txBox="1">
          <a:spLocks/>
        </xdr:cNvSpPr>
      </xdr:nvSpPr>
      <xdr:spPr>
        <a:xfrm>
          <a:off x="3522662" y="1151543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20353F-1391-47FF-A5AB-97DBB05DD02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39</xdr:row>
      <xdr:rowOff>49212</xdr:rowOff>
    </xdr:from>
    <xdr:to>
      <xdr:col>2</xdr:col>
      <xdr:colOff>3663537</xdr:colOff>
      <xdr:row>39</xdr:row>
      <xdr:rowOff>301212</xdr:rowOff>
    </xdr:to>
    <xdr:sp macro="" textlink="$Z40">
      <xdr:nvSpPr>
        <xdr:cNvPr id="61" name="ZoneTexte 60"/>
        <xdr:cNvSpPr txBox="1">
          <a:spLocks/>
        </xdr:cNvSpPr>
      </xdr:nvSpPr>
      <xdr:spPr>
        <a:xfrm>
          <a:off x="3522662" y="1214596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7F8902B-7A4B-4873-AA9D-C75AEE5A376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3411536</xdr:colOff>
      <xdr:row>40</xdr:row>
      <xdr:rowOff>44737</xdr:rowOff>
    </xdr:from>
    <xdr:to>
      <xdr:col>2</xdr:col>
      <xdr:colOff>3663536</xdr:colOff>
      <xdr:row>40</xdr:row>
      <xdr:rowOff>296737</xdr:rowOff>
    </xdr:to>
    <xdr:sp macro="" textlink="$Z41">
      <xdr:nvSpPr>
        <xdr:cNvPr id="62" name="ZoneTexte 61"/>
        <xdr:cNvSpPr txBox="1">
          <a:spLocks/>
        </xdr:cNvSpPr>
      </xdr:nvSpPr>
      <xdr:spPr>
        <a:xfrm>
          <a:off x="3522661" y="1276855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85E97F2B-C69F-4A09-B106-2D0DAC2310B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41</xdr:row>
      <xdr:rowOff>46614</xdr:rowOff>
    </xdr:from>
    <xdr:to>
      <xdr:col>2</xdr:col>
      <xdr:colOff>3663537</xdr:colOff>
      <xdr:row>41</xdr:row>
      <xdr:rowOff>298614</xdr:rowOff>
    </xdr:to>
    <xdr:sp macro="" textlink="$Z42">
      <xdr:nvSpPr>
        <xdr:cNvPr id="63" name="ZoneTexte 62"/>
        <xdr:cNvSpPr txBox="1">
          <a:spLocks/>
        </xdr:cNvSpPr>
      </xdr:nvSpPr>
      <xdr:spPr>
        <a:xfrm>
          <a:off x="3522662" y="1339748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985B4754-BC2B-41AE-B64F-CF6C02C662F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2</xdr:col>
      <xdr:colOff>3411537</xdr:colOff>
      <xdr:row>42</xdr:row>
      <xdr:rowOff>50078</xdr:rowOff>
    </xdr:from>
    <xdr:to>
      <xdr:col>2</xdr:col>
      <xdr:colOff>3663537</xdr:colOff>
      <xdr:row>42</xdr:row>
      <xdr:rowOff>302078</xdr:rowOff>
    </xdr:to>
    <xdr:sp macro="" textlink="$Z43">
      <xdr:nvSpPr>
        <xdr:cNvPr id="64" name="ZoneTexte 63"/>
        <xdr:cNvSpPr txBox="1">
          <a:spLocks/>
        </xdr:cNvSpPr>
      </xdr:nvSpPr>
      <xdr:spPr>
        <a:xfrm>
          <a:off x="3522662" y="14028016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0CE229B-51B5-4841-8E26-E758FBA7BBC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85725</xdr:colOff>
      <xdr:row>45</xdr:row>
      <xdr:rowOff>0</xdr:rowOff>
    </xdr:from>
    <xdr:to>
      <xdr:col>15</xdr:col>
      <xdr:colOff>6949631</xdr:colOff>
      <xdr:row>49</xdr:row>
      <xdr:rowOff>30000</xdr:rowOff>
    </xdr:to>
    <xdr:grpSp>
      <xdr:nvGrpSpPr>
        <xdr:cNvPr id="75" name="Groupe 74"/>
        <xdr:cNvGrpSpPr/>
      </xdr:nvGrpSpPr>
      <xdr:grpSpPr>
        <a:xfrm>
          <a:off x="200025" y="15449550"/>
          <a:ext cx="22122956" cy="792000"/>
          <a:chOff x="200025" y="15449563"/>
          <a:chExt cx="22122956" cy="792000"/>
        </a:xfrm>
      </xdr:grpSpPr>
      <xdr:grpSp>
        <xdr:nvGrpSpPr>
          <xdr:cNvPr id="76" name="Groupe 75"/>
          <xdr:cNvGrpSpPr/>
        </xdr:nvGrpSpPr>
        <xdr:grpSpPr>
          <a:xfrm>
            <a:off x="12363450" y="15449563"/>
            <a:ext cx="9959531" cy="792000"/>
            <a:chOff x="12334875" y="15449563"/>
            <a:chExt cx="9959531" cy="792000"/>
          </a:xfrm>
        </xdr:grpSpPr>
        <xdr:sp macro="" textlink="">
          <xdr:nvSpPr>
            <xdr:cNvPr id="87" name="Rectangle 86"/>
            <xdr:cNvSpPr/>
          </xdr:nvSpPr>
          <xdr:spPr>
            <a:xfrm>
              <a:off x="12334875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8" name="Rectangle 87"/>
            <xdr:cNvSpPr/>
          </xdr:nvSpPr>
          <xdr:spPr>
            <a:xfrm>
              <a:off x="17070492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9" name="Rectangle 88"/>
            <xdr:cNvSpPr/>
          </xdr:nvSpPr>
          <xdr:spPr>
            <a:xfrm>
              <a:off x="21718406" y="15459075"/>
              <a:ext cx="576000" cy="756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90" name="ZoneTexte 89"/>
            <xdr:cNvSpPr txBox="1"/>
          </xdr:nvSpPr>
          <xdr:spPr>
            <a:xfrm>
              <a:off x="17646295" y="15449563"/>
              <a:ext cx="4065610" cy="784544"/>
            </a:xfrm>
            <a:prstGeom prst="roundRect">
              <a:avLst/>
            </a:prstGeom>
            <a:noFill/>
            <a:ln w="9525" cmpd="sng"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00000"/>
                </a:lnSpc>
              </a:pPr>
              <a:r>
                <a:rPr lang="fr-FR" sz="1000" b="1" i="1" u="sng" strike="noStrike">
                  <a:solidFill>
                    <a:srgbClr val="FF0000"/>
                  </a:solidFill>
                  <a:latin typeface="Calibri"/>
                </a:rPr>
                <a:t>Rappel des objectifs Phase GPA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600" b="1" i="1" u="sng" strike="noStrike">
                  <a:solidFill>
                    <a:srgbClr val="FF0000"/>
                  </a:solidFill>
                  <a:latin typeface="Calibri"/>
                </a:rPr>
                <a:t> </a:t>
              </a:r>
              <a: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  <a:t/>
              </a:r>
              <a:br>
                <a:rPr lang="fr-FR" sz="1100" b="1" i="1" u="sng" strike="noStrike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>
                  <a:solidFill>
                    <a:srgbClr val="FF0000"/>
                  </a:solidFill>
                  <a:latin typeface="Calibri"/>
                </a:rPr>
                <a:t>Délai d'intervention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(Réactivité moyenne)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15 jours</a:t>
              </a:r>
              <a:b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</a:b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→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  <a:cs typeface="+mn-cs"/>
                </a:rPr>
                <a:t>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Nombre de réclamations GPA 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 panose="020F0502020204030204" pitchFamily="34" charset="0"/>
                  <a:cs typeface="Calibri" panose="020F0502020204030204" pitchFamily="34" charset="0"/>
                </a:rPr>
                <a:t>≤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Calibri"/>
                </a:rPr>
                <a:t> 1 par logement</a:t>
              </a:r>
              <a:endParaRPr lang="fr-FR" sz="1000" b="0" i="0" u="none" strike="noStrike">
                <a:solidFill>
                  <a:srgbClr val="FF0000"/>
                </a:solidFill>
                <a:latin typeface="Calibri"/>
              </a:endParaRPr>
            </a:p>
            <a:p>
              <a:pPr algn="ctr">
                <a:lnSpc>
                  <a:spcPct val="100000"/>
                </a:lnSpc>
              </a:pPr>
              <a:endParaRPr lang="fr-FR" sz="1100" b="1" i="1" u="sng" strike="noStrike">
                <a:solidFill>
                  <a:srgbClr val="FF6600"/>
                </a:solidFill>
                <a:latin typeface="Calibri"/>
              </a:endParaRPr>
            </a:p>
          </xdr:txBody>
        </xdr:sp>
        <xdr:sp macro="" textlink="">
          <xdr:nvSpPr>
            <xdr:cNvPr id="91" name="ZoneTexte 90"/>
            <xdr:cNvSpPr txBox="1"/>
          </xdr:nvSpPr>
          <xdr:spPr>
            <a:xfrm>
              <a:off x="12916634" y="15449563"/>
              <a:ext cx="4140000" cy="792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algn="ctr">
                <a:lnSpc>
                  <a:spcPct val="150000"/>
                </a:lnSpc>
              </a:pP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HARMONISER ET RENDRE EFFICIENTE LA GESTION DE LA GPA</a:t>
              </a:r>
              <a:b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fr-FR" sz="1200" b="1" i="0" u="none" strike="noStrike">
                  <a:solidFill>
                    <a:srgbClr val="FF0000"/>
                  </a:solidFill>
                  <a:effectLst/>
                  <a:latin typeface="+mn-lt"/>
                  <a:ea typeface="+mn-ea"/>
                  <a:cs typeface="+mn-cs"/>
                </a:rPr>
                <a:t>POUR UNE MEILLEURE SATISFACTION DE NOS CLIENTS</a:t>
              </a:r>
              <a:r>
                <a:rPr lang="fr-FR" sz="1200">
                  <a:solidFill>
                    <a:srgbClr val="FF0000"/>
                  </a:solidFill>
                </a:rPr>
                <a:t> </a:t>
              </a:r>
              <a:endParaRPr lang="fr-FR" sz="1200" b="0" i="0" u="none" strike="noStrike">
                <a:solidFill>
                  <a:srgbClr val="FF0000"/>
                </a:solidFill>
                <a:latin typeface="Calibri"/>
              </a:endParaRPr>
            </a:p>
          </xdr:txBody>
        </xdr:sp>
      </xdr:grpSp>
      <xdr:grpSp>
        <xdr:nvGrpSpPr>
          <xdr:cNvPr id="77" name="Groupe 76"/>
          <xdr:cNvGrpSpPr/>
        </xdr:nvGrpSpPr>
        <xdr:grpSpPr>
          <a:xfrm>
            <a:off x="200025" y="15478125"/>
            <a:ext cx="6606753" cy="735340"/>
            <a:chOff x="200025" y="15468600"/>
            <a:chExt cx="6606753" cy="735340"/>
          </a:xfrm>
        </xdr:grpSpPr>
        <xdr:grpSp>
          <xdr:nvGrpSpPr>
            <xdr:cNvPr id="78" name="Groupe 77"/>
            <xdr:cNvGrpSpPr/>
          </xdr:nvGrpSpPr>
          <xdr:grpSpPr>
            <a:xfrm>
              <a:off x="200025" y="15468600"/>
              <a:ext cx="3677448" cy="288000"/>
              <a:chOff x="200025" y="15973425"/>
              <a:chExt cx="3780000" cy="288000"/>
            </a:xfrm>
          </xdr:grpSpPr>
          <xdr:sp macro="" textlink="">
            <xdr:nvSpPr>
              <xdr:cNvPr id="85" name="ZoneTexte 84"/>
              <xdr:cNvSpPr txBox="1"/>
            </xdr:nvSpPr>
            <xdr:spPr>
              <a:xfrm>
                <a:off x="200025" y="15973425"/>
                <a:ext cx="3780000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Informations</a:t>
                </a:r>
                <a:r>
                  <a:rPr lang="fr-FR" sz="1000" baseline="0">
                    <a:latin typeface="+mn-lt"/>
                  </a:rPr>
                  <a:t> transmises par le référent QE / référent PA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6" name="Rectangle 85"/>
              <xdr:cNvSpPr/>
            </xdr:nvSpPr>
            <xdr:spPr>
              <a:xfrm>
                <a:off x="200026" y="16021051"/>
                <a:ext cx="540000" cy="180000"/>
              </a:xfrm>
              <a:prstGeom prst="rect">
                <a:avLst/>
              </a:prstGeom>
              <a:solidFill>
                <a:schemeClr val="accent6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79" name="Groupe 78"/>
            <xdr:cNvGrpSpPr/>
          </xdr:nvGrpSpPr>
          <xdr:grpSpPr>
            <a:xfrm>
              <a:off x="4034778" y="15468600"/>
              <a:ext cx="2772000" cy="288000"/>
              <a:chOff x="8486773" y="15973424"/>
              <a:chExt cx="3248866" cy="288000"/>
            </a:xfrm>
          </xdr:grpSpPr>
          <xdr:sp macro="" textlink="">
            <xdr:nvSpPr>
              <xdr:cNvPr id="83" name="ZoneTexte 82"/>
              <xdr:cNvSpPr txBox="1"/>
            </xdr:nvSpPr>
            <xdr:spPr>
              <a:xfrm>
                <a:off x="8486773" y="15973424"/>
                <a:ext cx="3248866" cy="288000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fr-FR" sz="1000" baseline="0">
                    <a:latin typeface="+mn-lt"/>
                  </a:rPr>
                  <a:t>                    </a:t>
                </a:r>
                <a:r>
                  <a:rPr lang="fr-FR" sz="1000">
                    <a:latin typeface="+mn-lt"/>
                  </a:rPr>
                  <a:t>Indicateurs</a:t>
                </a:r>
                <a:r>
                  <a:rPr lang="fr-FR" sz="1000" baseline="0">
                    <a:latin typeface="+mn-lt"/>
                  </a:rPr>
                  <a:t> calculés automatiquement</a:t>
                </a:r>
                <a:endParaRPr lang="fr-FR" sz="1000">
                  <a:latin typeface="+mn-lt"/>
                </a:endParaRPr>
              </a:p>
            </xdr:txBody>
          </xdr:sp>
          <xdr:sp macro="" textlink="">
            <xdr:nvSpPr>
              <xdr:cNvPr id="84" name="Rectangle 83"/>
              <xdr:cNvSpPr/>
            </xdr:nvSpPr>
            <xdr:spPr>
              <a:xfrm>
                <a:off x="8486775" y="16021050"/>
                <a:ext cx="540000" cy="1800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grpSp>
          <xdr:nvGrpSpPr>
            <xdr:cNvPr id="80" name="Groupe 79"/>
            <xdr:cNvGrpSpPr/>
          </xdr:nvGrpSpPr>
          <xdr:grpSpPr>
            <a:xfrm>
              <a:off x="200025" y="15916275"/>
              <a:ext cx="1656005" cy="287665"/>
              <a:chOff x="238125" y="16354425"/>
              <a:chExt cx="1656005" cy="287665"/>
            </a:xfrm>
          </xdr:grpSpPr>
          <xdr:sp macro="" textlink="">
            <xdr:nvSpPr>
              <xdr:cNvPr id="81" name="ZoneTexte 80"/>
              <xdr:cNvSpPr txBox="1"/>
            </xdr:nvSpPr>
            <xdr:spPr>
              <a:xfrm>
                <a:off x="238130" y="16354425"/>
                <a:ext cx="1656000" cy="2876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000" rIns="90000" rtlCol="0" anchor="ctr"/>
              <a:lstStyle/>
              <a:p>
                <a:pPr algn="l"/>
                <a:r>
                  <a:rPr lang="fr-FR" sz="1000">
                    <a:latin typeface="+mn-lt"/>
                  </a:rPr>
                  <a:t>          REX</a:t>
                </a:r>
                <a:r>
                  <a:rPr lang="fr-FR" sz="1000" baseline="0">
                    <a:latin typeface="+mn-lt"/>
                  </a:rPr>
                  <a:t> Fin de GPA réalisé</a:t>
                </a:r>
                <a:endParaRPr lang="fr-FR" sz="1000">
                  <a:latin typeface="+mn-lt"/>
                </a:endParaRPr>
              </a:p>
            </xdr:txBody>
          </xdr:sp>
          <xdr:pic>
            <xdr:nvPicPr>
              <xdr:cNvPr id="82" name="Image 81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238125" y="16363950"/>
                <a:ext cx="238095" cy="266667"/>
              </a:xfrm>
              <a:prstGeom prst="rect">
                <a:avLst/>
              </a:prstGeom>
            </xdr:spPr>
          </xdr:pic>
        </xdr:grp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4760</xdr:colOff>
      <xdr:row>1</xdr:row>
      <xdr:rowOff>4763</xdr:rowOff>
    </xdr:from>
    <xdr:to>
      <xdr:col>11</xdr:col>
      <xdr:colOff>260</xdr:colOff>
      <xdr:row>8</xdr:row>
      <xdr:rowOff>190463</xdr:rowOff>
    </xdr:to>
    <xdr:sp macro="" textlink="">
      <xdr:nvSpPr>
        <xdr:cNvPr id="3" name="ZoneTexte 2"/>
        <xdr:cNvSpPr txBox="1"/>
      </xdr:nvSpPr>
      <xdr:spPr>
        <a:xfrm>
          <a:off x="61910" y="61913"/>
          <a:ext cx="2183315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 - Plan d'actions</a:t>
          </a:r>
        </a:p>
      </xdr:txBody>
    </xdr:sp>
    <xdr:clientData/>
  </xdr:twoCellAnchor>
  <xdr:twoCellAnchor editAs="oneCell">
    <xdr:from>
      <xdr:col>4</xdr:col>
      <xdr:colOff>3402012</xdr:colOff>
      <xdr:row>15</xdr:row>
      <xdr:rowOff>57150</xdr:rowOff>
    </xdr:from>
    <xdr:to>
      <xdr:col>4</xdr:col>
      <xdr:colOff>3654012</xdr:colOff>
      <xdr:row>15</xdr:row>
      <xdr:rowOff>309150</xdr:rowOff>
    </xdr:to>
    <xdr:sp macro="" textlink="$T16">
      <xdr:nvSpPr>
        <xdr:cNvPr id="4" name="ZoneTexte 3"/>
        <xdr:cNvSpPr txBox="1">
          <a:spLocks/>
        </xdr:cNvSpPr>
      </xdr:nvSpPr>
      <xdr:spPr>
        <a:xfrm>
          <a:off x="5611812" y="27813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EE15072F-A668-4F0A-976A-B91CC29F717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3403599</xdr:colOff>
      <xdr:row>16</xdr:row>
      <xdr:rowOff>52675</xdr:rowOff>
    </xdr:from>
    <xdr:to>
      <xdr:col>4</xdr:col>
      <xdr:colOff>3655599</xdr:colOff>
      <xdr:row>16</xdr:row>
      <xdr:rowOff>304675</xdr:rowOff>
    </xdr:to>
    <xdr:sp macro="" textlink="$T17">
      <xdr:nvSpPr>
        <xdr:cNvPr id="5" name="ZoneTexte 4"/>
        <xdr:cNvSpPr txBox="1">
          <a:spLocks/>
        </xdr:cNvSpPr>
      </xdr:nvSpPr>
      <xdr:spPr>
        <a:xfrm>
          <a:off x="5613399" y="34054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D7B8886-C041-4608-BEBF-038A727A6AC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17</xdr:row>
      <xdr:rowOff>54552</xdr:rowOff>
    </xdr:from>
    <xdr:to>
      <xdr:col>4</xdr:col>
      <xdr:colOff>3654012</xdr:colOff>
      <xdr:row>17</xdr:row>
      <xdr:rowOff>306552</xdr:rowOff>
    </xdr:to>
    <xdr:sp macro="" textlink="$T18">
      <xdr:nvSpPr>
        <xdr:cNvPr id="6" name="ZoneTexte 5"/>
        <xdr:cNvSpPr txBox="1">
          <a:spLocks/>
        </xdr:cNvSpPr>
      </xdr:nvSpPr>
      <xdr:spPr>
        <a:xfrm>
          <a:off x="5611812" y="40360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4A157F6F-9E07-47D8-95BA-C9ECF4F44BCD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18</xdr:row>
      <xdr:rowOff>58016</xdr:rowOff>
    </xdr:from>
    <xdr:to>
      <xdr:col>4</xdr:col>
      <xdr:colOff>3654012</xdr:colOff>
      <xdr:row>18</xdr:row>
      <xdr:rowOff>310016</xdr:rowOff>
    </xdr:to>
    <xdr:sp macro="" textlink="$T19">
      <xdr:nvSpPr>
        <xdr:cNvPr id="7" name="ZoneTexte 6"/>
        <xdr:cNvSpPr txBox="1">
          <a:spLocks/>
        </xdr:cNvSpPr>
      </xdr:nvSpPr>
      <xdr:spPr>
        <a:xfrm>
          <a:off x="5611812" y="4668116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A0B19A6-A416-47C1-A3ED-510E0D0935D9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3402012</xdr:colOff>
      <xdr:row>19</xdr:row>
      <xdr:rowOff>53541</xdr:rowOff>
    </xdr:from>
    <xdr:to>
      <xdr:col>4</xdr:col>
      <xdr:colOff>3654012</xdr:colOff>
      <xdr:row>19</xdr:row>
      <xdr:rowOff>305541</xdr:rowOff>
    </xdr:to>
    <xdr:sp macro="" textlink="$T20">
      <xdr:nvSpPr>
        <xdr:cNvPr id="8" name="ZoneTexte 7"/>
        <xdr:cNvSpPr txBox="1">
          <a:spLocks/>
        </xdr:cNvSpPr>
      </xdr:nvSpPr>
      <xdr:spPr>
        <a:xfrm>
          <a:off x="5611812" y="52922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ACA259B-65DF-40CD-8E1E-88ACB12F1E9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20</xdr:row>
      <xdr:rowOff>55418</xdr:rowOff>
    </xdr:from>
    <xdr:to>
      <xdr:col>4</xdr:col>
      <xdr:colOff>3654012</xdr:colOff>
      <xdr:row>20</xdr:row>
      <xdr:rowOff>307418</xdr:rowOff>
    </xdr:to>
    <xdr:sp macro="" textlink="$T21">
      <xdr:nvSpPr>
        <xdr:cNvPr id="9" name="ZoneTexte 8"/>
        <xdr:cNvSpPr txBox="1">
          <a:spLocks/>
        </xdr:cNvSpPr>
      </xdr:nvSpPr>
      <xdr:spPr>
        <a:xfrm>
          <a:off x="5611812" y="592281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A33BAFF-D768-4E51-84B7-5F964722B3CE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21</xdr:row>
      <xdr:rowOff>58881</xdr:rowOff>
    </xdr:from>
    <xdr:to>
      <xdr:col>4</xdr:col>
      <xdr:colOff>3654012</xdr:colOff>
      <xdr:row>21</xdr:row>
      <xdr:rowOff>310881</xdr:rowOff>
    </xdr:to>
    <xdr:sp macro="" textlink="$T22">
      <xdr:nvSpPr>
        <xdr:cNvPr id="10" name="ZoneTexte 9"/>
        <xdr:cNvSpPr txBox="1">
          <a:spLocks/>
        </xdr:cNvSpPr>
      </xdr:nvSpPr>
      <xdr:spPr>
        <a:xfrm>
          <a:off x="5611812" y="655493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697A6BE-52BA-4C64-AEBA-C71AF069DD1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22</xdr:row>
      <xdr:rowOff>52820</xdr:rowOff>
    </xdr:from>
    <xdr:to>
      <xdr:col>4</xdr:col>
      <xdr:colOff>3654012</xdr:colOff>
      <xdr:row>22</xdr:row>
      <xdr:rowOff>304820</xdr:rowOff>
    </xdr:to>
    <xdr:sp macro="" textlink="$T23">
      <xdr:nvSpPr>
        <xdr:cNvPr id="11" name="ZoneTexte 10"/>
        <xdr:cNvSpPr txBox="1">
          <a:spLocks/>
        </xdr:cNvSpPr>
      </xdr:nvSpPr>
      <xdr:spPr>
        <a:xfrm>
          <a:off x="5611812" y="717752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E828B5F-1205-45BF-B007-17456015DFFE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23</xdr:row>
      <xdr:rowOff>56284</xdr:rowOff>
    </xdr:from>
    <xdr:to>
      <xdr:col>4</xdr:col>
      <xdr:colOff>3654012</xdr:colOff>
      <xdr:row>23</xdr:row>
      <xdr:rowOff>308284</xdr:rowOff>
    </xdr:to>
    <xdr:sp macro="" textlink="$T24">
      <xdr:nvSpPr>
        <xdr:cNvPr id="12" name="ZoneTexte 11"/>
        <xdr:cNvSpPr txBox="1">
          <a:spLocks/>
        </xdr:cNvSpPr>
      </xdr:nvSpPr>
      <xdr:spPr>
        <a:xfrm>
          <a:off x="5611812" y="780963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A8E903BD-40B2-4BF8-A9CE-3959E019D1B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25</xdr:row>
      <xdr:rowOff>57150</xdr:rowOff>
    </xdr:from>
    <xdr:to>
      <xdr:col>4</xdr:col>
      <xdr:colOff>3654012</xdr:colOff>
      <xdr:row>25</xdr:row>
      <xdr:rowOff>309150</xdr:rowOff>
    </xdr:to>
    <xdr:sp macro="" textlink="$T26">
      <xdr:nvSpPr>
        <xdr:cNvPr id="13" name="ZoneTexte 12"/>
        <xdr:cNvSpPr txBox="1">
          <a:spLocks/>
        </xdr:cNvSpPr>
      </xdr:nvSpPr>
      <xdr:spPr>
        <a:xfrm>
          <a:off x="5611812" y="90678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E2F0023-F312-4C93-99D0-635039FDEB1B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26</xdr:row>
      <xdr:rowOff>52675</xdr:rowOff>
    </xdr:from>
    <xdr:to>
      <xdr:col>4</xdr:col>
      <xdr:colOff>3654012</xdr:colOff>
      <xdr:row>26</xdr:row>
      <xdr:rowOff>304675</xdr:rowOff>
    </xdr:to>
    <xdr:sp macro="" textlink="$T27">
      <xdr:nvSpPr>
        <xdr:cNvPr id="14" name="ZoneTexte 13"/>
        <xdr:cNvSpPr txBox="1">
          <a:spLocks/>
        </xdr:cNvSpPr>
      </xdr:nvSpPr>
      <xdr:spPr>
        <a:xfrm>
          <a:off x="5611812" y="9691975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1D34FCD-D8B3-458E-9E57-E1594B712BD6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27</xdr:row>
      <xdr:rowOff>54552</xdr:rowOff>
    </xdr:from>
    <xdr:to>
      <xdr:col>4</xdr:col>
      <xdr:colOff>3654012</xdr:colOff>
      <xdr:row>27</xdr:row>
      <xdr:rowOff>306552</xdr:rowOff>
    </xdr:to>
    <xdr:sp macro="" textlink="$T28">
      <xdr:nvSpPr>
        <xdr:cNvPr id="15" name="ZoneTexte 14"/>
        <xdr:cNvSpPr txBox="1">
          <a:spLocks/>
        </xdr:cNvSpPr>
      </xdr:nvSpPr>
      <xdr:spPr>
        <a:xfrm>
          <a:off x="5611812" y="10322502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C2B4400-7D1F-40B9-8241-3AE74259AFAC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28</xdr:row>
      <xdr:rowOff>58016</xdr:rowOff>
    </xdr:from>
    <xdr:to>
      <xdr:col>4</xdr:col>
      <xdr:colOff>3654012</xdr:colOff>
      <xdr:row>28</xdr:row>
      <xdr:rowOff>310016</xdr:rowOff>
    </xdr:to>
    <xdr:sp macro="" textlink="$T29">
      <xdr:nvSpPr>
        <xdr:cNvPr id="16" name="ZoneTexte 15"/>
        <xdr:cNvSpPr txBox="1">
          <a:spLocks/>
        </xdr:cNvSpPr>
      </xdr:nvSpPr>
      <xdr:spPr>
        <a:xfrm>
          <a:off x="5611812" y="10954616"/>
          <a:ext cx="252000" cy="252000"/>
        </a:xfrm>
        <a:prstGeom prst="rect">
          <a:avLst/>
        </a:prstGeom>
        <a:noFill/>
        <a:ln w="9525" cmpd="sng">
          <a:noFill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wrap="square" lIns="0" tIns="0" rIns="0" bIns="144000" rtlCol="0" anchor="ctr"/>
        <a:lstStyle/>
        <a:p>
          <a:pPr marL="0" marR="0" lvl="0" indent="0" algn="ctr" defTabSz="914400" eaLnBrk="1" fontAlgn="auto" latinLnBrk="0" hangingPunct="1">
            <a:lnSpc>
              <a:spcPts val="3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B99407D7-EC83-4FCC-B15E-A71869DC94F3}" type="TxLink"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Wingdings"/>
              <a:ea typeface="+mn-ea"/>
              <a:cs typeface="Calibri"/>
            </a:rPr>
            <a:pPr marL="0" marR="0" lvl="0" indent="0" algn="ctr" defTabSz="914400" eaLnBrk="1" fontAlgn="auto" latinLnBrk="0" hangingPunct="1">
              <a:lnSpc>
                <a:spcPts val="34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6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Wingdings" panose="05000000000000000000" pitchFamily="2" charset="2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3402012</xdr:colOff>
      <xdr:row>29</xdr:row>
      <xdr:rowOff>53541</xdr:rowOff>
    </xdr:from>
    <xdr:to>
      <xdr:col>4</xdr:col>
      <xdr:colOff>3654012</xdr:colOff>
      <xdr:row>29</xdr:row>
      <xdr:rowOff>305541</xdr:rowOff>
    </xdr:to>
    <xdr:sp macro="" textlink="$T30">
      <xdr:nvSpPr>
        <xdr:cNvPr id="17" name="ZoneTexte 16"/>
        <xdr:cNvSpPr txBox="1">
          <a:spLocks/>
        </xdr:cNvSpPr>
      </xdr:nvSpPr>
      <xdr:spPr>
        <a:xfrm>
          <a:off x="5611812" y="1157879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BD06B076-3106-4FEB-8759-A70C61D7F8F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3400425</xdr:colOff>
      <xdr:row>30</xdr:row>
      <xdr:rowOff>55418</xdr:rowOff>
    </xdr:from>
    <xdr:to>
      <xdr:col>4</xdr:col>
      <xdr:colOff>3652425</xdr:colOff>
      <xdr:row>30</xdr:row>
      <xdr:rowOff>307418</xdr:rowOff>
    </xdr:to>
    <xdr:sp macro="" textlink="$T31">
      <xdr:nvSpPr>
        <xdr:cNvPr id="18" name="ZoneTexte 17"/>
        <xdr:cNvSpPr txBox="1">
          <a:spLocks/>
        </xdr:cNvSpPr>
      </xdr:nvSpPr>
      <xdr:spPr>
        <a:xfrm>
          <a:off x="5610225" y="12209318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29ADCC3B-9448-47CF-9C98-1F39E979788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31</xdr:row>
      <xdr:rowOff>58881</xdr:rowOff>
    </xdr:from>
    <xdr:to>
      <xdr:col>4</xdr:col>
      <xdr:colOff>3654012</xdr:colOff>
      <xdr:row>31</xdr:row>
      <xdr:rowOff>310881</xdr:rowOff>
    </xdr:to>
    <xdr:sp macro="" textlink="$T32">
      <xdr:nvSpPr>
        <xdr:cNvPr id="19" name="ZoneTexte 18"/>
        <xdr:cNvSpPr txBox="1">
          <a:spLocks/>
        </xdr:cNvSpPr>
      </xdr:nvSpPr>
      <xdr:spPr>
        <a:xfrm>
          <a:off x="5611812" y="12841431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CC24A085-B58D-4E5F-95F7-F1C026AFA85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32</xdr:row>
      <xdr:rowOff>52820</xdr:rowOff>
    </xdr:from>
    <xdr:to>
      <xdr:col>4</xdr:col>
      <xdr:colOff>3654012</xdr:colOff>
      <xdr:row>32</xdr:row>
      <xdr:rowOff>304820</xdr:rowOff>
    </xdr:to>
    <xdr:sp macro="" textlink="$T33">
      <xdr:nvSpPr>
        <xdr:cNvPr id="20" name="ZoneTexte 19"/>
        <xdr:cNvSpPr txBox="1">
          <a:spLocks/>
        </xdr:cNvSpPr>
      </xdr:nvSpPr>
      <xdr:spPr>
        <a:xfrm>
          <a:off x="5611812" y="1346402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575DB200-C161-4598-ACC6-45EC34EDA273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33</xdr:row>
      <xdr:rowOff>56284</xdr:rowOff>
    </xdr:from>
    <xdr:to>
      <xdr:col>4</xdr:col>
      <xdr:colOff>3654012</xdr:colOff>
      <xdr:row>33</xdr:row>
      <xdr:rowOff>308284</xdr:rowOff>
    </xdr:to>
    <xdr:sp macro="" textlink="$T34">
      <xdr:nvSpPr>
        <xdr:cNvPr id="21" name="ZoneTexte 20"/>
        <xdr:cNvSpPr txBox="1">
          <a:spLocks/>
        </xdr:cNvSpPr>
      </xdr:nvSpPr>
      <xdr:spPr>
        <a:xfrm>
          <a:off x="5611812" y="14096134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F4FF463-1830-4F58-99CD-D9C991EC4021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34</xdr:row>
      <xdr:rowOff>51809</xdr:rowOff>
    </xdr:from>
    <xdr:to>
      <xdr:col>4</xdr:col>
      <xdr:colOff>3654012</xdr:colOff>
      <xdr:row>34</xdr:row>
      <xdr:rowOff>303809</xdr:rowOff>
    </xdr:to>
    <xdr:sp macro="" textlink="$T35">
      <xdr:nvSpPr>
        <xdr:cNvPr id="22" name="ZoneTexte 21"/>
        <xdr:cNvSpPr txBox="1">
          <a:spLocks/>
        </xdr:cNvSpPr>
      </xdr:nvSpPr>
      <xdr:spPr>
        <a:xfrm>
          <a:off x="5611812" y="14720309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FD570BC2-3B75-485B-ADBB-E4302E1B732F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3402012</xdr:colOff>
      <xdr:row>24</xdr:row>
      <xdr:rowOff>55563</xdr:rowOff>
    </xdr:from>
    <xdr:to>
      <xdr:col>4</xdr:col>
      <xdr:colOff>3654012</xdr:colOff>
      <xdr:row>24</xdr:row>
      <xdr:rowOff>307563</xdr:rowOff>
    </xdr:to>
    <xdr:sp macro="" textlink="$T25">
      <xdr:nvSpPr>
        <xdr:cNvPr id="23" name="ZoneTexte 22"/>
        <xdr:cNvSpPr txBox="1">
          <a:spLocks/>
        </xdr:cNvSpPr>
      </xdr:nvSpPr>
      <xdr:spPr>
        <a:xfrm>
          <a:off x="5611812" y="8437563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66FC9061-5E9D-47DC-B2E9-462F82447077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 editAs="oneCell">
    <xdr:from>
      <xdr:col>4</xdr:col>
      <xdr:colOff>3409950</xdr:colOff>
      <xdr:row>35</xdr:row>
      <xdr:rowOff>57150</xdr:rowOff>
    </xdr:from>
    <xdr:to>
      <xdr:col>4</xdr:col>
      <xdr:colOff>3661950</xdr:colOff>
      <xdr:row>35</xdr:row>
      <xdr:rowOff>309150</xdr:rowOff>
    </xdr:to>
    <xdr:sp macro="" textlink="$T36">
      <xdr:nvSpPr>
        <xdr:cNvPr id="24" name="ZoneTexte 23"/>
        <xdr:cNvSpPr txBox="1">
          <a:spLocks/>
        </xdr:cNvSpPr>
      </xdr:nvSpPr>
      <xdr:spPr>
        <a:xfrm>
          <a:off x="5619750" y="15354300"/>
          <a:ext cx="252000" cy="252000"/>
        </a:xfrm>
        <a:prstGeom prst="rect">
          <a:avLst/>
        </a:prstGeom>
        <a:noFill/>
        <a:ln w="9525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144000" rtlCol="0" anchor="ctr"/>
        <a:lstStyle/>
        <a:p>
          <a:pPr algn="ctr">
            <a:lnSpc>
              <a:spcPts val="3400"/>
            </a:lnSpc>
          </a:pPr>
          <a:fld id="{7D2BD382-F4F2-4160-AC22-FC4C7265E674}" type="TxLink">
            <a:rPr lang="en-US" sz="1600" b="1" i="0" u="none" strike="noStrike">
              <a:solidFill>
                <a:srgbClr val="0070C0"/>
              </a:solidFill>
              <a:latin typeface="Wingdings"/>
              <a:cs typeface="Calibri"/>
            </a:rPr>
            <a:pPr algn="ctr">
              <a:lnSpc>
                <a:spcPts val="3400"/>
              </a:lnSpc>
            </a:pPr>
            <a:t> </a:t>
          </a:fld>
          <a:endParaRPr lang="fr-FR" sz="1600" b="0" i="0" u="none" strike="noStrike">
            <a:solidFill>
              <a:srgbClr val="0070C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2</xdr:col>
      <xdr:colOff>82038</xdr:colOff>
      <xdr:row>36</xdr:row>
      <xdr:rowOff>133350</xdr:rowOff>
    </xdr:from>
    <xdr:to>
      <xdr:col>3</xdr:col>
      <xdr:colOff>690289</xdr:colOff>
      <xdr:row>38</xdr:row>
      <xdr:rowOff>40015</xdr:rowOff>
    </xdr:to>
    <xdr:grpSp>
      <xdr:nvGrpSpPr>
        <xdr:cNvPr id="29" name="Groupe 28"/>
        <xdr:cNvGrpSpPr/>
      </xdr:nvGrpSpPr>
      <xdr:grpSpPr>
        <a:xfrm>
          <a:off x="196338" y="16059150"/>
          <a:ext cx="1656001" cy="287665"/>
          <a:chOff x="209550" y="16668750"/>
          <a:chExt cx="1656001" cy="287665"/>
        </a:xfrm>
      </xdr:grpSpPr>
      <xdr:sp macro="" textlink="">
        <xdr:nvSpPr>
          <xdr:cNvPr id="30" name="ZoneTexte 29"/>
          <xdr:cNvSpPr txBox="1"/>
        </xdr:nvSpPr>
        <xdr:spPr>
          <a:xfrm>
            <a:off x="209551" y="16668750"/>
            <a:ext cx="1656000" cy="287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90000" rIns="90000" rtlCol="0" anchor="ctr"/>
          <a:lstStyle/>
          <a:p>
            <a:pPr algn="l"/>
            <a:r>
              <a:rPr lang="fr-FR" sz="1000">
                <a:latin typeface="+mn-lt"/>
              </a:rPr>
              <a:t>          REX</a:t>
            </a:r>
            <a:r>
              <a:rPr lang="fr-FR" sz="1000" baseline="0">
                <a:latin typeface="+mn-lt"/>
              </a:rPr>
              <a:t> Fin de GPA réalisé</a:t>
            </a:r>
            <a:endParaRPr lang="fr-FR" sz="1000">
              <a:latin typeface="+mn-lt"/>
            </a:endParaRPr>
          </a:p>
        </xdr:txBody>
      </xdr:sp>
      <xdr:pic>
        <xdr:nvPicPr>
          <xdr:cNvPr id="31" name="Image 30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-2920" t="2750" r="-2920" b="2750"/>
          <a:stretch/>
        </xdr:blipFill>
        <xdr:spPr>
          <a:xfrm>
            <a:off x="209550" y="16687800"/>
            <a:ext cx="252000" cy="252000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 intermédiaire GPA</a:t>
          </a:r>
          <a:r>
            <a:rPr lang="fr-FR" sz="1400" b="1" baseline="0">
              <a:solidFill>
                <a:schemeClr val="tx1"/>
              </a:solidFill>
            </a:rPr>
            <a:t> HN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85717</xdr:colOff>
      <xdr:row>56</xdr:row>
      <xdr:rowOff>38100</xdr:rowOff>
    </xdr:from>
    <xdr:to>
      <xdr:col>6</xdr:col>
      <xdr:colOff>195067</xdr:colOff>
      <xdr:row>57</xdr:row>
      <xdr:rowOff>135600</xdr:rowOff>
    </xdr:to>
    <xdr:grpSp>
      <xdr:nvGrpSpPr>
        <xdr:cNvPr id="4" name="Groupe 3"/>
        <xdr:cNvGrpSpPr/>
      </xdr:nvGrpSpPr>
      <xdr:grpSpPr>
        <a:xfrm>
          <a:off x="200017" y="21964650"/>
          <a:ext cx="6967350" cy="288000"/>
          <a:chOff x="123817" y="15973425"/>
          <a:chExt cx="6967350" cy="288000"/>
        </a:xfrm>
      </xdr:grpSpPr>
      <xdr:grpSp>
        <xdr:nvGrpSpPr>
          <xdr:cNvPr id="5" name="Groupe 4"/>
          <xdr:cNvGrpSpPr/>
        </xdr:nvGrpSpPr>
        <xdr:grpSpPr>
          <a:xfrm>
            <a:off x="123817" y="15973425"/>
            <a:ext cx="3780000" cy="288000"/>
            <a:chOff x="200025" y="15973425"/>
            <a:chExt cx="3780000" cy="288000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200025" y="15973425"/>
              <a:ext cx="3780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référent PA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00026" y="16021051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6" name="Groupe 5"/>
          <xdr:cNvGrpSpPr/>
        </xdr:nvGrpSpPr>
        <xdr:grpSpPr>
          <a:xfrm>
            <a:off x="4067167" y="15973425"/>
            <a:ext cx="3024000" cy="288000"/>
            <a:chOff x="8486774" y="15973424"/>
            <a:chExt cx="3024000" cy="288000"/>
          </a:xfrm>
        </xdr:grpSpPr>
        <xdr:sp macro="" textlink="">
          <xdr:nvSpPr>
            <xdr:cNvPr id="7" name="ZoneTexte 6"/>
            <xdr:cNvSpPr txBox="1"/>
          </xdr:nvSpPr>
          <xdr:spPr>
            <a:xfrm>
              <a:off x="8486774" y="15973424"/>
              <a:ext cx="3024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calculées automatiquement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8486775" y="16021050"/>
              <a:ext cx="540000" cy="1800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44418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>
    <xdr:from>
      <xdr:col>15</xdr:col>
      <xdr:colOff>104775</xdr:colOff>
      <xdr:row>54</xdr:row>
      <xdr:rowOff>180975</xdr:rowOff>
    </xdr:from>
    <xdr:to>
      <xdr:col>16</xdr:col>
      <xdr:colOff>1125</xdr:colOff>
      <xdr:row>59</xdr:row>
      <xdr:rowOff>20488</xdr:rowOff>
    </xdr:to>
    <xdr:grpSp>
      <xdr:nvGrpSpPr>
        <xdr:cNvPr id="14" name="Groupe 13"/>
        <xdr:cNvGrpSpPr/>
      </xdr:nvGrpSpPr>
      <xdr:grpSpPr>
        <a:xfrm>
          <a:off x="15573375" y="21726525"/>
          <a:ext cx="6878175" cy="792013"/>
          <a:chOff x="15554325" y="15449550"/>
          <a:chExt cx="7849725" cy="792013"/>
        </a:xfrm>
      </xdr:grpSpPr>
      <xdr:sp macro="" textlink="">
        <xdr:nvSpPr>
          <xdr:cNvPr id="15" name="ZoneTexte 14"/>
          <xdr:cNvSpPr txBox="1"/>
        </xdr:nvSpPr>
        <xdr:spPr>
          <a:xfrm>
            <a:off x="20007278" y="15449563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&lt;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&lt;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15706725" y="15449563"/>
            <a:ext cx="4140000" cy="79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50000"/>
              </a:lnSpc>
            </a:pP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HARMONISER ET RENDRE EFFICIENTE LA GESTION DE LA GPA</a:t>
            </a:r>
            <a:b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</a:b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POUR UNE MEILLEURE SATISFACTION DE NOS CLIENTS</a:t>
            </a:r>
            <a:r>
              <a:rPr lang="fr-FR" sz="1200">
                <a:solidFill>
                  <a:srgbClr val="FF0000"/>
                </a:solidFill>
              </a:rPr>
              <a:t> </a:t>
            </a:r>
            <a:endParaRPr lang="fr-FR" sz="1200" b="0" i="0" u="none" strike="noStrike">
              <a:solidFill>
                <a:srgbClr val="FF0000"/>
              </a:solidFill>
              <a:latin typeface="Calibri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155543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98596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/>
          <xdr:cNvSpPr/>
        </xdr:nvSpPr>
        <xdr:spPr>
          <a:xfrm>
            <a:off x="23260050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 intermédiaire GPA</a:t>
          </a:r>
          <a:r>
            <a:rPr lang="fr-FR" sz="1400" b="1" baseline="0">
              <a:solidFill>
                <a:schemeClr val="tx1"/>
              </a:solidFill>
            </a:rPr>
            <a:t> HR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85717</xdr:colOff>
      <xdr:row>56</xdr:row>
      <xdr:rowOff>38100</xdr:rowOff>
    </xdr:from>
    <xdr:to>
      <xdr:col>6</xdr:col>
      <xdr:colOff>195067</xdr:colOff>
      <xdr:row>57</xdr:row>
      <xdr:rowOff>135600</xdr:rowOff>
    </xdr:to>
    <xdr:grpSp>
      <xdr:nvGrpSpPr>
        <xdr:cNvPr id="4" name="Groupe 3"/>
        <xdr:cNvGrpSpPr/>
      </xdr:nvGrpSpPr>
      <xdr:grpSpPr>
        <a:xfrm>
          <a:off x="200017" y="21964650"/>
          <a:ext cx="6967350" cy="288000"/>
          <a:chOff x="123817" y="15973425"/>
          <a:chExt cx="6967350" cy="288000"/>
        </a:xfrm>
      </xdr:grpSpPr>
      <xdr:grpSp>
        <xdr:nvGrpSpPr>
          <xdr:cNvPr id="5" name="Groupe 4"/>
          <xdr:cNvGrpSpPr/>
        </xdr:nvGrpSpPr>
        <xdr:grpSpPr>
          <a:xfrm>
            <a:off x="123817" y="15973425"/>
            <a:ext cx="3780000" cy="288000"/>
            <a:chOff x="200025" y="15973425"/>
            <a:chExt cx="3780000" cy="288000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200025" y="15973425"/>
              <a:ext cx="3780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référent PA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00026" y="16021051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6" name="Groupe 5"/>
          <xdr:cNvGrpSpPr/>
        </xdr:nvGrpSpPr>
        <xdr:grpSpPr>
          <a:xfrm>
            <a:off x="4067167" y="15973425"/>
            <a:ext cx="3024000" cy="288000"/>
            <a:chOff x="8486774" y="15973424"/>
            <a:chExt cx="3024000" cy="288000"/>
          </a:xfrm>
        </xdr:grpSpPr>
        <xdr:sp macro="" textlink="">
          <xdr:nvSpPr>
            <xdr:cNvPr id="7" name="ZoneTexte 6"/>
            <xdr:cNvSpPr txBox="1"/>
          </xdr:nvSpPr>
          <xdr:spPr>
            <a:xfrm>
              <a:off x="8486774" y="15973424"/>
              <a:ext cx="3024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calculées automatiquement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8486775" y="16021050"/>
              <a:ext cx="540000" cy="1800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44418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>
    <xdr:from>
      <xdr:col>15</xdr:col>
      <xdr:colOff>104775</xdr:colOff>
      <xdr:row>54</xdr:row>
      <xdr:rowOff>180975</xdr:rowOff>
    </xdr:from>
    <xdr:to>
      <xdr:col>16</xdr:col>
      <xdr:colOff>1125</xdr:colOff>
      <xdr:row>59</xdr:row>
      <xdr:rowOff>20488</xdr:rowOff>
    </xdr:to>
    <xdr:grpSp>
      <xdr:nvGrpSpPr>
        <xdr:cNvPr id="14" name="Groupe 13"/>
        <xdr:cNvGrpSpPr/>
      </xdr:nvGrpSpPr>
      <xdr:grpSpPr>
        <a:xfrm>
          <a:off x="15573375" y="21726525"/>
          <a:ext cx="6878175" cy="792013"/>
          <a:chOff x="15554325" y="15449550"/>
          <a:chExt cx="7849725" cy="792013"/>
        </a:xfrm>
      </xdr:grpSpPr>
      <xdr:sp macro="" textlink="">
        <xdr:nvSpPr>
          <xdr:cNvPr id="15" name="ZoneTexte 14"/>
          <xdr:cNvSpPr txBox="1"/>
        </xdr:nvSpPr>
        <xdr:spPr>
          <a:xfrm>
            <a:off x="20007278" y="15449563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&lt;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&lt;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15706725" y="15449563"/>
            <a:ext cx="4140000" cy="79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50000"/>
              </a:lnSpc>
            </a:pP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HARMONISER ET RENDRE EFFICIENTE LA GESTION DE LA GPA</a:t>
            </a:r>
            <a:b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</a:b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POUR UNE MEILLEURE SATISFACTION DE NOS CLIENTS</a:t>
            </a:r>
            <a:r>
              <a:rPr lang="fr-FR" sz="1200">
                <a:solidFill>
                  <a:srgbClr val="FF0000"/>
                </a:solidFill>
              </a:rPr>
              <a:t> </a:t>
            </a:r>
            <a:endParaRPr lang="fr-FR" sz="1200" b="0" i="0" u="none" strike="noStrike">
              <a:solidFill>
                <a:srgbClr val="FF0000"/>
              </a:solidFill>
              <a:latin typeface="Calibri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155543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98596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/>
          <xdr:cNvSpPr/>
        </xdr:nvSpPr>
        <xdr:spPr>
          <a:xfrm>
            <a:off x="23260050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 intermédiaire GPA</a:t>
          </a:r>
          <a:r>
            <a:rPr lang="fr-FR" sz="1400" b="1" baseline="0">
              <a:solidFill>
                <a:schemeClr val="tx1"/>
              </a:solidFill>
            </a:rPr>
            <a:t> OF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85717</xdr:colOff>
      <xdr:row>56</xdr:row>
      <xdr:rowOff>38100</xdr:rowOff>
    </xdr:from>
    <xdr:to>
      <xdr:col>6</xdr:col>
      <xdr:colOff>195067</xdr:colOff>
      <xdr:row>57</xdr:row>
      <xdr:rowOff>135600</xdr:rowOff>
    </xdr:to>
    <xdr:grpSp>
      <xdr:nvGrpSpPr>
        <xdr:cNvPr id="4" name="Groupe 3"/>
        <xdr:cNvGrpSpPr/>
      </xdr:nvGrpSpPr>
      <xdr:grpSpPr>
        <a:xfrm>
          <a:off x="200017" y="21964650"/>
          <a:ext cx="6967350" cy="288000"/>
          <a:chOff x="123817" y="15973425"/>
          <a:chExt cx="6967350" cy="288000"/>
        </a:xfrm>
      </xdr:grpSpPr>
      <xdr:grpSp>
        <xdr:nvGrpSpPr>
          <xdr:cNvPr id="5" name="Groupe 4"/>
          <xdr:cNvGrpSpPr/>
        </xdr:nvGrpSpPr>
        <xdr:grpSpPr>
          <a:xfrm>
            <a:off x="123817" y="15973425"/>
            <a:ext cx="3780000" cy="288000"/>
            <a:chOff x="200025" y="15973425"/>
            <a:chExt cx="3780000" cy="288000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200025" y="15973425"/>
              <a:ext cx="3780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référent PA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00026" y="16021051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6" name="Groupe 5"/>
          <xdr:cNvGrpSpPr/>
        </xdr:nvGrpSpPr>
        <xdr:grpSpPr>
          <a:xfrm>
            <a:off x="4067167" y="15973425"/>
            <a:ext cx="3024000" cy="288000"/>
            <a:chOff x="8486774" y="15973424"/>
            <a:chExt cx="3024000" cy="288000"/>
          </a:xfrm>
        </xdr:grpSpPr>
        <xdr:sp macro="" textlink="">
          <xdr:nvSpPr>
            <xdr:cNvPr id="7" name="ZoneTexte 6"/>
            <xdr:cNvSpPr txBox="1"/>
          </xdr:nvSpPr>
          <xdr:spPr>
            <a:xfrm>
              <a:off x="8486774" y="15973424"/>
              <a:ext cx="3024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calculées automatiquement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8486775" y="16021050"/>
              <a:ext cx="540000" cy="1800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44418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>
    <xdr:from>
      <xdr:col>15</xdr:col>
      <xdr:colOff>104775</xdr:colOff>
      <xdr:row>54</xdr:row>
      <xdr:rowOff>180975</xdr:rowOff>
    </xdr:from>
    <xdr:to>
      <xdr:col>16</xdr:col>
      <xdr:colOff>1125</xdr:colOff>
      <xdr:row>59</xdr:row>
      <xdr:rowOff>20488</xdr:rowOff>
    </xdr:to>
    <xdr:grpSp>
      <xdr:nvGrpSpPr>
        <xdr:cNvPr id="14" name="Groupe 13"/>
        <xdr:cNvGrpSpPr/>
      </xdr:nvGrpSpPr>
      <xdr:grpSpPr>
        <a:xfrm>
          <a:off x="15573375" y="21726525"/>
          <a:ext cx="6878175" cy="792013"/>
          <a:chOff x="15554325" y="15449550"/>
          <a:chExt cx="7849725" cy="792013"/>
        </a:xfrm>
      </xdr:grpSpPr>
      <xdr:sp macro="" textlink="">
        <xdr:nvSpPr>
          <xdr:cNvPr id="15" name="ZoneTexte 14"/>
          <xdr:cNvSpPr txBox="1"/>
        </xdr:nvSpPr>
        <xdr:spPr>
          <a:xfrm>
            <a:off x="20007278" y="15449563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&lt;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&lt;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15706725" y="15449563"/>
            <a:ext cx="4140000" cy="79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50000"/>
              </a:lnSpc>
            </a:pP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HARMONISER ET RENDRE EFFICIENTE LA GESTION DE LA GPA</a:t>
            </a:r>
            <a:b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</a:b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POUR UNE MEILLEURE SATISFACTION DE NOS CLIENTS</a:t>
            </a:r>
            <a:r>
              <a:rPr lang="fr-FR" sz="1200">
                <a:solidFill>
                  <a:srgbClr val="FF0000"/>
                </a:solidFill>
              </a:rPr>
              <a:t> </a:t>
            </a:r>
            <a:endParaRPr lang="fr-FR" sz="1200" b="0" i="0" u="none" strike="noStrike">
              <a:solidFill>
                <a:srgbClr val="FF0000"/>
              </a:solidFill>
              <a:latin typeface="Calibri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155543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98596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/>
          <xdr:cNvSpPr/>
        </xdr:nvSpPr>
        <xdr:spPr>
          <a:xfrm>
            <a:off x="23260050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4759</xdr:colOff>
      <xdr:row>1</xdr:row>
      <xdr:rowOff>4763</xdr:rowOff>
    </xdr:from>
    <xdr:to>
      <xdr:col>16</xdr:col>
      <xdr:colOff>56284</xdr:colOff>
      <xdr:row>8</xdr:row>
      <xdr:rowOff>190463</xdr:rowOff>
    </xdr:to>
    <xdr:sp macro="" textlink="">
      <xdr:nvSpPr>
        <xdr:cNvPr id="2" name="ZoneTexte 1"/>
        <xdr:cNvSpPr txBox="1"/>
      </xdr:nvSpPr>
      <xdr:spPr>
        <a:xfrm>
          <a:off x="61909" y="61913"/>
          <a:ext cx="22444800" cy="15192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softRound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POINT BIMESTRIEL PARFAIT ACHEVEMENT</a:t>
          </a:r>
        </a:p>
      </xdr:txBody>
    </xdr:sp>
    <xdr:clientData/>
  </xdr:twoCellAnchor>
  <xdr:twoCellAnchor>
    <xdr:from>
      <xdr:col>1</xdr:col>
      <xdr:colOff>4762</xdr:colOff>
      <xdr:row>19</xdr:row>
      <xdr:rowOff>4762</xdr:rowOff>
    </xdr:from>
    <xdr:to>
      <xdr:col>16</xdr:col>
      <xdr:colOff>56062</xdr:colOff>
      <xdr:row>22</xdr:row>
      <xdr:rowOff>189262</xdr:rowOff>
    </xdr:to>
    <xdr:sp macro="" textlink="">
      <xdr:nvSpPr>
        <xdr:cNvPr id="3" name="ZoneTexte 2"/>
        <xdr:cNvSpPr txBox="1"/>
      </xdr:nvSpPr>
      <xdr:spPr>
        <a:xfrm>
          <a:off x="61912" y="3490912"/>
          <a:ext cx="22444575" cy="75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Bilan  intermédiaire GPA</a:t>
          </a:r>
          <a:r>
            <a:rPr lang="fr-FR" sz="1400" b="1" baseline="0">
              <a:solidFill>
                <a:schemeClr val="tx1"/>
              </a:solidFill>
            </a:rPr>
            <a:t> IE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85717</xdr:colOff>
      <xdr:row>56</xdr:row>
      <xdr:rowOff>38100</xdr:rowOff>
    </xdr:from>
    <xdr:to>
      <xdr:col>6</xdr:col>
      <xdr:colOff>195067</xdr:colOff>
      <xdr:row>57</xdr:row>
      <xdr:rowOff>135600</xdr:rowOff>
    </xdr:to>
    <xdr:grpSp>
      <xdr:nvGrpSpPr>
        <xdr:cNvPr id="4" name="Groupe 3"/>
        <xdr:cNvGrpSpPr/>
      </xdr:nvGrpSpPr>
      <xdr:grpSpPr>
        <a:xfrm>
          <a:off x="200017" y="21964650"/>
          <a:ext cx="6967350" cy="288000"/>
          <a:chOff x="123817" y="15973425"/>
          <a:chExt cx="6967350" cy="288000"/>
        </a:xfrm>
      </xdr:grpSpPr>
      <xdr:grpSp>
        <xdr:nvGrpSpPr>
          <xdr:cNvPr id="5" name="Groupe 4"/>
          <xdr:cNvGrpSpPr/>
        </xdr:nvGrpSpPr>
        <xdr:grpSpPr>
          <a:xfrm>
            <a:off x="123817" y="15973425"/>
            <a:ext cx="3780000" cy="288000"/>
            <a:chOff x="200025" y="15973425"/>
            <a:chExt cx="3780000" cy="288000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200025" y="15973425"/>
              <a:ext cx="3780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transmises par le référent QE / référent PA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00026" y="16021051"/>
              <a:ext cx="540000" cy="1800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6" name="Groupe 5"/>
          <xdr:cNvGrpSpPr/>
        </xdr:nvGrpSpPr>
        <xdr:grpSpPr>
          <a:xfrm>
            <a:off x="4067167" y="15973425"/>
            <a:ext cx="3024000" cy="288000"/>
            <a:chOff x="8486774" y="15973424"/>
            <a:chExt cx="3024000" cy="288000"/>
          </a:xfrm>
        </xdr:grpSpPr>
        <xdr:sp macro="" textlink="">
          <xdr:nvSpPr>
            <xdr:cNvPr id="7" name="ZoneTexte 6"/>
            <xdr:cNvSpPr txBox="1"/>
          </xdr:nvSpPr>
          <xdr:spPr>
            <a:xfrm>
              <a:off x="8486774" y="15973424"/>
              <a:ext cx="3024000" cy="288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fr-FR" sz="1000" baseline="0">
                  <a:latin typeface="+mn-lt"/>
                </a:rPr>
                <a:t>                    </a:t>
              </a:r>
              <a:r>
                <a:rPr lang="fr-FR" sz="1000">
                  <a:latin typeface="+mn-lt"/>
                </a:rPr>
                <a:t>Informations</a:t>
              </a:r>
              <a:r>
                <a:rPr lang="fr-FR" sz="1000" baseline="0">
                  <a:latin typeface="+mn-lt"/>
                </a:rPr>
                <a:t> calculées automatiquement</a:t>
              </a:r>
              <a:endParaRPr lang="fr-FR" sz="1000">
                <a:latin typeface="+mn-lt"/>
              </a:endParaRP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8486775" y="16021050"/>
              <a:ext cx="540000" cy="1800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4767</xdr:colOff>
      <xdr:row>11</xdr:row>
      <xdr:rowOff>4763</xdr:rowOff>
    </xdr:from>
    <xdr:to>
      <xdr:col>16</xdr:col>
      <xdr:colOff>55673</xdr:colOff>
      <xdr:row>16</xdr:row>
      <xdr:rowOff>189863</xdr:rowOff>
    </xdr:to>
    <xdr:grpSp>
      <xdr:nvGrpSpPr>
        <xdr:cNvPr id="11" name="Groupe 10"/>
        <xdr:cNvGrpSpPr/>
      </xdr:nvGrpSpPr>
      <xdr:grpSpPr>
        <a:xfrm>
          <a:off x="61917" y="1966913"/>
          <a:ext cx="22444181" cy="1137600"/>
          <a:chOff x="61917" y="1966913"/>
          <a:chExt cx="23510981" cy="1137600"/>
        </a:xfrm>
      </xdr:grpSpPr>
      <xdr:sp macro="" textlink="'Feuille Saisie'!E2">
        <xdr:nvSpPr>
          <xdr:cNvPr id="12" name="ZoneTexte 11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61917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78B3FDD3-A508-404A-BE79-B55CD8F614FE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Agence : XXXX
Date : 20/02/2019</a:t>
            </a:fld>
            <a:endParaRPr lang="fr-FR" sz="1400" b="1"/>
          </a:p>
        </xdr:txBody>
      </xdr:sp>
      <xdr:sp macro="" textlink="'Feuille Saisie'!E4">
        <xdr:nvSpPr>
          <xdr:cNvPr id="13" name="ZoneTexte 12">
            <a:extLst>
              <a:ext uri="{FF2B5EF4-FFF2-40B4-BE49-F238E27FC236}">
                <a16:creationId xmlns="" xmlns:a16="http://schemas.microsoft.com/office/drawing/2014/main" id="{336C5E17-EF01-43B4-BA2F-2629C9DA112E}"/>
              </a:ext>
            </a:extLst>
          </xdr:cNvPr>
          <xdr:cNvSpPr txBox="1"/>
        </xdr:nvSpPr>
        <xdr:spPr>
          <a:xfrm>
            <a:off x="11872898" y="1966913"/>
            <a:ext cx="11700000" cy="11376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180000" tIns="0" rIns="0" bIns="126000" rtlCol="0" anchor="ctr"/>
          <a:lstStyle/>
          <a:p>
            <a:pPr>
              <a:lnSpc>
                <a:spcPts val="3400"/>
              </a:lnSpc>
            </a:pPr>
            <a:fld id="{1EE38D43-F033-4B6A-9636-E592408209D7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>
                <a:lnSpc>
                  <a:spcPts val="3400"/>
                </a:lnSpc>
              </a:pPr>
              <a:t>Présents : XXXX
Destinataires : XXXX</a:t>
            </a:fld>
            <a:endParaRPr lang="fr-FR" sz="1400" b="1"/>
          </a:p>
        </xdr:txBody>
      </xdr:sp>
    </xdr:grpSp>
    <xdr:clientData/>
  </xdr:twoCellAnchor>
  <xdr:twoCellAnchor>
    <xdr:from>
      <xdr:col>15</xdr:col>
      <xdr:colOff>104775</xdr:colOff>
      <xdr:row>54</xdr:row>
      <xdr:rowOff>180975</xdr:rowOff>
    </xdr:from>
    <xdr:to>
      <xdr:col>16</xdr:col>
      <xdr:colOff>1125</xdr:colOff>
      <xdr:row>59</xdr:row>
      <xdr:rowOff>20488</xdr:rowOff>
    </xdr:to>
    <xdr:grpSp>
      <xdr:nvGrpSpPr>
        <xdr:cNvPr id="14" name="Groupe 13"/>
        <xdr:cNvGrpSpPr/>
      </xdr:nvGrpSpPr>
      <xdr:grpSpPr>
        <a:xfrm>
          <a:off x="15573375" y="21726525"/>
          <a:ext cx="6878175" cy="792013"/>
          <a:chOff x="15554325" y="15449550"/>
          <a:chExt cx="7849725" cy="792013"/>
        </a:xfrm>
      </xdr:grpSpPr>
      <xdr:sp macro="" textlink="">
        <xdr:nvSpPr>
          <xdr:cNvPr id="15" name="ZoneTexte 14"/>
          <xdr:cNvSpPr txBox="1"/>
        </xdr:nvSpPr>
        <xdr:spPr>
          <a:xfrm>
            <a:off x="20007278" y="15449563"/>
            <a:ext cx="3240000" cy="784544"/>
          </a:xfrm>
          <a:prstGeom prst="roundRect">
            <a:avLst/>
          </a:prstGeom>
          <a:noFill/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00000"/>
              </a:lnSpc>
            </a:pPr>
            <a:r>
              <a:rPr lang="fr-FR" sz="1000" b="1" i="1" u="sng" strike="noStrike">
                <a:solidFill>
                  <a:srgbClr val="FF0000"/>
                </a:solidFill>
                <a:latin typeface="Calibri"/>
              </a:rPr>
              <a:t>Rappel des objectifs Phase GPA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600" b="1" i="1" u="sng" strike="noStrike">
                <a:solidFill>
                  <a:srgbClr val="FF0000"/>
                </a:solidFill>
                <a:latin typeface="Calibri"/>
              </a:rPr>
              <a:t> </a:t>
            </a:r>
            <a:r>
              <a:rPr lang="fr-FR" sz="1100" b="1" i="1" u="sng" strike="noStrike">
                <a:solidFill>
                  <a:srgbClr val="FF0000"/>
                </a:solidFill>
                <a:latin typeface="Calibri"/>
              </a:rPr>
              <a:t/>
            </a:r>
            <a:br>
              <a:rPr lang="fr-FR" sz="1100" b="1" i="1" u="sng" strike="noStrike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>
                <a:solidFill>
                  <a:srgbClr val="FF0000"/>
                </a:solidFill>
                <a:latin typeface="Calibri"/>
              </a:rPr>
              <a:t>Délai d'intervention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 (Réactivité moyenne) &lt; 15 jours</a:t>
            </a:r>
            <a:b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</a:br>
            <a:r>
              <a:rPr lang="fr-FR" sz="1000" b="0" i="0" u="none" strike="noStrike" baseline="0">
                <a:solidFill>
                  <a:srgbClr val="FF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→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  <a:cs typeface="+mn-cs"/>
              </a:rPr>
              <a:t> </a:t>
            </a:r>
            <a:r>
              <a:rPr lang="fr-FR" sz="1000" b="0" i="0" u="none" strike="noStrike" baseline="0">
                <a:solidFill>
                  <a:srgbClr val="FF0000"/>
                </a:solidFill>
                <a:latin typeface="Calibri"/>
              </a:rPr>
              <a:t>Nombre de réclamations GPA &lt; 1 par logement</a:t>
            </a:r>
            <a:endParaRPr lang="fr-FR" sz="1000" b="0" i="0" u="none" strike="noStrike">
              <a:solidFill>
                <a:srgbClr val="FF0000"/>
              </a:solidFill>
              <a:latin typeface="Calibri"/>
            </a:endParaRPr>
          </a:p>
          <a:p>
            <a:pPr algn="ctr">
              <a:lnSpc>
                <a:spcPct val="100000"/>
              </a:lnSpc>
            </a:pPr>
            <a:endParaRPr lang="fr-FR" sz="1100" b="1" i="1" u="sng" strike="noStrike">
              <a:solidFill>
                <a:srgbClr val="FF6600"/>
              </a:solidFill>
              <a:latin typeface="Calibri"/>
            </a:endParaRPr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15706725" y="15449563"/>
            <a:ext cx="4140000" cy="79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>
              <a:lnSpc>
                <a:spcPct val="150000"/>
              </a:lnSpc>
            </a:pP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HARMONISER ET RENDRE EFFICIENTE LA GESTION DE LA GPA</a:t>
            </a:r>
            <a:b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</a:br>
            <a:r>
              <a:rPr lang="fr-FR" sz="12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POUR UNE MEILLEURE SATISFACTION DE NOS CLIENTS</a:t>
            </a:r>
            <a:r>
              <a:rPr lang="fr-FR" sz="1200">
                <a:solidFill>
                  <a:srgbClr val="FF0000"/>
                </a:solidFill>
              </a:rPr>
              <a:t> </a:t>
            </a:r>
            <a:endParaRPr lang="fr-FR" sz="1200" b="0" i="0" u="none" strike="noStrike">
              <a:solidFill>
                <a:srgbClr val="FF0000"/>
              </a:solidFill>
              <a:latin typeface="Calibri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155543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9859625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/>
          <xdr:cNvSpPr/>
        </xdr:nvSpPr>
        <xdr:spPr>
          <a:xfrm>
            <a:off x="23260050" y="15449550"/>
            <a:ext cx="144000" cy="790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a:spPr>
      <a:bodyPr vertOverflow="clip" horzOverflow="clip" wrap="square" lIns="792000" tIns="0" rIns="0" bIns="126000" rtlCol="0" anchor="ctr"/>
      <a:lstStyle>
        <a:defPPr>
          <a:lnSpc>
            <a:spcPts val="3400"/>
          </a:lnSpc>
          <a:defRPr sz="1100" b="0" i="0" u="none" strike="noStrike">
            <a:solidFill>
              <a:srgbClr val="000000"/>
            </a:solidFill>
            <a:latin typeface="Calibri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3.xml"/><Relationship Id="rId21" Type="http://schemas.openxmlformats.org/officeDocument/2006/relationships/ctrlProp" Target="../ctrlProps/ctrlProp17.xml"/><Relationship Id="rId42" Type="http://schemas.openxmlformats.org/officeDocument/2006/relationships/ctrlProp" Target="../ctrlProps/ctrlProp38.xml"/><Relationship Id="rId63" Type="http://schemas.openxmlformats.org/officeDocument/2006/relationships/ctrlProp" Target="../ctrlProps/ctrlProp59.xml"/><Relationship Id="rId84" Type="http://schemas.openxmlformats.org/officeDocument/2006/relationships/ctrlProp" Target="../ctrlProps/ctrlProp80.xml"/><Relationship Id="rId138" Type="http://schemas.openxmlformats.org/officeDocument/2006/relationships/ctrlProp" Target="../ctrlProps/ctrlProp134.xml"/><Relationship Id="rId159" Type="http://schemas.openxmlformats.org/officeDocument/2006/relationships/ctrlProp" Target="../ctrlProps/ctrlProp155.xml"/><Relationship Id="rId170" Type="http://schemas.openxmlformats.org/officeDocument/2006/relationships/ctrlProp" Target="../ctrlProps/ctrlProp166.xml"/><Relationship Id="rId191" Type="http://schemas.openxmlformats.org/officeDocument/2006/relationships/ctrlProp" Target="../ctrlProps/ctrlProp187.xml"/><Relationship Id="rId205" Type="http://schemas.openxmlformats.org/officeDocument/2006/relationships/ctrlProp" Target="../ctrlProps/ctrlProp201.xml"/><Relationship Id="rId226" Type="http://schemas.openxmlformats.org/officeDocument/2006/relationships/ctrlProp" Target="../ctrlProps/ctrlProp222.xml"/><Relationship Id="rId107" Type="http://schemas.openxmlformats.org/officeDocument/2006/relationships/ctrlProp" Target="../ctrlProps/ctrlProp103.xml"/><Relationship Id="rId11" Type="http://schemas.openxmlformats.org/officeDocument/2006/relationships/ctrlProp" Target="../ctrlProps/ctrlProp7.xml"/><Relationship Id="rId32" Type="http://schemas.openxmlformats.org/officeDocument/2006/relationships/ctrlProp" Target="../ctrlProps/ctrlProp28.xml"/><Relationship Id="rId53" Type="http://schemas.openxmlformats.org/officeDocument/2006/relationships/ctrlProp" Target="../ctrlProps/ctrlProp49.xml"/><Relationship Id="rId74" Type="http://schemas.openxmlformats.org/officeDocument/2006/relationships/ctrlProp" Target="../ctrlProps/ctrlProp70.xml"/><Relationship Id="rId128" Type="http://schemas.openxmlformats.org/officeDocument/2006/relationships/ctrlProp" Target="../ctrlProps/ctrlProp124.xml"/><Relationship Id="rId149" Type="http://schemas.openxmlformats.org/officeDocument/2006/relationships/ctrlProp" Target="../ctrlProps/ctrlProp145.xml"/><Relationship Id="rId5" Type="http://schemas.openxmlformats.org/officeDocument/2006/relationships/ctrlProp" Target="../ctrlProps/ctrlProp1.xml"/><Relationship Id="rId95" Type="http://schemas.openxmlformats.org/officeDocument/2006/relationships/ctrlProp" Target="../ctrlProps/ctrlProp91.xml"/><Relationship Id="rId160" Type="http://schemas.openxmlformats.org/officeDocument/2006/relationships/ctrlProp" Target="../ctrlProps/ctrlProp156.xml"/><Relationship Id="rId181" Type="http://schemas.openxmlformats.org/officeDocument/2006/relationships/ctrlProp" Target="../ctrlProps/ctrlProp177.xml"/><Relationship Id="rId216" Type="http://schemas.openxmlformats.org/officeDocument/2006/relationships/ctrlProp" Target="../ctrlProps/ctrlProp212.xml"/><Relationship Id="rId237" Type="http://schemas.openxmlformats.org/officeDocument/2006/relationships/ctrlProp" Target="../ctrlProps/ctrlProp233.xml"/><Relationship Id="rId22" Type="http://schemas.openxmlformats.org/officeDocument/2006/relationships/ctrlProp" Target="../ctrlProps/ctrlProp18.xml"/><Relationship Id="rId43" Type="http://schemas.openxmlformats.org/officeDocument/2006/relationships/ctrlProp" Target="../ctrlProps/ctrlProp39.xml"/><Relationship Id="rId64" Type="http://schemas.openxmlformats.org/officeDocument/2006/relationships/ctrlProp" Target="../ctrlProps/ctrlProp60.xml"/><Relationship Id="rId118" Type="http://schemas.openxmlformats.org/officeDocument/2006/relationships/ctrlProp" Target="../ctrlProps/ctrlProp114.xml"/><Relationship Id="rId139" Type="http://schemas.openxmlformats.org/officeDocument/2006/relationships/ctrlProp" Target="../ctrlProps/ctrlProp135.xml"/><Relationship Id="rId85" Type="http://schemas.openxmlformats.org/officeDocument/2006/relationships/ctrlProp" Target="../ctrlProps/ctrlProp81.xml"/><Relationship Id="rId150" Type="http://schemas.openxmlformats.org/officeDocument/2006/relationships/ctrlProp" Target="../ctrlProps/ctrlProp146.xml"/><Relationship Id="rId171" Type="http://schemas.openxmlformats.org/officeDocument/2006/relationships/ctrlProp" Target="../ctrlProps/ctrlProp167.xml"/><Relationship Id="rId192" Type="http://schemas.openxmlformats.org/officeDocument/2006/relationships/ctrlProp" Target="../ctrlProps/ctrlProp188.xml"/><Relationship Id="rId206" Type="http://schemas.openxmlformats.org/officeDocument/2006/relationships/ctrlProp" Target="../ctrlProps/ctrlProp202.xml"/><Relationship Id="rId227" Type="http://schemas.openxmlformats.org/officeDocument/2006/relationships/ctrlProp" Target="../ctrlProps/ctrlProp223.xml"/><Relationship Id="rId201" Type="http://schemas.openxmlformats.org/officeDocument/2006/relationships/ctrlProp" Target="../ctrlProps/ctrlProp197.xml"/><Relationship Id="rId222" Type="http://schemas.openxmlformats.org/officeDocument/2006/relationships/ctrlProp" Target="../ctrlProps/ctrlProp218.xml"/><Relationship Id="rId243" Type="http://schemas.openxmlformats.org/officeDocument/2006/relationships/ctrlProp" Target="../ctrlProps/ctrlProp239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08" Type="http://schemas.openxmlformats.org/officeDocument/2006/relationships/ctrlProp" Target="../ctrlProps/ctrlProp104.xml"/><Relationship Id="rId124" Type="http://schemas.openxmlformats.org/officeDocument/2006/relationships/ctrlProp" Target="../ctrlProps/ctrlProp120.xml"/><Relationship Id="rId129" Type="http://schemas.openxmlformats.org/officeDocument/2006/relationships/ctrlProp" Target="../ctrlProps/ctrlProp125.xml"/><Relationship Id="rId54" Type="http://schemas.openxmlformats.org/officeDocument/2006/relationships/ctrlProp" Target="../ctrlProps/ctrlProp50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91" Type="http://schemas.openxmlformats.org/officeDocument/2006/relationships/ctrlProp" Target="../ctrlProps/ctrlProp87.xml"/><Relationship Id="rId96" Type="http://schemas.openxmlformats.org/officeDocument/2006/relationships/ctrlProp" Target="../ctrlProps/ctrlProp92.xml"/><Relationship Id="rId140" Type="http://schemas.openxmlformats.org/officeDocument/2006/relationships/ctrlProp" Target="../ctrlProps/ctrlProp136.xml"/><Relationship Id="rId145" Type="http://schemas.openxmlformats.org/officeDocument/2006/relationships/ctrlProp" Target="../ctrlProps/ctrlProp141.xml"/><Relationship Id="rId161" Type="http://schemas.openxmlformats.org/officeDocument/2006/relationships/ctrlProp" Target="../ctrlProps/ctrlProp157.xml"/><Relationship Id="rId166" Type="http://schemas.openxmlformats.org/officeDocument/2006/relationships/ctrlProp" Target="../ctrlProps/ctrlProp162.xml"/><Relationship Id="rId182" Type="http://schemas.openxmlformats.org/officeDocument/2006/relationships/ctrlProp" Target="../ctrlProps/ctrlProp178.xml"/><Relationship Id="rId187" Type="http://schemas.openxmlformats.org/officeDocument/2006/relationships/ctrlProp" Target="../ctrlProps/ctrlProp183.xml"/><Relationship Id="rId217" Type="http://schemas.openxmlformats.org/officeDocument/2006/relationships/ctrlProp" Target="../ctrlProps/ctrlProp2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212" Type="http://schemas.openxmlformats.org/officeDocument/2006/relationships/ctrlProp" Target="../ctrlProps/ctrlProp208.xml"/><Relationship Id="rId233" Type="http://schemas.openxmlformats.org/officeDocument/2006/relationships/ctrlProp" Target="../ctrlProps/ctrlProp229.xml"/><Relationship Id="rId238" Type="http://schemas.openxmlformats.org/officeDocument/2006/relationships/ctrlProp" Target="../ctrlProps/ctrlProp234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49" Type="http://schemas.openxmlformats.org/officeDocument/2006/relationships/ctrlProp" Target="../ctrlProps/ctrlProp45.xml"/><Relationship Id="rId114" Type="http://schemas.openxmlformats.org/officeDocument/2006/relationships/ctrlProp" Target="../ctrlProps/ctrlProp110.xml"/><Relationship Id="rId119" Type="http://schemas.openxmlformats.org/officeDocument/2006/relationships/ctrlProp" Target="../ctrlProps/ctrlProp115.xml"/><Relationship Id="rId44" Type="http://schemas.openxmlformats.org/officeDocument/2006/relationships/ctrlProp" Target="../ctrlProps/ctrlProp40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130" Type="http://schemas.openxmlformats.org/officeDocument/2006/relationships/ctrlProp" Target="../ctrlProps/ctrlProp126.xml"/><Relationship Id="rId135" Type="http://schemas.openxmlformats.org/officeDocument/2006/relationships/ctrlProp" Target="../ctrlProps/ctrlProp131.xml"/><Relationship Id="rId151" Type="http://schemas.openxmlformats.org/officeDocument/2006/relationships/ctrlProp" Target="../ctrlProps/ctrlProp147.xml"/><Relationship Id="rId156" Type="http://schemas.openxmlformats.org/officeDocument/2006/relationships/ctrlProp" Target="../ctrlProps/ctrlProp152.xml"/><Relationship Id="rId177" Type="http://schemas.openxmlformats.org/officeDocument/2006/relationships/ctrlProp" Target="../ctrlProps/ctrlProp173.xml"/><Relationship Id="rId198" Type="http://schemas.openxmlformats.org/officeDocument/2006/relationships/ctrlProp" Target="../ctrlProps/ctrlProp194.xml"/><Relationship Id="rId172" Type="http://schemas.openxmlformats.org/officeDocument/2006/relationships/ctrlProp" Target="../ctrlProps/ctrlProp168.xml"/><Relationship Id="rId193" Type="http://schemas.openxmlformats.org/officeDocument/2006/relationships/ctrlProp" Target="../ctrlProps/ctrlProp189.xml"/><Relationship Id="rId202" Type="http://schemas.openxmlformats.org/officeDocument/2006/relationships/ctrlProp" Target="../ctrlProps/ctrlProp198.xml"/><Relationship Id="rId207" Type="http://schemas.openxmlformats.org/officeDocument/2006/relationships/ctrlProp" Target="../ctrlProps/ctrlProp203.xml"/><Relationship Id="rId223" Type="http://schemas.openxmlformats.org/officeDocument/2006/relationships/ctrlProp" Target="../ctrlProps/ctrlProp219.xml"/><Relationship Id="rId228" Type="http://schemas.openxmlformats.org/officeDocument/2006/relationships/ctrlProp" Target="../ctrlProps/ctrlProp224.xml"/><Relationship Id="rId244" Type="http://schemas.openxmlformats.org/officeDocument/2006/relationships/ctrlProp" Target="../ctrlProps/ctrlProp240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109" Type="http://schemas.openxmlformats.org/officeDocument/2006/relationships/ctrlProp" Target="../ctrlProps/ctrlProp105.xml"/><Relationship Id="rId34" Type="http://schemas.openxmlformats.org/officeDocument/2006/relationships/ctrlProp" Target="../ctrlProps/ctrlProp30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6" Type="http://schemas.openxmlformats.org/officeDocument/2006/relationships/ctrlProp" Target="../ctrlProps/ctrlProp72.xml"/><Relationship Id="rId97" Type="http://schemas.openxmlformats.org/officeDocument/2006/relationships/ctrlProp" Target="../ctrlProps/ctrlProp93.xml"/><Relationship Id="rId104" Type="http://schemas.openxmlformats.org/officeDocument/2006/relationships/ctrlProp" Target="../ctrlProps/ctrlProp100.xml"/><Relationship Id="rId120" Type="http://schemas.openxmlformats.org/officeDocument/2006/relationships/ctrlProp" Target="../ctrlProps/ctrlProp116.xml"/><Relationship Id="rId125" Type="http://schemas.openxmlformats.org/officeDocument/2006/relationships/ctrlProp" Target="../ctrlProps/ctrlProp121.xml"/><Relationship Id="rId141" Type="http://schemas.openxmlformats.org/officeDocument/2006/relationships/ctrlProp" Target="../ctrlProps/ctrlProp137.xml"/><Relationship Id="rId146" Type="http://schemas.openxmlformats.org/officeDocument/2006/relationships/ctrlProp" Target="../ctrlProps/ctrlProp142.xml"/><Relationship Id="rId167" Type="http://schemas.openxmlformats.org/officeDocument/2006/relationships/ctrlProp" Target="../ctrlProps/ctrlProp163.xml"/><Relationship Id="rId188" Type="http://schemas.openxmlformats.org/officeDocument/2006/relationships/ctrlProp" Target="../ctrlProps/ctrlProp184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162" Type="http://schemas.openxmlformats.org/officeDocument/2006/relationships/ctrlProp" Target="../ctrlProps/ctrlProp158.xml"/><Relationship Id="rId183" Type="http://schemas.openxmlformats.org/officeDocument/2006/relationships/ctrlProp" Target="../ctrlProps/ctrlProp179.xml"/><Relationship Id="rId213" Type="http://schemas.openxmlformats.org/officeDocument/2006/relationships/ctrlProp" Target="../ctrlProps/ctrlProp209.xml"/><Relationship Id="rId218" Type="http://schemas.openxmlformats.org/officeDocument/2006/relationships/ctrlProp" Target="../ctrlProps/ctrlProp214.xml"/><Relationship Id="rId234" Type="http://schemas.openxmlformats.org/officeDocument/2006/relationships/ctrlProp" Target="../ctrlProps/ctrlProp230.xml"/><Relationship Id="rId239" Type="http://schemas.openxmlformats.org/officeDocument/2006/relationships/ctrlProp" Target="../ctrlProps/ctrlProp235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5.xml"/><Relationship Id="rId24" Type="http://schemas.openxmlformats.org/officeDocument/2006/relationships/ctrlProp" Target="../ctrlProps/ctrlProp20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115" Type="http://schemas.openxmlformats.org/officeDocument/2006/relationships/ctrlProp" Target="../ctrlProps/ctrlProp111.xml"/><Relationship Id="rId131" Type="http://schemas.openxmlformats.org/officeDocument/2006/relationships/ctrlProp" Target="../ctrlProps/ctrlProp127.xml"/><Relationship Id="rId136" Type="http://schemas.openxmlformats.org/officeDocument/2006/relationships/ctrlProp" Target="../ctrlProps/ctrlProp132.xml"/><Relationship Id="rId157" Type="http://schemas.openxmlformats.org/officeDocument/2006/relationships/ctrlProp" Target="../ctrlProps/ctrlProp153.xml"/><Relationship Id="rId178" Type="http://schemas.openxmlformats.org/officeDocument/2006/relationships/ctrlProp" Target="../ctrlProps/ctrlProp174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52" Type="http://schemas.openxmlformats.org/officeDocument/2006/relationships/ctrlProp" Target="../ctrlProps/ctrlProp148.xml"/><Relationship Id="rId173" Type="http://schemas.openxmlformats.org/officeDocument/2006/relationships/ctrlProp" Target="../ctrlProps/ctrlProp169.xml"/><Relationship Id="rId194" Type="http://schemas.openxmlformats.org/officeDocument/2006/relationships/ctrlProp" Target="../ctrlProps/ctrlProp190.xml"/><Relationship Id="rId199" Type="http://schemas.openxmlformats.org/officeDocument/2006/relationships/ctrlProp" Target="../ctrlProps/ctrlProp195.xml"/><Relationship Id="rId203" Type="http://schemas.openxmlformats.org/officeDocument/2006/relationships/ctrlProp" Target="../ctrlProps/ctrlProp199.xml"/><Relationship Id="rId208" Type="http://schemas.openxmlformats.org/officeDocument/2006/relationships/ctrlProp" Target="../ctrlProps/ctrlProp204.xml"/><Relationship Id="rId229" Type="http://schemas.openxmlformats.org/officeDocument/2006/relationships/ctrlProp" Target="../ctrlProps/ctrlProp225.xml"/><Relationship Id="rId19" Type="http://schemas.openxmlformats.org/officeDocument/2006/relationships/ctrlProp" Target="../ctrlProps/ctrlProp15.xml"/><Relationship Id="rId224" Type="http://schemas.openxmlformats.org/officeDocument/2006/relationships/ctrlProp" Target="../ctrlProps/ctrlProp220.xml"/><Relationship Id="rId240" Type="http://schemas.openxmlformats.org/officeDocument/2006/relationships/ctrlProp" Target="../ctrlProps/ctrlProp236.xml"/><Relationship Id="rId245" Type="http://schemas.openxmlformats.org/officeDocument/2006/relationships/ctrlProp" Target="../ctrlProps/ctrlProp241.xml"/><Relationship Id="rId14" Type="http://schemas.openxmlformats.org/officeDocument/2006/relationships/ctrlProp" Target="../ctrlProps/ctrlProp10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147" Type="http://schemas.openxmlformats.org/officeDocument/2006/relationships/ctrlProp" Target="../ctrlProps/ctrlProp143.xml"/><Relationship Id="rId168" Type="http://schemas.openxmlformats.org/officeDocument/2006/relationships/ctrlProp" Target="../ctrlProps/ctrlProp164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42" Type="http://schemas.openxmlformats.org/officeDocument/2006/relationships/ctrlProp" Target="../ctrlProps/ctrlProp138.xml"/><Relationship Id="rId163" Type="http://schemas.openxmlformats.org/officeDocument/2006/relationships/ctrlProp" Target="../ctrlProps/ctrlProp159.xml"/><Relationship Id="rId184" Type="http://schemas.openxmlformats.org/officeDocument/2006/relationships/ctrlProp" Target="../ctrlProps/ctrlProp180.xml"/><Relationship Id="rId189" Type="http://schemas.openxmlformats.org/officeDocument/2006/relationships/ctrlProp" Target="../ctrlProps/ctrlProp185.xml"/><Relationship Id="rId219" Type="http://schemas.openxmlformats.org/officeDocument/2006/relationships/ctrlProp" Target="../ctrlProps/ctrlProp215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0.xml"/><Relationship Id="rId230" Type="http://schemas.openxmlformats.org/officeDocument/2006/relationships/ctrlProp" Target="../ctrlProps/ctrlProp226.xml"/><Relationship Id="rId235" Type="http://schemas.openxmlformats.org/officeDocument/2006/relationships/ctrlProp" Target="../ctrlProps/ctrlProp231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158" Type="http://schemas.openxmlformats.org/officeDocument/2006/relationships/ctrlProp" Target="../ctrlProps/ctrlProp154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62" Type="http://schemas.openxmlformats.org/officeDocument/2006/relationships/ctrlProp" Target="../ctrlProps/ctrlProp58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53" Type="http://schemas.openxmlformats.org/officeDocument/2006/relationships/ctrlProp" Target="../ctrlProps/ctrlProp149.xml"/><Relationship Id="rId174" Type="http://schemas.openxmlformats.org/officeDocument/2006/relationships/ctrlProp" Target="../ctrlProps/ctrlProp170.xml"/><Relationship Id="rId179" Type="http://schemas.openxmlformats.org/officeDocument/2006/relationships/ctrlProp" Target="../ctrlProps/ctrlProp175.xml"/><Relationship Id="rId195" Type="http://schemas.openxmlformats.org/officeDocument/2006/relationships/ctrlProp" Target="../ctrlProps/ctrlProp191.xml"/><Relationship Id="rId209" Type="http://schemas.openxmlformats.org/officeDocument/2006/relationships/ctrlProp" Target="../ctrlProps/ctrlProp205.xml"/><Relationship Id="rId190" Type="http://schemas.openxmlformats.org/officeDocument/2006/relationships/ctrlProp" Target="../ctrlProps/ctrlProp186.xml"/><Relationship Id="rId204" Type="http://schemas.openxmlformats.org/officeDocument/2006/relationships/ctrlProp" Target="../ctrlProps/ctrlProp200.xml"/><Relationship Id="rId220" Type="http://schemas.openxmlformats.org/officeDocument/2006/relationships/ctrlProp" Target="../ctrlProps/ctrlProp216.xml"/><Relationship Id="rId225" Type="http://schemas.openxmlformats.org/officeDocument/2006/relationships/ctrlProp" Target="../ctrlProps/ctrlProp221.xml"/><Relationship Id="rId241" Type="http://schemas.openxmlformats.org/officeDocument/2006/relationships/ctrlProp" Target="../ctrlProps/ctrlProp237.xml"/><Relationship Id="rId246" Type="http://schemas.openxmlformats.org/officeDocument/2006/relationships/ctrlProp" Target="../ctrlProps/ctrlProp242.xml"/><Relationship Id="rId15" Type="http://schemas.openxmlformats.org/officeDocument/2006/relationships/ctrlProp" Target="../ctrlProps/ctrlProp11.xml"/><Relationship Id="rId36" Type="http://schemas.openxmlformats.org/officeDocument/2006/relationships/ctrlProp" Target="../ctrlProps/ctrlProp32.xml"/><Relationship Id="rId57" Type="http://schemas.openxmlformats.org/officeDocument/2006/relationships/ctrlProp" Target="../ctrlProps/ctrlProp53.xml"/><Relationship Id="rId106" Type="http://schemas.openxmlformats.org/officeDocument/2006/relationships/ctrlProp" Target="../ctrlProps/ctrlProp102.xml"/><Relationship Id="rId127" Type="http://schemas.openxmlformats.org/officeDocument/2006/relationships/ctrlProp" Target="../ctrlProps/ctrlProp12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52" Type="http://schemas.openxmlformats.org/officeDocument/2006/relationships/ctrlProp" Target="../ctrlProps/ctrlProp48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94" Type="http://schemas.openxmlformats.org/officeDocument/2006/relationships/ctrlProp" Target="../ctrlProps/ctrlProp90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43" Type="http://schemas.openxmlformats.org/officeDocument/2006/relationships/ctrlProp" Target="../ctrlProps/ctrlProp139.xml"/><Relationship Id="rId148" Type="http://schemas.openxmlformats.org/officeDocument/2006/relationships/ctrlProp" Target="../ctrlProps/ctrlProp144.xml"/><Relationship Id="rId164" Type="http://schemas.openxmlformats.org/officeDocument/2006/relationships/ctrlProp" Target="../ctrlProps/ctrlProp160.xml"/><Relationship Id="rId169" Type="http://schemas.openxmlformats.org/officeDocument/2006/relationships/ctrlProp" Target="../ctrlProps/ctrlProp165.xml"/><Relationship Id="rId185" Type="http://schemas.openxmlformats.org/officeDocument/2006/relationships/ctrlProp" Target="../ctrlProps/ctrlProp18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80" Type="http://schemas.openxmlformats.org/officeDocument/2006/relationships/ctrlProp" Target="../ctrlProps/ctrlProp176.xml"/><Relationship Id="rId210" Type="http://schemas.openxmlformats.org/officeDocument/2006/relationships/ctrlProp" Target="../ctrlProps/ctrlProp206.xml"/><Relationship Id="rId215" Type="http://schemas.openxmlformats.org/officeDocument/2006/relationships/ctrlProp" Target="../ctrlProps/ctrlProp211.xml"/><Relationship Id="rId236" Type="http://schemas.openxmlformats.org/officeDocument/2006/relationships/ctrlProp" Target="../ctrlProps/ctrlProp232.xml"/><Relationship Id="rId26" Type="http://schemas.openxmlformats.org/officeDocument/2006/relationships/ctrlProp" Target="../ctrlProps/ctrlProp22.xml"/><Relationship Id="rId231" Type="http://schemas.openxmlformats.org/officeDocument/2006/relationships/ctrlProp" Target="../ctrlProps/ctrlProp227.xml"/><Relationship Id="rId47" Type="http://schemas.openxmlformats.org/officeDocument/2006/relationships/ctrlProp" Target="../ctrlProps/ctrlProp43.xml"/><Relationship Id="rId68" Type="http://schemas.openxmlformats.org/officeDocument/2006/relationships/ctrlProp" Target="../ctrlProps/ctrlProp64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54" Type="http://schemas.openxmlformats.org/officeDocument/2006/relationships/ctrlProp" Target="../ctrlProps/ctrlProp150.xml"/><Relationship Id="rId175" Type="http://schemas.openxmlformats.org/officeDocument/2006/relationships/ctrlProp" Target="../ctrlProps/ctrlProp171.xml"/><Relationship Id="rId196" Type="http://schemas.openxmlformats.org/officeDocument/2006/relationships/ctrlProp" Target="../ctrlProps/ctrlProp192.xml"/><Relationship Id="rId200" Type="http://schemas.openxmlformats.org/officeDocument/2006/relationships/ctrlProp" Target="../ctrlProps/ctrlProp196.xml"/><Relationship Id="rId16" Type="http://schemas.openxmlformats.org/officeDocument/2006/relationships/ctrlProp" Target="../ctrlProps/ctrlProp12.xml"/><Relationship Id="rId221" Type="http://schemas.openxmlformats.org/officeDocument/2006/relationships/ctrlProp" Target="../ctrlProps/ctrlProp217.xml"/><Relationship Id="rId242" Type="http://schemas.openxmlformats.org/officeDocument/2006/relationships/ctrlProp" Target="../ctrlProps/ctrlProp238.xml"/><Relationship Id="rId37" Type="http://schemas.openxmlformats.org/officeDocument/2006/relationships/ctrlProp" Target="../ctrlProps/ctrlProp33.xml"/><Relationship Id="rId58" Type="http://schemas.openxmlformats.org/officeDocument/2006/relationships/ctrlProp" Target="../ctrlProps/ctrlProp54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44" Type="http://schemas.openxmlformats.org/officeDocument/2006/relationships/ctrlProp" Target="../ctrlProps/ctrlProp140.xml"/><Relationship Id="rId90" Type="http://schemas.openxmlformats.org/officeDocument/2006/relationships/ctrlProp" Target="../ctrlProps/ctrlProp86.xml"/><Relationship Id="rId165" Type="http://schemas.openxmlformats.org/officeDocument/2006/relationships/ctrlProp" Target="../ctrlProps/ctrlProp161.xml"/><Relationship Id="rId186" Type="http://schemas.openxmlformats.org/officeDocument/2006/relationships/ctrlProp" Target="../ctrlProps/ctrlProp182.xml"/><Relationship Id="rId211" Type="http://schemas.openxmlformats.org/officeDocument/2006/relationships/ctrlProp" Target="../ctrlProps/ctrlProp207.xml"/><Relationship Id="rId232" Type="http://schemas.openxmlformats.org/officeDocument/2006/relationships/ctrlProp" Target="../ctrlProps/ctrlProp228.xml"/><Relationship Id="rId27" Type="http://schemas.openxmlformats.org/officeDocument/2006/relationships/ctrlProp" Target="../ctrlProps/ctrlProp23.xml"/><Relationship Id="rId48" Type="http://schemas.openxmlformats.org/officeDocument/2006/relationships/ctrlProp" Target="../ctrlProps/ctrlProp44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34" Type="http://schemas.openxmlformats.org/officeDocument/2006/relationships/ctrlProp" Target="../ctrlProps/ctrlProp130.xml"/><Relationship Id="rId80" Type="http://schemas.openxmlformats.org/officeDocument/2006/relationships/ctrlProp" Target="../ctrlProps/ctrlProp76.xml"/><Relationship Id="rId155" Type="http://schemas.openxmlformats.org/officeDocument/2006/relationships/ctrlProp" Target="../ctrlProps/ctrlProp151.xml"/><Relationship Id="rId176" Type="http://schemas.openxmlformats.org/officeDocument/2006/relationships/ctrlProp" Target="../ctrlProps/ctrlProp172.xml"/><Relationship Id="rId197" Type="http://schemas.openxmlformats.org/officeDocument/2006/relationships/ctrlProp" Target="../ctrlProps/ctrlProp19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8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10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5.xml"/><Relationship Id="rId4" Type="http://schemas.openxmlformats.org/officeDocument/2006/relationships/vmlDrawing" Target="../drawings/vmlDrawing1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6.xml"/><Relationship Id="rId4" Type="http://schemas.openxmlformats.org/officeDocument/2006/relationships/vmlDrawing" Target="../drawings/vmlDrawing15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7.xml"/><Relationship Id="rId4" Type="http://schemas.openxmlformats.org/officeDocument/2006/relationships/vmlDrawing" Target="../drawings/vmlDrawing17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8.xml"/><Relationship Id="rId4" Type="http://schemas.openxmlformats.org/officeDocument/2006/relationships/vmlDrawing" Target="../drawings/vmlDrawing19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9.xml"/><Relationship Id="rId4" Type="http://schemas.openxmlformats.org/officeDocument/2006/relationships/vmlDrawing" Target="../drawings/vmlDrawing2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AK57"/>
  <sheetViews>
    <sheetView showGridLines="0" topLeftCell="H5" zoomScaleNormal="100" workbookViewId="0">
      <selection activeCell="L23" sqref="L23"/>
    </sheetView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0" width="15.7109375" customWidth="1"/>
    <col min="11" max="11" width="64.7109375" customWidth="1"/>
    <col min="12" max="12" width="1.7109375" customWidth="1"/>
    <col min="13" max="13" width="140.7109375" customWidth="1"/>
    <col min="14" max="15" width="0.85546875" customWidth="1"/>
  </cols>
  <sheetData>
    <row r="1" spans="3:20" ht="5.0999999999999996" customHeight="1" x14ac:dyDescent="0.25"/>
    <row r="12" spans="3:20" x14ac:dyDescent="0.25"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3:20" x14ac:dyDescent="0.25"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 spans="3:20" x14ac:dyDescent="0.25"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3:20" ht="15" customHeight="1" x14ac:dyDescent="0.25">
      <c r="C15" s="132" t="s">
        <v>7</v>
      </c>
      <c r="D15" s="132" t="s">
        <v>2</v>
      </c>
      <c r="E15" s="132" t="s">
        <v>64</v>
      </c>
      <c r="F15" s="135" t="s">
        <v>1</v>
      </c>
      <c r="G15" s="135" t="s">
        <v>18</v>
      </c>
      <c r="H15" s="132" t="s">
        <v>24</v>
      </c>
      <c r="I15" s="132" t="s">
        <v>69</v>
      </c>
      <c r="J15" s="132" t="s">
        <v>41</v>
      </c>
      <c r="K15" s="132" t="s">
        <v>42</v>
      </c>
      <c r="M15" s="132" t="s">
        <v>43</v>
      </c>
      <c r="P15" s="67"/>
      <c r="Q15" s="68" t="s">
        <v>25</v>
      </c>
      <c r="R15" s="67"/>
      <c r="S15" s="67"/>
      <c r="T15" s="67"/>
    </row>
    <row r="16" spans="3:20" ht="15" customHeight="1" x14ac:dyDescent="0.25">
      <c r="C16" s="133"/>
      <c r="D16" s="133"/>
      <c r="E16" s="133"/>
      <c r="F16" s="136"/>
      <c r="G16" s="136"/>
      <c r="H16" s="133"/>
      <c r="I16" s="133"/>
      <c r="J16" s="133"/>
      <c r="K16" s="133"/>
      <c r="M16" s="133"/>
      <c r="P16" s="67"/>
      <c r="Q16" s="68" t="s">
        <v>26</v>
      </c>
      <c r="R16" s="67"/>
      <c r="S16" s="67"/>
      <c r="T16" s="67"/>
    </row>
    <row r="17" spans="3:37" ht="15" customHeight="1" x14ac:dyDescent="0.25">
      <c r="C17" s="133"/>
      <c r="D17" s="133"/>
      <c r="E17" s="133"/>
      <c r="F17" s="136"/>
      <c r="G17" s="136"/>
      <c r="H17" s="133"/>
      <c r="I17" s="133"/>
      <c r="J17" s="133"/>
      <c r="K17" s="133"/>
      <c r="M17" s="133"/>
      <c r="P17" s="67"/>
      <c r="Q17" s="68" t="s">
        <v>27</v>
      </c>
      <c r="R17" s="67"/>
      <c r="S17" s="67"/>
      <c r="T17" s="67"/>
    </row>
    <row r="18" spans="3:37" ht="15" customHeight="1" x14ac:dyDescent="0.25">
      <c r="C18" s="134"/>
      <c r="D18" s="134"/>
      <c r="E18" s="134"/>
      <c r="F18" s="137"/>
      <c r="G18" s="137"/>
      <c r="H18" s="134"/>
      <c r="I18" s="134"/>
      <c r="J18" s="134"/>
      <c r="K18" s="134"/>
      <c r="M18" s="134"/>
      <c r="P18" s="67"/>
      <c r="Q18" s="68" t="s">
        <v>65</v>
      </c>
      <c r="R18" s="67"/>
      <c r="S18" s="67"/>
      <c r="T18" s="67"/>
    </row>
    <row r="19" spans="3:37" ht="50.1" customHeight="1" x14ac:dyDescent="0.25">
      <c r="C19" s="107" t="s">
        <v>99</v>
      </c>
      <c r="D19" s="34"/>
      <c r="E19" s="34" t="s">
        <v>25</v>
      </c>
      <c r="F19" s="35">
        <v>43101</v>
      </c>
      <c r="G19" s="90"/>
      <c r="H19" s="37"/>
      <c r="I19" s="36"/>
      <c r="J19" s="38"/>
      <c r="K19" s="106"/>
      <c r="M19" s="104"/>
      <c r="O19" s="17"/>
      <c r="P19" s="49"/>
      <c r="Q19" s="49" t="s">
        <v>28</v>
      </c>
      <c r="R19" s="49">
        <f>IF($E19="HN",1,0)</f>
        <v>1</v>
      </c>
      <c r="S19" s="49">
        <f>IF($E19="HR",1,0)</f>
        <v>0</v>
      </c>
      <c r="T19" s="49">
        <f>IF($E19="OF",1,0)</f>
        <v>0</v>
      </c>
      <c r="U19" s="39">
        <f>IF($E19="IE",1,0)</f>
        <v>0</v>
      </c>
      <c r="V19" s="54">
        <f>IF($C19="","",IFERROR(IF(ISNA(VLOOKUP($C19,'Bilan final GPA HN'!$C$29:'Bilan final GPA HN'!$X$43,22,0)), ,VLOOKUP($C19,'Bilan final GPA HN'!$C$29:'Bilan final GPA HN'!$X$43,22,0)),"/"))</f>
        <v>0</v>
      </c>
      <c r="W19" s="54">
        <f>IF($C19="","",IFERROR(IF(ISNA(VLOOKUP($C19,'Bilan final GPA HR'!$C$29:'Bilan final GPA HR'!$X$43,22,0)), ,VLOOKUP($C19,'Bilan final GPA HR'!$C$29:'Bilan final GPA HR'!$X$43,22,0)),"/"))</f>
        <v>0</v>
      </c>
      <c r="X19" s="54">
        <f>IF($C19="","",IFERROR(IF(ISNA(VLOOKUP($C19,'Bilan final GPA OF'!$C$29:'Bilan final GPA OF'!$X$43,22,0)), ,VLOOKUP($C19,'Bilan final GPA OF'!$C$29:'Bilan final GPA OF'!$X$43,22,0)),"/"))</f>
        <v>0</v>
      </c>
      <c r="Y19" s="54">
        <f>IF($C19="","",IFERROR(IF(ISNA(VLOOKUP($C19,'Bilan final GPA IE'!$C$29:'Bilan final GPA IE'!$X$43,22,0)), ,VLOOKUP($C19,'Bilan final GPA IE'!$C$29:'Bilan final GPA IE'!$X$43,22,0)),"/"))</f>
        <v>0</v>
      </c>
      <c r="Z19" s="115">
        <f>SUM(V19:Y19)</f>
        <v>0</v>
      </c>
      <c r="AA19" s="116" t="s">
        <v>97</v>
      </c>
      <c r="AB19" s="116" t="str">
        <f>IF($Z19=1,"µ","")</f>
        <v/>
      </c>
      <c r="AC19" s="129"/>
      <c r="AD19" s="129"/>
      <c r="AE19" s="129"/>
      <c r="AF19" s="129"/>
      <c r="AG19" s="122"/>
      <c r="AH19" s="122"/>
      <c r="AI19" s="122"/>
      <c r="AJ19" s="122"/>
      <c r="AK19" s="130"/>
    </row>
    <row r="20" spans="3:37" ht="50.1" customHeight="1" x14ac:dyDescent="0.25">
      <c r="C20" s="107"/>
      <c r="D20" s="34"/>
      <c r="E20" s="34"/>
      <c r="F20" s="35"/>
      <c r="G20" s="90"/>
      <c r="H20" s="37"/>
      <c r="I20" s="36"/>
      <c r="J20" s="38"/>
      <c r="K20" s="106"/>
      <c r="M20" s="104"/>
      <c r="P20" s="49"/>
      <c r="Q20" s="49" t="s">
        <v>29</v>
      </c>
      <c r="R20" s="49">
        <f t="shared" ref="R20:R48" si="0">IF($E20="HN",1,0)</f>
        <v>0</v>
      </c>
      <c r="S20" s="49">
        <f t="shared" ref="S20:S48" si="1">IF($E20="HR",1,0)</f>
        <v>0</v>
      </c>
      <c r="T20" s="49">
        <f t="shared" ref="T20:T48" si="2">IF($E20="OF",1,0)</f>
        <v>0</v>
      </c>
      <c r="U20" s="39">
        <f t="shared" ref="U20:U48" si="3">IF($E20="IE",1,0)</f>
        <v>0</v>
      </c>
      <c r="V20" s="54" t="str">
        <f>IF($C20="","",IFERROR(IF(ISNA(VLOOKUP($C20,'Bilan final GPA HN'!$C$29:'Bilan final GPA HN'!$X$43,22,0)), ,VLOOKUP($C20,'Bilan final GPA HN'!$C$29:'Bilan final GPA HN'!$X$43,22,0)),"/"))</f>
        <v/>
      </c>
      <c r="W20" s="54" t="str">
        <f>IF($C20="","",IFERROR(IF(ISNA(VLOOKUP($C20,'Bilan final GPA HR'!$C$29:'Bilan final GPA HR'!$X$43,22,0)), ,VLOOKUP($C20,'Bilan final GPA HR'!$C$29:'Bilan final GPA HR'!$X$43,22,0)),"/"))</f>
        <v/>
      </c>
      <c r="X20" s="54" t="str">
        <f>IF($C20="","",IFERROR(IF(ISNA(VLOOKUP($C20,'Bilan final GPA OF'!$C$29:'Bilan final GPA OF'!$X$43,22,0)), ,VLOOKUP($C20,'Bilan final GPA OF'!$C$29:'Bilan final GPA OF'!$X$43,22,0)),"/"))</f>
        <v/>
      </c>
      <c r="Y20" s="54" t="str">
        <f>IF($C20="","",IFERROR(IF(ISNA(VLOOKUP($C20,'Bilan final GPA IE'!$C$29:'Bilan final GPA IE'!$X$43,22,0)), ,VLOOKUP($C20,'Bilan final GPA IE'!$C$29:'Bilan final GPA IE'!$X$43,22,0)),"/"))</f>
        <v/>
      </c>
      <c r="Z20" s="115">
        <f t="shared" ref="Z20:Z48" si="4">SUM(V20:Y20)</f>
        <v>0</v>
      </c>
      <c r="AA20" s="116" t="s">
        <v>97</v>
      </c>
      <c r="AB20" s="116" t="str">
        <f t="shared" ref="AB20:AB48" si="5">IF($Z20=1,"µ","")</f>
        <v/>
      </c>
    </row>
    <row r="21" spans="3:37" ht="50.1" customHeight="1" x14ac:dyDescent="0.25">
      <c r="C21" s="107"/>
      <c r="D21" s="34"/>
      <c r="E21" s="34"/>
      <c r="F21" s="35"/>
      <c r="G21" s="90"/>
      <c r="H21" s="37"/>
      <c r="I21" s="36"/>
      <c r="J21" s="38"/>
      <c r="K21" s="104"/>
      <c r="M21" s="104"/>
      <c r="P21" s="49"/>
      <c r="Q21" s="49"/>
      <c r="R21" s="49">
        <f t="shared" si="0"/>
        <v>0</v>
      </c>
      <c r="S21" s="49">
        <f t="shared" si="1"/>
        <v>0</v>
      </c>
      <c r="T21" s="49">
        <f t="shared" si="2"/>
        <v>0</v>
      </c>
      <c r="U21" s="39">
        <f t="shared" si="3"/>
        <v>0</v>
      </c>
      <c r="V21" s="54" t="str">
        <f>IF($C21="","",IFERROR(IF(ISNA(VLOOKUP($C21,'Bilan final GPA HN'!$C$29:'Bilan final GPA HN'!$X$43,22,0)), ,VLOOKUP($C21,'Bilan final GPA HN'!$C$29:'Bilan final GPA HN'!$X$43,22,0)),"/"))</f>
        <v/>
      </c>
      <c r="W21" s="54" t="str">
        <f>IF($C21="","",IFERROR(IF(ISNA(VLOOKUP($C21,'Bilan final GPA HR'!$C$29:'Bilan final GPA HR'!$X$43,22,0)), ,VLOOKUP($C21,'Bilan final GPA HR'!$C$29:'Bilan final GPA HR'!$X$43,22,0)),"/"))</f>
        <v/>
      </c>
      <c r="X21" s="54" t="str">
        <f>IF($C21="","",IFERROR(IF(ISNA(VLOOKUP($C21,'Bilan final GPA OF'!$C$29:'Bilan final GPA OF'!$X$43,22,0)), ,VLOOKUP($C21,'Bilan final GPA OF'!$C$29:'Bilan final GPA OF'!$X$43,22,0)),"/"))</f>
        <v/>
      </c>
      <c r="Y21" s="54" t="str">
        <f>IF($C21="","",IFERROR(IF(ISNA(VLOOKUP($C21,'Bilan final GPA IE'!$C$29:'Bilan final GPA IE'!$X$43,22,0)), ,VLOOKUP($C21,'Bilan final GPA IE'!$C$29:'Bilan final GPA IE'!$X$43,22,0)),"/"))</f>
        <v/>
      </c>
      <c r="Z21" s="115">
        <f t="shared" si="4"/>
        <v>0</v>
      </c>
      <c r="AA21" s="116" t="s">
        <v>97</v>
      </c>
      <c r="AB21" s="116" t="str">
        <f t="shared" si="5"/>
        <v/>
      </c>
    </row>
    <row r="22" spans="3:37" ht="50.1" customHeight="1" x14ac:dyDescent="0.25">
      <c r="C22" s="107"/>
      <c r="D22" s="34"/>
      <c r="E22" s="34"/>
      <c r="F22" s="35"/>
      <c r="G22" s="90"/>
      <c r="H22" s="37"/>
      <c r="I22" s="36"/>
      <c r="J22" s="38"/>
      <c r="K22" s="104"/>
      <c r="M22" s="104"/>
      <c r="P22" s="49"/>
      <c r="Q22" s="49"/>
      <c r="R22" s="49">
        <f t="shared" si="0"/>
        <v>0</v>
      </c>
      <c r="S22" s="49">
        <f t="shared" si="1"/>
        <v>0</v>
      </c>
      <c r="T22" s="49">
        <f t="shared" si="2"/>
        <v>0</v>
      </c>
      <c r="U22" s="39">
        <f t="shared" si="3"/>
        <v>0</v>
      </c>
      <c r="V22" s="54" t="str">
        <f>IF($C22="","",IFERROR(IF(ISNA(VLOOKUP($C22,'Bilan final GPA HN'!$C$29:'Bilan final GPA HN'!$X$43,22,0)), ,VLOOKUP($C22,'Bilan final GPA HN'!$C$29:'Bilan final GPA HN'!$X$43,22,0)),"/"))</f>
        <v/>
      </c>
      <c r="W22" s="54" t="str">
        <f>IF($C22="","",IFERROR(IF(ISNA(VLOOKUP($C22,'Bilan final GPA HR'!$C$29:'Bilan final GPA HR'!$X$43,22,0)), ,VLOOKUP($C22,'Bilan final GPA HR'!$C$29:'Bilan final GPA HR'!$X$43,22,0)),"/"))</f>
        <v/>
      </c>
      <c r="X22" s="54" t="str">
        <f>IF($C22="","",IFERROR(IF(ISNA(VLOOKUP($C22,'Bilan final GPA OF'!$C$29:'Bilan final GPA OF'!$X$43,22,0)), ,VLOOKUP($C22,'Bilan final GPA OF'!$C$29:'Bilan final GPA OF'!$X$43,22,0)),"/"))</f>
        <v/>
      </c>
      <c r="Y22" s="54" t="str">
        <f>IF($C22="","",IFERROR(IF(ISNA(VLOOKUP($C22,'Bilan final GPA IE'!$C$29:'Bilan final GPA IE'!$X$43,22,0)), ,VLOOKUP($C22,'Bilan final GPA IE'!$C$29:'Bilan final GPA IE'!$X$43,22,0)),"/"))</f>
        <v/>
      </c>
      <c r="Z22" s="115">
        <f t="shared" si="4"/>
        <v>0</v>
      </c>
      <c r="AA22" s="116" t="s">
        <v>97</v>
      </c>
      <c r="AB22" s="116" t="str">
        <f t="shared" si="5"/>
        <v/>
      </c>
    </row>
    <row r="23" spans="3:37" ht="50.1" customHeight="1" x14ac:dyDescent="0.25">
      <c r="C23" s="107"/>
      <c r="D23" s="34"/>
      <c r="E23" s="34"/>
      <c r="F23" s="35"/>
      <c r="G23" s="90"/>
      <c r="H23" s="37"/>
      <c r="I23" s="36"/>
      <c r="J23" s="38"/>
      <c r="K23" s="104"/>
      <c r="M23" s="104"/>
      <c r="P23" s="49"/>
      <c r="Q23" s="49"/>
      <c r="R23" s="49">
        <f t="shared" si="0"/>
        <v>0</v>
      </c>
      <c r="S23" s="49">
        <f t="shared" si="1"/>
        <v>0</v>
      </c>
      <c r="T23" s="49">
        <f t="shared" si="2"/>
        <v>0</v>
      </c>
      <c r="U23" s="39">
        <f t="shared" si="3"/>
        <v>0</v>
      </c>
      <c r="V23" s="54" t="str">
        <f>IF($C23="","",IFERROR(IF(ISNA(VLOOKUP($C23,'Bilan final GPA HN'!$C$29:'Bilan final GPA HN'!$X$43,22,0)), ,VLOOKUP($C23,'Bilan final GPA HN'!$C$29:'Bilan final GPA HN'!$X$43,22,0)),"/"))</f>
        <v/>
      </c>
      <c r="W23" s="54" t="str">
        <f>IF($C23="","",IFERROR(IF(ISNA(VLOOKUP($C23,'Bilan final GPA HR'!$C$29:'Bilan final GPA HR'!$X$43,22,0)), ,VLOOKUP($C23,'Bilan final GPA HR'!$C$29:'Bilan final GPA HR'!$X$43,22,0)),"/"))</f>
        <v/>
      </c>
      <c r="X23" s="54" t="str">
        <f>IF($C23="","",IFERROR(IF(ISNA(VLOOKUP($C23,'Bilan final GPA OF'!$C$29:'Bilan final GPA OF'!$X$43,22,0)), ,VLOOKUP($C23,'Bilan final GPA OF'!$C$29:'Bilan final GPA OF'!$X$43,22,0)),"/"))</f>
        <v/>
      </c>
      <c r="Y23" s="54" t="str">
        <f>IF($C23="","",IFERROR(IF(ISNA(VLOOKUP($C23,'Bilan final GPA IE'!$C$29:'Bilan final GPA IE'!$X$43,22,0)), ,VLOOKUP($C23,'Bilan final GPA IE'!$C$29:'Bilan final GPA IE'!$X$43,22,0)),"/"))</f>
        <v/>
      </c>
      <c r="Z23" s="115">
        <f t="shared" si="4"/>
        <v>0</v>
      </c>
      <c r="AA23" s="116" t="s">
        <v>97</v>
      </c>
      <c r="AB23" s="116" t="str">
        <f t="shared" si="5"/>
        <v/>
      </c>
    </row>
    <row r="24" spans="3:37" ht="50.1" customHeight="1" x14ac:dyDescent="0.25">
      <c r="C24" s="107"/>
      <c r="D24" s="34"/>
      <c r="E24" s="34"/>
      <c r="F24" s="35"/>
      <c r="G24" s="90"/>
      <c r="H24" s="37"/>
      <c r="I24" s="36"/>
      <c r="J24" s="38"/>
      <c r="K24" s="104"/>
      <c r="M24" s="104"/>
      <c r="P24" s="49"/>
      <c r="Q24" s="49"/>
      <c r="R24" s="49">
        <f t="shared" si="0"/>
        <v>0</v>
      </c>
      <c r="S24" s="49">
        <f t="shared" si="1"/>
        <v>0</v>
      </c>
      <c r="T24" s="49">
        <f t="shared" si="2"/>
        <v>0</v>
      </c>
      <c r="U24" s="39">
        <f t="shared" si="3"/>
        <v>0</v>
      </c>
      <c r="V24" s="54" t="str">
        <f>IF($C24="","",IFERROR(IF(ISNA(VLOOKUP($C24,'Bilan final GPA HN'!$C$29:'Bilan final GPA HN'!$X$43,22,0)), ,VLOOKUP($C24,'Bilan final GPA HN'!$C$29:'Bilan final GPA HN'!$X$43,22,0)),"/"))</f>
        <v/>
      </c>
      <c r="W24" s="54" t="str">
        <f>IF($C24="","",IFERROR(IF(ISNA(VLOOKUP($C24,'Bilan final GPA HR'!$C$29:'Bilan final GPA HR'!$X$43,22,0)), ,VLOOKUP($C24,'Bilan final GPA HR'!$C$29:'Bilan final GPA HR'!$X$43,22,0)),"/"))</f>
        <v/>
      </c>
      <c r="X24" s="54" t="str">
        <f>IF($C24="","",IFERROR(IF(ISNA(VLOOKUP($C24,'Bilan final GPA OF'!$C$29:'Bilan final GPA OF'!$X$43,22,0)), ,VLOOKUP($C24,'Bilan final GPA OF'!$C$29:'Bilan final GPA OF'!$X$43,22,0)),"/"))</f>
        <v/>
      </c>
      <c r="Y24" s="54" t="str">
        <f>IF($C24="","",IFERROR(IF(ISNA(VLOOKUP($C24,'Bilan final GPA IE'!$C$29:'Bilan final GPA IE'!$X$43,22,0)), ,VLOOKUP($C24,'Bilan final GPA IE'!$C$29:'Bilan final GPA IE'!$X$43,22,0)),"/"))</f>
        <v/>
      </c>
      <c r="Z24" s="115">
        <f t="shared" si="4"/>
        <v>0</v>
      </c>
      <c r="AA24" s="116" t="s">
        <v>97</v>
      </c>
      <c r="AB24" s="116" t="str">
        <f t="shared" si="5"/>
        <v/>
      </c>
    </row>
    <row r="25" spans="3:37" ht="50.1" customHeight="1" x14ac:dyDescent="0.25">
      <c r="C25" s="107"/>
      <c r="D25" s="34"/>
      <c r="E25" s="34"/>
      <c r="F25" s="35"/>
      <c r="G25" s="90"/>
      <c r="H25" s="37"/>
      <c r="I25" s="36"/>
      <c r="J25" s="38"/>
      <c r="K25" s="104"/>
      <c r="M25" s="105"/>
      <c r="P25" s="49"/>
      <c r="Q25" s="49"/>
      <c r="R25" s="49">
        <f t="shared" si="0"/>
        <v>0</v>
      </c>
      <c r="S25" s="49">
        <f t="shared" si="1"/>
        <v>0</v>
      </c>
      <c r="T25" s="49">
        <f t="shared" si="2"/>
        <v>0</v>
      </c>
      <c r="U25" s="39">
        <f t="shared" si="3"/>
        <v>0</v>
      </c>
      <c r="V25" s="54" t="str">
        <f>IF($C25="","",IFERROR(IF(ISNA(VLOOKUP($C25,'Bilan final GPA HN'!$C$29:'Bilan final GPA HN'!$X$43,22,0)), ,VLOOKUP($C25,'Bilan final GPA HN'!$C$29:'Bilan final GPA HN'!$X$43,22,0)),"/"))</f>
        <v/>
      </c>
      <c r="W25" s="54" t="str">
        <f>IF($C25="","",IFERROR(IF(ISNA(VLOOKUP($C25,'Bilan final GPA HR'!$C$29:'Bilan final GPA HR'!$X$43,22,0)), ,VLOOKUP($C25,'Bilan final GPA HR'!$C$29:'Bilan final GPA HR'!$X$43,22,0)),"/"))</f>
        <v/>
      </c>
      <c r="X25" s="54" t="str">
        <f>IF($C25="","",IFERROR(IF(ISNA(VLOOKUP($C25,'Bilan final GPA OF'!$C$29:'Bilan final GPA OF'!$X$43,22,0)), ,VLOOKUP($C25,'Bilan final GPA OF'!$C$29:'Bilan final GPA OF'!$X$43,22,0)),"/"))</f>
        <v/>
      </c>
      <c r="Y25" s="54" t="str">
        <f>IF($C25="","",IFERROR(IF(ISNA(VLOOKUP($C25,'Bilan final GPA IE'!$C$29:'Bilan final GPA IE'!$X$43,22,0)), ,VLOOKUP($C25,'Bilan final GPA IE'!$C$29:'Bilan final GPA IE'!$X$43,22,0)),"/"))</f>
        <v/>
      </c>
      <c r="Z25" s="115">
        <f t="shared" si="4"/>
        <v>0</v>
      </c>
      <c r="AA25" s="116" t="s">
        <v>97</v>
      </c>
      <c r="AB25" s="116" t="str">
        <f t="shared" si="5"/>
        <v/>
      </c>
    </row>
    <row r="26" spans="3:37" ht="50.1" customHeight="1" x14ac:dyDescent="0.25">
      <c r="C26" s="107"/>
      <c r="D26" s="34"/>
      <c r="E26" s="34"/>
      <c r="F26" s="35"/>
      <c r="G26" s="90"/>
      <c r="H26" s="37"/>
      <c r="I26" s="18"/>
      <c r="J26" s="16"/>
      <c r="K26" s="105"/>
      <c r="M26" s="105"/>
      <c r="P26" s="49"/>
      <c r="Q26" s="49"/>
      <c r="R26" s="49">
        <f t="shared" si="0"/>
        <v>0</v>
      </c>
      <c r="S26" s="49">
        <f t="shared" si="1"/>
        <v>0</v>
      </c>
      <c r="T26" s="49">
        <f t="shared" si="2"/>
        <v>0</v>
      </c>
      <c r="U26" s="39">
        <f t="shared" si="3"/>
        <v>0</v>
      </c>
      <c r="V26" s="54" t="str">
        <f>IF($C26="","",IFERROR(IF(ISNA(VLOOKUP($C26,'Bilan final GPA HN'!$C$29:'Bilan final GPA HN'!$X$43,22,0)), ,VLOOKUP($C26,'Bilan final GPA HN'!$C$29:'Bilan final GPA HN'!$X$43,22,0)),"/"))</f>
        <v/>
      </c>
      <c r="W26" s="54" t="str">
        <f>IF($C26="","",IFERROR(IF(ISNA(VLOOKUP($C26,'Bilan final GPA HR'!$C$29:'Bilan final GPA HR'!$X$43,22,0)), ,VLOOKUP($C26,'Bilan final GPA HR'!$C$29:'Bilan final GPA HR'!$X$43,22,0)),"/"))</f>
        <v/>
      </c>
      <c r="X26" s="54" t="str">
        <f>IF($C26="","",IFERROR(IF(ISNA(VLOOKUP($C26,'Bilan final GPA OF'!$C$29:'Bilan final GPA OF'!$X$43,22,0)), ,VLOOKUP($C26,'Bilan final GPA OF'!$C$29:'Bilan final GPA OF'!$X$43,22,0)),"/"))</f>
        <v/>
      </c>
      <c r="Y26" s="54" t="str">
        <f>IF($C26="","",IFERROR(IF(ISNA(VLOOKUP($C26,'Bilan final GPA IE'!$C$29:'Bilan final GPA IE'!$X$43,22,0)), ,VLOOKUP($C26,'Bilan final GPA IE'!$C$29:'Bilan final GPA IE'!$X$43,22,0)),"/"))</f>
        <v/>
      </c>
      <c r="Z26" s="115">
        <f t="shared" si="4"/>
        <v>0</v>
      </c>
      <c r="AA26" s="116" t="s">
        <v>97</v>
      </c>
      <c r="AB26" s="116" t="str">
        <f t="shared" si="5"/>
        <v/>
      </c>
    </row>
    <row r="27" spans="3:37" ht="50.1" customHeight="1" x14ac:dyDescent="0.25">
      <c r="C27" s="107"/>
      <c r="D27" s="34"/>
      <c r="E27" s="34"/>
      <c r="F27" s="35"/>
      <c r="G27" s="90"/>
      <c r="H27" s="37"/>
      <c r="I27" s="36"/>
      <c r="J27" s="38"/>
      <c r="K27" s="105"/>
      <c r="M27" s="105"/>
      <c r="P27" s="49"/>
      <c r="Q27" s="49"/>
      <c r="R27" s="49">
        <f t="shared" si="0"/>
        <v>0</v>
      </c>
      <c r="S27" s="49">
        <f t="shared" si="1"/>
        <v>0</v>
      </c>
      <c r="T27" s="49">
        <f t="shared" si="2"/>
        <v>0</v>
      </c>
      <c r="U27" s="39">
        <f t="shared" si="3"/>
        <v>0</v>
      </c>
      <c r="V27" s="54" t="str">
        <f>IF($C27="","",IFERROR(IF(ISNA(VLOOKUP($C27,'Bilan final GPA HN'!$C$29:'Bilan final GPA HN'!$X$43,22,0)), ,VLOOKUP($C27,'Bilan final GPA HN'!$C$29:'Bilan final GPA HN'!$X$43,22,0)),"/"))</f>
        <v/>
      </c>
      <c r="W27" s="54" t="str">
        <f>IF($C27="","",IFERROR(IF(ISNA(VLOOKUP($C27,'Bilan final GPA HR'!$C$29:'Bilan final GPA HR'!$X$43,22,0)), ,VLOOKUP($C27,'Bilan final GPA HR'!$C$29:'Bilan final GPA HR'!$X$43,22,0)),"/"))</f>
        <v/>
      </c>
      <c r="X27" s="54" t="str">
        <f>IF($C27="","",IFERROR(IF(ISNA(VLOOKUP($C27,'Bilan final GPA OF'!$C$29:'Bilan final GPA OF'!$X$43,22,0)), ,VLOOKUP($C27,'Bilan final GPA OF'!$C$29:'Bilan final GPA OF'!$X$43,22,0)),"/"))</f>
        <v/>
      </c>
      <c r="Y27" s="54" t="str">
        <f>IF($C27="","",IFERROR(IF(ISNA(VLOOKUP($C27,'Bilan final GPA IE'!$C$29:'Bilan final GPA IE'!$X$43,22,0)), ,VLOOKUP($C27,'Bilan final GPA IE'!$C$29:'Bilan final GPA IE'!$X$43,22,0)),"/"))</f>
        <v/>
      </c>
      <c r="Z27" s="115">
        <f t="shared" si="4"/>
        <v>0</v>
      </c>
      <c r="AA27" s="116" t="s">
        <v>97</v>
      </c>
      <c r="AB27" s="116" t="str">
        <f t="shared" si="5"/>
        <v/>
      </c>
    </row>
    <row r="28" spans="3:37" ht="50.1" customHeight="1" x14ac:dyDescent="0.25">
      <c r="C28" s="107"/>
      <c r="D28" s="34"/>
      <c r="E28" s="34"/>
      <c r="F28" s="35"/>
      <c r="G28" s="90"/>
      <c r="H28" s="37"/>
      <c r="I28" s="18"/>
      <c r="J28" s="16"/>
      <c r="K28" s="105"/>
      <c r="M28" s="105"/>
      <c r="P28" s="49"/>
      <c r="Q28" s="49"/>
      <c r="R28" s="49">
        <f t="shared" si="0"/>
        <v>0</v>
      </c>
      <c r="S28" s="49">
        <f t="shared" si="1"/>
        <v>0</v>
      </c>
      <c r="T28" s="49">
        <f t="shared" si="2"/>
        <v>0</v>
      </c>
      <c r="U28" s="39">
        <f t="shared" si="3"/>
        <v>0</v>
      </c>
      <c r="V28" s="54" t="str">
        <f>IF($C28="","",IFERROR(IF(ISNA(VLOOKUP($C28,'Bilan final GPA HN'!$C$29:'Bilan final GPA HN'!$X$43,22,0)), ,VLOOKUP($C28,'Bilan final GPA HN'!$C$29:'Bilan final GPA HN'!$X$43,22,0)),"/"))</f>
        <v/>
      </c>
      <c r="W28" s="54" t="str">
        <f>IF($C28="","",IFERROR(IF(ISNA(VLOOKUP($C28,'Bilan final GPA HR'!$C$29:'Bilan final GPA HR'!$X$43,22,0)), ,VLOOKUP($C28,'Bilan final GPA HR'!$C$29:'Bilan final GPA HR'!$X$43,22,0)),"/"))</f>
        <v/>
      </c>
      <c r="X28" s="54" t="str">
        <f>IF($C28="","",IFERROR(IF(ISNA(VLOOKUP($C28,'Bilan final GPA OF'!$C$29:'Bilan final GPA OF'!$X$43,22,0)), ,VLOOKUP($C28,'Bilan final GPA OF'!$C$29:'Bilan final GPA OF'!$X$43,22,0)),"/"))</f>
        <v/>
      </c>
      <c r="Y28" s="54" t="str">
        <f>IF($C28="","",IFERROR(IF(ISNA(VLOOKUP($C28,'Bilan final GPA IE'!$C$29:'Bilan final GPA IE'!$X$43,22,0)), ,VLOOKUP($C28,'Bilan final GPA IE'!$C$29:'Bilan final GPA IE'!$X$43,22,0)),"/"))</f>
        <v/>
      </c>
      <c r="Z28" s="115">
        <f t="shared" si="4"/>
        <v>0</v>
      </c>
      <c r="AA28" s="116" t="s">
        <v>97</v>
      </c>
      <c r="AB28" s="116" t="str">
        <f t="shared" si="5"/>
        <v/>
      </c>
    </row>
    <row r="29" spans="3:37" ht="50.1" customHeight="1" x14ac:dyDescent="0.25">
      <c r="C29" s="107"/>
      <c r="D29" s="34"/>
      <c r="E29" s="34"/>
      <c r="F29" s="35"/>
      <c r="G29" s="90"/>
      <c r="H29" s="37"/>
      <c r="I29" s="18"/>
      <c r="J29" s="16"/>
      <c r="K29" s="105"/>
      <c r="M29" s="105"/>
      <c r="P29" s="49"/>
      <c r="Q29" s="49"/>
      <c r="R29" s="49">
        <f t="shared" si="0"/>
        <v>0</v>
      </c>
      <c r="S29" s="49">
        <f t="shared" si="1"/>
        <v>0</v>
      </c>
      <c r="T29" s="49">
        <f t="shared" si="2"/>
        <v>0</v>
      </c>
      <c r="U29" s="39">
        <f t="shared" si="3"/>
        <v>0</v>
      </c>
      <c r="V29" s="54" t="str">
        <f>IF($C29="","",IFERROR(IF(ISNA(VLOOKUP($C29,'Bilan final GPA HN'!$C$29:'Bilan final GPA HN'!$X$43,22,0)), ,VLOOKUP($C29,'Bilan final GPA HN'!$C$29:'Bilan final GPA HN'!$X$43,22,0)),"/"))</f>
        <v/>
      </c>
      <c r="W29" s="54" t="str">
        <f>IF($C29="","",IFERROR(IF(ISNA(VLOOKUP($C29,'Bilan final GPA HR'!$C$29:'Bilan final GPA HR'!$X$43,22,0)), ,VLOOKUP($C29,'Bilan final GPA HR'!$C$29:'Bilan final GPA HR'!$X$43,22,0)),"/"))</f>
        <v/>
      </c>
      <c r="X29" s="54" t="str">
        <f>IF($C29="","",IFERROR(IF(ISNA(VLOOKUP($C29,'Bilan final GPA OF'!$C$29:'Bilan final GPA OF'!$X$43,22,0)), ,VLOOKUP($C29,'Bilan final GPA OF'!$C$29:'Bilan final GPA OF'!$X$43,22,0)),"/"))</f>
        <v/>
      </c>
      <c r="Y29" s="54" t="str">
        <f>IF($C29="","",IFERROR(IF(ISNA(VLOOKUP($C29,'Bilan final GPA IE'!$C$29:'Bilan final GPA IE'!$X$43,22,0)), ,VLOOKUP($C29,'Bilan final GPA IE'!$C$29:'Bilan final GPA IE'!$X$43,22,0)),"/"))</f>
        <v/>
      </c>
      <c r="Z29" s="115">
        <f t="shared" si="4"/>
        <v>0</v>
      </c>
      <c r="AA29" s="116" t="s">
        <v>97</v>
      </c>
      <c r="AB29" s="116" t="str">
        <f t="shared" si="5"/>
        <v/>
      </c>
    </row>
    <row r="30" spans="3:37" ht="50.1" customHeight="1" x14ac:dyDescent="0.25">
      <c r="C30" s="107"/>
      <c r="D30" s="12"/>
      <c r="E30" s="34"/>
      <c r="F30" s="35"/>
      <c r="G30" s="90"/>
      <c r="H30" s="23"/>
      <c r="I30" s="18"/>
      <c r="J30" s="16"/>
      <c r="K30" s="105"/>
      <c r="M30" s="105"/>
      <c r="P30" s="49"/>
      <c r="Q30" s="49"/>
      <c r="R30" s="49">
        <f t="shared" si="0"/>
        <v>0</v>
      </c>
      <c r="S30" s="49">
        <f t="shared" si="1"/>
        <v>0</v>
      </c>
      <c r="T30" s="49">
        <f t="shared" si="2"/>
        <v>0</v>
      </c>
      <c r="U30" s="39">
        <f t="shared" si="3"/>
        <v>0</v>
      </c>
      <c r="V30" s="54" t="str">
        <f>IF($C30="","",IFERROR(IF(ISNA(VLOOKUP($C30,'Bilan final GPA HN'!$C$29:'Bilan final GPA HN'!$X$43,22,0)), ,VLOOKUP($C30,'Bilan final GPA HN'!$C$29:'Bilan final GPA HN'!$X$43,22,0)),"/"))</f>
        <v/>
      </c>
      <c r="W30" s="54" t="str">
        <f>IF($C30="","",IFERROR(IF(ISNA(VLOOKUP($C30,'Bilan final GPA HR'!$C$29:'Bilan final GPA HR'!$X$43,22,0)), ,VLOOKUP($C30,'Bilan final GPA HR'!$C$29:'Bilan final GPA HR'!$X$43,22,0)),"/"))</f>
        <v/>
      </c>
      <c r="X30" s="54" t="str">
        <f>IF($C30="","",IFERROR(IF(ISNA(VLOOKUP($C30,'Bilan final GPA OF'!$C$29:'Bilan final GPA OF'!$X$43,22,0)), ,VLOOKUP($C30,'Bilan final GPA OF'!$C$29:'Bilan final GPA OF'!$X$43,22,0)),"/"))</f>
        <v/>
      </c>
      <c r="Y30" s="54" t="str">
        <f>IF($C30="","",IFERROR(IF(ISNA(VLOOKUP($C30,'Bilan final GPA IE'!$C$29:'Bilan final GPA IE'!$X$43,22,0)), ,VLOOKUP($C30,'Bilan final GPA IE'!$C$29:'Bilan final GPA IE'!$X$43,22,0)),"/"))</f>
        <v/>
      </c>
      <c r="Z30" s="115">
        <f t="shared" si="4"/>
        <v>0</v>
      </c>
      <c r="AA30" s="116" t="s">
        <v>97</v>
      </c>
      <c r="AB30" s="116" t="str">
        <f t="shared" si="5"/>
        <v/>
      </c>
    </row>
    <row r="31" spans="3:37" ht="50.1" customHeight="1" x14ac:dyDescent="0.25">
      <c r="C31" s="107"/>
      <c r="D31" s="12"/>
      <c r="E31" s="34"/>
      <c r="F31" s="35"/>
      <c r="G31" s="90"/>
      <c r="H31" s="23"/>
      <c r="I31" s="18"/>
      <c r="J31" s="16"/>
      <c r="K31" s="105"/>
      <c r="M31" s="105"/>
      <c r="P31" s="49"/>
      <c r="Q31" s="49"/>
      <c r="R31" s="49">
        <f t="shared" si="0"/>
        <v>0</v>
      </c>
      <c r="S31" s="49">
        <f t="shared" si="1"/>
        <v>0</v>
      </c>
      <c r="T31" s="49">
        <f t="shared" si="2"/>
        <v>0</v>
      </c>
      <c r="U31" s="39">
        <f t="shared" si="3"/>
        <v>0</v>
      </c>
      <c r="V31" s="54" t="str">
        <f>IF($C31="","",IFERROR(IF(ISNA(VLOOKUP($C31,'Bilan final GPA HN'!$C$29:'Bilan final GPA HN'!$X$43,22,0)), ,VLOOKUP($C31,'Bilan final GPA HN'!$C$29:'Bilan final GPA HN'!$X$43,22,0)),"/"))</f>
        <v/>
      </c>
      <c r="W31" s="54" t="str">
        <f>IF($C31="","",IFERROR(IF(ISNA(VLOOKUP($C31,'Bilan final GPA HR'!$C$29:'Bilan final GPA HR'!$X$43,22,0)), ,VLOOKUP($C31,'Bilan final GPA HR'!$C$29:'Bilan final GPA HR'!$X$43,22,0)),"/"))</f>
        <v/>
      </c>
      <c r="X31" s="54" t="str">
        <f>IF($C31="","",IFERROR(IF(ISNA(VLOOKUP($C31,'Bilan final GPA OF'!$C$29:'Bilan final GPA OF'!$X$43,22,0)), ,VLOOKUP($C31,'Bilan final GPA OF'!$C$29:'Bilan final GPA OF'!$X$43,22,0)),"/"))</f>
        <v/>
      </c>
      <c r="Y31" s="54" t="str">
        <f>IF($C31="","",IFERROR(IF(ISNA(VLOOKUP($C31,'Bilan final GPA IE'!$C$29:'Bilan final GPA IE'!$X$43,22,0)), ,VLOOKUP($C31,'Bilan final GPA IE'!$C$29:'Bilan final GPA IE'!$X$43,22,0)),"/"))</f>
        <v/>
      </c>
      <c r="Z31" s="115">
        <f t="shared" si="4"/>
        <v>0</v>
      </c>
      <c r="AA31" s="116" t="s">
        <v>97</v>
      </c>
      <c r="AB31" s="116" t="str">
        <f t="shared" si="5"/>
        <v/>
      </c>
    </row>
    <row r="32" spans="3:37" ht="50.1" customHeight="1" x14ac:dyDescent="0.25">
      <c r="C32" s="107"/>
      <c r="D32" s="12"/>
      <c r="E32" s="34"/>
      <c r="F32" s="35"/>
      <c r="G32" s="90"/>
      <c r="H32" s="23"/>
      <c r="I32" s="18"/>
      <c r="J32" s="16"/>
      <c r="K32" s="105"/>
      <c r="M32" s="105"/>
      <c r="P32" s="49"/>
      <c r="Q32" s="49"/>
      <c r="R32" s="49">
        <f t="shared" si="0"/>
        <v>0</v>
      </c>
      <c r="S32" s="49">
        <f t="shared" si="1"/>
        <v>0</v>
      </c>
      <c r="T32" s="49">
        <f t="shared" si="2"/>
        <v>0</v>
      </c>
      <c r="U32" s="39">
        <f t="shared" si="3"/>
        <v>0</v>
      </c>
      <c r="V32" s="54" t="str">
        <f>IF($C32="","",IFERROR(IF(ISNA(VLOOKUP($C32,'Bilan final GPA HN'!$C$29:'Bilan final GPA HN'!$X$43,22,0)), ,VLOOKUP($C32,'Bilan final GPA HN'!$C$29:'Bilan final GPA HN'!$X$43,22,0)),"/"))</f>
        <v/>
      </c>
      <c r="W32" s="54" t="str">
        <f>IF($C32="","",IFERROR(IF(ISNA(VLOOKUP($C32,'Bilan final GPA HR'!$C$29:'Bilan final GPA HR'!$X$43,22,0)), ,VLOOKUP($C32,'Bilan final GPA HR'!$C$29:'Bilan final GPA HR'!$X$43,22,0)),"/"))</f>
        <v/>
      </c>
      <c r="X32" s="54" t="str">
        <f>IF($C32="","",IFERROR(IF(ISNA(VLOOKUP($C32,'Bilan final GPA OF'!$C$29:'Bilan final GPA OF'!$X$43,22,0)), ,VLOOKUP($C32,'Bilan final GPA OF'!$C$29:'Bilan final GPA OF'!$X$43,22,0)),"/"))</f>
        <v/>
      </c>
      <c r="Y32" s="54" t="str">
        <f>IF($C32="","",IFERROR(IF(ISNA(VLOOKUP($C32,'Bilan final GPA IE'!$C$29:'Bilan final GPA IE'!$X$43,22,0)), ,VLOOKUP($C32,'Bilan final GPA IE'!$C$29:'Bilan final GPA IE'!$X$43,22,0)),"/"))</f>
        <v/>
      </c>
      <c r="Z32" s="115">
        <f t="shared" si="4"/>
        <v>0</v>
      </c>
      <c r="AA32" s="116" t="s">
        <v>97</v>
      </c>
      <c r="AB32" s="116" t="str">
        <f t="shared" si="5"/>
        <v/>
      </c>
    </row>
    <row r="33" spans="3:28" ht="50.1" customHeight="1" x14ac:dyDescent="0.25">
      <c r="C33" s="107"/>
      <c r="D33" s="12"/>
      <c r="E33" s="34"/>
      <c r="F33" s="35"/>
      <c r="G33" s="90"/>
      <c r="H33" s="23"/>
      <c r="I33" s="18"/>
      <c r="J33" s="16"/>
      <c r="K33" s="105"/>
      <c r="M33" s="105"/>
      <c r="P33" s="49"/>
      <c r="Q33" s="49"/>
      <c r="R33" s="49">
        <f t="shared" si="0"/>
        <v>0</v>
      </c>
      <c r="S33" s="49">
        <f t="shared" si="1"/>
        <v>0</v>
      </c>
      <c r="T33" s="49">
        <f t="shared" si="2"/>
        <v>0</v>
      </c>
      <c r="U33" s="39">
        <f t="shared" si="3"/>
        <v>0</v>
      </c>
      <c r="V33" s="54" t="str">
        <f>IF($C33="","",IFERROR(IF(ISNA(VLOOKUP($C33,'Bilan final GPA HN'!$C$29:'Bilan final GPA HN'!$X$43,22,0)), ,VLOOKUP($C33,'Bilan final GPA HN'!$C$29:'Bilan final GPA HN'!$X$43,22,0)),"/"))</f>
        <v/>
      </c>
      <c r="W33" s="54" t="str">
        <f>IF($C33="","",IFERROR(IF(ISNA(VLOOKUP($C33,'Bilan final GPA HR'!$C$29:'Bilan final GPA HR'!$X$43,22,0)), ,VLOOKUP($C33,'Bilan final GPA HR'!$C$29:'Bilan final GPA HR'!$X$43,22,0)),"/"))</f>
        <v/>
      </c>
      <c r="X33" s="54" t="str">
        <f>IF($C33="","",IFERROR(IF(ISNA(VLOOKUP($C33,'Bilan final GPA OF'!$C$29:'Bilan final GPA OF'!$X$43,22,0)), ,VLOOKUP($C33,'Bilan final GPA OF'!$C$29:'Bilan final GPA OF'!$X$43,22,0)),"/"))</f>
        <v/>
      </c>
      <c r="Y33" s="54" t="str">
        <f>IF($C33="","",IFERROR(IF(ISNA(VLOOKUP($C33,'Bilan final GPA IE'!$C$29:'Bilan final GPA IE'!$X$43,22,0)), ,VLOOKUP($C33,'Bilan final GPA IE'!$C$29:'Bilan final GPA IE'!$X$43,22,0)),"/"))</f>
        <v/>
      </c>
      <c r="Z33" s="115">
        <f t="shared" si="4"/>
        <v>0</v>
      </c>
      <c r="AA33" s="116" t="s">
        <v>97</v>
      </c>
      <c r="AB33" s="116" t="str">
        <f t="shared" si="5"/>
        <v/>
      </c>
    </row>
    <row r="34" spans="3:28" ht="50.1" customHeight="1" x14ac:dyDescent="0.25">
      <c r="C34" s="107"/>
      <c r="D34" s="12"/>
      <c r="E34" s="34"/>
      <c r="F34" s="35"/>
      <c r="G34" s="90"/>
      <c r="H34" s="23"/>
      <c r="I34" s="18"/>
      <c r="J34" s="16"/>
      <c r="K34" s="105"/>
      <c r="M34" s="105"/>
      <c r="P34" s="49"/>
      <c r="Q34" s="49"/>
      <c r="R34" s="49">
        <f t="shared" si="0"/>
        <v>0</v>
      </c>
      <c r="S34" s="49">
        <f t="shared" si="1"/>
        <v>0</v>
      </c>
      <c r="T34" s="49">
        <f t="shared" si="2"/>
        <v>0</v>
      </c>
      <c r="U34" s="39">
        <f t="shared" si="3"/>
        <v>0</v>
      </c>
      <c r="V34" s="54" t="str">
        <f>IF($C34="","",IFERROR(IF(ISNA(VLOOKUP($C34,'Bilan final GPA HN'!$C$29:'Bilan final GPA HN'!$X$43,22,0)), ,VLOOKUP($C34,'Bilan final GPA HN'!$C$29:'Bilan final GPA HN'!$X$43,22,0)),"/"))</f>
        <v/>
      </c>
      <c r="W34" s="54" t="str">
        <f>IF($C34="","",IFERROR(IF(ISNA(VLOOKUP($C34,'Bilan final GPA HR'!$C$29:'Bilan final GPA HR'!$X$43,22,0)), ,VLOOKUP($C34,'Bilan final GPA HR'!$C$29:'Bilan final GPA HR'!$X$43,22,0)),"/"))</f>
        <v/>
      </c>
      <c r="X34" s="54" t="str">
        <f>IF($C34="","",IFERROR(IF(ISNA(VLOOKUP($C34,'Bilan final GPA OF'!$C$29:'Bilan final GPA OF'!$X$43,22,0)), ,VLOOKUP($C34,'Bilan final GPA OF'!$C$29:'Bilan final GPA OF'!$X$43,22,0)),"/"))</f>
        <v/>
      </c>
      <c r="Y34" s="54" t="str">
        <f>IF($C34="","",IFERROR(IF(ISNA(VLOOKUP($C34,'Bilan final GPA IE'!$C$29:'Bilan final GPA IE'!$X$43,22,0)), ,VLOOKUP($C34,'Bilan final GPA IE'!$C$29:'Bilan final GPA IE'!$X$43,22,0)),"/"))</f>
        <v/>
      </c>
      <c r="Z34" s="115">
        <f t="shared" si="4"/>
        <v>0</v>
      </c>
      <c r="AA34" s="116" t="s">
        <v>97</v>
      </c>
      <c r="AB34" s="116" t="str">
        <f t="shared" si="5"/>
        <v/>
      </c>
    </row>
    <row r="35" spans="3:28" ht="50.1" customHeight="1" x14ac:dyDescent="0.25">
      <c r="C35" s="107"/>
      <c r="D35" s="12"/>
      <c r="E35" s="34"/>
      <c r="F35" s="35"/>
      <c r="G35" s="90"/>
      <c r="H35" s="23"/>
      <c r="I35" s="18"/>
      <c r="J35" s="16"/>
      <c r="K35" s="105"/>
      <c r="M35" s="105"/>
      <c r="P35" s="49"/>
      <c r="Q35" s="49"/>
      <c r="R35" s="49">
        <f t="shared" si="0"/>
        <v>0</v>
      </c>
      <c r="S35" s="49">
        <f t="shared" si="1"/>
        <v>0</v>
      </c>
      <c r="T35" s="49">
        <f t="shared" si="2"/>
        <v>0</v>
      </c>
      <c r="U35" s="39">
        <f t="shared" si="3"/>
        <v>0</v>
      </c>
      <c r="V35" s="54" t="str">
        <f>IF($C35="","",IFERROR(IF(ISNA(VLOOKUP($C35,'Bilan final GPA HN'!$C$29:'Bilan final GPA HN'!$X$43,22,0)), ,VLOOKUP($C35,'Bilan final GPA HN'!$C$29:'Bilan final GPA HN'!$X$43,22,0)),"/"))</f>
        <v/>
      </c>
      <c r="W35" s="54" t="str">
        <f>IF($C35="","",IFERROR(IF(ISNA(VLOOKUP($C35,'Bilan final GPA HR'!$C$29:'Bilan final GPA HR'!$X$43,22,0)), ,VLOOKUP($C35,'Bilan final GPA HR'!$C$29:'Bilan final GPA HR'!$X$43,22,0)),"/"))</f>
        <v/>
      </c>
      <c r="X35" s="54" t="str">
        <f>IF($C35="","",IFERROR(IF(ISNA(VLOOKUP($C35,'Bilan final GPA OF'!$C$29:'Bilan final GPA OF'!$X$43,22,0)), ,VLOOKUP($C35,'Bilan final GPA OF'!$C$29:'Bilan final GPA OF'!$X$43,22,0)),"/"))</f>
        <v/>
      </c>
      <c r="Y35" s="54" t="str">
        <f>IF($C35="","",IFERROR(IF(ISNA(VLOOKUP($C35,'Bilan final GPA IE'!$C$29:'Bilan final GPA IE'!$X$43,22,0)), ,VLOOKUP($C35,'Bilan final GPA IE'!$C$29:'Bilan final GPA IE'!$X$43,22,0)),"/"))</f>
        <v/>
      </c>
      <c r="Z35" s="115">
        <f t="shared" si="4"/>
        <v>0</v>
      </c>
      <c r="AA35" s="116" t="s">
        <v>97</v>
      </c>
      <c r="AB35" s="116" t="str">
        <f t="shared" si="5"/>
        <v/>
      </c>
    </row>
    <row r="36" spans="3:28" ht="50.1" customHeight="1" x14ac:dyDescent="0.25">
      <c r="C36" s="107"/>
      <c r="D36" s="12"/>
      <c r="E36" s="34"/>
      <c r="F36" s="35"/>
      <c r="G36" s="90"/>
      <c r="H36" s="23"/>
      <c r="I36" s="18"/>
      <c r="J36" s="16"/>
      <c r="K36" s="105"/>
      <c r="M36" s="105"/>
      <c r="P36" s="49"/>
      <c r="Q36" s="49"/>
      <c r="R36" s="49">
        <f t="shared" si="0"/>
        <v>0</v>
      </c>
      <c r="S36" s="49">
        <f t="shared" si="1"/>
        <v>0</v>
      </c>
      <c r="T36" s="49">
        <f t="shared" si="2"/>
        <v>0</v>
      </c>
      <c r="U36" s="39">
        <f t="shared" si="3"/>
        <v>0</v>
      </c>
      <c r="V36" s="54" t="str">
        <f>IF($C36="","",IFERROR(IF(ISNA(VLOOKUP($C36,'Bilan final GPA HN'!$C$29:'Bilan final GPA HN'!$X$43,22,0)), ,VLOOKUP($C36,'Bilan final GPA HN'!$C$29:'Bilan final GPA HN'!$X$43,22,0)),"/"))</f>
        <v/>
      </c>
      <c r="W36" s="54" t="str">
        <f>IF($C36="","",IFERROR(IF(ISNA(VLOOKUP($C36,'Bilan final GPA HR'!$C$29:'Bilan final GPA HR'!$X$43,22,0)), ,VLOOKUP($C36,'Bilan final GPA HR'!$C$29:'Bilan final GPA HR'!$X$43,22,0)),"/"))</f>
        <v/>
      </c>
      <c r="X36" s="54" t="str">
        <f>IF($C36="","",IFERROR(IF(ISNA(VLOOKUP($C36,'Bilan final GPA OF'!$C$29:'Bilan final GPA OF'!$X$43,22,0)), ,VLOOKUP($C36,'Bilan final GPA OF'!$C$29:'Bilan final GPA OF'!$X$43,22,0)),"/"))</f>
        <v/>
      </c>
      <c r="Y36" s="54" t="str">
        <f>IF($C36="","",IFERROR(IF(ISNA(VLOOKUP($C36,'Bilan final GPA IE'!$C$29:'Bilan final GPA IE'!$X$43,22,0)), ,VLOOKUP($C36,'Bilan final GPA IE'!$C$29:'Bilan final GPA IE'!$X$43,22,0)),"/"))</f>
        <v/>
      </c>
      <c r="Z36" s="115">
        <f t="shared" si="4"/>
        <v>0</v>
      </c>
      <c r="AA36" s="116" t="s">
        <v>97</v>
      </c>
      <c r="AB36" s="116" t="str">
        <f t="shared" si="5"/>
        <v/>
      </c>
    </row>
    <row r="37" spans="3:28" ht="50.1" customHeight="1" x14ac:dyDescent="0.25">
      <c r="C37" s="107"/>
      <c r="D37" s="12"/>
      <c r="E37" s="34"/>
      <c r="F37" s="35"/>
      <c r="G37" s="90"/>
      <c r="H37" s="23"/>
      <c r="I37" s="18"/>
      <c r="J37" s="16"/>
      <c r="K37" s="105"/>
      <c r="M37" s="105"/>
      <c r="P37" s="49"/>
      <c r="Q37" s="49"/>
      <c r="R37" s="49">
        <f t="shared" si="0"/>
        <v>0</v>
      </c>
      <c r="S37" s="49">
        <f t="shared" si="1"/>
        <v>0</v>
      </c>
      <c r="T37" s="49">
        <f t="shared" si="2"/>
        <v>0</v>
      </c>
      <c r="U37" s="39">
        <f t="shared" si="3"/>
        <v>0</v>
      </c>
      <c r="V37" s="54" t="str">
        <f>IF($C37="","",IFERROR(IF(ISNA(VLOOKUP($C37,'Bilan final GPA HN'!$C$29:'Bilan final GPA HN'!$X$43,22,0)), ,VLOOKUP($C37,'Bilan final GPA HN'!$C$29:'Bilan final GPA HN'!$X$43,22,0)),"/"))</f>
        <v/>
      </c>
      <c r="W37" s="54" t="str">
        <f>IF($C37="","",IFERROR(IF(ISNA(VLOOKUP($C37,'Bilan final GPA HR'!$C$29:'Bilan final GPA HR'!$X$43,22,0)), ,VLOOKUP($C37,'Bilan final GPA HR'!$C$29:'Bilan final GPA HR'!$X$43,22,0)),"/"))</f>
        <v/>
      </c>
      <c r="X37" s="54" t="str">
        <f>IF($C37="","",IFERROR(IF(ISNA(VLOOKUP($C37,'Bilan final GPA OF'!$C$29:'Bilan final GPA OF'!$X$43,22,0)), ,VLOOKUP($C37,'Bilan final GPA OF'!$C$29:'Bilan final GPA OF'!$X$43,22,0)),"/"))</f>
        <v/>
      </c>
      <c r="Y37" s="54" t="str">
        <f>IF($C37="","",IFERROR(IF(ISNA(VLOOKUP($C37,'Bilan final GPA IE'!$C$29:'Bilan final GPA IE'!$X$43,22,0)), ,VLOOKUP($C37,'Bilan final GPA IE'!$C$29:'Bilan final GPA IE'!$X$43,22,0)),"/"))</f>
        <v/>
      </c>
      <c r="Z37" s="115">
        <f t="shared" si="4"/>
        <v>0</v>
      </c>
      <c r="AA37" s="116" t="s">
        <v>97</v>
      </c>
      <c r="AB37" s="116" t="str">
        <f t="shared" si="5"/>
        <v/>
      </c>
    </row>
    <row r="38" spans="3:28" ht="50.1" customHeight="1" x14ac:dyDescent="0.25">
      <c r="C38" s="107"/>
      <c r="D38" s="12"/>
      <c r="E38" s="34"/>
      <c r="F38" s="35"/>
      <c r="G38" s="90"/>
      <c r="H38" s="23"/>
      <c r="I38" s="18"/>
      <c r="J38" s="16"/>
      <c r="K38" s="105"/>
      <c r="M38" s="105"/>
      <c r="P38" s="49"/>
      <c r="Q38" s="49"/>
      <c r="R38" s="49">
        <f t="shared" si="0"/>
        <v>0</v>
      </c>
      <c r="S38" s="49">
        <f t="shared" si="1"/>
        <v>0</v>
      </c>
      <c r="T38" s="49">
        <f t="shared" si="2"/>
        <v>0</v>
      </c>
      <c r="U38" s="39">
        <f t="shared" si="3"/>
        <v>0</v>
      </c>
      <c r="V38" s="54" t="str">
        <f>IF($C38="","",IFERROR(IF(ISNA(VLOOKUP($C38,'Bilan final GPA HN'!$C$29:'Bilan final GPA HN'!$X$43,22,0)), ,VLOOKUP($C38,'Bilan final GPA HN'!$C$29:'Bilan final GPA HN'!$X$43,22,0)),"/"))</f>
        <v/>
      </c>
      <c r="W38" s="54" t="str">
        <f>IF($C38="","",IFERROR(IF(ISNA(VLOOKUP($C38,'Bilan final GPA HR'!$C$29:'Bilan final GPA HR'!$X$43,22,0)), ,VLOOKUP($C38,'Bilan final GPA HR'!$C$29:'Bilan final GPA HR'!$X$43,22,0)),"/"))</f>
        <v/>
      </c>
      <c r="X38" s="54" t="str">
        <f>IF($C38="","",IFERROR(IF(ISNA(VLOOKUP($C38,'Bilan final GPA OF'!$C$29:'Bilan final GPA OF'!$X$43,22,0)), ,VLOOKUP($C38,'Bilan final GPA OF'!$C$29:'Bilan final GPA OF'!$X$43,22,0)),"/"))</f>
        <v/>
      </c>
      <c r="Y38" s="54" t="str">
        <f>IF($C38="","",IFERROR(IF(ISNA(VLOOKUP($C38,'Bilan final GPA IE'!$C$29:'Bilan final GPA IE'!$X$43,22,0)), ,VLOOKUP($C38,'Bilan final GPA IE'!$C$29:'Bilan final GPA IE'!$X$43,22,0)),"/"))</f>
        <v/>
      </c>
      <c r="Z38" s="115">
        <f t="shared" si="4"/>
        <v>0</v>
      </c>
      <c r="AA38" s="116" t="s">
        <v>97</v>
      </c>
      <c r="AB38" s="116" t="str">
        <f t="shared" si="5"/>
        <v/>
      </c>
    </row>
    <row r="39" spans="3:28" ht="50.1" customHeight="1" x14ac:dyDescent="0.25">
      <c r="C39" s="107"/>
      <c r="D39" s="12"/>
      <c r="E39" s="34"/>
      <c r="F39" s="35"/>
      <c r="G39" s="90"/>
      <c r="H39" s="23"/>
      <c r="I39" s="18"/>
      <c r="J39" s="16"/>
      <c r="K39" s="105"/>
      <c r="M39" s="105"/>
      <c r="P39" s="49"/>
      <c r="Q39" s="49"/>
      <c r="R39" s="49">
        <f t="shared" si="0"/>
        <v>0</v>
      </c>
      <c r="S39" s="49">
        <f t="shared" si="1"/>
        <v>0</v>
      </c>
      <c r="T39" s="49">
        <f t="shared" si="2"/>
        <v>0</v>
      </c>
      <c r="U39" s="39">
        <f t="shared" si="3"/>
        <v>0</v>
      </c>
      <c r="V39" s="54" t="str">
        <f>IF($C39="","",IFERROR(IF(ISNA(VLOOKUP($C39,'Bilan final GPA HN'!$C$29:'Bilan final GPA HN'!$X$43,22,0)), ,VLOOKUP($C39,'Bilan final GPA HN'!$C$29:'Bilan final GPA HN'!$X$43,22,0)),"/"))</f>
        <v/>
      </c>
      <c r="W39" s="54" t="str">
        <f>IF($C39="","",IFERROR(IF(ISNA(VLOOKUP($C39,'Bilan final GPA HR'!$C$29:'Bilan final GPA HR'!$X$43,22,0)), ,VLOOKUP($C39,'Bilan final GPA HR'!$C$29:'Bilan final GPA HR'!$X$43,22,0)),"/"))</f>
        <v/>
      </c>
      <c r="X39" s="54" t="str">
        <f>IF($C39="","",IFERROR(IF(ISNA(VLOOKUP($C39,'Bilan final GPA OF'!$C$29:'Bilan final GPA OF'!$X$43,22,0)), ,VLOOKUP($C39,'Bilan final GPA OF'!$C$29:'Bilan final GPA OF'!$X$43,22,0)),"/"))</f>
        <v/>
      </c>
      <c r="Y39" s="54" t="str">
        <f>IF($C39="","",IFERROR(IF(ISNA(VLOOKUP($C39,'Bilan final GPA IE'!$C$29:'Bilan final GPA IE'!$X$43,22,0)), ,VLOOKUP($C39,'Bilan final GPA IE'!$C$29:'Bilan final GPA IE'!$X$43,22,0)),"/"))</f>
        <v/>
      </c>
      <c r="Z39" s="115">
        <f t="shared" si="4"/>
        <v>0</v>
      </c>
      <c r="AA39" s="116" t="s">
        <v>97</v>
      </c>
      <c r="AB39" s="116" t="str">
        <f t="shared" si="5"/>
        <v/>
      </c>
    </row>
    <row r="40" spans="3:28" ht="50.1" customHeight="1" x14ac:dyDescent="0.25">
      <c r="C40" s="107"/>
      <c r="D40" s="12"/>
      <c r="E40" s="34"/>
      <c r="F40" s="35"/>
      <c r="G40" s="90"/>
      <c r="H40" s="23"/>
      <c r="I40" s="18"/>
      <c r="J40" s="16"/>
      <c r="K40" s="105"/>
      <c r="M40" s="105"/>
      <c r="P40" s="49"/>
      <c r="Q40" s="49"/>
      <c r="R40" s="49">
        <f t="shared" si="0"/>
        <v>0</v>
      </c>
      <c r="S40" s="49">
        <f t="shared" si="1"/>
        <v>0</v>
      </c>
      <c r="T40" s="49">
        <f t="shared" si="2"/>
        <v>0</v>
      </c>
      <c r="U40" s="39">
        <f t="shared" si="3"/>
        <v>0</v>
      </c>
      <c r="V40" s="54" t="str">
        <f>IF($C40="","",IFERROR(IF(ISNA(VLOOKUP($C40,'Bilan final GPA HN'!$C$29:'Bilan final GPA HN'!$X$43,22,0)), ,VLOOKUP($C40,'Bilan final GPA HN'!$C$29:'Bilan final GPA HN'!$X$43,22,0)),"/"))</f>
        <v/>
      </c>
      <c r="W40" s="54" t="str">
        <f>IF($C40="","",IFERROR(IF(ISNA(VLOOKUP($C40,'Bilan final GPA HR'!$C$29:'Bilan final GPA HR'!$X$43,22,0)), ,VLOOKUP($C40,'Bilan final GPA HR'!$C$29:'Bilan final GPA HR'!$X$43,22,0)),"/"))</f>
        <v/>
      </c>
      <c r="X40" s="54" t="str">
        <f>IF($C40="","",IFERROR(IF(ISNA(VLOOKUP($C40,'Bilan final GPA OF'!$C$29:'Bilan final GPA OF'!$X$43,22,0)), ,VLOOKUP($C40,'Bilan final GPA OF'!$C$29:'Bilan final GPA OF'!$X$43,22,0)),"/"))</f>
        <v/>
      </c>
      <c r="Y40" s="54" t="str">
        <f>IF($C40="","",IFERROR(IF(ISNA(VLOOKUP($C40,'Bilan final GPA IE'!$C$29:'Bilan final GPA IE'!$X$43,22,0)), ,VLOOKUP($C40,'Bilan final GPA IE'!$C$29:'Bilan final GPA IE'!$X$43,22,0)),"/"))</f>
        <v/>
      </c>
      <c r="Z40" s="115">
        <f t="shared" si="4"/>
        <v>0</v>
      </c>
      <c r="AA40" s="116" t="s">
        <v>97</v>
      </c>
      <c r="AB40" s="116" t="str">
        <f t="shared" si="5"/>
        <v/>
      </c>
    </row>
    <row r="41" spans="3:28" ht="50.1" customHeight="1" x14ac:dyDescent="0.25">
      <c r="C41" s="107"/>
      <c r="D41" s="12"/>
      <c r="E41" s="34"/>
      <c r="F41" s="35"/>
      <c r="G41" s="90"/>
      <c r="H41" s="23"/>
      <c r="I41" s="18"/>
      <c r="J41" s="16"/>
      <c r="K41" s="105"/>
      <c r="M41" s="105"/>
      <c r="P41" s="49"/>
      <c r="Q41" s="49"/>
      <c r="R41" s="49">
        <f t="shared" si="0"/>
        <v>0</v>
      </c>
      <c r="S41" s="49">
        <f t="shared" si="1"/>
        <v>0</v>
      </c>
      <c r="T41" s="49">
        <f t="shared" si="2"/>
        <v>0</v>
      </c>
      <c r="U41" s="39">
        <f t="shared" si="3"/>
        <v>0</v>
      </c>
      <c r="V41" s="54" t="str">
        <f>IF($C41="","",IFERROR(IF(ISNA(VLOOKUP($C41,'Bilan final GPA HN'!$C$29:'Bilan final GPA HN'!$X$43,22,0)), ,VLOOKUP($C41,'Bilan final GPA HN'!$C$29:'Bilan final GPA HN'!$X$43,22,0)),"/"))</f>
        <v/>
      </c>
      <c r="W41" s="54" t="str">
        <f>IF($C41="","",IFERROR(IF(ISNA(VLOOKUP($C41,'Bilan final GPA HR'!$C$29:'Bilan final GPA HR'!$X$43,22,0)), ,VLOOKUP($C41,'Bilan final GPA HR'!$C$29:'Bilan final GPA HR'!$X$43,22,0)),"/"))</f>
        <v/>
      </c>
      <c r="X41" s="54" t="str">
        <f>IF($C41="","",IFERROR(IF(ISNA(VLOOKUP($C41,'Bilan final GPA OF'!$C$29:'Bilan final GPA OF'!$X$43,22,0)), ,VLOOKUP($C41,'Bilan final GPA OF'!$C$29:'Bilan final GPA OF'!$X$43,22,0)),"/"))</f>
        <v/>
      </c>
      <c r="Y41" s="54" t="str">
        <f>IF($C41="","",IFERROR(IF(ISNA(VLOOKUP($C41,'Bilan final GPA IE'!$C$29:'Bilan final GPA IE'!$X$43,22,0)), ,VLOOKUP($C41,'Bilan final GPA IE'!$C$29:'Bilan final GPA IE'!$X$43,22,0)),"/"))</f>
        <v/>
      </c>
      <c r="Z41" s="115">
        <f t="shared" si="4"/>
        <v>0</v>
      </c>
      <c r="AA41" s="116" t="s">
        <v>97</v>
      </c>
      <c r="AB41" s="116" t="str">
        <f t="shared" si="5"/>
        <v/>
      </c>
    </row>
    <row r="42" spans="3:28" ht="50.1" customHeight="1" x14ac:dyDescent="0.25">
      <c r="C42" s="107"/>
      <c r="D42" s="12"/>
      <c r="E42" s="34"/>
      <c r="F42" s="35"/>
      <c r="G42" s="90"/>
      <c r="H42" s="23"/>
      <c r="I42" s="18"/>
      <c r="J42" s="16"/>
      <c r="K42" s="105"/>
      <c r="M42" s="105"/>
      <c r="P42" s="49"/>
      <c r="Q42" s="49"/>
      <c r="R42" s="49">
        <f t="shared" si="0"/>
        <v>0</v>
      </c>
      <c r="S42" s="49">
        <f t="shared" si="1"/>
        <v>0</v>
      </c>
      <c r="T42" s="49">
        <f t="shared" si="2"/>
        <v>0</v>
      </c>
      <c r="U42" s="39">
        <f t="shared" si="3"/>
        <v>0</v>
      </c>
      <c r="V42" s="54" t="str">
        <f>IF($C42="","",IFERROR(IF(ISNA(VLOOKUP($C42,'Bilan final GPA HN'!$C$29:'Bilan final GPA HN'!$X$43,22,0)), ,VLOOKUP($C42,'Bilan final GPA HN'!$C$29:'Bilan final GPA HN'!$X$43,22,0)),"/"))</f>
        <v/>
      </c>
      <c r="W42" s="54" t="str">
        <f>IF($C42="","",IFERROR(IF(ISNA(VLOOKUP($C42,'Bilan final GPA HR'!$C$29:'Bilan final GPA HR'!$X$43,22,0)), ,VLOOKUP($C42,'Bilan final GPA HR'!$C$29:'Bilan final GPA HR'!$X$43,22,0)),"/"))</f>
        <v/>
      </c>
      <c r="X42" s="54" t="str">
        <f>IF($C42="","",IFERROR(IF(ISNA(VLOOKUP($C42,'Bilan final GPA OF'!$C$29:'Bilan final GPA OF'!$X$43,22,0)), ,VLOOKUP($C42,'Bilan final GPA OF'!$C$29:'Bilan final GPA OF'!$X$43,22,0)),"/"))</f>
        <v/>
      </c>
      <c r="Y42" s="54" t="str">
        <f>IF($C42="","",IFERROR(IF(ISNA(VLOOKUP($C42,'Bilan final GPA IE'!$C$29:'Bilan final GPA IE'!$X$43,22,0)), ,VLOOKUP($C42,'Bilan final GPA IE'!$C$29:'Bilan final GPA IE'!$X$43,22,0)),"/"))</f>
        <v/>
      </c>
      <c r="Z42" s="115">
        <f t="shared" si="4"/>
        <v>0</v>
      </c>
      <c r="AA42" s="116" t="s">
        <v>97</v>
      </c>
      <c r="AB42" s="116" t="str">
        <f t="shared" si="5"/>
        <v/>
      </c>
    </row>
    <row r="43" spans="3:28" ht="50.1" customHeight="1" x14ac:dyDescent="0.25">
      <c r="C43" s="107"/>
      <c r="D43" s="12"/>
      <c r="E43" s="34"/>
      <c r="F43" s="35"/>
      <c r="G43" s="90"/>
      <c r="H43" s="23"/>
      <c r="I43" s="18"/>
      <c r="J43" s="16"/>
      <c r="K43" s="105"/>
      <c r="M43" s="105"/>
      <c r="P43" s="49"/>
      <c r="Q43" s="49"/>
      <c r="R43" s="49">
        <f t="shared" si="0"/>
        <v>0</v>
      </c>
      <c r="S43" s="49">
        <f t="shared" si="1"/>
        <v>0</v>
      </c>
      <c r="T43" s="49">
        <f t="shared" si="2"/>
        <v>0</v>
      </c>
      <c r="U43" s="39">
        <f t="shared" si="3"/>
        <v>0</v>
      </c>
      <c r="V43" s="54" t="str">
        <f>IF($C43="","",IFERROR(IF(ISNA(VLOOKUP($C43,'Bilan final GPA HN'!$C$29:'Bilan final GPA HN'!$X$43,22,0)), ,VLOOKUP($C43,'Bilan final GPA HN'!$C$29:'Bilan final GPA HN'!$X$43,22,0)),"/"))</f>
        <v/>
      </c>
      <c r="W43" s="54" t="str">
        <f>IF($C43="","",IFERROR(IF(ISNA(VLOOKUP($C43,'Bilan final GPA HR'!$C$29:'Bilan final GPA HR'!$X$43,22,0)), ,VLOOKUP($C43,'Bilan final GPA HR'!$C$29:'Bilan final GPA HR'!$X$43,22,0)),"/"))</f>
        <v/>
      </c>
      <c r="X43" s="54" t="str">
        <f>IF($C43="","",IFERROR(IF(ISNA(VLOOKUP($C43,'Bilan final GPA OF'!$C$29:'Bilan final GPA OF'!$X$43,22,0)), ,VLOOKUP($C43,'Bilan final GPA OF'!$C$29:'Bilan final GPA OF'!$X$43,22,0)),"/"))</f>
        <v/>
      </c>
      <c r="Y43" s="54" t="str">
        <f>IF($C43="","",IFERROR(IF(ISNA(VLOOKUP($C43,'Bilan final GPA IE'!$C$29:'Bilan final GPA IE'!$X$43,22,0)), ,VLOOKUP($C43,'Bilan final GPA IE'!$C$29:'Bilan final GPA IE'!$X$43,22,0)),"/"))</f>
        <v/>
      </c>
      <c r="Z43" s="115">
        <f t="shared" si="4"/>
        <v>0</v>
      </c>
      <c r="AA43" s="116" t="s">
        <v>97</v>
      </c>
      <c r="AB43" s="116" t="str">
        <f t="shared" si="5"/>
        <v/>
      </c>
    </row>
    <row r="44" spans="3:28" ht="50.1" customHeight="1" x14ac:dyDescent="0.25">
      <c r="C44" s="107"/>
      <c r="D44" s="12"/>
      <c r="E44" s="34"/>
      <c r="F44" s="35"/>
      <c r="G44" s="90"/>
      <c r="H44" s="23"/>
      <c r="I44" s="18"/>
      <c r="J44" s="16"/>
      <c r="K44" s="105"/>
      <c r="M44" s="105"/>
      <c r="P44" s="49"/>
      <c r="Q44" s="49"/>
      <c r="R44" s="49">
        <f t="shared" si="0"/>
        <v>0</v>
      </c>
      <c r="S44" s="49">
        <f t="shared" si="1"/>
        <v>0</v>
      </c>
      <c r="T44" s="49">
        <f t="shared" si="2"/>
        <v>0</v>
      </c>
      <c r="U44" s="39">
        <f t="shared" si="3"/>
        <v>0</v>
      </c>
      <c r="V44" s="54" t="str">
        <f>IF($C44="","",IFERROR(IF(ISNA(VLOOKUP($C44,'Bilan final GPA HN'!$C$29:'Bilan final GPA HN'!$X$43,22,0)), ,VLOOKUP($C44,'Bilan final GPA HN'!$C$29:'Bilan final GPA HN'!$X$43,22,0)),"/"))</f>
        <v/>
      </c>
      <c r="W44" s="54" t="str">
        <f>IF($C44="","",IFERROR(IF(ISNA(VLOOKUP($C44,'Bilan final GPA HR'!$C$29:'Bilan final GPA HR'!$X$43,22,0)), ,VLOOKUP($C44,'Bilan final GPA HR'!$C$29:'Bilan final GPA HR'!$X$43,22,0)),"/"))</f>
        <v/>
      </c>
      <c r="X44" s="54" t="str">
        <f>IF($C44="","",IFERROR(IF(ISNA(VLOOKUP($C44,'Bilan final GPA OF'!$C$29:'Bilan final GPA OF'!$X$43,22,0)), ,VLOOKUP($C44,'Bilan final GPA OF'!$C$29:'Bilan final GPA OF'!$X$43,22,0)),"/"))</f>
        <v/>
      </c>
      <c r="Y44" s="54" t="str">
        <f>IF($C44="","",IFERROR(IF(ISNA(VLOOKUP($C44,'Bilan final GPA IE'!$C$29:'Bilan final GPA IE'!$X$43,22,0)), ,VLOOKUP($C44,'Bilan final GPA IE'!$C$29:'Bilan final GPA IE'!$X$43,22,0)),"/"))</f>
        <v/>
      </c>
      <c r="Z44" s="115">
        <f t="shared" si="4"/>
        <v>0</v>
      </c>
      <c r="AA44" s="116" t="s">
        <v>97</v>
      </c>
      <c r="AB44" s="116" t="str">
        <f t="shared" si="5"/>
        <v/>
      </c>
    </row>
    <row r="45" spans="3:28" ht="50.1" customHeight="1" x14ac:dyDescent="0.25">
      <c r="C45" s="107"/>
      <c r="D45" s="12"/>
      <c r="E45" s="34"/>
      <c r="F45" s="35"/>
      <c r="G45" s="90"/>
      <c r="H45" s="23"/>
      <c r="I45" s="18"/>
      <c r="J45" s="16"/>
      <c r="K45" s="105"/>
      <c r="M45" s="105"/>
      <c r="P45" s="49"/>
      <c r="Q45" s="49"/>
      <c r="R45" s="49">
        <f t="shared" si="0"/>
        <v>0</v>
      </c>
      <c r="S45" s="49">
        <f t="shared" si="1"/>
        <v>0</v>
      </c>
      <c r="T45" s="49">
        <f t="shared" si="2"/>
        <v>0</v>
      </c>
      <c r="U45" s="39">
        <f t="shared" si="3"/>
        <v>0</v>
      </c>
      <c r="V45" s="54" t="str">
        <f>IF($C45="","",IFERROR(IF(ISNA(VLOOKUP($C45,'Bilan final GPA HN'!$C$29:'Bilan final GPA HN'!$X$43,22,0)), ,VLOOKUP($C45,'Bilan final GPA HN'!$C$29:'Bilan final GPA HN'!$X$43,22,0)),"/"))</f>
        <v/>
      </c>
      <c r="W45" s="54" t="str">
        <f>IF($C45="","",IFERROR(IF(ISNA(VLOOKUP($C45,'Bilan final GPA HR'!$C$29:'Bilan final GPA HR'!$X$43,22,0)), ,VLOOKUP($C45,'Bilan final GPA HR'!$C$29:'Bilan final GPA HR'!$X$43,22,0)),"/"))</f>
        <v/>
      </c>
      <c r="X45" s="54" t="str">
        <f>IF($C45="","",IFERROR(IF(ISNA(VLOOKUP($C45,'Bilan final GPA OF'!$C$29:'Bilan final GPA OF'!$X$43,22,0)), ,VLOOKUP($C45,'Bilan final GPA OF'!$C$29:'Bilan final GPA OF'!$X$43,22,0)),"/"))</f>
        <v/>
      </c>
      <c r="Y45" s="54" t="str">
        <f>IF($C45="","",IFERROR(IF(ISNA(VLOOKUP($C45,'Bilan final GPA IE'!$C$29:'Bilan final GPA IE'!$X$43,22,0)), ,VLOOKUP($C45,'Bilan final GPA IE'!$C$29:'Bilan final GPA IE'!$X$43,22,0)),"/"))</f>
        <v/>
      </c>
      <c r="Z45" s="115">
        <f t="shared" si="4"/>
        <v>0</v>
      </c>
      <c r="AA45" s="116" t="s">
        <v>97</v>
      </c>
      <c r="AB45" s="116" t="str">
        <f t="shared" si="5"/>
        <v/>
      </c>
    </row>
    <row r="46" spans="3:28" ht="50.1" customHeight="1" x14ac:dyDescent="0.25">
      <c r="C46" s="107"/>
      <c r="D46" s="12"/>
      <c r="E46" s="34"/>
      <c r="F46" s="35"/>
      <c r="G46" s="90"/>
      <c r="H46" s="23"/>
      <c r="I46" s="18"/>
      <c r="J46" s="16"/>
      <c r="K46" s="105"/>
      <c r="M46" s="105"/>
      <c r="P46" s="49"/>
      <c r="Q46" s="49"/>
      <c r="R46" s="49">
        <f t="shared" si="0"/>
        <v>0</v>
      </c>
      <c r="S46" s="49">
        <f t="shared" si="1"/>
        <v>0</v>
      </c>
      <c r="T46" s="49">
        <f t="shared" si="2"/>
        <v>0</v>
      </c>
      <c r="U46" s="39">
        <f t="shared" si="3"/>
        <v>0</v>
      </c>
      <c r="V46" s="54" t="str">
        <f>IF($C46="","",IFERROR(IF(ISNA(VLOOKUP($C46,'Bilan final GPA HN'!$C$29:'Bilan final GPA HN'!$X$43,22,0)), ,VLOOKUP($C46,'Bilan final GPA HN'!$C$29:'Bilan final GPA HN'!$X$43,22,0)),"/"))</f>
        <v/>
      </c>
      <c r="W46" s="54" t="str">
        <f>IF($C46="","",IFERROR(IF(ISNA(VLOOKUP($C46,'Bilan final GPA HR'!$C$29:'Bilan final GPA HR'!$X$43,22,0)), ,VLOOKUP($C46,'Bilan final GPA HR'!$C$29:'Bilan final GPA HR'!$X$43,22,0)),"/"))</f>
        <v/>
      </c>
      <c r="X46" s="54" t="str">
        <f>IF($C46="","",IFERROR(IF(ISNA(VLOOKUP($C46,'Bilan final GPA OF'!$C$29:'Bilan final GPA OF'!$X$43,22,0)), ,VLOOKUP($C46,'Bilan final GPA OF'!$C$29:'Bilan final GPA OF'!$X$43,22,0)),"/"))</f>
        <v/>
      </c>
      <c r="Y46" s="54" t="str">
        <f>IF($C46="","",IFERROR(IF(ISNA(VLOOKUP($C46,'Bilan final GPA IE'!$C$29:'Bilan final GPA IE'!$X$43,22,0)), ,VLOOKUP($C46,'Bilan final GPA IE'!$C$29:'Bilan final GPA IE'!$X$43,22,0)),"/"))</f>
        <v/>
      </c>
      <c r="Z46" s="115">
        <f t="shared" si="4"/>
        <v>0</v>
      </c>
      <c r="AA46" s="116" t="s">
        <v>97</v>
      </c>
      <c r="AB46" s="116" t="str">
        <f t="shared" si="5"/>
        <v/>
      </c>
    </row>
    <row r="47" spans="3:28" ht="50.1" customHeight="1" x14ac:dyDescent="0.25">
      <c r="C47" s="107"/>
      <c r="D47" s="12"/>
      <c r="E47" s="34"/>
      <c r="F47" s="35"/>
      <c r="G47" s="90"/>
      <c r="H47" s="23"/>
      <c r="I47" s="18"/>
      <c r="J47" s="16"/>
      <c r="K47" s="105"/>
      <c r="M47" s="105"/>
      <c r="P47" s="49"/>
      <c r="Q47" s="49"/>
      <c r="R47" s="49">
        <f t="shared" si="0"/>
        <v>0</v>
      </c>
      <c r="S47" s="49">
        <f t="shared" si="1"/>
        <v>0</v>
      </c>
      <c r="T47" s="49">
        <f t="shared" si="2"/>
        <v>0</v>
      </c>
      <c r="U47" s="39">
        <f t="shared" si="3"/>
        <v>0</v>
      </c>
      <c r="V47" s="54" t="str">
        <f>IF($C47="","",IFERROR(IF(ISNA(VLOOKUP($C47,'Bilan final GPA HN'!$C$29:'Bilan final GPA HN'!$X$43,22,0)), ,VLOOKUP($C47,'Bilan final GPA HN'!$C$29:'Bilan final GPA HN'!$X$43,22,0)),"/"))</f>
        <v/>
      </c>
      <c r="W47" s="54" t="str">
        <f>IF($C47="","",IFERROR(IF(ISNA(VLOOKUP($C47,'Bilan final GPA HR'!$C$29:'Bilan final GPA HR'!$X$43,22,0)), ,VLOOKUP($C47,'Bilan final GPA HR'!$C$29:'Bilan final GPA HR'!$X$43,22,0)),"/"))</f>
        <v/>
      </c>
      <c r="X47" s="54" t="str">
        <f>IF($C47="","",IFERROR(IF(ISNA(VLOOKUP($C47,'Bilan final GPA OF'!$C$29:'Bilan final GPA OF'!$X$43,22,0)), ,VLOOKUP($C47,'Bilan final GPA OF'!$C$29:'Bilan final GPA OF'!$X$43,22,0)),"/"))</f>
        <v/>
      </c>
      <c r="Y47" s="54" t="str">
        <f>IF($C47="","",IFERROR(IF(ISNA(VLOOKUP($C47,'Bilan final GPA IE'!$C$29:'Bilan final GPA IE'!$X$43,22,0)), ,VLOOKUP($C47,'Bilan final GPA IE'!$C$29:'Bilan final GPA IE'!$X$43,22,0)),"/"))</f>
        <v/>
      </c>
      <c r="Z47" s="115">
        <f t="shared" si="4"/>
        <v>0</v>
      </c>
      <c r="AA47" s="116" t="s">
        <v>97</v>
      </c>
      <c r="AB47" s="116" t="str">
        <f t="shared" si="5"/>
        <v/>
      </c>
    </row>
    <row r="48" spans="3:28" ht="50.1" customHeight="1" x14ac:dyDescent="0.25">
      <c r="C48" s="107"/>
      <c r="D48" s="12"/>
      <c r="E48" s="34"/>
      <c r="F48" s="35"/>
      <c r="G48" s="90"/>
      <c r="H48" s="23"/>
      <c r="I48" s="18"/>
      <c r="J48" s="16"/>
      <c r="K48" s="105"/>
      <c r="M48" s="105"/>
      <c r="P48" s="49"/>
      <c r="Q48" s="49"/>
      <c r="R48" s="49">
        <f t="shared" si="0"/>
        <v>0</v>
      </c>
      <c r="S48" s="49">
        <f t="shared" si="1"/>
        <v>0</v>
      </c>
      <c r="T48" s="49">
        <f t="shared" si="2"/>
        <v>0</v>
      </c>
      <c r="U48" s="39">
        <f t="shared" si="3"/>
        <v>0</v>
      </c>
      <c r="V48" s="54" t="str">
        <f>IF($C48="","",IFERROR(IF(ISNA(VLOOKUP($C48,'Bilan final GPA HN'!$C$29:'Bilan final GPA HN'!$X$43,22,0)), ,VLOOKUP($C48,'Bilan final GPA HN'!$C$29:'Bilan final GPA HN'!$X$43,22,0)),"/"))</f>
        <v/>
      </c>
      <c r="W48" s="54" t="str">
        <f>IF($C48="","",IFERROR(IF(ISNA(VLOOKUP($C48,'Bilan final GPA HR'!$C$29:'Bilan final GPA HR'!$X$43,22,0)), ,VLOOKUP($C48,'Bilan final GPA HR'!$C$29:'Bilan final GPA HR'!$X$43,22,0)),"/"))</f>
        <v/>
      </c>
      <c r="X48" s="54" t="str">
        <f>IF($C48="","",IFERROR(IF(ISNA(VLOOKUP($C48,'Bilan final GPA OF'!$C$29:'Bilan final GPA OF'!$X$43,22,0)), ,VLOOKUP($C48,'Bilan final GPA OF'!$C$29:'Bilan final GPA OF'!$X$43,22,0)),"/"))</f>
        <v/>
      </c>
      <c r="Y48" s="54" t="str">
        <f>IF($C48="","",IFERROR(IF(ISNA(VLOOKUP($C48,'Bilan final GPA IE'!$C$29:'Bilan final GPA IE'!$X$43,22,0)), ,VLOOKUP($C48,'Bilan final GPA IE'!$C$29:'Bilan final GPA IE'!$X$43,22,0)),"/"))</f>
        <v/>
      </c>
      <c r="Z48" s="115">
        <f t="shared" si="4"/>
        <v>0</v>
      </c>
      <c r="AA48" s="116" t="s">
        <v>97</v>
      </c>
      <c r="AB48" s="116" t="str">
        <f t="shared" si="5"/>
        <v/>
      </c>
    </row>
    <row r="49" spans="3:21" x14ac:dyDescent="0.25">
      <c r="P49" s="39"/>
      <c r="Q49" s="39"/>
      <c r="R49" s="39">
        <f>SUM(R19:R48)</f>
        <v>1</v>
      </c>
      <c r="S49" s="39">
        <f>SUM(S19:S48)</f>
        <v>0</v>
      </c>
      <c r="T49" s="39">
        <f>SUM(T19:T48)</f>
        <v>0</v>
      </c>
      <c r="U49" s="39">
        <f>SUM(U19:U48)</f>
        <v>0</v>
      </c>
    </row>
    <row r="52" spans="3:21" x14ac:dyDescent="0.25">
      <c r="C52" s="40"/>
    </row>
    <row r="53" spans="3:21" x14ac:dyDescent="0.25">
      <c r="C53" s="40"/>
    </row>
    <row r="54" spans="3:21" x14ac:dyDescent="0.25">
      <c r="C54" s="40"/>
    </row>
    <row r="55" spans="3:21" x14ac:dyDescent="0.25">
      <c r="C55" s="131" t="str">
        <f ca="1">MID(CELL("filename",A1),FIND("[",CELL("filename",A1))+1,FIND("]",CELL("filename",A1))-FIND("[",CELL("filename",A1))-6)</f>
        <v>CR Point bimestriel PA Version 22.7 XXL MOD VDE</v>
      </c>
      <c r="D55" s="131"/>
      <c r="E55" s="131"/>
      <c r="F55" s="131"/>
      <c r="G55" s="131"/>
      <c r="H55" s="131"/>
      <c r="I55" s="131"/>
      <c r="J55" s="131"/>
      <c r="K55" s="131"/>
      <c r="L55" s="131"/>
      <c r="M55" s="131"/>
    </row>
    <row r="56" spans="3:21" x14ac:dyDescent="0.25">
      <c r="C56" s="24"/>
    </row>
    <row r="57" spans="3:21" ht="5.0999999999999996" customHeight="1" x14ac:dyDescent="0.25"/>
  </sheetData>
  <sheetProtection algorithmName="SHA-512" hashValue="HuO+BP7lC9Lh4u8zxhRtyx5GM+L4rlXvcYMHA34itfcAO8lLUqZ0YnU1Gzjcdsty6r7HJFXWvaq+Vng49D1yEA==" saltValue="A0UYXZv67DD12n85jDchmQ==" spinCount="100000" sheet="1" objects="1" scenarios="1"/>
  <protectedRanges>
    <protectedRange sqref="M19:M48" name="Plage1_2"/>
    <protectedRange sqref="J19:J48" name="Plage3"/>
    <protectedRange sqref="C19:I48" name="Plage1"/>
  </protectedRanges>
  <mergeCells count="11">
    <mergeCell ref="C55:M55"/>
    <mergeCell ref="J15:J18"/>
    <mergeCell ref="K15:K18"/>
    <mergeCell ref="M15:M18"/>
    <mergeCell ref="I15:I18"/>
    <mergeCell ref="C15:C18"/>
    <mergeCell ref="D15:D18"/>
    <mergeCell ref="E15:E18"/>
    <mergeCell ref="F15:F18"/>
    <mergeCell ref="G15:G18"/>
    <mergeCell ref="H15:H18"/>
  </mergeCells>
  <dataValidations count="6">
    <dataValidation type="list" allowBlank="1" showInputMessage="1" showErrorMessage="1" sqref="O19">
      <formula1>$C$19:$C$48</formula1>
    </dataValidation>
    <dataValidation type="list" allowBlank="1" showInputMessage="1" showErrorMessage="1" sqref="E19:E48">
      <formula1>$Q$15:$Q$18</formula1>
    </dataValidation>
    <dataValidation type="custom" allowBlank="1" showInputMessage="1" showErrorMessage="1" error="Vérifier le type d'ouvrage" sqref="H19:H48">
      <formula1>OR($E19="HN",$E19="HR")</formula1>
    </dataValidation>
    <dataValidation type="custom" allowBlank="1" showInputMessage="1" showErrorMessage="1" error="Vérifier le type d'ouvrage" sqref="I19:I48">
      <formula1>OR($E19="OF",$E19="IE")</formula1>
    </dataValidation>
    <dataValidation type="custom" allowBlank="1" showInputMessage="1" showErrorMessage="1" error="Nom d'opération déjà saisi" sqref="C19:C48">
      <formula1>COUNTIF(C$19:C$48,C19)=1</formula1>
    </dataValidation>
    <dataValidation type="list" allowBlank="1" showInputMessage="1" showErrorMessage="1" sqref="J19:J48">
      <formula1>$Q$19:$Q$20</formula1>
    </dataValidation>
  </dataValidations>
  <printOptions horizontalCentered="1"/>
  <pageMargins left="0" right="0" top="0" bottom="1.3779527559055118" header="0.31496062992125984" footer="0.31496062992125984"/>
  <pageSetup paperSize="8" scale="54" fitToHeight="2" orientation="landscape" r:id="rId1"/>
  <headerFooter>
    <oddFooter>&amp;C&amp;G</oddFooter>
  </headerFooter>
  <rowBreaks count="1" manualBreakCount="1">
    <brk id="35" max="1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10</xdr:col>
                    <xdr:colOff>76200</xdr:colOff>
                    <xdr:row>18</xdr:row>
                    <xdr:rowOff>85725</xdr:rowOff>
                  </from>
                  <to>
                    <xdr:col>10</xdr:col>
                    <xdr:colOff>1123950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Saisie1">
                <anchor moveWithCells="1" sizeWithCells="1">
                  <from>
                    <xdr:col>9</xdr:col>
                    <xdr:colOff>133350</xdr:colOff>
                    <xdr:row>1</xdr:row>
                    <xdr:rowOff>152400</xdr:rowOff>
                  </from>
                  <to>
                    <xdr:col>10</xdr:col>
                    <xdr:colOff>933450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Saisie2">
                <anchor moveWithCells="1" sizeWithCells="1">
                  <from>
                    <xdr:col>12</xdr:col>
                    <xdr:colOff>7210425</xdr:colOff>
                    <xdr:row>1</xdr:row>
                    <xdr:rowOff>152400</xdr:rowOff>
                  </from>
                  <to>
                    <xdr:col>12</xdr:col>
                    <xdr:colOff>9058275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10</xdr:col>
                    <xdr:colOff>1133475</xdr:colOff>
                    <xdr:row>18</xdr:row>
                    <xdr:rowOff>85725</xdr:rowOff>
                  </from>
                  <to>
                    <xdr:col>10</xdr:col>
                    <xdr:colOff>2181225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10</xdr:col>
                    <xdr:colOff>76200</xdr:colOff>
                    <xdr:row>18</xdr:row>
                    <xdr:rowOff>371475</xdr:rowOff>
                  </from>
                  <to>
                    <xdr:col>10</xdr:col>
                    <xdr:colOff>828675</xdr:colOff>
                    <xdr:row>18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10</xdr:col>
                    <xdr:colOff>2190750</xdr:colOff>
                    <xdr:row>18</xdr:row>
                    <xdr:rowOff>85725</xdr:rowOff>
                  </from>
                  <to>
                    <xdr:col>10</xdr:col>
                    <xdr:colOff>2943225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10</xdr:col>
                    <xdr:colOff>838200</xdr:colOff>
                    <xdr:row>18</xdr:row>
                    <xdr:rowOff>371475</xdr:rowOff>
                  </from>
                  <to>
                    <xdr:col>10</xdr:col>
                    <xdr:colOff>1771650</xdr:colOff>
                    <xdr:row>18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10</xdr:col>
                    <xdr:colOff>3714750</xdr:colOff>
                    <xdr:row>18</xdr:row>
                    <xdr:rowOff>85725</xdr:rowOff>
                  </from>
                  <to>
                    <xdr:col>10</xdr:col>
                    <xdr:colOff>4257675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10</xdr:col>
                    <xdr:colOff>2952750</xdr:colOff>
                    <xdr:row>18</xdr:row>
                    <xdr:rowOff>85725</xdr:rowOff>
                  </from>
                  <to>
                    <xdr:col>10</xdr:col>
                    <xdr:colOff>3705225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10</xdr:col>
                    <xdr:colOff>1781175</xdr:colOff>
                    <xdr:row>18</xdr:row>
                    <xdr:rowOff>371475</xdr:rowOff>
                  </from>
                  <to>
                    <xdr:col>10</xdr:col>
                    <xdr:colOff>3981450</xdr:colOff>
                    <xdr:row>18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15" name="Check Box 700">
              <controlPr defaultSize="0" autoFill="0" autoLine="0" autoPict="0">
                <anchor moveWithCells="1">
                  <from>
                    <xdr:col>10</xdr:col>
                    <xdr:colOff>76200</xdr:colOff>
                    <xdr:row>19</xdr:row>
                    <xdr:rowOff>85725</xdr:rowOff>
                  </from>
                  <to>
                    <xdr:col>10</xdr:col>
                    <xdr:colOff>1123950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16" name="Check Box 701">
              <controlPr defaultSize="0" autoFill="0" autoLine="0" autoPict="0">
                <anchor moveWithCells="1">
                  <from>
                    <xdr:col>10</xdr:col>
                    <xdr:colOff>1133475</xdr:colOff>
                    <xdr:row>19</xdr:row>
                    <xdr:rowOff>85725</xdr:rowOff>
                  </from>
                  <to>
                    <xdr:col>10</xdr:col>
                    <xdr:colOff>2181225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17" name="Check Box 702">
              <controlPr defaultSize="0" autoFill="0" autoLine="0" autoPict="0">
                <anchor moveWithCells="1">
                  <from>
                    <xdr:col>10</xdr:col>
                    <xdr:colOff>76200</xdr:colOff>
                    <xdr:row>19</xdr:row>
                    <xdr:rowOff>371475</xdr:rowOff>
                  </from>
                  <to>
                    <xdr:col>10</xdr:col>
                    <xdr:colOff>828675</xdr:colOff>
                    <xdr:row>19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18" name="Check Box 703">
              <controlPr defaultSize="0" autoFill="0" autoLine="0" autoPict="0">
                <anchor moveWithCells="1">
                  <from>
                    <xdr:col>10</xdr:col>
                    <xdr:colOff>2190750</xdr:colOff>
                    <xdr:row>19</xdr:row>
                    <xdr:rowOff>85725</xdr:rowOff>
                  </from>
                  <to>
                    <xdr:col>10</xdr:col>
                    <xdr:colOff>2943225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19" name="Check Box 704">
              <controlPr defaultSize="0" autoFill="0" autoLine="0" autoPict="0">
                <anchor moveWithCells="1">
                  <from>
                    <xdr:col>10</xdr:col>
                    <xdr:colOff>838200</xdr:colOff>
                    <xdr:row>19</xdr:row>
                    <xdr:rowOff>371475</xdr:rowOff>
                  </from>
                  <to>
                    <xdr:col>10</xdr:col>
                    <xdr:colOff>1771650</xdr:colOff>
                    <xdr:row>19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20" name="Check Box 705">
              <controlPr defaultSize="0" autoFill="0" autoLine="0" autoPict="0">
                <anchor moveWithCells="1">
                  <from>
                    <xdr:col>10</xdr:col>
                    <xdr:colOff>3714750</xdr:colOff>
                    <xdr:row>19</xdr:row>
                    <xdr:rowOff>85725</xdr:rowOff>
                  </from>
                  <to>
                    <xdr:col>10</xdr:col>
                    <xdr:colOff>4257675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21" name="Check Box 706">
              <controlPr defaultSize="0" autoFill="0" autoLine="0" autoPict="0">
                <anchor moveWithCells="1">
                  <from>
                    <xdr:col>10</xdr:col>
                    <xdr:colOff>2952750</xdr:colOff>
                    <xdr:row>19</xdr:row>
                    <xdr:rowOff>85725</xdr:rowOff>
                  </from>
                  <to>
                    <xdr:col>10</xdr:col>
                    <xdr:colOff>3705225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22" name="Check Box 707">
              <controlPr defaultSize="0" autoFill="0" autoLine="0" autoPict="0">
                <anchor moveWithCells="1">
                  <from>
                    <xdr:col>10</xdr:col>
                    <xdr:colOff>1781175</xdr:colOff>
                    <xdr:row>19</xdr:row>
                    <xdr:rowOff>371475</xdr:rowOff>
                  </from>
                  <to>
                    <xdr:col>10</xdr:col>
                    <xdr:colOff>3981450</xdr:colOff>
                    <xdr:row>19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23" name="Check Box 708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104775</xdr:rowOff>
                  </from>
                  <to>
                    <xdr:col>10</xdr:col>
                    <xdr:colOff>1123950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24" name="Check Box 709">
              <controlPr defaultSize="0" autoFill="0" autoLine="0" autoPict="0">
                <anchor moveWithCells="1">
                  <from>
                    <xdr:col>10</xdr:col>
                    <xdr:colOff>1133475</xdr:colOff>
                    <xdr:row>20</xdr:row>
                    <xdr:rowOff>85725</xdr:rowOff>
                  </from>
                  <to>
                    <xdr:col>10</xdr:col>
                    <xdr:colOff>2181225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25" name="Check Box 710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371475</xdr:rowOff>
                  </from>
                  <to>
                    <xdr:col>10</xdr:col>
                    <xdr:colOff>828675</xdr:colOff>
                    <xdr:row>20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26" name="Check Box 711">
              <controlPr defaultSize="0" autoFill="0" autoLine="0" autoPict="0">
                <anchor moveWithCells="1">
                  <from>
                    <xdr:col>10</xdr:col>
                    <xdr:colOff>2190750</xdr:colOff>
                    <xdr:row>20</xdr:row>
                    <xdr:rowOff>85725</xdr:rowOff>
                  </from>
                  <to>
                    <xdr:col>10</xdr:col>
                    <xdr:colOff>2943225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27" name="Check Box 712">
              <controlPr defaultSize="0" autoFill="0" autoLine="0" autoPict="0">
                <anchor moveWithCells="1">
                  <from>
                    <xdr:col>10</xdr:col>
                    <xdr:colOff>838200</xdr:colOff>
                    <xdr:row>20</xdr:row>
                    <xdr:rowOff>371475</xdr:rowOff>
                  </from>
                  <to>
                    <xdr:col>10</xdr:col>
                    <xdr:colOff>1771650</xdr:colOff>
                    <xdr:row>20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28" name="Check Box 713">
              <controlPr defaultSize="0" autoFill="0" autoLine="0" autoPict="0">
                <anchor moveWithCells="1">
                  <from>
                    <xdr:col>10</xdr:col>
                    <xdr:colOff>3714750</xdr:colOff>
                    <xdr:row>20</xdr:row>
                    <xdr:rowOff>85725</xdr:rowOff>
                  </from>
                  <to>
                    <xdr:col>10</xdr:col>
                    <xdr:colOff>4257675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29" name="Check Box 714">
              <controlPr defaultSize="0" autoFill="0" autoLine="0" autoPict="0">
                <anchor moveWithCells="1">
                  <from>
                    <xdr:col>10</xdr:col>
                    <xdr:colOff>2952750</xdr:colOff>
                    <xdr:row>20</xdr:row>
                    <xdr:rowOff>85725</xdr:rowOff>
                  </from>
                  <to>
                    <xdr:col>10</xdr:col>
                    <xdr:colOff>3705225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30" name="Check Box 715">
              <controlPr defaultSize="0" autoFill="0" autoLine="0" autoPict="0">
                <anchor moveWithCells="1">
                  <from>
                    <xdr:col>10</xdr:col>
                    <xdr:colOff>1781175</xdr:colOff>
                    <xdr:row>20</xdr:row>
                    <xdr:rowOff>371475</xdr:rowOff>
                  </from>
                  <to>
                    <xdr:col>10</xdr:col>
                    <xdr:colOff>3981450</xdr:colOff>
                    <xdr:row>20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31" name="Check Box 716">
              <controlPr defaultSize="0" autoFill="0" autoLine="0" autoPict="0">
                <anchor moveWithCells="1">
                  <from>
                    <xdr:col>10</xdr:col>
                    <xdr:colOff>76200</xdr:colOff>
                    <xdr:row>21</xdr:row>
                    <xdr:rowOff>85725</xdr:rowOff>
                  </from>
                  <to>
                    <xdr:col>10</xdr:col>
                    <xdr:colOff>1123950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32" name="Check Box 717">
              <controlPr defaultSize="0" autoFill="0" autoLine="0" autoPict="0">
                <anchor moveWithCells="1">
                  <from>
                    <xdr:col>10</xdr:col>
                    <xdr:colOff>1133475</xdr:colOff>
                    <xdr:row>21</xdr:row>
                    <xdr:rowOff>85725</xdr:rowOff>
                  </from>
                  <to>
                    <xdr:col>10</xdr:col>
                    <xdr:colOff>2181225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33" name="Check Box 718">
              <controlPr defaultSize="0" autoFill="0" autoLine="0" autoPict="0">
                <anchor moveWithCells="1">
                  <from>
                    <xdr:col>10</xdr:col>
                    <xdr:colOff>76200</xdr:colOff>
                    <xdr:row>21</xdr:row>
                    <xdr:rowOff>371475</xdr:rowOff>
                  </from>
                  <to>
                    <xdr:col>10</xdr:col>
                    <xdr:colOff>828675</xdr:colOff>
                    <xdr:row>21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34" name="Check Box 719">
              <controlPr defaultSize="0" autoFill="0" autoLine="0" autoPict="0">
                <anchor moveWithCells="1">
                  <from>
                    <xdr:col>10</xdr:col>
                    <xdr:colOff>2190750</xdr:colOff>
                    <xdr:row>21</xdr:row>
                    <xdr:rowOff>85725</xdr:rowOff>
                  </from>
                  <to>
                    <xdr:col>10</xdr:col>
                    <xdr:colOff>2943225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35" name="Check Box 720">
              <controlPr defaultSize="0" autoFill="0" autoLine="0" autoPict="0">
                <anchor moveWithCells="1">
                  <from>
                    <xdr:col>10</xdr:col>
                    <xdr:colOff>838200</xdr:colOff>
                    <xdr:row>21</xdr:row>
                    <xdr:rowOff>371475</xdr:rowOff>
                  </from>
                  <to>
                    <xdr:col>10</xdr:col>
                    <xdr:colOff>1771650</xdr:colOff>
                    <xdr:row>21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36" name="Check Box 721">
              <controlPr defaultSize="0" autoFill="0" autoLine="0" autoPict="0">
                <anchor moveWithCells="1">
                  <from>
                    <xdr:col>10</xdr:col>
                    <xdr:colOff>3714750</xdr:colOff>
                    <xdr:row>21</xdr:row>
                    <xdr:rowOff>85725</xdr:rowOff>
                  </from>
                  <to>
                    <xdr:col>10</xdr:col>
                    <xdr:colOff>4257675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37" name="Check Box 722">
              <controlPr defaultSize="0" autoFill="0" autoLine="0" autoPict="0">
                <anchor moveWithCells="1">
                  <from>
                    <xdr:col>10</xdr:col>
                    <xdr:colOff>2952750</xdr:colOff>
                    <xdr:row>21</xdr:row>
                    <xdr:rowOff>85725</xdr:rowOff>
                  </from>
                  <to>
                    <xdr:col>10</xdr:col>
                    <xdr:colOff>3705225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38" name="Check Box 723">
              <controlPr defaultSize="0" autoFill="0" autoLine="0" autoPict="0">
                <anchor moveWithCells="1">
                  <from>
                    <xdr:col>10</xdr:col>
                    <xdr:colOff>1781175</xdr:colOff>
                    <xdr:row>21</xdr:row>
                    <xdr:rowOff>371475</xdr:rowOff>
                  </from>
                  <to>
                    <xdr:col>10</xdr:col>
                    <xdr:colOff>3981450</xdr:colOff>
                    <xdr:row>21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39" name="Check Box 724">
              <controlPr defaultSize="0" autoFill="0" autoLine="0" autoPict="0">
                <anchor moveWithCells="1">
                  <from>
                    <xdr:col>10</xdr:col>
                    <xdr:colOff>76200</xdr:colOff>
                    <xdr:row>22</xdr:row>
                    <xdr:rowOff>85725</xdr:rowOff>
                  </from>
                  <to>
                    <xdr:col>10</xdr:col>
                    <xdr:colOff>1123950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40" name="Check Box 725">
              <controlPr defaultSize="0" autoFill="0" autoLine="0" autoPict="0">
                <anchor moveWithCells="1">
                  <from>
                    <xdr:col>10</xdr:col>
                    <xdr:colOff>1133475</xdr:colOff>
                    <xdr:row>22</xdr:row>
                    <xdr:rowOff>85725</xdr:rowOff>
                  </from>
                  <to>
                    <xdr:col>10</xdr:col>
                    <xdr:colOff>2181225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41" name="Check Box 726">
              <controlPr defaultSize="0" autoFill="0" autoLine="0" autoPict="0">
                <anchor moveWithCells="1">
                  <from>
                    <xdr:col>10</xdr:col>
                    <xdr:colOff>76200</xdr:colOff>
                    <xdr:row>22</xdr:row>
                    <xdr:rowOff>371475</xdr:rowOff>
                  </from>
                  <to>
                    <xdr:col>10</xdr:col>
                    <xdr:colOff>828675</xdr:colOff>
                    <xdr:row>22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42" name="Check Box 727">
              <controlPr defaultSize="0" autoFill="0" autoLine="0" autoPict="0">
                <anchor moveWithCells="1">
                  <from>
                    <xdr:col>10</xdr:col>
                    <xdr:colOff>2190750</xdr:colOff>
                    <xdr:row>22</xdr:row>
                    <xdr:rowOff>85725</xdr:rowOff>
                  </from>
                  <to>
                    <xdr:col>10</xdr:col>
                    <xdr:colOff>2943225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43" name="Check Box 728">
              <controlPr defaultSize="0" autoFill="0" autoLine="0" autoPict="0">
                <anchor moveWithCells="1">
                  <from>
                    <xdr:col>10</xdr:col>
                    <xdr:colOff>838200</xdr:colOff>
                    <xdr:row>22</xdr:row>
                    <xdr:rowOff>371475</xdr:rowOff>
                  </from>
                  <to>
                    <xdr:col>10</xdr:col>
                    <xdr:colOff>1771650</xdr:colOff>
                    <xdr:row>22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44" name="Check Box 729">
              <controlPr defaultSize="0" autoFill="0" autoLine="0" autoPict="0">
                <anchor moveWithCells="1">
                  <from>
                    <xdr:col>10</xdr:col>
                    <xdr:colOff>3714750</xdr:colOff>
                    <xdr:row>22</xdr:row>
                    <xdr:rowOff>85725</xdr:rowOff>
                  </from>
                  <to>
                    <xdr:col>10</xdr:col>
                    <xdr:colOff>4257675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45" name="Check Box 730">
              <controlPr defaultSize="0" autoFill="0" autoLine="0" autoPict="0">
                <anchor moveWithCells="1">
                  <from>
                    <xdr:col>10</xdr:col>
                    <xdr:colOff>2952750</xdr:colOff>
                    <xdr:row>22</xdr:row>
                    <xdr:rowOff>85725</xdr:rowOff>
                  </from>
                  <to>
                    <xdr:col>10</xdr:col>
                    <xdr:colOff>3705225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46" name="Check Box 731">
              <controlPr defaultSize="0" autoFill="0" autoLine="0" autoPict="0">
                <anchor moveWithCells="1">
                  <from>
                    <xdr:col>10</xdr:col>
                    <xdr:colOff>1781175</xdr:colOff>
                    <xdr:row>22</xdr:row>
                    <xdr:rowOff>371475</xdr:rowOff>
                  </from>
                  <to>
                    <xdr:col>10</xdr:col>
                    <xdr:colOff>3981450</xdr:colOff>
                    <xdr:row>22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47" name="Check Box 732">
              <controlPr defaultSize="0" autoFill="0" autoLine="0" autoPict="0">
                <anchor moveWithCells="1">
                  <from>
                    <xdr:col>10</xdr:col>
                    <xdr:colOff>76200</xdr:colOff>
                    <xdr:row>23</xdr:row>
                    <xdr:rowOff>85725</xdr:rowOff>
                  </from>
                  <to>
                    <xdr:col>10</xdr:col>
                    <xdr:colOff>1123950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48" name="Check Box 733">
              <controlPr defaultSize="0" autoFill="0" autoLine="0" autoPict="0">
                <anchor moveWithCells="1">
                  <from>
                    <xdr:col>10</xdr:col>
                    <xdr:colOff>1133475</xdr:colOff>
                    <xdr:row>23</xdr:row>
                    <xdr:rowOff>85725</xdr:rowOff>
                  </from>
                  <to>
                    <xdr:col>10</xdr:col>
                    <xdr:colOff>2181225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49" name="Check Box 734">
              <controlPr defaultSize="0" autoFill="0" autoLine="0" autoPict="0">
                <anchor moveWithCells="1">
                  <from>
                    <xdr:col>10</xdr:col>
                    <xdr:colOff>76200</xdr:colOff>
                    <xdr:row>23</xdr:row>
                    <xdr:rowOff>371475</xdr:rowOff>
                  </from>
                  <to>
                    <xdr:col>10</xdr:col>
                    <xdr:colOff>828675</xdr:colOff>
                    <xdr:row>23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50" name="Check Box 735">
              <controlPr defaultSize="0" autoFill="0" autoLine="0" autoPict="0">
                <anchor moveWithCells="1">
                  <from>
                    <xdr:col>10</xdr:col>
                    <xdr:colOff>2190750</xdr:colOff>
                    <xdr:row>23</xdr:row>
                    <xdr:rowOff>85725</xdr:rowOff>
                  </from>
                  <to>
                    <xdr:col>10</xdr:col>
                    <xdr:colOff>2943225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51" name="Check Box 736">
              <controlPr defaultSize="0" autoFill="0" autoLine="0" autoPict="0">
                <anchor moveWithCells="1">
                  <from>
                    <xdr:col>10</xdr:col>
                    <xdr:colOff>838200</xdr:colOff>
                    <xdr:row>23</xdr:row>
                    <xdr:rowOff>371475</xdr:rowOff>
                  </from>
                  <to>
                    <xdr:col>10</xdr:col>
                    <xdr:colOff>1771650</xdr:colOff>
                    <xdr:row>23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52" name="Check Box 737">
              <controlPr defaultSize="0" autoFill="0" autoLine="0" autoPict="0">
                <anchor moveWithCells="1">
                  <from>
                    <xdr:col>10</xdr:col>
                    <xdr:colOff>3714750</xdr:colOff>
                    <xdr:row>23</xdr:row>
                    <xdr:rowOff>85725</xdr:rowOff>
                  </from>
                  <to>
                    <xdr:col>10</xdr:col>
                    <xdr:colOff>4257675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53" name="Check Box 738">
              <controlPr defaultSize="0" autoFill="0" autoLine="0" autoPict="0">
                <anchor moveWithCells="1">
                  <from>
                    <xdr:col>10</xdr:col>
                    <xdr:colOff>2952750</xdr:colOff>
                    <xdr:row>23</xdr:row>
                    <xdr:rowOff>85725</xdr:rowOff>
                  </from>
                  <to>
                    <xdr:col>10</xdr:col>
                    <xdr:colOff>3705225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54" name="Check Box 739">
              <controlPr defaultSize="0" autoFill="0" autoLine="0" autoPict="0">
                <anchor moveWithCells="1">
                  <from>
                    <xdr:col>10</xdr:col>
                    <xdr:colOff>1781175</xdr:colOff>
                    <xdr:row>23</xdr:row>
                    <xdr:rowOff>371475</xdr:rowOff>
                  </from>
                  <to>
                    <xdr:col>10</xdr:col>
                    <xdr:colOff>3981450</xdr:colOff>
                    <xdr:row>23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55" name="Check Box 740">
              <controlPr defaultSize="0" autoFill="0" autoLine="0" autoPict="0">
                <anchor moveWithCells="1">
                  <from>
                    <xdr:col>10</xdr:col>
                    <xdr:colOff>76200</xdr:colOff>
                    <xdr:row>24</xdr:row>
                    <xdr:rowOff>85725</xdr:rowOff>
                  </from>
                  <to>
                    <xdr:col>10</xdr:col>
                    <xdr:colOff>1123950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56" name="Check Box 741">
              <controlPr defaultSize="0" autoFill="0" autoLine="0" autoPict="0">
                <anchor moveWithCells="1">
                  <from>
                    <xdr:col>10</xdr:col>
                    <xdr:colOff>1133475</xdr:colOff>
                    <xdr:row>24</xdr:row>
                    <xdr:rowOff>85725</xdr:rowOff>
                  </from>
                  <to>
                    <xdr:col>10</xdr:col>
                    <xdr:colOff>2181225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57" name="Check Box 742">
              <controlPr defaultSize="0" autoFill="0" autoLine="0" autoPict="0">
                <anchor moveWithCells="1">
                  <from>
                    <xdr:col>10</xdr:col>
                    <xdr:colOff>76200</xdr:colOff>
                    <xdr:row>24</xdr:row>
                    <xdr:rowOff>371475</xdr:rowOff>
                  </from>
                  <to>
                    <xdr:col>10</xdr:col>
                    <xdr:colOff>828675</xdr:colOff>
                    <xdr:row>24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58" name="Check Box 743">
              <controlPr defaultSize="0" autoFill="0" autoLine="0" autoPict="0">
                <anchor moveWithCells="1">
                  <from>
                    <xdr:col>10</xdr:col>
                    <xdr:colOff>2190750</xdr:colOff>
                    <xdr:row>24</xdr:row>
                    <xdr:rowOff>85725</xdr:rowOff>
                  </from>
                  <to>
                    <xdr:col>10</xdr:col>
                    <xdr:colOff>2943225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59" name="Check Box 744">
              <controlPr defaultSize="0" autoFill="0" autoLine="0" autoPict="0">
                <anchor moveWithCells="1">
                  <from>
                    <xdr:col>10</xdr:col>
                    <xdr:colOff>838200</xdr:colOff>
                    <xdr:row>24</xdr:row>
                    <xdr:rowOff>371475</xdr:rowOff>
                  </from>
                  <to>
                    <xdr:col>10</xdr:col>
                    <xdr:colOff>1771650</xdr:colOff>
                    <xdr:row>24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60" name="Check Box 745">
              <controlPr defaultSize="0" autoFill="0" autoLine="0" autoPict="0">
                <anchor moveWithCells="1">
                  <from>
                    <xdr:col>10</xdr:col>
                    <xdr:colOff>3714750</xdr:colOff>
                    <xdr:row>24</xdr:row>
                    <xdr:rowOff>85725</xdr:rowOff>
                  </from>
                  <to>
                    <xdr:col>10</xdr:col>
                    <xdr:colOff>4257675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61" name="Check Box 746">
              <controlPr defaultSize="0" autoFill="0" autoLine="0" autoPict="0">
                <anchor moveWithCells="1">
                  <from>
                    <xdr:col>10</xdr:col>
                    <xdr:colOff>2952750</xdr:colOff>
                    <xdr:row>24</xdr:row>
                    <xdr:rowOff>85725</xdr:rowOff>
                  </from>
                  <to>
                    <xdr:col>10</xdr:col>
                    <xdr:colOff>3705225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62" name="Check Box 747">
              <controlPr defaultSize="0" autoFill="0" autoLine="0" autoPict="0">
                <anchor moveWithCells="1">
                  <from>
                    <xdr:col>10</xdr:col>
                    <xdr:colOff>1781175</xdr:colOff>
                    <xdr:row>24</xdr:row>
                    <xdr:rowOff>371475</xdr:rowOff>
                  </from>
                  <to>
                    <xdr:col>10</xdr:col>
                    <xdr:colOff>3981450</xdr:colOff>
                    <xdr:row>24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63" name="Check Box 748">
              <controlPr defaultSize="0" autoFill="0" autoLine="0" autoPict="0">
                <anchor moveWithCells="1">
                  <from>
                    <xdr:col>10</xdr:col>
                    <xdr:colOff>76200</xdr:colOff>
                    <xdr:row>25</xdr:row>
                    <xdr:rowOff>85725</xdr:rowOff>
                  </from>
                  <to>
                    <xdr:col>10</xdr:col>
                    <xdr:colOff>1123950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64" name="Check Box 749">
              <controlPr defaultSize="0" autoFill="0" autoLine="0" autoPict="0">
                <anchor moveWithCells="1">
                  <from>
                    <xdr:col>10</xdr:col>
                    <xdr:colOff>1133475</xdr:colOff>
                    <xdr:row>25</xdr:row>
                    <xdr:rowOff>85725</xdr:rowOff>
                  </from>
                  <to>
                    <xdr:col>10</xdr:col>
                    <xdr:colOff>2181225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65" name="Check Box 750">
              <controlPr defaultSize="0" autoFill="0" autoLine="0" autoPict="0">
                <anchor moveWithCells="1">
                  <from>
                    <xdr:col>10</xdr:col>
                    <xdr:colOff>76200</xdr:colOff>
                    <xdr:row>25</xdr:row>
                    <xdr:rowOff>371475</xdr:rowOff>
                  </from>
                  <to>
                    <xdr:col>10</xdr:col>
                    <xdr:colOff>828675</xdr:colOff>
                    <xdr:row>25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66" name="Check Box 751">
              <controlPr defaultSize="0" autoFill="0" autoLine="0" autoPict="0">
                <anchor moveWithCells="1">
                  <from>
                    <xdr:col>10</xdr:col>
                    <xdr:colOff>2190750</xdr:colOff>
                    <xdr:row>25</xdr:row>
                    <xdr:rowOff>85725</xdr:rowOff>
                  </from>
                  <to>
                    <xdr:col>10</xdr:col>
                    <xdr:colOff>2943225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67" name="Check Box 752">
              <controlPr defaultSize="0" autoFill="0" autoLine="0" autoPict="0">
                <anchor moveWithCells="1">
                  <from>
                    <xdr:col>10</xdr:col>
                    <xdr:colOff>838200</xdr:colOff>
                    <xdr:row>25</xdr:row>
                    <xdr:rowOff>371475</xdr:rowOff>
                  </from>
                  <to>
                    <xdr:col>10</xdr:col>
                    <xdr:colOff>1771650</xdr:colOff>
                    <xdr:row>25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68" name="Check Box 753">
              <controlPr defaultSize="0" autoFill="0" autoLine="0" autoPict="0">
                <anchor moveWithCells="1">
                  <from>
                    <xdr:col>10</xdr:col>
                    <xdr:colOff>3714750</xdr:colOff>
                    <xdr:row>25</xdr:row>
                    <xdr:rowOff>85725</xdr:rowOff>
                  </from>
                  <to>
                    <xdr:col>10</xdr:col>
                    <xdr:colOff>4257675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69" name="Check Box 754">
              <controlPr defaultSize="0" autoFill="0" autoLine="0" autoPict="0">
                <anchor moveWithCells="1">
                  <from>
                    <xdr:col>10</xdr:col>
                    <xdr:colOff>2952750</xdr:colOff>
                    <xdr:row>25</xdr:row>
                    <xdr:rowOff>85725</xdr:rowOff>
                  </from>
                  <to>
                    <xdr:col>10</xdr:col>
                    <xdr:colOff>3705225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0" name="Check Box 755">
              <controlPr defaultSize="0" autoFill="0" autoLine="0" autoPict="0">
                <anchor moveWithCells="1">
                  <from>
                    <xdr:col>10</xdr:col>
                    <xdr:colOff>1781175</xdr:colOff>
                    <xdr:row>25</xdr:row>
                    <xdr:rowOff>371475</xdr:rowOff>
                  </from>
                  <to>
                    <xdr:col>10</xdr:col>
                    <xdr:colOff>3981450</xdr:colOff>
                    <xdr:row>25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1" name="Check Box 756">
              <controlPr defaultSize="0" autoFill="0" autoLine="0" autoPict="0">
                <anchor moveWithCells="1">
                  <from>
                    <xdr:col>10</xdr:col>
                    <xdr:colOff>76200</xdr:colOff>
                    <xdr:row>26</xdr:row>
                    <xdr:rowOff>85725</xdr:rowOff>
                  </from>
                  <to>
                    <xdr:col>10</xdr:col>
                    <xdr:colOff>1123950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2" name="Check Box 757">
              <controlPr defaultSize="0" autoFill="0" autoLine="0" autoPict="0">
                <anchor moveWithCells="1">
                  <from>
                    <xdr:col>10</xdr:col>
                    <xdr:colOff>1133475</xdr:colOff>
                    <xdr:row>26</xdr:row>
                    <xdr:rowOff>85725</xdr:rowOff>
                  </from>
                  <to>
                    <xdr:col>10</xdr:col>
                    <xdr:colOff>2181225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3" name="Check Box 758">
              <controlPr defaultSize="0" autoFill="0" autoLine="0" autoPict="0">
                <anchor moveWithCells="1">
                  <from>
                    <xdr:col>10</xdr:col>
                    <xdr:colOff>76200</xdr:colOff>
                    <xdr:row>26</xdr:row>
                    <xdr:rowOff>371475</xdr:rowOff>
                  </from>
                  <to>
                    <xdr:col>10</xdr:col>
                    <xdr:colOff>828675</xdr:colOff>
                    <xdr:row>26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4" name="Check Box 759">
              <controlPr defaultSize="0" autoFill="0" autoLine="0" autoPict="0">
                <anchor moveWithCells="1">
                  <from>
                    <xdr:col>10</xdr:col>
                    <xdr:colOff>2190750</xdr:colOff>
                    <xdr:row>26</xdr:row>
                    <xdr:rowOff>85725</xdr:rowOff>
                  </from>
                  <to>
                    <xdr:col>10</xdr:col>
                    <xdr:colOff>2943225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5" name="Check Box 760">
              <controlPr defaultSize="0" autoFill="0" autoLine="0" autoPict="0">
                <anchor moveWithCells="1">
                  <from>
                    <xdr:col>10</xdr:col>
                    <xdr:colOff>838200</xdr:colOff>
                    <xdr:row>26</xdr:row>
                    <xdr:rowOff>371475</xdr:rowOff>
                  </from>
                  <to>
                    <xdr:col>10</xdr:col>
                    <xdr:colOff>1771650</xdr:colOff>
                    <xdr:row>26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" name="Check Box 761">
              <controlPr defaultSize="0" autoFill="0" autoLine="0" autoPict="0">
                <anchor moveWithCells="1">
                  <from>
                    <xdr:col>10</xdr:col>
                    <xdr:colOff>3714750</xdr:colOff>
                    <xdr:row>26</xdr:row>
                    <xdr:rowOff>85725</xdr:rowOff>
                  </from>
                  <to>
                    <xdr:col>10</xdr:col>
                    <xdr:colOff>4257675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7" name="Check Box 762">
              <controlPr defaultSize="0" autoFill="0" autoLine="0" autoPict="0">
                <anchor moveWithCells="1">
                  <from>
                    <xdr:col>10</xdr:col>
                    <xdr:colOff>2952750</xdr:colOff>
                    <xdr:row>26</xdr:row>
                    <xdr:rowOff>85725</xdr:rowOff>
                  </from>
                  <to>
                    <xdr:col>10</xdr:col>
                    <xdr:colOff>3705225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8" name="Check Box 763">
              <controlPr defaultSize="0" autoFill="0" autoLine="0" autoPict="0">
                <anchor moveWithCells="1">
                  <from>
                    <xdr:col>10</xdr:col>
                    <xdr:colOff>1781175</xdr:colOff>
                    <xdr:row>26</xdr:row>
                    <xdr:rowOff>371475</xdr:rowOff>
                  </from>
                  <to>
                    <xdr:col>10</xdr:col>
                    <xdr:colOff>3981450</xdr:colOff>
                    <xdr:row>26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9" name="Check Box 764">
              <controlPr defaultSize="0" autoFill="0" autoLine="0" autoPict="0">
                <anchor moveWithCells="1">
                  <from>
                    <xdr:col>10</xdr:col>
                    <xdr:colOff>76200</xdr:colOff>
                    <xdr:row>27</xdr:row>
                    <xdr:rowOff>85725</xdr:rowOff>
                  </from>
                  <to>
                    <xdr:col>10</xdr:col>
                    <xdr:colOff>1123950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80" name="Check Box 765">
              <controlPr defaultSize="0" autoFill="0" autoLine="0" autoPict="0">
                <anchor moveWithCells="1">
                  <from>
                    <xdr:col>10</xdr:col>
                    <xdr:colOff>1133475</xdr:colOff>
                    <xdr:row>27</xdr:row>
                    <xdr:rowOff>85725</xdr:rowOff>
                  </from>
                  <to>
                    <xdr:col>10</xdr:col>
                    <xdr:colOff>2181225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81" name="Check Box 766">
              <controlPr defaultSize="0" autoFill="0" autoLine="0" autoPict="0">
                <anchor moveWithCells="1">
                  <from>
                    <xdr:col>10</xdr:col>
                    <xdr:colOff>76200</xdr:colOff>
                    <xdr:row>27</xdr:row>
                    <xdr:rowOff>371475</xdr:rowOff>
                  </from>
                  <to>
                    <xdr:col>10</xdr:col>
                    <xdr:colOff>828675</xdr:colOff>
                    <xdr:row>27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82" name="Check Box 767">
              <controlPr defaultSize="0" autoFill="0" autoLine="0" autoPict="0">
                <anchor moveWithCells="1">
                  <from>
                    <xdr:col>10</xdr:col>
                    <xdr:colOff>2190750</xdr:colOff>
                    <xdr:row>27</xdr:row>
                    <xdr:rowOff>85725</xdr:rowOff>
                  </from>
                  <to>
                    <xdr:col>10</xdr:col>
                    <xdr:colOff>2943225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83" name="Check Box 768">
              <controlPr defaultSize="0" autoFill="0" autoLine="0" autoPict="0">
                <anchor moveWithCells="1">
                  <from>
                    <xdr:col>10</xdr:col>
                    <xdr:colOff>838200</xdr:colOff>
                    <xdr:row>27</xdr:row>
                    <xdr:rowOff>371475</xdr:rowOff>
                  </from>
                  <to>
                    <xdr:col>10</xdr:col>
                    <xdr:colOff>1771650</xdr:colOff>
                    <xdr:row>27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84" name="Check Box 769">
              <controlPr defaultSize="0" autoFill="0" autoLine="0" autoPict="0">
                <anchor moveWithCells="1">
                  <from>
                    <xdr:col>10</xdr:col>
                    <xdr:colOff>3714750</xdr:colOff>
                    <xdr:row>27</xdr:row>
                    <xdr:rowOff>85725</xdr:rowOff>
                  </from>
                  <to>
                    <xdr:col>10</xdr:col>
                    <xdr:colOff>4257675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85" name="Check Box 770">
              <controlPr defaultSize="0" autoFill="0" autoLine="0" autoPict="0">
                <anchor moveWithCells="1">
                  <from>
                    <xdr:col>10</xdr:col>
                    <xdr:colOff>2952750</xdr:colOff>
                    <xdr:row>27</xdr:row>
                    <xdr:rowOff>85725</xdr:rowOff>
                  </from>
                  <to>
                    <xdr:col>10</xdr:col>
                    <xdr:colOff>3705225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86" name="Check Box 771">
              <controlPr defaultSize="0" autoFill="0" autoLine="0" autoPict="0">
                <anchor moveWithCells="1">
                  <from>
                    <xdr:col>10</xdr:col>
                    <xdr:colOff>1781175</xdr:colOff>
                    <xdr:row>27</xdr:row>
                    <xdr:rowOff>371475</xdr:rowOff>
                  </from>
                  <to>
                    <xdr:col>10</xdr:col>
                    <xdr:colOff>3981450</xdr:colOff>
                    <xdr:row>27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87" name="Check Box 772">
              <controlPr defaultSize="0" autoFill="0" autoLine="0" autoPict="0">
                <anchor moveWithCells="1">
                  <from>
                    <xdr:col>10</xdr:col>
                    <xdr:colOff>76200</xdr:colOff>
                    <xdr:row>28</xdr:row>
                    <xdr:rowOff>85725</xdr:rowOff>
                  </from>
                  <to>
                    <xdr:col>10</xdr:col>
                    <xdr:colOff>1123950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88" name="Check Box 773">
              <controlPr defaultSize="0" autoFill="0" autoLine="0" autoPict="0">
                <anchor moveWithCells="1">
                  <from>
                    <xdr:col>10</xdr:col>
                    <xdr:colOff>1133475</xdr:colOff>
                    <xdr:row>28</xdr:row>
                    <xdr:rowOff>85725</xdr:rowOff>
                  </from>
                  <to>
                    <xdr:col>10</xdr:col>
                    <xdr:colOff>2181225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89" name="Check Box 774">
              <controlPr defaultSize="0" autoFill="0" autoLine="0" autoPict="0">
                <anchor moveWithCells="1">
                  <from>
                    <xdr:col>10</xdr:col>
                    <xdr:colOff>76200</xdr:colOff>
                    <xdr:row>28</xdr:row>
                    <xdr:rowOff>371475</xdr:rowOff>
                  </from>
                  <to>
                    <xdr:col>10</xdr:col>
                    <xdr:colOff>828675</xdr:colOff>
                    <xdr:row>28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90" name="Check Box 775">
              <controlPr defaultSize="0" autoFill="0" autoLine="0" autoPict="0">
                <anchor moveWithCells="1">
                  <from>
                    <xdr:col>10</xdr:col>
                    <xdr:colOff>2190750</xdr:colOff>
                    <xdr:row>28</xdr:row>
                    <xdr:rowOff>85725</xdr:rowOff>
                  </from>
                  <to>
                    <xdr:col>10</xdr:col>
                    <xdr:colOff>2943225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91" name="Check Box 776">
              <controlPr defaultSize="0" autoFill="0" autoLine="0" autoPict="0">
                <anchor moveWithCells="1">
                  <from>
                    <xdr:col>10</xdr:col>
                    <xdr:colOff>838200</xdr:colOff>
                    <xdr:row>28</xdr:row>
                    <xdr:rowOff>371475</xdr:rowOff>
                  </from>
                  <to>
                    <xdr:col>10</xdr:col>
                    <xdr:colOff>1771650</xdr:colOff>
                    <xdr:row>28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92" name="Check Box 777">
              <controlPr defaultSize="0" autoFill="0" autoLine="0" autoPict="0">
                <anchor moveWithCells="1">
                  <from>
                    <xdr:col>10</xdr:col>
                    <xdr:colOff>3714750</xdr:colOff>
                    <xdr:row>28</xdr:row>
                    <xdr:rowOff>85725</xdr:rowOff>
                  </from>
                  <to>
                    <xdr:col>10</xdr:col>
                    <xdr:colOff>4257675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93" name="Check Box 778">
              <controlPr defaultSize="0" autoFill="0" autoLine="0" autoPict="0">
                <anchor moveWithCells="1">
                  <from>
                    <xdr:col>10</xdr:col>
                    <xdr:colOff>2952750</xdr:colOff>
                    <xdr:row>28</xdr:row>
                    <xdr:rowOff>85725</xdr:rowOff>
                  </from>
                  <to>
                    <xdr:col>10</xdr:col>
                    <xdr:colOff>3705225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94" name="Check Box 779">
              <controlPr defaultSize="0" autoFill="0" autoLine="0" autoPict="0">
                <anchor moveWithCells="1">
                  <from>
                    <xdr:col>10</xdr:col>
                    <xdr:colOff>1781175</xdr:colOff>
                    <xdr:row>28</xdr:row>
                    <xdr:rowOff>371475</xdr:rowOff>
                  </from>
                  <to>
                    <xdr:col>10</xdr:col>
                    <xdr:colOff>3981450</xdr:colOff>
                    <xdr:row>28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95" name="Check Box 780">
              <controlPr defaultSize="0" autoFill="0" autoLine="0" autoPict="0">
                <anchor moveWithCells="1">
                  <from>
                    <xdr:col>10</xdr:col>
                    <xdr:colOff>76200</xdr:colOff>
                    <xdr:row>29</xdr:row>
                    <xdr:rowOff>85725</xdr:rowOff>
                  </from>
                  <to>
                    <xdr:col>10</xdr:col>
                    <xdr:colOff>1123950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96" name="Check Box 781">
              <controlPr defaultSize="0" autoFill="0" autoLine="0" autoPict="0">
                <anchor moveWithCells="1">
                  <from>
                    <xdr:col>10</xdr:col>
                    <xdr:colOff>1133475</xdr:colOff>
                    <xdr:row>29</xdr:row>
                    <xdr:rowOff>85725</xdr:rowOff>
                  </from>
                  <to>
                    <xdr:col>10</xdr:col>
                    <xdr:colOff>2181225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97" name="Check Box 782">
              <controlPr defaultSize="0" autoFill="0" autoLine="0" autoPict="0">
                <anchor moveWithCells="1">
                  <from>
                    <xdr:col>10</xdr:col>
                    <xdr:colOff>76200</xdr:colOff>
                    <xdr:row>29</xdr:row>
                    <xdr:rowOff>371475</xdr:rowOff>
                  </from>
                  <to>
                    <xdr:col>10</xdr:col>
                    <xdr:colOff>828675</xdr:colOff>
                    <xdr:row>29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98" name="Check Box 783">
              <controlPr defaultSize="0" autoFill="0" autoLine="0" autoPict="0">
                <anchor moveWithCells="1">
                  <from>
                    <xdr:col>10</xdr:col>
                    <xdr:colOff>2190750</xdr:colOff>
                    <xdr:row>29</xdr:row>
                    <xdr:rowOff>85725</xdr:rowOff>
                  </from>
                  <to>
                    <xdr:col>10</xdr:col>
                    <xdr:colOff>2943225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99" name="Check Box 784">
              <controlPr defaultSize="0" autoFill="0" autoLine="0" autoPict="0">
                <anchor moveWithCells="1">
                  <from>
                    <xdr:col>10</xdr:col>
                    <xdr:colOff>838200</xdr:colOff>
                    <xdr:row>29</xdr:row>
                    <xdr:rowOff>371475</xdr:rowOff>
                  </from>
                  <to>
                    <xdr:col>10</xdr:col>
                    <xdr:colOff>1771650</xdr:colOff>
                    <xdr:row>29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100" name="Check Box 785">
              <controlPr defaultSize="0" autoFill="0" autoLine="0" autoPict="0">
                <anchor moveWithCells="1">
                  <from>
                    <xdr:col>10</xdr:col>
                    <xdr:colOff>3714750</xdr:colOff>
                    <xdr:row>29</xdr:row>
                    <xdr:rowOff>85725</xdr:rowOff>
                  </from>
                  <to>
                    <xdr:col>10</xdr:col>
                    <xdr:colOff>4257675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101" name="Check Box 786">
              <controlPr defaultSize="0" autoFill="0" autoLine="0" autoPict="0">
                <anchor moveWithCells="1">
                  <from>
                    <xdr:col>10</xdr:col>
                    <xdr:colOff>2952750</xdr:colOff>
                    <xdr:row>29</xdr:row>
                    <xdr:rowOff>85725</xdr:rowOff>
                  </from>
                  <to>
                    <xdr:col>10</xdr:col>
                    <xdr:colOff>3705225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102" name="Check Box 787">
              <controlPr defaultSize="0" autoFill="0" autoLine="0" autoPict="0">
                <anchor moveWithCells="1">
                  <from>
                    <xdr:col>10</xdr:col>
                    <xdr:colOff>1781175</xdr:colOff>
                    <xdr:row>29</xdr:row>
                    <xdr:rowOff>371475</xdr:rowOff>
                  </from>
                  <to>
                    <xdr:col>10</xdr:col>
                    <xdr:colOff>3981450</xdr:colOff>
                    <xdr:row>29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103" name="Check Box 788">
              <controlPr defaultSize="0" autoFill="0" autoLine="0" autoPict="0">
                <anchor moveWithCells="1">
                  <from>
                    <xdr:col>10</xdr:col>
                    <xdr:colOff>76200</xdr:colOff>
                    <xdr:row>30</xdr:row>
                    <xdr:rowOff>85725</xdr:rowOff>
                  </from>
                  <to>
                    <xdr:col>10</xdr:col>
                    <xdr:colOff>1123950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104" name="Check Box 789">
              <controlPr defaultSize="0" autoFill="0" autoLine="0" autoPict="0">
                <anchor moveWithCells="1">
                  <from>
                    <xdr:col>10</xdr:col>
                    <xdr:colOff>1133475</xdr:colOff>
                    <xdr:row>30</xdr:row>
                    <xdr:rowOff>85725</xdr:rowOff>
                  </from>
                  <to>
                    <xdr:col>10</xdr:col>
                    <xdr:colOff>2181225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105" name="Check Box 790">
              <controlPr defaultSize="0" autoFill="0" autoLine="0" autoPict="0">
                <anchor moveWithCells="1">
                  <from>
                    <xdr:col>10</xdr:col>
                    <xdr:colOff>76200</xdr:colOff>
                    <xdr:row>30</xdr:row>
                    <xdr:rowOff>371475</xdr:rowOff>
                  </from>
                  <to>
                    <xdr:col>10</xdr:col>
                    <xdr:colOff>828675</xdr:colOff>
                    <xdr:row>30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106" name="Check Box 791">
              <controlPr defaultSize="0" autoFill="0" autoLine="0" autoPict="0">
                <anchor moveWithCells="1">
                  <from>
                    <xdr:col>10</xdr:col>
                    <xdr:colOff>2190750</xdr:colOff>
                    <xdr:row>30</xdr:row>
                    <xdr:rowOff>85725</xdr:rowOff>
                  </from>
                  <to>
                    <xdr:col>10</xdr:col>
                    <xdr:colOff>2943225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107" name="Check Box 792">
              <controlPr defaultSize="0" autoFill="0" autoLine="0" autoPict="0">
                <anchor moveWithCells="1">
                  <from>
                    <xdr:col>10</xdr:col>
                    <xdr:colOff>838200</xdr:colOff>
                    <xdr:row>30</xdr:row>
                    <xdr:rowOff>371475</xdr:rowOff>
                  </from>
                  <to>
                    <xdr:col>10</xdr:col>
                    <xdr:colOff>1771650</xdr:colOff>
                    <xdr:row>30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108" name="Check Box 793">
              <controlPr defaultSize="0" autoFill="0" autoLine="0" autoPict="0">
                <anchor moveWithCells="1">
                  <from>
                    <xdr:col>10</xdr:col>
                    <xdr:colOff>3714750</xdr:colOff>
                    <xdr:row>30</xdr:row>
                    <xdr:rowOff>85725</xdr:rowOff>
                  </from>
                  <to>
                    <xdr:col>10</xdr:col>
                    <xdr:colOff>4257675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109" name="Check Box 794">
              <controlPr defaultSize="0" autoFill="0" autoLine="0" autoPict="0">
                <anchor moveWithCells="1">
                  <from>
                    <xdr:col>10</xdr:col>
                    <xdr:colOff>2952750</xdr:colOff>
                    <xdr:row>30</xdr:row>
                    <xdr:rowOff>85725</xdr:rowOff>
                  </from>
                  <to>
                    <xdr:col>10</xdr:col>
                    <xdr:colOff>3705225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110" name="Check Box 795">
              <controlPr defaultSize="0" autoFill="0" autoLine="0" autoPict="0">
                <anchor moveWithCells="1">
                  <from>
                    <xdr:col>10</xdr:col>
                    <xdr:colOff>1781175</xdr:colOff>
                    <xdr:row>30</xdr:row>
                    <xdr:rowOff>371475</xdr:rowOff>
                  </from>
                  <to>
                    <xdr:col>10</xdr:col>
                    <xdr:colOff>3981450</xdr:colOff>
                    <xdr:row>30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111" name="Check Box 796">
              <controlPr defaultSize="0" autoFill="0" autoLine="0" autoPict="0">
                <anchor moveWithCells="1">
                  <from>
                    <xdr:col>10</xdr:col>
                    <xdr:colOff>76200</xdr:colOff>
                    <xdr:row>31</xdr:row>
                    <xdr:rowOff>85725</xdr:rowOff>
                  </from>
                  <to>
                    <xdr:col>10</xdr:col>
                    <xdr:colOff>1123950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112" name="Check Box 797">
              <controlPr defaultSize="0" autoFill="0" autoLine="0" autoPict="0">
                <anchor moveWithCells="1">
                  <from>
                    <xdr:col>10</xdr:col>
                    <xdr:colOff>1133475</xdr:colOff>
                    <xdr:row>31</xdr:row>
                    <xdr:rowOff>85725</xdr:rowOff>
                  </from>
                  <to>
                    <xdr:col>10</xdr:col>
                    <xdr:colOff>2181225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113" name="Check Box 798">
              <controlPr defaultSize="0" autoFill="0" autoLine="0" autoPict="0">
                <anchor moveWithCells="1">
                  <from>
                    <xdr:col>10</xdr:col>
                    <xdr:colOff>76200</xdr:colOff>
                    <xdr:row>31</xdr:row>
                    <xdr:rowOff>371475</xdr:rowOff>
                  </from>
                  <to>
                    <xdr:col>10</xdr:col>
                    <xdr:colOff>828675</xdr:colOff>
                    <xdr:row>31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114" name="Check Box 799">
              <controlPr defaultSize="0" autoFill="0" autoLine="0" autoPict="0">
                <anchor moveWithCells="1">
                  <from>
                    <xdr:col>10</xdr:col>
                    <xdr:colOff>2190750</xdr:colOff>
                    <xdr:row>31</xdr:row>
                    <xdr:rowOff>85725</xdr:rowOff>
                  </from>
                  <to>
                    <xdr:col>10</xdr:col>
                    <xdr:colOff>2943225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115" name="Check Box 800">
              <controlPr defaultSize="0" autoFill="0" autoLine="0" autoPict="0">
                <anchor moveWithCells="1">
                  <from>
                    <xdr:col>10</xdr:col>
                    <xdr:colOff>838200</xdr:colOff>
                    <xdr:row>31</xdr:row>
                    <xdr:rowOff>371475</xdr:rowOff>
                  </from>
                  <to>
                    <xdr:col>10</xdr:col>
                    <xdr:colOff>1771650</xdr:colOff>
                    <xdr:row>31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116" name="Check Box 801">
              <controlPr defaultSize="0" autoFill="0" autoLine="0" autoPict="0">
                <anchor moveWithCells="1">
                  <from>
                    <xdr:col>10</xdr:col>
                    <xdr:colOff>3714750</xdr:colOff>
                    <xdr:row>31</xdr:row>
                    <xdr:rowOff>85725</xdr:rowOff>
                  </from>
                  <to>
                    <xdr:col>10</xdr:col>
                    <xdr:colOff>4257675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117" name="Check Box 802">
              <controlPr defaultSize="0" autoFill="0" autoLine="0" autoPict="0">
                <anchor moveWithCells="1">
                  <from>
                    <xdr:col>10</xdr:col>
                    <xdr:colOff>2952750</xdr:colOff>
                    <xdr:row>31</xdr:row>
                    <xdr:rowOff>85725</xdr:rowOff>
                  </from>
                  <to>
                    <xdr:col>10</xdr:col>
                    <xdr:colOff>3705225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118" name="Check Box 803">
              <controlPr defaultSize="0" autoFill="0" autoLine="0" autoPict="0">
                <anchor moveWithCells="1">
                  <from>
                    <xdr:col>10</xdr:col>
                    <xdr:colOff>1781175</xdr:colOff>
                    <xdr:row>31</xdr:row>
                    <xdr:rowOff>371475</xdr:rowOff>
                  </from>
                  <to>
                    <xdr:col>10</xdr:col>
                    <xdr:colOff>3981450</xdr:colOff>
                    <xdr:row>31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119" name="Check Box 804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85725</xdr:rowOff>
                  </from>
                  <to>
                    <xdr:col>10</xdr:col>
                    <xdr:colOff>1123950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120" name="Check Box 805">
              <controlPr defaultSize="0" autoFill="0" autoLine="0" autoPict="0">
                <anchor moveWithCells="1">
                  <from>
                    <xdr:col>10</xdr:col>
                    <xdr:colOff>1133475</xdr:colOff>
                    <xdr:row>32</xdr:row>
                    <xdr:rowOff>85725</xdr:rowOff>
                  </from>
                  <to>
                    <xdr:col>10</xdr:col>
                    <xdr:colOff>2181225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121" name="Check Box 806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371475</xdr:rowOff>
                  </from>
                  <to>
                    <xdr:col>10</xdr:col>
                    <xdr:colOff>828675</xdr:colOff>
                    <xdr:row>32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122" name="Check Box 807">
              <controlPr defaultSize="0" autoFill="0" autoLine="0" autoPict="0">
                <anchor moveWithCells="1">
                  <from>
                    <xdr:col>10</xdr:col>
                    <xdr:colOff>2190750</xdr:colOff>
                    <xdr:row>32</xdr:row>
                    <xdr:rowOff>85725</xdr:rowOff>
                  </from>
                  <to>
                    <xdr:col>10</xdr:col>
                    <xdr:colOff>2943225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123" name="Check Box 808">
              <controlPr defaultSize="0" autoFill="0" autoLine="0" autoPict="0">
                <anchor moveWithCells="1">
                  <from>
                    <xdr:col>10</xdr:col>
                    <xdr:colOff>838200</xdr:colOff>
                    <xdr:row>32</xdr:row>
                    <xdr:rowOff>371475</xdr:rowOff>
                  </from>
                  <to>
                    <xdr:col>10</xdr:col>
                    <xdr:colOff>1771650</xdr:colOff>
                    <xdr:row>32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124" name="Check Box 809">
              <controlPr defaultSize="0" autoFill="0" autoLine="0" autoPict="0">
                <anchor moveWithCells="1">
                  <from>
                    <xdr:col>10</xdr:col>
                    <xdr:colOff>3714750</xdr:colOff>
                    <xdr:row>32</xdr:row>
                    <xdr:rowOff>85725</xdr:rowOff>
                  </from>
                  <to>
                    <xdr:col>10</xdr:col>
                    <xdr:colOff>4257675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125" name="Check Box 810">
              <controlPr defaultSize="0" autoFill="0" autoLine="0" autoPict="0">
                <anchor moveWithCells="1">
                  <from>
                    <xdr:col>10</xdr:col>
                    <xdr:colOff>2952750</xdr:colOff>
                    <xdr:row>32</xdr:row>
                    <xdr:rowOff>85725</xdr:rowOff>
                  </from>
                  <to>
                    <xdr:col>10</xdr:col>
                    <xdr:colOff>3705225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126" name="Check Box 811">
              <controlPr defaultSize="0" autoFill="0" autoLine="0" autoPict="0">
                <anchor moveWithCells="1">
                  <from>
                    <xdr:col>10</xdr:col>
                    <xdr:colOff>1781175</xdr:colOff>
                    <xdr:row>32</xdr:row>
                    <xdr:rowOff>371475</xdr:rowOff>
                  </from>
                  <to>
                    <xdr:col>10</xdr:col>
                    <xdr:colOff>3981450</xdr:colOff>
                    <xdr:row>32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127" name="Check Box 812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85725</xdr:rowOff>
                  </from>
                  <to>
                    <xdr:col>10</xdr:col>
                    <xdr:colOff>1123950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128" name="Check Box 813">
              <controlPr defaultSize="0" autoFill="0" autoLine="0" autoPict="0">
                <anchor moveWithCells="1">
                  <from>
                    <xdr:col>10</xdr:col>
                    <xdr:colOff>1133475</xdr:colOff>
                    <xdr:row>33</xdr:row>
                    <xdr:rowOff>85725</xdr:rowOff>
                  </from>
                  <to>
                    <xdr:col>10</xdr:col>
                    <xdr:colOff>2181225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129" name="Check Box 814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371475</xdr:rowOff>
                  </from>
                  <to>
                    <xdr:col>10</xdr:col>
                    <xdr:colOff>828675</xdr:colOff>
                    <xdr:row>33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130" name="Check Box 815">
              <controlPr defaultSize="0" autoFill="0" autoLine="0" autoPict="0">
                <anchor moveWithCells="1">
                  <from>
                    <xdr:col>10</xdr:col>
                    <xdr:colOff>2190750</xdr:colOff>
                    <xdr:row>33</xdr:row>
                    <xdr:rowOff>85725</xdr:rowOff>
                  </from>
                  <to>
                    <xdr:col>10</xdr:col>
                    <xdr:colOff>2943225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131" name="Check Box 816">
              <controlPr defaultSize="0" autoFill="0" autoLine="0" autoPict="0">
                <anchor moveWithCells="1">
                  <from>
                    <xdr:col>10</xdr:col>
                    <xdr:colOff>838200</xdr:colOff>
                    <xdr:row>33</xdr:row>
                    <xdr:rowOff>371475</xdr:rowOff>
                  </from>
                  <to>
                    <xdr:col>10</xdr:col>
                    <xdr:colOff>1771650</xdr:colOff>
                    <xdr:row>33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132" name="Check Box 817">
              <controlPr defaultSize="0" autoFill="0" autoLine="0" autoPict="0">
                <anchor moveWithCells="1">
                  <from>
                    <xdr:col>10</xdr:col>
                    <xdr:colOff>3714750</xdr:colOff>
                    <xdr:row>33</xdr:row>
                    <xdr:rowOff>85725</xdr:rowOff>
                  </from>
                  <to>
                    <xdr:col>10</xdr:col>
                    <xdr:colOff>4257675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133" name="Check Box 818">
              <controlPr defaultSize="0" autoFill="0" autoLine="0" autoPict="0">
                <anchor moveWithCells="1">
                  <from>
                    <xdr:col>10</xdr:col>
                    <xdr:colOff>2952750</xdr:colOff>
                    <xdr:row>33</xdr:row>
                    <xdr:rowOff>85725</xdr:rowOff>
                  </from>
                  <to>
                    <xdr:col>10</xdr:col>
                    <xdr:colOff>3705225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134" name="Check Box 819">
              <controlPr defaultSize="0" autoFill="0" autoLine="0" autoPict="0">
                <anchor moveWithCells="1">
                  <from>
                    <xdr:col>10</xdr:col>
                    <xdr:colOff>1781175</xdr:colOff>
                    <xdr:row>33</xdr:row>
                    <xdr:rowOff>371475</xdr:rowOff>
                  </from>
                  <to>
                    <xdr:col>10</xdr:col>
                    <xdr:colOff>3981450</xdr:colOff>
                    <xdr:row>33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135" name="Check Box 820">
              <controlPr defaultSize="0" autoFill="0" autoLine="0" autoPict="0">
                <anchor moveWithCells="1">
                  <from>
                    <xdr:col>10</xdr:col>
                    <xdr:colOff>76200</xdr:colOff>
                    <xdr:row>34</xdr:row>
                    <xdr:rowOff>85725</xdr:rowOff>
                  </from>
                  <to>
                    <xdr:col>10</xdr:col>
                    <xdr:colOff>1123950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136" name="Check Box 821">
              <controlPr defaultSize="0" autoFill="0" autoLine="0" autoPict="0">
                <anchor moveWithCells="1">
                  <from>
                    <xdr:col>10</xdr:col>
                    <xdr:colOff>1133475</xdr:colOff>
                    <xdr:row>34</xdr:row>
                    <xdr:rowOff>85725</xdr:rowOff>
                  </from>
                  <to>
                    <xdr:col>10</xdr:col>
                    <xdr:colOff>2181225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137" name="Check Box 822">
              <controlPr defaultSize="0" autoFill="0" autoLine="0" autoPict="0">
                <anchor moveWithCells="1">
                  <from>
                    <xdr:col>10</xdr:col>
                    <xdr:colOff>76200</xdr:colOff>
                    <xdr:row>34</xdr:row>
                    <xdr:rowOff>371475</xdr:rowOff>
                  </from>
                  <to>
                    <xdr:col>10</xdr:col>
                    <xdr:colOff>828675</xdr:colOff>
                    <xdr:row>34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138" name="Check Box 823">
              <controlPr defaultSize="0" autoFill="0" autoLine="0" autoPict="0">
                <anchor moveWithCells="1">
                  <from>
                    <xdr:col>10</xdr:col>
                    <xdr:colOff>2190750</xdr:colOff>
                    <xdr:row>34</xdr:row>
                    <xdr:rowOff>85725</xdr:rowOff>
                  </from>
                  <to>
                    <xdr:col>10</xdr:col>
                    <xdr:colOff>2943225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139" name="Check Box 824">
              <controlPr defaultSize="0" autoFill="0" autoLine="0" autoPict="0">
                <anchor moveWithCells="1">
                  <from>
                    <xdr:col>10</xdr:col>
                    <xdr:colOff>838200</xdr:colOff>
                    <xdr:row>34</xdr:row>
                    <xdr:rowOff>371475</xdr:rowOff>
                  </from>
                  <to>
                    <xdr:col>10</xdr:col>
                    <xdr:colOff>1771650</xdr:colOff>
                    <xdr:row>34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140" name="Check Box 825">
              <controlPr defaultSize="0" autoFill="0" autoLine="0" autoPict="0">
                <anchor moveWithCells="1">
                  <from>
                    <xdr:col>10</xdr:col>
                    <xdr:colOff>3714750</xdr:colOff>
                    <xdr:row>34</xdr:row>
                    <xdr:rowOff>85725</xdr:rowOff>
                  </from>
                  <to>
                    <xdr:col>10</xdr:col>
                    <xdr:colOff>4257675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141" name="Check Box 826">
              <controlPr defaultSize="0" autoFill="0" autoLine="0" autoPict="0">
                <anchor moveWithCells="1">
                  <from>
                    <xdr:col>10</xdr:col>
                    <xdr:colOff>2952750</xdr:colOff>
                    <xdr:row>34</xdr:row>
                    <xdr:rowOff>85725</xdr:rowOff>
                  </from>
                  <to>
                    <xdr:col>10</xdr:col>
                    <xdr:colOff>3705225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142" name="Check Box 827">
              <controlPr defaultSize="0" autoFill="0" autoLine="0" autoPict="0">
                <anchor moveWithCells="1">
                  <from>
                    <xdr:col>10</xdr:col>
                    <xdr:colOff>1781175</xdr:colOff>
                    <xdr:row>34</xdr:row>
                    <xdr:rowOff>371475</xdr:rowOff>
                  </from>
                  <to>
                    <xdr:col>10</xdr:col>
                    <xdr:colOff>3981450</xdr:colOff>
                    <xdr:row>34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143" name="Check Box 828">
              <controlPr defaultSize="0" autoFill="0" autoLine="0" autoPict="0">
                <anchor moveWithCells="1">
                  <from>
                    <xdr:col>10</xdr:col>
                    <xdr:colOff>76200</xdr:colOff>
                    <xdr:row>35</xdr:row>
                    <xdr:rowOff>85725</xdr:rowOff>
                  </from>
                  <to>
                    <xdr:col>10</xdr:col>
                    <xdr:colOff>1123950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144" name="Check Box 829">
              <controlPr defaultSize="0" autoFill="0" autoLine="0" autoPict="0">
                <anchor moveWithCells="1">
                  <from>
                    <xdr:col>10</xdr:col>
                    <xdr:colOff>1133475</xdr:colOff>
                    <xdr:row>35</xdr:row>
                    <xdr:rowOff>85725</xdr:rowOff>
                  </from>
                  <to>
                    <xdr:col>10</xdr:col>
                    <xdr:colOff>2181225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145" name="Check Box 830">
              <controlPr defaultSize="0" autoFill="0" autoLine="0" autoPict="0">
                <anchor moveWithCells="1">
                  <from>
                    <xdr:col>10</xdr:col>
                    <xdr:colOff>76200</xdr:colOff>
                    <xdr:row>35</xdr:row>
                    <xdr:rowOff>371475</xdr:rowOff>
                  </from>
                  <to>
                    <xdr:col>10</xdr:col>
                    <xdr:colOff>828675</xdr:colOff>
                    <xdr:row>35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146" name="Check Box 831">
              <controlPr defaultSize="0" autoFill="0" autoLine="0" autoPict="0">
                <anchor moveWithCells="1">
                  <from>
                    <xdr:col>10</xdr:col>
                    <xdr:colOff>2190750</xdr:colOff>
                    <xdr:row>35</xdr:row>
                    <xdr:rowOff>85725</xdr:rowOff>
                  </from>
                  <to>
                    <xdr:col>10</xdr:col>
                    <xdr:colOff>2943225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147" name="Check Box 832">
              <controlPr defaultSize="0" autoFill="0" autoLine="0" autoPict="0">
                <anchor moveWithCells="1">
                  <from>
                    <xdr:col>10</xdr:col>
                    <xdr:colOff>838200</xdr:colOff>
                    <xdr:row>35</xdr:row>
                    <xdr:rowOff>371475</xdr:rowOff>
                  </from>
                  <to>
                    <xdr:col>10</xdr:col>
                    <xdr:colOff>1771650</xdr:colOff>
                    <xdr:row>35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148" name="Check Box 833">
              <controlPr defaultSize="0" autoFill="0" autoLine="0" autoPict="0">
                <anchor moveWithCells="1">
                  <from>
                    <xdr:col>10</xdr:col>
                    <xdr:colOff>3714750</xdr:colOff>
                    <xdr:row>35</xdr:row>
                    <xdr:rowOff>85725</xdr:rowOff>
                  </from>
                  <to>
                    <xdr:col>10</xdr:col>
                    <xdr:colOff>4257675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149" name="Check Box 834">
              <controlPr defaultSize="0" autoFill="0" autoLine="0" autoPict="0">
                <anchor moveWithCells="1">
                  <from>
                    <xdr:col>10</xdr:col>
                    <xdr:colOff>2952750</xdr:colOff>
                    <xdr:row>35</xdr:row>
                    <xdr:rowOff>85725</xdr:rowOff>
                  </from>
                  <to>
                    <xdr:col>10</xdr:col>
                    <xdr:colOff>3705225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150" name="Check Box 835">
              <controlPr defaultSize="0" autoFill="0" autoLine="0" autoPict="0">
                <anchor moveWithCells="1">
                  <from>
                    <xdr:col>10</xdr:col>
                    <xdr:colOff>1781175</xdr:colOff>
                    <xdr:row>35</xdr:row>
                    <xdr:rowOff>371475</xdr:rowOff>
                  </from>
                  <to>
                    <xdr:col>10</xdr:col>
                    <xdr:colOff>3981450</xdr:colOff>
                    <xdr:row>35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151" name="Check Box 836">
              <controlPr defaultSize="0" autoFill="0" autoLine="0" autoPict="0">
                <anchor moveWithCells="1">
                  <from>
                    <xdr:col>10</xdr:col>
                    <xdr:colOff>76200</xdr:colOff>
                    <xdr:row>36</xdr:row>
                    <xdr:rowOff>85725</xdr:rowOff>
                  </from>
                  <to>
                    <xdr:col>10</xdr:col>
                    <xdr:colOff>1123950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152" name="Check Box 837">
              <controlPr defaultSize="0" autoFill="0" autoLine="0" autoPict="0">
                <anchor moveWithCells="1">
                  <from>
                    <xdr:col>10</xdr:col>
                    <xdr:colOff>1133475</xdr:colOff>
                    <xdr:row>36</xdr:row>
                    <xdr:rowOff>85725</xdr:rowOff>
                  </from>
                  <to>
                    <xdr:col>10</xdr:col>
                    <xdr:colOff>2181225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153" name="Check Box 838">
              <controlPr defaultSize="0" autoFill="0" autoLine="0" autoPict="0">
                <anchor moveWithCells="1">
                  <from>
                    <xdr:col>10</xdr:col>
                    <xdr:colOff>76200</xdr:colOff>
                    <xdr:row>36</xdr:row>
                    <xdr:rowOff>371475</xdr:rowOff>
                  </from>
                  <to>
                    <xdr:col>10</xdr:col>
                    <xdr:colOff>828675</xdr:colOff>
                    <xdr:row>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154" name="Check Box 839">
              <controlPr defaultSize="0" autoFill="0" autoLine="0" autoPict="0">
                <anchor moveWithCells="1">
                  <from>
                    <xdr:col>10</xdr:col>
                    <xdr:colOff>2190750</xdr:colOff>
                    <xdr:row>36</xdr:row>
                    <xdr:rowOff>85725</xdr:rowOff>
                  </from>
                  <to>
                    <xdr:col>10</xdr:col>
                    <xdr:colOff>2943225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155" name="Check Box 840">
              <controlPr defaultSize="0" autoFill="0" autoLine="0" autoPict="0">
                <anchor moveWithCells="1">
                  <from>
                    <xdr:col>10</xdr:col>
                    <xdr:colOff>838200</xdr:colOff>
                    <xdr:row>36</xdr:row>
                    <xdr:rowOff>371475</xdr:rowOff>
                  </from>
                  <to>
                    <xdr:col>10</xdr:col>
                    <xdr:colOff>1771650</xdr:colOff>
                    <xdr:row>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156" name="Check Box 841">
              <controlPr defaultSize="0" autoFill="0" autoLine="0" autoPict="0">
                <anchor moveWithCells="1">
                  <from>
                    <xdr:col>10</xdr:col>
                    <xdr:colOff>3714750</xdr:colOff>
                    <xdr:row>36</xdr:row>
                    <xdr:rowOff>85725</xdr:rowOff>
                  </from>
                  <to>
                    <xdr:col>10</xdr:col>
                    <xdr:colOff>4257675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157" name="Check Box 842">
              <controlPr defaultSize="0" autoFill="0" autoLine="0" autoPict="0">
                <anchor moveWithCells="1">
                  <from>
                    <xdr:col>10</xdr:col>
                    <xdr:colOff>2952750</xdr:colOff>
                    <xdr:row>36</xdr:row>
                    <xdr:rowOff>85725</xdr:rowOff>
                  </from>
                  <to>
                    <xdr:col>10</xdr:col>
                    <xdr:colOff>3705225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158" name="Check Box 843">
              <controlPr defaultSize="0" autoFill="0" autoLine="0" autoPict="0">
                <anchor moveWithCells="1">
                  <from>
                    <xdr:col>10</xdr:col>
                    <xdr:colOff>1781175</xdr:colOff>
                    <xdr:row>36</xdr:row>
                    <xdr:rowOff>371475</xdr:rowOff>
                  </from>
                  <to>
                    <xdr:col>10</xdr:col>
                    <xdr:colOff>3981450</xdr:colOff>
                    <xdr:row>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159" name="Check Box 844">
              <controlPr defaultSize="0" autoFill="0" autoLine="0" autoPict="0">
                <anchor moveWithCells="1">
                  <from>
                    <xdr:col>10</xdr:col>
                    <xdr:colOff>76200</xdr:colOff>
                    <xdr:row>47</xdr:row>
                    <xdr:rowOff>85725</xdr:rowOff>
                  </from>
                  <to>
                    <xdr:col>10</xdr:col>
                    <xdr:colOff>1123950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160" name="Check Box 845">
              <controlPr defaultSize="0" autoFill="0" autoLine="0" autoPict="0">
                <anchor moveWithCells="1">
                  <from>
                    <xdr:col>10</xdr:col>
                    <xdr:colOff>1133475</xdr:colOff>
                    <xdr:row>47</xdr:row>
                    <xdr:rowOff>85725</xdr:rowOff>
                  </from>
                  <to>
                    <xdr:col>10</xdr:col>
                    <xdr:colOff>2181225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161" name="Check Box 846">
              <controlPr defaultSize="0" autoFill="0" autoLine="0" autoPict="0">
                <anchor moveWithCells="1">
                  <from>
                    <xdr:col>10</xdr:col>
                    <xdr:colOff>76200</xdr:colOff>
                    <xdr:row>47</xdr:row>
                    <xdr:rowOff>371475</xdr:rowOff>
                  </from>
                  <to>
                    <xdr:col>10</xdr:col>
                    <xdr:colOff>828675</xdr:colOff>
                    <xdr:row>47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162" name="Check Box 847">
              <controlPr defaultSize="0" autoFill="0" autoLine="0" autoPict="0">
                <anchor moveWithCells="1">
                  <from>
                    <xdr:col>10</xdr:col>
                    <xdr:colOff>2190750</xdr:colOff>
                    <xdr:row>47</xdr:row>
                    <xdr:rowOff>85725</xdr:rowOff>
                  </from>
                  <to>
                    <xdr:col>10</xdr:col>
                    <xdr:colOff>2943225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163" name="Check Box 848">
              <controlPr defaultSize="0" autoFill="0" autoLine="0" autoPict="0">
                <anchor moveWithCells="1">
                  <from>
                    <xdr:col>10</xdr:col>
                    <xdr:colOff>838200</xdr:colOff>
                    <xdr:row>47</xdr:row>
                    <xdr:rowOff>371475</xdr:rowOff>
                  </from>
                  <to>
                    <xdr:col>10</xdr:col>
                    <xdr:colOff>1771650</xdr:colOff>
                    <xdr:row>47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164" name="Check Box 849">
              <controlPr defaultSize="0" autoFill="0" autoLine="0" autoPict="0">
                <anchor moveWithCells="1">
                  <from>
                    <xdr:col>10</xdr:col>
                    <xdr:colOff>3714750</xdr:colOff>
                    <xdr:row>47</xdr:row>
                    <xdr:rowOff>85725</xdr:rowOff>
                  </from>
                  <to>
                    <xdr:col>10</xdr:col>
                    <xdr:colOff>4257675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165" name="Check Box 850">
              <controlPr defaultSize="0" autoFill="0" autoLine="0" autoPict="0">
                <anchor moveWithCells="1">
                  <from>
                    <xdr:col>10</xdr:col>
                    <xdr:colOff>2952750</xdr:colOff>
                    <xdr:row>47</xdr:row>
                    <xdr:rowOff>85725</xdr:rowOff>
                  </from>
                  <to>
                    <xdr:col>10</xdr:col>
                    <xdr:colOff>3705225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166" name="Check Box 851">
              <controlPr defaultSize="0" autoFill="0" autoLine="0" autoPict="0">
                <anchor moveWithCells="1">
                  <from>
                    <xdr:col>10</xdr:col>
                    <xdr:colOff>1781175</xdr:colOff>
                    <xdr:row>47</xdr:row>
                    <xdr:rowOff>371475</xdr:rowOff>
                  </from>
                  <to>
                    <xdr:col>10</xdr:col>
                    <xdr:colOff>3981450</xdr:colOff>
                    <xdr:row>47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167" name="Check Box 854">
              <controlPr defaultSize="0" autoFill="0" autoLine="0" autoPict="0">
                <anchor moveWithCells="1">
                  <from>
                    <xdr:col>10</xdr:col>
                    <xdr:colOff>76200</xdr:colOff>
                    <xdr:row>37</xdr:row>
                    <xdr:rowOff>85725</xdr:rowOff>
                  </from>
                  <to>
                    <xdr:col>10</xdr:col>
                    <xdr:colOff>1123950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168" name="Check Box 855">
              <controlPr defaultSize="0" autoFill="0" autoLine="0" autoPict="0">
                <anchor moveWithCells="1">
                  <from>
                    <xdr:col>10</xdr:col>
                    <xdr:colOff>1133475</xdr:colOff>
                    <xdr:row>37</xdr:row>
                    <xdr:rowOff>85725</xdr:rowOff>
                  </from>
                  <to>
                    <xdr:col>10</xdr:col>
                    <xdr:colOff>2181225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169" name="Check Box 856">
              <controlPr defaultSize="0" autoFill="0" autoLine="0" autoPict="0">
                <anchor moveWithCells="1">
                  <from>
                    <xdr:col>10</xdr:col>
                    <xdr:colOff>76200</xdr:colOff>
                    <xdr:row>37</xdr:row>
                    <xdr:rowOff>371475</xdr:rowOff>
                  </from>
                  <to>
                    <xdr:col>10</xdr:col>
                    <xdr:colOff>828675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170" name="Check Box 857">
              <controlPr defaultSize="0" autoFill="0" autoLine="0" autoPict="0">
                <anchor moveWithCells="1">
                  <from>
                    <xdr:col>10</xdr:col>
                    <xdr:colOff>2190750</xdr:colOff>
                    <xdr:row>37</xdr:row>
                    <xdr:rowOff>85725</xdr:rowOff>
                  </from>
                  <to>
                    <xdr:col>10</xdr:col>
                    <xdr:colOff>2943225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171" name="Check Box 858">
              <controlPr defaultSize="0" autoFill="0" autoLine="0" autoPict="0">
                <anchor moveWithCells="1">
                  <from>
                    <xdr:col>10</xdr:col>
                    <xdr:colOff>838200</xdr:colOff>
                    <xdr:row>37</xdr:row>
                    <xdr:rowOff>371475</xdr:rowOff>
                  </from>
                  <to>
                    <xdr:col>10</xdr:col>
                    <xdr:colOff>1771650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172" name="Check Box 859">
              <controlPr defaultSize="0" autoFill="0" autoLine="0" autoPict="0">
                <anchor moveWithCells="1">
                  <from>
                    <xdr:col>10</xdr:col>
                    <xdr:colOff>3714750</xdr:colOff>
                    <xdr:row>37</xdr:row>
                    <xdr:rowOff>85725</xdr:rowOff>
                  </from>
                  <to>
                    <xdr:col>10</xdr:col>
                    <xdr:colOff>4257675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173" name="Check Box 860">
              <controlPr defaultSize="0" autoFill="0" autoLine="0" autoPict="0">
                <anchor moveWithCells="1">
                  <from>
                    <xdr:col>10</xdr:col>
                    <xdr:colOff>2952750</xdr:colOff>
                    <xdr:row>37</xdr:row>
                    <xdr:rowOff>85725</xdr:rowOff>
                  </from>
                  <to>
                    <xdr:col>10</xdr:col>
                    <xdr:colOff>3705225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174" name="Check Box 861">
              <controlPr defaultSize="0" autoFill="0" autoLine="0" autoPict="0">
                <anchor moveWithCells="1">
                  <from>
                    <xdr:col>10</xdr:col>
                    <xdr:colOff>1781175</xdr:colOff>
                    <xdr:row>37</xdr:row>
                    <xdr:rowOff>371475</xdr:rowOff>
                  </from>
                  <to>
                    <xdr:col>10</xdr:col>
                    <xdr:colOff>3981450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175" name="Check Box 862">
              <controlPr defaultSize="0" autoFill="0" autoLine="0" autoPict="0">
                <anchor moveWithCells="1">
                  <from>
                    <xdr:col>10</xdr:col>
                    <xdr:colOff>76200</xdr:colOff>
                    <xdr:row>38</xdr:row>
                    <xdr:rowOff>85725</xdr:rowOff>
                  </from>
                  <to>
                    <xdr:col>10</xdr:col>
                    <xdr:colOff>1123950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176" name="Check Box 863">
              <controlPr defaultSize="0" autoFill="0" autoLine="0" autoPict="0">
                <anchor moveWithCells="1">
                  <from>
                    <xdr:col>10</xdr:col>
                    <xdr:colOff>1133475</xdr:colOff>
                    <xdr:row>38</xdr:row>
                    <xdr:rowOff>85725</xdr:rowOff>
                  </from>
                  <to>
                    <xdr:col>10</xdr:col>
                    <xdr:colOff>2181225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177" name="Check Box 864">
              <controlPr defaultSize="0" autoFill="0" autoLine="0" autoPict="0">
                <anchor moveWithCells="1">
                  <from>
                    <xdr:col>10</xdr:col>
                    <xdr:colOff>76200</xdr:colOff>
                    <xdr:row>38</xdr:row>
                    <xdr:rowOff>371475</xdr:rowOff>
                  </from>
                  <to>
                    <xdr:col>10</xdr:col>
                    <xdr:colOff>828675</xdr:colOff>
                    <xdr:row>38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178" name="Check Box 865">
              <controlPr defaultSize="0" autoFill="0" autoLine="0" autoPict="0">
                <anchor moveWithCells="1">
                  <from>
                    <xdr:col>10</xdr:col>
                    <xdr:colOff>2190750</xdr:colOff>
                    <xdr:row>38</xdr:row>
                    <xdr:rowOff>85725</xdr:rowOff>
                  </from>
                  <to>
                    <xdr:col>10</xdr:col>
                    <xdr:colOff>2943225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179" name="Check Box 866">
              <controlPr defaultSize="0" autoFill="0" autoLine="0" autoPict="0">
                <anchor moveWithCells="1">
                  <from>
                    <xdr:col>10</xdr:col>
                    <xdr:colOff>838200</xdr:colOff>
                    <xdr:row>38</xdr:row>
                    <xdr:rowOff>371475</xdr:rowOff>
                  </from>
                  <to>
                    <xdr:col>10</xdr:col>
                    <xdr:colOff>1771650</xdr:colOff>
                    <xdr:row>38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180" name="Check Box 867">
              <controlPr defaultSize="0" autoFill="0" autoLine="0" autoPict="0">
                <anchor moveWithCells="1">
                  <from>
                    <xdr:col>10</xdr:col>
                    <xdr:colOff>3714750</xdr:colOff>
                    <xdr:row>38</xdr:row>
                    <xdr:rowOff>85725</xdr:rowOff>
                  </from>
                  <to>
                    <xdr:col>10</xdr:col>
                    <xdr:colOff>4257675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181" name="Check Box 868">
              <controlPr defaultSize="0" autoFill="0" autoLine="0" autoPict="0">
                <anchor moveWithCells="1">
                  <from>
                    <xdr:col>10</xdr:col>
                    <xdr:colOff>2952750</xdr:colOff>
                    <xdr:row>38</xdr:row>
                    <xdr:rowOff>85725</xdr:rowOff>
                  </from>
                  <to>
                    <xdr:col>10</xdr:col>
                    <xdr:colOff>3705225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182" name="Check Box 869">
              <controlPr defaultSize="0" autoFill="0" autoLine="0" autoPict="0">
                <anchor moveWithCells="1">
                  <from>
                    <xdr:col>10</xdr:col>
                    <xdr:colOff>1781175</xdr:colOff>
                    <xdr:row>38</xdr:row>
                    <xdr:rowOff>371475</xdr:rowOff>
                  </from>
                  <to>
                    <xdr:col>10</xdr:col>
                    <xdr:colOff>3981450</xdr:colOff>
                    <xdr:row>38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183" name="Check Box 870">
              <controlPr defaultSize="0" autoFill="0" autoLine="0" autoPict="0">
                <anchor moveWithCells="1">
                  <from>
                    <xdr:col>10</xdr:col>
                    <xdr:colOff>76200</xdr:colOff>
                    <xdr:row>39</xdr:row>
                    <xdr:rowOff>85725</xdr:rowOff>
                  </from>
                  <to>
                    <xdr:col>10</xdr:col>
                    <xdr:colOff>1123950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184" name="Check Box 871">
              <controlPr defaultSize="0" autoFill="0" autoLine="0" autoPict="0">
                <anchor moveWithCells="1">
                  <from>
                    <xdr:col>10</xdr:col>
                    <xdr:colOff>1133475</xdr:colOff>
                    <xdr:row>39</xdr:row>
                    <xdr:rowOff>85725</xdr:rowOff>
                  </from>
                  <to>
                    <xdr:col>10</xdr:col>
                    <xdr:colOff>2181225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185" name="Check Box 872">
              <controlPr defaultSize="0" autoFill="0" autoLine="0" autoPict="0">
                <anchor moveWithCells="1">
                  <from>
                    <xdr:col>10</xdr:col>
                    <xdr:colOff>76200</xdr:colOff>
                    <xdr:row>39</xdr:row>
                    <xdr:rowOff>371475</xdr:rowOff>
                  </from>
                  <to>
                    <xdr:col>10</xdr:col>
                    <xdr:colOff>828675</xdr:colOff>
                    <xdr:row>39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186" name="Check Box 873">
              <controlPr defaultSize="0" autoFill="0" autoLine="0" autoPict="0">
                <anchor moveWithCells="1">
                  <from>
                    <xdr:col>10</xdr:col>
                    <xdr:colOff>2190750</xdr:colOff>
                    <xdr:row>39</xdr:row>
                    <xdr:rowOff>85725</xdr:rowOff>
                  </from>
                  <to>
                    <xdr:col>10</xdr:col>
                    <xdr:colOff>2943225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187" name="Check Box 874">
              <controlPr defaultSize="0" autoFill="0" autoLine="0" autoPict="0">
                <anchor moveWithCells="1">
                  <from>
                    <xdr:col>10</xdr:col>
                    <xdr:colOff>838200</xdr:colOff>
                    <xdr:row>39</xdr:row>
                    <xdr:rowOff>371475</xdr:rowOff>
                  </from>
                  <to>
                    <xdr:col>10</xdr:col>
                    <xdr:colOff>1771650</xdr:colOff>
                    <xdr:row>39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188" name="Check Box 875">
              <controlPr defaultSize="0" autoFill="0" autoLine="0" autoPict="0">
                <anchor moveWithCells="1">
                  <from>
                    <xdr:col>10</xdr:col>
                    <xdr:colOff>3714750</xdr:colOff>
                    <xdr:row>39</xdr:row>
                    <xdr:rowOff>85725</xdr:rowOff>
                  </from>
                  <to>
                    <xdr:col>10</xdr:col>
                    <xdr:colOff>4257675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189" name="Check Box 876">
              <controlPr defaultSize="0" autoFill="0" autoLine="0" autoPict="0">
                <anchor moveWithCells="1">
                  <from>
                    <xdr:col>10</xdr:col>
                    <xdr:colOff>2952750</xdr:colOff>
                    <xdr:row>39</xdr:row>
                    <xdr:rowOff>85725</xdr:rowOff>
                  </from>
                  <to>
                    <xdr:col>10</xdr:col>
                    <xdr:colOff>3705225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190" name="Check Box 877">
              <controlPr defaultSize="0" autoFill="0" autoLine="0" autoPict="0">
                <anchor moveWithCells="1">
                  <from>
                    <xdr:col>10</xdr:col>
                    <xdr:colOff>1781175</xdr:colOff>
                    <xdr:row>39</xdr:row>
                    <xdr:rowOff>371475</xdr:rowOff>
                  </from>
                  <to>
                    <xdr:col>10</xdr:col>
                    <xdr:colOff>3981450</xdr:colOff>
                    <xdr:row>39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191" name="Check Box 878">
              <controlPr defaultSize="0" autoFill="0" autoLine="0" autoPict="0">
                <anchor moveWithCells="1">
                  <from>
                    <xdr:col>10</xdr:col>
                    <xdr:colOff>76200</xdr:colOff>
                    <xdr:row>40</xdr:row>
                    <xdr:rowOff>85725</xdr:rowOff>
                  </from>
                  <to>
                    <xdr:col>10</xdr:col>
                    <xdr:colOff>1123950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192" name="Check Box 879">
              <controlPr defaultSize="0" autoFill="0" autoLine="0" autoPict="0">
                <anchor moveWithCells="1">
                  <from>
                    <xdr:col>10</xdr:col>
                    <xdr:colOff>1133475</xdr:colOff>
                    <xdr:row>40</xdr:row>
                    <xdr:rowOff>85725</xdr:rowOff>
                  </from>
                  <to>
                    <xdr:col>10</xdr:col>
                    <xdr:colOff>2181225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193" name="Check Box 880">
              <controlPr defaultSize="0" autoFill="0" autoLine="0" autoPict="0">
                <anchor moveWithCells="1">
                  <from>
                    <xdr:col>10</xdr:col>
                    <xdr:colOff>76200</xdr:colOff>
                    <xdr:row>40</xdr:row>
                    <xdr:rowOff>371475</xdr:rowOff>
                  </from>
                  <to>
                    <xdr:col>10</xdr:col>
                    <xdr:colOff>828675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194" name="Check Box 881">
              <controlPr defaultSize="0" autoFill="0" autoLine="0" autoPict="0">
                <anchor moveWithCells="1">
                  <from>
                    <xdr:col>10</xdr:col>
                    <xdr:colOff>2190750</xdr:colOff>
                    <xdr:row>40</xdr:row>
                    <xdr:rowOff>85725</xdr:rowOff>
                  </from>
                  <to>
                    <xdr:col>10</xdr:col>
                    <xdr:colOff>2943225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195" name="Check Box 882">
              <controlPr defaultSize="0" autoFill="0" autoLine="0" autoPict="0">
                <anchor moveWithCells="1">
                  <from>
                    <xdr:col>10</xdr:col>
                    <xdr:colOff>838200</xdr:colOff>
                    <xdr:row>40</xdr:row>
                    <xdr:rowOff>371475</xdr:rowOff>
                  </from>
                  <to>
                    <xdr:col>10</xdr:col>
                    <xdr:colOff>1771650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196" name="Check Box 883">
              <controlPr defaultSize="0" autoFill="0" autoLine="0" autoPict="0">
                <anchor moveWithCells="1">
                  <from>
                    <xdr:col>10</xdr:col>
                    <xdr:colOff>3714750</xdr:colOff>
                    <xdr:row>40</xdr:row>
                    <xdr:rowOff>85725</xdr:rowOff>
                  </from>
                  <to>
                    <xdr:col>10</xdr:col>
                    <xdr:colOff>4257675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197" name="Check Box 884">
              <controlPr defaultSize="0" autoFill="0" autoLine="0" autoPict="0">
                <anchor moveWithCells="1">
                  <from>
                    <xdr:col>10</xdr:col>
                    <xdr:colOff>2952750</xdr:colOff>
                    <xdr:row>40</xdr:row>
                    <xdr:rowOff>85725</xdr:rowOff>
                  </from>
                  <to>
                    <xdr:col>10</xdr:col>
                    <xdr:colOff>3705225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198" name="Check Box 885">
              <controlPr defaultSize="0" autoFill="0" autoLine="0" autoPict="0">
                <anchor moveWithCells="1">
                  <from>
                    <xdr:col>10</xdr:col>
                    <xdr:colOff>1781175</xdr:colOff>
                    <xdr:row>40</xdr:row>
                    <xdr:rowOff>371475</xdr:rowOff>
                  </from>
                  <to>
                    <xdr:col>10</xdr:col>
                    <xdr:colOff>3981450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199" name="Check Box 886">
              <controlPr defaultSize="0" autoFill="0" autoLine="0" autoPict="0">
                <anchor moveWithCells="1">
                  <from>
                    <xdr:col>10</xdr:col>
                    <xdr:colOff>76200</xdr:colOff>
                    <xdr:row>41</xdr:row>
                    <xdr:rowOff>85725</xdr:rowOff>
                  </from>
                  <to>
                    <xdr:col>10</xdr:col>
                    <xdr:colOff>1123950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200" name="Check Box 887">
              <controlPr defaultSize="0" autoFill="0" autoLine="0" autoPict="0">
                <anchor moveWithCells="1">
                  <from>
                    <xdr:col>10</xdr:col>
                    <xdr:colOff>1133475</xdr:colOff>
                    <xdr:row>41</xdr:row>
                    <xdr:rowOff>85725</xdr:rowOff>
                  </from>
                  <to>
                    <xdr:col>10</xdr:col>
                    <xdr:colOff>2181225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201" name="Check Box 888">
              <controlPr defaultSize="0" autoFill="0" autoLine="0" autoPict="0">
                <anchor moveWithCells="1">
                  <from>
                    <xdr:col>10</xdr:col>
                    <xdr:colOff>76200</xdr:colOff>
                    <xdr:row>41</xdr:row>
                    <xdr:rowOff>371475</xdr:rowOff>
                  </from>
                  <to>
                    <xdr:col>10</xdr:col>
                    <xdr:colOff>828675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202" name="Check Box 889">
              <controlPr defaultSize="0" autoFill="0" autoLine="0" autoPict="0">
                <anchor moveWithCells="1">
                  <from>
                    <xdr:col>10</xdr:col>
                    <xdr:colOff>2190750</xdr:colOff>
                    <xdr:row>41</xdr:row>
                    <xdr:rowOff>85725</xdr:rowOff>
                  </from>
                  <to>
                    <xdr:col>10</xdr:col>
                    <xdr:colOff>2943225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203" name="Check Box 890">
              <controlPr defaultSize="0" autoFill="0" autoLine="0" autoPict="0">
                <anchor moveWithCells="1">
                  <from>
                    <xdr:col>10</xdr:col>
                    <xdr:colOff>838200</xdr:colOff>
                    <xdr:row>41</xdr:row>
                    <xdr:rowOff>371475</xdr:rowOff>
                  </from>
                  <to>
                    <xdr:col>10</xdr:col>
                    <xdr:colOff>1771650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204" name="Check Box 891">
              <controlPr defaultSize="0" autoFill="0" autoLine="0" autoPict="0">
                <anchor moveWithCells="1">
                  <from>
                    <xdr:col>10</xdr:col>
                    <xdr:colOff>3714750</xdr:colOff>
                    <xdr:row>41</xdr:row>
                    <xdr:rowOff>85725</xdr:rowOff>
                  </from>
                  <to>
                    <xdr:col>10</xdr:col>
                    <xdr:colOff>4257675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205" name="Check Box 892">
              <controlPr defaultSize="0" autoFill="0" autoLine="0" autoPict="0">
                <anchor moveWithCells="1">
                  <from>
                    <xdr:col>10</xdr:col>
                    <xdr:colOff>2952750</xdr:colOff>
                    <xdr:row>41</xdr:row>
                    <xdr:rowOff>85725</xdr:rowOff>
                  </from>
                  <to>
                    <xdr:col>10</xdr:col>
                    <xdr:colOff>3705225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206" name="Check Box 893">
              <controlPr defaultSize="0" autoFill="0" autoLine="0" autoPict="0">
                <anchor moveWithCells="1">
                  <from>
                    <xdr:col>10</xdr:col>
                    <xdr:colOff>1781175</xdr:colOff>
                    <xdr:row>41</xdr:row>
                    <xdr:rowOff>371475</xdr:rowOff>
                  </from>
                  <to>
                    <xdr:col>10</xdr:col>
                    <xdr:colOff>3981450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207" name="Check Box 894">
              <controlPr defaultSize="0" autoFill="0" autoLine="0" autoPict="0">
                <anchor moveWithCells="1">
                  <from>
                    <xdr:col>10</xdr:col>
                    <xdr:colOff>76200</xdr:colOff>
                    <xdr:row>42</xdr:row>
                    <xdr:rowOff>85725</xdr:rowOff>
                  </from>
                  <to>
                    <xdr:col>10</xdr:col>
                    <xdr:colOff>1123950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208" name="Check Box 895">
              <controlPr defaultSize="0" autoFill="0" autoLine="0" autoPict="0">
                <anchor moveWithCells="1">
                  <from>
                    <xdr:col>10</xdr:col>
                    <xdr:colOff>1133475</xdr:colOff>
                    <xdr:row>42</xdr:row>
                    <xdr:rowOff>85725</xdr:rowOff>
                  </from>
                  <to>
                    <xdr:col>10</xdr:col>
                    <xdr:colOff>2181225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209" name="Check Box 896">
              <controlPr defaultSize="0" autoFill="0" autoLine="0" autoPict="0">
                <anchor moveWithCells="1">
                  <from>
                    <xdr:col>10</xdr:col>
                    <xdr:colOff>76200</xdr:colOff>
                    <xdr:row>42</xdr:row>
                    <xdr:rowOff>371475</xdr:rowOff>
                  </from>
                  <to>
                    <xdr:col>10</xdr:col>
                    <xdr:colOff>828675</xdr:colOff>
                    <xdr:row>42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210" name="Check Box 897">
              <controlPr defaultSize="0" autoFill="0" autoLine="0" autoPict="0">
                <anchor moveWithCells="1">
                  <from>
                    <xdr:col>10</xdr:col>
                    <xdr:colOff>2190750</xdr:colOff>
                    <xdr:row>42</xdr:row>
                    <xdr:rowOff>85725</xdr:rowOff>
                  </from>
                  <to>
                    <xdr:col>10</xdr:col>
                    <xdr:colOff>2943225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211" name="Check Box 898">
              <controlPr defaultSize="0" autoFill="0" autoLine="0" autoPict="0">
                <anchor moveWithCells="1">
                  <from>
                    <xdr:col>10</xdr:col>
                    <xdr:colOff>838200</xdr:colOff>
                    <xdr:row>42</xdr:row>
                    <xdr:rowOff>371475</xdr:rowOff>
                  </from>
                  <to>
                    <xdr:col>10</xdr:col>
                    <xdr:colOff>1771650</xdr:colOff>
                    <xdr:row>42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212" name="Check Box 899">
              <controlPr defaultSize="0" autoFill="0" autoLine="0" autoPict="0">
                <anchor moveWithCells="1">
                  <from>
                    <xdr:col>10</xdr:col>
                    <xdr:colOff>3714750</xdr:colOff>
                    <xdr:row>42</xdr:row>
                    <xdr:rowOff>85725</xdr:rowOff>
                  </from>
                  <to>
                    <xdr:col>10</xdr:col>
                    <xdr:colOff>4257675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213" name="Check Box 900">
              <controlPr defaultSize="0" autoFill="0" autoLine="0" autoPict="0">
                <anchor moveWithCells="1">
                  <from>
                    <xdr:col>10</xdr:col>
                    <xdr:colOff>2952750</xdr:colOff>
                    <xdr:row>42</xdr:row>
                    <xdr:rowOff>85725</xdr:rowOff>
                  </from>
                  <to>
                    <xdr:col>10</xdr:col>
                    <xdr:colOff>3705225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214" name="Check Box 901">
              <controlPr defaultSize="0" autoFill="0" autoLine="0" autoPict="0">
                <anchor moveWithCells="1">
                  <from>
                    <xdr:col>10</xdr:col>
                    <xdr:colOff>1781175</xdr:colOff>
                    <xdr:row>42</xdr:row>
                    <xdr:rowOff>371475</xdr:rowOff>
                  </from>
                  <to>
                    <xdr:col>10</xdr:col>
                    <xdr:colOff>3981450</xdr:colOff>
                    <xdr:row>42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215" name="Check Box 902">
              <controlPr defaultSize="0" autoFill="0" autoLine="0" autoPict="0">
                <anchor moveWithCells="1">
                  <from>
                    <xdr:col>10</xdr:col>
                    <xdr:colOff>76200</xdr:colOff>
                    <xdr:row>43</xdr:row>
                    <xdr:rowOff>85725</xdr:rowOff>
                  </from>
                  <to>
                    <xdr:col>10</xdr:col>
                    <xdr:colOff>1123950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216" name="Check Box 903">
              <controlPr defaultSize="0" autoFill="0" autoLine="0" autoPict="0">
                <anchor moveWithCells="1">
                  <from>
                    <xdr:col>10</xdr:col>
                    <xdr:colOff>1133475</xdr:colOff>
                    <xdr:row>43</xdr:row>
                    <xdr:rowOff>85725</xdr:rowOff>
                  </from>
                  <to>
                    <xdr:col>10</xdr:col>
                    <xdr:colOff>2181225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217" name="Check Box 904">
              <controlPr defaultSize="0" autoFill="0" autoLine="0" autoPict="0">
                <anchor moveWithCells="1">
                  <from>
                    <xdr:col>10</xdr:col>
                    <xdr:colOff>76200</xdr:colOff>
                    <xdr:row>43</xdr:row>
                    <xdr:rowOff>371475</xdr:rowOff>
                  </from>
                  <to>
                    <xdr:col>10</xdr:col>
                    <xdr:colOff>828675</xdr:colOff>
                    <xdr:row>43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218" name="Check Box 905">
              <controlPr defaultSize="0" autoFill="0" autoLine="0" autoPict="0">
                <anchor moveWithCells="1">
                  <from>
                    <xdr:col>10</xdr:col>
                    <xdr:colOff>2190750</xdr:colOff>
                    <xdr:row>43</xdr:row>
                    <xdr:rowOff>85725</xdr:rowOff>
                  </from>
                  <to>
                    <xdr:col>10</xdr:col>
                    <xdr:colOff>2943225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219" name="Check Box 906">
              <controlPr defaultSize="0" autoFill="0" autoLine="0" autoPict="0">
                <anchor moveWithCells="1">
                  <from>
                    <xdr:col>10</xdr:col>
                    <xdr:colOff>838200</xdr:colOff>
                    <xdr:row>43</xdr:row>
                    <xdr:rowOff>371475</xdr:rowOff>
                  </from>
                  <to>
                    <xdr:col>10</xdr:col>
                    <xdr:colOff>1771650</xdr:colOff>
                    <xdr:row>43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220" name="Check Box 907">
              <controlPr defaultSize="0" autoFill="0" autoLine="0" autoPict="0">
                <anchor moveWithCells="1">
                  <from>
                    <xdr:col>10</xdr:col>
                    <xdr:colOff>3714750</xdr:colOff>
                    <xdr:row>43</xdr:row>
                    <xdr:rowOff>85725</xdr:rowOff>
                  </from>
                  <to>
                    <xdr:col>10</xdr:col>
                    <xdr:colOff>4257675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221" name="Check Box 908">
              <controlPr defaultSize="0" autoFill="0" autoLine="0" autoPict="0">
                <anchor moveWithCells="1">
                  <from>
                    <xdr:col>10</xdr:col>
                    <xdr:colOff>2952750</xdr:colOff>
                    <xdr:row>43</xdr:row>
                    <xdr:rowOff>85725</xdr:rowOff>
                  </from>
                  <to>
                    <xdr:col>10</xdr:col>
                    <xdr:colOff>3705225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222" name="Check Box 909">
              <controlPr defaultSize="0" autoFill="0" autoLine="0" autoPict="0">
                <anchor moveWithCells="1">
                  <from>
                    <xdr:col>10</xdr:col>
                    <xdr:colOff>1781175</xdr:colOff>
                    <xdr:row>43</xdr:row>
                    <xdr:rowOff>371475</xdr:rowOff>
                  </from>
                  <to>
                    <xdr:col>10</xdr:col>
                    <xdr:colOff>3981450</xdr:colOff>
                    <xdr:row>43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223" name="Check Box 910">
              <controlPr defaultSize="0" autoFill="0" autoLine="0" autoPict="0">
                <anchor moveWithCells="1">
                  <from>
                    <xdr:col>10</xdr:col>
                    <xdr:colOff>76200</xdr:colOff>
                    <xdr:row>44</xdr:row>
                    <xdr:rowOff>85725</xdr:rowOff>
                  </from>
                  <to>
                    <xdr:col>10</xdr:col>
                    <xdr:colOff>1123950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224" name="Check Box 911">
              <controlPr defaultSize="0" autoFill="0" autoLine="0" autoPict="0">
                <anchor moveWithCells="1">
                  <from>
                    <xdr:col>10</xdr:col>
                    <xdr:colOff>1133475</xdr:colOff>
                    <xdr:row>44</xdr:row>
                    <xdr:rowOff>85725</xdr:rowOff>
                  </from>
                  <to>
                    <xdr:col>10</xdr:col>
                    <xdr:colOff>2181225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225" name="Check Box 912">
              <controlPr defaultSize="0" autoFill="0" autoLine="0" autoPict="0">
                <anchor moveWithCells="1">
                  <from>
                    <xdr:col>10</xdr:col>
                    <xdr:colOff>76200</xdr:colOff>
                    <xdr:row>44</xdr:row>
                    <xdr:rowOff>371475</xdr:rowOff>
                  </from>
                  <to>
                    <xdr:col>10</xdr:col>
                    <xdr:colOff>828675</xdr:colOff>
                    <xdr:row>44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226" name="Check Box 913">
              <controlPr defaultSize="0" autoFill="0" autoLine="0" autoPict="0">
                <anchor moveWithCells="1">
                  <from>
                    <xdr:col>10</xdr:col>
                    <xdr:colOff>2190750</xdr:colOff>
                    <xdr:row>44</xdr:row>
                    <xdr:rowOff>85725</xdr:rowOff>
                  </from>
                  <to>
                    <xdr:col>10</xdr:col>
                    <xdr:colOff>2943225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227" name="Check Box 914">
              <controlPr defaultSize="0" autoFill="0" autoLine="0" autoPict="0">
                <anchor moveWithCells="1">
                  <from>
                    <xdr:col>10</xdr:col>
                    <xdr:colOff>838200</xdr:colOff>
                    <xdr:row>44</xdr:row>
                    <xdr:rowOff>371475</xdr:rowOff>
                  </from>
                  <to>
                    <xdr:col>10</xdr:col>
                    <xdr:colOff>1771650</xdr:colOff>
                    <xdr:row>44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228" name="Check Box 915">
              <controlPr defaultSize="0" autoFill="0" autoLine="0" autoPict="0">
                <anchor moveWithCells="1">
                  <from>
                    <xdr:col>10</xdr:col>
                    <xdr:colOff>3714750</xdr:colOff>
                    <xdr:row>44</xdr:row>
                    <xdr:rowOff>85725</xdr:rowOff>
                  </from>
                  <to>
                    <xdr:col>10</xdr:col>
                    <xdr:colOff>4257675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229" name="Check Box 916">
              <controlPr defaultSize="0" autoFill="0" autoLine="0" autoPict="0">
                <anchor moveWithCells="1">
                  <from>
                    <xdr:col>10</xdr:col>
                    <xdr:colOff>2952750</xdr:colOff>
                    <xdr:row>44</xdr:row>
                    <xdr:rowOff>85725</xdr:rowOff>
                  </from>
                  <to>
                    <xdr:col>10</xdr:col>
                    <xdr:colOff>3705225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230" name="Check Box 917">
              <controlPr defaultSize="0" autoFill="0" autoLine="0" autoPict="0">
                <anchor moveWithCells="1">
                  <from>
                    <xdr:col>10</xdr:col>
                    <xdr:colOff>1781175</xdr:colOff>
                    <xdr:row>44</xdr:row>
                    <xdr:rowOff>371475</xdr:rowOff>
                  </from>
                  <to>
                    <xdr:col>10</xdr:col>
                    <xdr:colOff>3981450</xdr:colOff>
                    <xdr:row>44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231" name="Check Box 918">
              <controlPr defaultSize="0" autoFill="0" autoLine="0" autoPict="0">
                <anchor moveWithCells="1">
                  <from>
                    <xdr:col>10</xdr:col>
                    <xdr:colOff>76200</xdr:colOff>
                    <xdr:row>45</xdr:row>
                    <xdr:rowOff>85725</xdr:rowOff>
                  </from>
                  <to>
                    <xdr:col>10</xdr:col>
                    <xdr:colOff>1123950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232" name="Check Box 919">
              <controlPr defaultSize="0" autoFill="0" autoLine="0" autoPict="0">
                <anchor moveWithCells="1">
                  <from>
                    <xdr:col>10</xdr:col>
                    <xdr:colOff>1133475</xdr:colOff>
                    <xdr:row>45</xdr:row>
                    <xdr:rowOff>85725</xdr:rowOff>
                  </from>
                  <to>
                    <xdr:col>10</xdr:col>
                    <xdr:colOff>2181225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233" name="Check Box 920">
              <controlPr defaultSize="0" autoFill="0" autoLine="0" autoPict="0">
                <anchor moveWithCells="1">
                  <from>
                    <xdr:col>10</xdr:col>
                    <xdr:colOff>76200</xdr:colOff>
                    <xdr:row>45</xdr:row>
                    <xdr:rowOff>371475</xdr:rowOff>
                  </from>
                  <to>
                    <xdr:col>10</xdr:col>
                    <xdr:colOff>828675</xdr:colOff>
                    <xdr:row>45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234" name="Check Box 921">
              <controlPr defaultSize="0" autoFill="0" autoLine="0" autoPict="0">
                <anchor moveWithCells="1">
                  <from>
                    <xdr:col>10</xdr:col>
                    <xdr:colOff>2190750</xdr:colOff>
                    <xdr:row>45</xdr:row>
                    <xdr:rowOff>85725</xdr:rowOff>
                  </from>
                  <to>
                    <xdr:col>10</xdr:col>
                    <xdr:colOff>2943225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235" name="Check Box 922">
              <controlPr defaultSize="0" autoFill="0" autoLine="0" autoPict="0">
                <anchor moveWithCells="1">
                  <from>
                    <xdr:col>10</xdr:col>
                    <xdr:colOff>838200</xdr:colOff>
                    <xdr:row>45</xdr:row>
                    <xdr:rowOff>371475</xdr:rowOff>
                  </from>
                  <to>
                    <xdr:col>10</xdr:col>
                    <xdr:colOff>1771650</xdr:colOff>
                    <xdr:row>45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236" name="Check Box 923">
              <controlPr defaultSize="0" autoFill="0" autoLine="0" autoPict="0">
                <anchor moveWithCells="1">
                  <from>
                    <xdr:col>10</xdr:col>
                    <xdr:colOff>3714750</xdr:colOff>
                    <xdr:row>45</xdr:row>
                    <xdr:rowOff>85725</xdr:rowOff>
                  </from>
                  <to>
                    <xdr:col>10</xdr:col>
                    <xdr:colOff>4257675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237" name="Check Box 924">
              <controlPr defaultSize="0" autoFill="0" autoLine="0" autoPict="0">
                <anchor moveWithCells="1">
                  <from>
                    <xdr:col>10</xdr:col>
                    <xdr:colOff>2952750</xdr:colOff>
                    <xdr:row>45</xdr:row>
                    <xdr:rowOff>85725</xdr:rowOff>
                  </from>
                  <to>
                    <xdr:col>10</xdr:col>
                    <xdr:colOff>3705225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238" name="Check Box 925">
              <controlPr defaultSize="0" autoFill="0" autoLine="0" autoPict="0">
                <anchor moveWithCells="1">
                  <from>
                    <xdr:col>10</xdr:col>
                    <xdr:colOff>1781175</xdr:colOff>
                    <xdr:row>45</xdr:row>
                    <xdr:rowOff>371475</xdr:rowOff>
                  </from>
                  <to>
                    <xdr:col>10</xdr:col>
                    <xdr:colOff>3981450</xdr:colOff>
                    <xdr:row>45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239" name="Check Box 926">
              <controlPr defaultSize="0" autoFill="0" autoLine="0" autoPict="0">
                <anchor moveWithCells="1">
                  <from>
                    <xdr:col>10</xdr:col>
                    <xdr:colOff>76200</xdr:colOff>
                    <xdr:row>46</xdr:row>
                    <xdr:rowOff>85725</xdr:rowOff>
                  </from>
                  <to>
                    <xdr:col>10</xdr:col>
                    <xdr:colOff>1123950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240" name="Check Box 927">
              <controlPr defaultSize="0" autoFill="0" autoLine="0" autoPict="0">
                <anchor moveWithCells="1">
                  <from>
                    <xdr:col>10</xdr:col>
                    <xdr:colOff>1133475</xdr:colOff>
                    <xdr:row>46</xdr:row>
                    <xdr:rowOff>85725</xdr:rowOff>
                  </from>
                  <to>
                    <xdr:col>10</xdr:col>
                    <xdr:colOff>2181225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241" name="Check Box 928">
              <controlPr defaultSize="0" autoFill="0" autoLine="0" autoPict="0">
                <anchor moveWithCells="1">
                  <from>
                    <xdr:col>10</xdr:col>
                    <xdr:colOff>76200</xdr:colOff>
                    <xdr:row>46</xdr:row>
                    <xdr:rowOff>371475</xdr:rowOff>
                  </from>
                  <to>
                    <xdr:col>10</xdr:col>
                    <xdr:colOff>828675</xdr:colOff>
                    <xdr:row>46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242" name="Check Box 929">
              <controlPr defaultSize="0" autoFill="0" autoLine="0" autoPict="0">
                <anchor moveWithCells="1">
                  <from>
                    <xdr:col>10</xdr:col>
                    <xdr:colOff>2190750</xdr:colOff>
                    <xdr:row>46</xdr:row>
                    <xdr:rowOff>85725</xdr:rowOff>
                  </from>
                  <to>
                    <xdr:col>10</xdr:col>
                    <xdr:colOff>2943225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243" name="Check Box 930">
              <controlPr defaultSize="0" autoFill="0" autoLine="0" autoPict="0">
                <anchor moveWithCells="1">
                  <from>
                    <xdr:col>10</xdr:col>
                    <xdr:colOff>838200</xdr:colOff>
                    <xdr:row>46</xdr:row>
                    <xdr:rowOff>371475</xdr:rowOff>
                  </from>
                  <to>
                    <xdr:col>10</xdr:col>
                    <xdr:colOff>1771650</xdr:colOff>
                    <xdr:row>46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244" name="Check Box 931">
              <controlPr defaultSize="0" autoFill="0" autoLine="0" autoPict="0">
                <anchor moveWithCells="1">
                  <from>
                    <xdr:col>10</xdr:col>
                    <xdr:colOff>3714750</xdr:colOff>
                    <xdr:row>46</xdr:row>
                    <xdr:rowOff>85725</xdr:rowOff>
                  </from>
                  <to>
                    <xdr:col>10</xdr:col>
                    <xdr:colOff>4257675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245" name="Check Box 932">
              <controlPr defaultSize="0" autoFill="0" autoLine="0" autoPict="0">
                <anchor moveWithCells="1">
                  <from>
                    <xdr:col>10</xdr:col>
                    <xdr:colOff>2952750</xdr:colOff>
                    <xdr:row>46</xdr:row>
                    <xdr:rowOff>85725</xdr:rowOff>
                  </from>
                  <to>
                    <xdr:col>10</xdr:col>
                    <xdr:colOff>3705225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246" name="Check Box 933">
              <controlPr defaultSize="0" autoFill="0" autoLine="0" autoPict="0">
                <anchor moveWithCells="1">
                  <from>
                    <xdr:col>10</xdr:col>
                    <xdr:colOff>1781175</xdr:colOff>
                    <xdr:row>46</xdr:row>
                    <xdr:rowOff>371475</xdr:rowOff>
                  </from>
                  <to>
                    <xdr:col>10</xdr:col>
                    <xdr:colOff>3981450</xdr:colOff>
                    <xdr:row>46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G68"/>
  <sheetViews>
    <sheetView showGridLines="0" topLeftCell="B25" zoomScaleNormal="100" workbookViewId="0">
      <selection activeCell="B32" sqref="B32"/>
    </sheetView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21" width="15.7109375" customWidth="1"/>
    <col min="22" max="23" width="0.85546875" customWidth="1"/>
    <col min="36" max="36" width="12" bestFit="1" customWidth="1"/>
  </cols>
  <sheetData>
    <row r="1" spans="1:23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20" spans="1:163" x14ac:dyDescent="0.25">
      <c r="A20" s="1"/>
      <c r="B20" s="1"/>
      <c r="C20" s="6"/>
      <c r="D20" s="6"/>
      <c r="E20" s="6"/>
      <c r="F20" s="6"/>
      <c r="G20" s="6"/>
      <c r="H20" s="6"/>
      <c r="I20" s="6"/>
      <c r="J20" s="6"/>
      <c r="K20" s="6"/>
      <c r="L20" s="4"/>
      <c r="M20" s="4"/>
      <c r="N20" s="4"/>
      <c r="O20" s="4"/>
      <c r="P20" s="4"/>
      <c r="Q20" s="4"/>
      <c r="R20" s="4"/>
      <c r="S20" s="4"/>
      <c r="T20" s="4"/>
      <c r="U20" s="4"/>
      <c r="V20" s="1"/>
      <c r="W20" s="1"/>
    </row>
    <row r="21" spans="1:163" x14ac:dyDescent="0.25">
      <c r="A21" s="1"/>
      <c r="B21" s="1"/>
      <c r="C21" s="6"/>
      <c r="D21" s="6"/>
      <c r="E21" s="6"/>
      <c r="F21" s="6"/>
      <c r="G21" s="6"/>
      <c r="H21" s="6"/>
      <c r="I21" s="6"/>
      <c r="J21" s="6"/>
      <c r="K21" s="6"/>
      <c r="L21" s="4"/>
      <c r="M21" s="4"/>
      <c r="N21" s="4"/>
      <c r="O21" s="4"/>
      <c r="P21" s="4"/>
      <c r="Q21" s="4"/>
      <c r="R21" s="4"/>
      <c r="S21" s="4"/>
      <c r="T21" s="4"/>
      <c r="U21" s="4"/>
      <c r="V21" s="1"/>
      <c r="W21" s="1"/>
    </row>
    <row r="22" spans="1:163" x14ac:dyDescent="0.25">
      <c r="A22" s="1"/>
      <c r="B22" s="1"/>
      <c r="C22" s="6"/>
      <c r="D22" s="6"/>
      <c r="E22" s="6"/>
      <c r="F22" s="6"/>
      <c r="G22" s="6"/>
      <c r="H22" s="6"/>
      <c r="I22" s="6"/>
      <c r="J22" s="6"/>
      <c r="K22" s="6"/>
      <c r="L22" s="4"/>
      <c r="M22" s="4"/>
      <c r="N22" s="4"/>
      <c r="O22" s="4"/>
      <c r="P22" s="4"/>
      <c r="Q22" s="4"/>
      <c r="R22" s="4"/>
      <c r="S22" s="4"/>
      <c r="T22" s="4"/>
      <c r="U22" s="4"/>
      <c r="V22" s="1"/>
      <c r="W22" s="1"/>
    </row>
    <row r="23" spans="1:163" x14ac:dyDescent="0.25">
      <c r="A23" s="1"/>
      <c r="B23" s="1"/>
      <c r="C23" s="6"/>
      <c r="D23" s="6"/>
      <c r="E23" s="6"/>
      <c r="F23" s="6"/>
      <c r="G23" s="6"/>
      <c r="H23" s="6"/>
      <c r="I23" s="6"/>
      <c r="J23" s="6"/>
      <c r="K23" s="6"/>
      <c r="L23" s="4"/>
      <c r="M23" s="4"/>
      <c r="N23" s="4"/>
      <c r="O23" s="4"/>
      <c r="P23" s="4"/>
      <c r="Q23" s="4"/>
      <c r="R23" s="4"/>
      <c r="S23" s="4"/>
      <c r="T23" s="4"/>
      <c r="U23" s="4"/>
      <c r="V23" s="1"/>
      <c r="W23" s="1"/>
    </row>
    <row r="24" spans="1:163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1"/>
      <c r="W24" s="1"/>
    </row>
    <row r="25" spans="1:163" ht="15" customHeight="1" x14ac:dyDescent="0.25">
      <c r="A25" s="1"/>
      <c r="B25" s="1"/>
      <c r="C25" s="132" t="s">
        <v>7</v>
      </c>
      <c r="D25" s="142" t="s">
        <v>12</v>
      </c>
      <c r="E25" s="132" t="s">
        <v>30</v>
      </c>
      <c r="F25" s="142" t="s">
        <v>21</v>
      </c>
      <c r="G25" s="142" t="s">
        <v>66</v>
      </c>
      <c r="H25" s="154" t="s">
        <v>44</v>
      </c>
      <c r="I25" s="155"/>
      <c r="J25" s="145" t="s">
        <v>45</v>
      </c>
      <c r="K25" s="146"/>
      <c r="L25" s="132" t="s">
        <v>47</v>
      </c>
      <c r="M25" s="132" t="s">
        <v>31</v>
      </c>
      <c r="N25" s="139" t="s">
        <v>78</v>
      </c>
      <c r="O25" s="154" t="s">
        <v>48</v>
      </c>
      <c r="P25" s="155"/>
      <c r="Q25" s="154" t="s">
        <v>72</v>
      </c>
      <c r="R25" s="155"/>
      <c r="S25" s="132" t="s">
        <v>17</v>
      </c>
      <c r="T25" s="145" t="s">
        <v>46</v>
      </c>
      <c r="U25" s="146"/>
      <c r="V25" s="1"/>
      <c r="W25" s="1"/>
      <c r="Y25" s="22" t="s">
        <v>28</v>
      </c>
    </row>
    <row r="26" spans="1:163" x14ac:dyDescent="0.25">
      <c r="A26" s="1"/>
      <c r="B26" s="1"/>
      <c r="C26" s="133"/>
      <c r="D26" s="143"/>
      <c r="E26" s="133"/>
      <c r="F26" s="143"/>
      <c r="G26" s="143"/>
      <c r="H26" s="156"/>
      <c r="I26" s="157"/>
      <c r="J26" s="147"/>
      <c r="K26" s="148"/>
      <c r="L26" s="133"/>
      <c r="M26" s="133"/>
      <c r="N26" s="140"/>
      <c r="O26" s="156"/>
      <c r="P26" s="157"/>
      <c r="Q26" s="156"/>
      <c r="R26" s="157"/>
      <c r="S26" s="133"/>
      <c r="T26" s="147"/>
      <c r="U26" s="148"/>
      <c r="V26" s="1"/>
      <c r="W26" s="1"/>
      <c r="Y26" s="22" t="s">
        <v>29</v>
      </c>
    </row>
    <row r="27" spans="1:163" ht="15" customHeight="1" x14ac:dyDescent="0.25">
      <c r="A27" s="1"/>
      <c r="B27" s="1"/>
      <c r="C27" s="133"/>
      <c r="D27" s="143"/>
      <c r="E27" s="133"/>
      <c r="F27" s="143"/>
      <c r="G27" s="143"/>
      <c r="H27" s="159" t="s">
        <v>3</v>
      </c>
      <c r="I27" s="160" t="s">
        <v>19</v>
      </c>
      <c r="J27" s="135" t="s">
        <v>3</v>
      </c>
      <c r="K27" s="149" t="s">
        <v>4</v>
      </c>
      <c r="L27" s="133"/>
      <c r="M27" s="133"/>
      <c r="N27" s="140"/>
      <c r="O27" s="135" t="s">
        <v>5</v>
      </c>
      <c r="P27" s="158" t="s">
        <v>6</v>
      </c>
      <c r="Q27" s="133" t="s">
        <v>3</v>
      </c>
      <c r="R27" s="151" t="s">
        <v>4</v>
      </c>
      <c r="S27" s="133"/>
      <c r="T27" s="135" t="s">
        <v>3</v>
      </c>
      <c r="U27" s="153" t="s">
        <v>4</v>
      </c>
      <c r="V27" s="1"/>
      <c r="W27" s="1"/>
    </row>
    <row r="28" spans="1:163" x14ac:dyDescent="0.25">
      <c r="A28" s="1"/>
      <c r="B28" s="1"/>
      <c r="C28" s="134"/>
      <c r="D28" s="144"/>
      <c r="E28" s="134"/>
      <c r="F28" s="144"/>
      <c r="G28" s="144"/>
      <c r="H28" s="157"/>
      <c r="I28" s="150"/>
      <c r="J28" s="137"/>
      <c r="K28" s="150"/>
      <c r="L28" s="134"/>
      <c r="M28" s="134"/>
      <c r="N28" s="141"/>
      <c r="O28" s="137"/>
      <c r="P28" s="148"/>
      <c r="Q28" s="134"/>
      <c r="R28" s="152"/>
      <c r="S28" s="134"/>
      <c r="T28" s="137"/>
      <c r="U28" s="152"/>
      <c r="V28" s="1"/>
      <c r="W28" s="1"/>
    </row>
    <row r="29" spans="1:163" ht="50.1" customHeight="1" x14ac:dyDescent="0.3">
      <c r="A29" s="1"/>
      <c r="C29" s="84" t="s">
        <v>99</v>
      </c>
      <c r="D29" s="41">
        <f>IF(IF(ISNA(('Feuille Saisie'!$B$4-VLOOKUP($C29,Données!$C$19:'Données'!$I$48,4,0)))/365.24*100, ,('Feuille Saisie'!$B$4-VLOOKUP($C29,Données!$C$19:'Données'!$I$48,4,0))/365.24*100)&lt;100,IF(ISNA(('Feuille Saisie'!$B$4-VLOOKUP($C29,Données!$C$19:'Données'!$I$48,4,0)))/365.24*100, ,('Feuille Saisie'!$B$4-VLOOKUP($C29,Données!$C$19:'Données'!$I$48,4,0))/365.24*100),100)</f>
        <v>100</v>
      </c>
      <c r="E29" s="19"/>
      <c r="F29" s="42" t="str">
        <f>IF(ISNA(IF(AND($E29=0,VLOOKUP($C29,Données!$C$19:'Données'!$I$48,6,0)&lt;&gt;""),"0,00",IFERROR(IF(ISNA($E29/VLOOKUP($C29,Données!$C$19:'Données'!$I$48,6,0)), ,$E29/VLOOKUP($C29,Données!$C$19:'Données'!$I$48,6,0)),"/"))),"",IF(AND($E29=0,VLOOKUP($C29,Données!$C$19:'Données'!$I$48,6,0)&lt;&gt;""),"0,00",IFERROR(IF(ISNA($E29/VLOOKUP($C29,Données!$C$19:'Données'!$I$48,6,0)), ,$E29/VLOOKUP($C29,Données!$C$19:'Données'!$I$48,6,0)),"/")))</f>
        <v>/</v>
      </c>
      <c r="G29" s="42" t="str">
        <f>IF(ISNA(IF(AND($E29=0,VLOOKUP($C29,Données!$C$19:'Données'!$I$48,7,0)&lt;&gt;""),"0,00",IFERROR(IF(ISNA($E29/VLOOKUP($C29,Données!$C$19:'Données'!$I$48,7,0)*100),,$E29/VLOOKUP($C29,Données!$C$19:'Données'!$I$48,7,0)*100),"/"))),"",IF(AND($E29=0,VLOOKUP($C29,Données!$C$19:'Données'!$I$48,7,0)&lt;&gt;""),"0,00",IFERROR(IF(ISNA($E29/VLOOKUP($C29,Données!$C$19:'Données'!$I$48,7,0)*100),,$E29/VLOOKUP($C29,Données!$C$19:'Données'!$I$48,7,0)*100),"/")))</f>
        <v>/</v>
      </c>
      <c r="H29" s="33"/>
      <c r="I29" s="43" t="str">
        <f>IF($C29&lt;&gt;"",IF($E29=0,"/",IF(ISNA($H29-VLOOKUP($C29,Données!$C$19:'Données'!$I$48,4,0)), ,$H29-VLOOKUP($C29,Données!$C$19:'Données'!$I$48,4,0))),"")</f>
        <v>/</v>
      </c>
      <c r="J29" s="33">
        <v>43498</v>
      </c>
      <c r="K29" s="43">
        <f>IF($C29&lt;&gt;"",IF(ISNA($J29-VLOOKUP($C29,Données!$C$19:'Données'!$I$48,4,0)), ,$J29-VLOOKUP($C29,Données!$C$19:'Données'!$I$48,4,0)),"")</f>
        <v>397</v>
      </c>
      <c r="L29" s="32"/>
      <c r="M29" s="19"/>
      <c r="N29" s="32"/>
      <c r="O29" s="19"/>
      <c r="P29" s="19"/>
      <c r="Q29" s="33"/>
      <c r="R29" s="43">
        <f>IF($C29&lt;&gt;"",IF($D29&lt;&gt;100,"/",IF(ISNA($Q29-VLOOKUP($C29,Données!$C$19:'Données'!$I$48,4,0)), ,$Q29-VLOOKUP($C29,Données!$C$19:'Données'!$I$48,4,0))),"")</f>
        <v>-43101</v>
      </c>
      <c r="S29" s="33"/>
      <c r="T29" s="33">
        <v>43527</v>
      </c>
      <c r="U29" s="43">
        <f>IF($C29&lt;&gt;"",IF($J29="","/",IF(ISNA($T29-VLOOKUP($C29,Données!$C$19:'Données'!$I$48,4,0)), ,$T29-VLOOKUP($C29,Données!$C$19:'Données'!$I$48,4,0))),"")</f>
        <v>426</v>
      </c>
      <c r="V29" s="1"/>
      <c r="W29" s="1"/>
      <c r="X29" s="49"/>
      <c r="Y29" s="46" t="str">
        <f>IF($C29="","",IF($D29&lt;&gt;100,"",IF($FE29=1,"",IF(AND($L29=0,$T29&lt;&gt;""),$Z29,IF(AND($Q29&lt;&gt;"",$T29&lt;&gt;""),$Z29,"")))))</f>
        <v>ü</v>
      </c>
      <c r="Z29" s="47" t="s">
        <v>39</v>
      </c>
      <c r="AA29" s="46" t="str">
        <f>IF($C29="","",IF($FE29=1,"",IF($Y29=$Z29,"",IF($C29&lt;&gt;"",IF(OR($L29=0,OR($Q29="",$T29="")),$AB29,""),""))))</f>
        <v/>
      </c>
      <c r="AB29" s="48" t="s">
        <v>40</v>
      </c>
      <c r="AC29" s="49">
        <f>IF(OR($E29="",$E29=0),1,2)</f>
        <v>1</v>
      </c>
      <c r="AD29" s="49">
        <f>IF(OR($L29="",$L29=0),1,2)</f>
        <v>1</v>
      </c>
      <c r="AE29" s="49">
        <f>IF(OR($J29="",$J29=0),1,2)</f>
        <v>2</v>
      </c>
      <c r="AF29" s="49">
        <f>IF(OR($D29&lt;&gt;100,OR($O29&lt;&gt;0,$P29&lt;&gt;0)),1,2)</f>
        <v>2</v>
      </c>
      <c r="AG29" s="50">
        <f>$T29-$J29</f>
        <v>29</v>
      </c>
      <c r="AH29" s="54">
        <f>IF($C29="","",IFERROR(IF(ISNA(VLOOKUP($C29,Données!$C$19:'Données'!$I$48,6,0)), ,VLOOKUP($C29,Données!$C$19:'Données'!$I$48,6,0)),"/"))</f>
        <v>0</v>
      </c>
      <c r="AI29" s="54">
        <f>IF($C29="","",IFERROR(IF(ISNA(VLOOKUP($C29,Données!$C$19:'Données'!$I$48,7,0)), ,VLOOKUP($C29,Données!$C$19:'Données'!$I$48,7,0)),"/"))</f>
        <v>0</v>
      </c>
      <c r="AJ29" s="54" t="str">
        <f>IF($C29="","",IF($I29&lt;=0,0,IFERROR(IF(ISNA($E29*$I29), ,$E29*$I29),"/")))</f>
        <v>/</v>
      </c>
      <c r="AK29" s="54">
        <f>IF($J29&lt;&gt;"",1,0)</f>
        <v>1</v>
      </c>
      <c r="AL29" s="54">
        <f>IF($T29&lt;&gt;"",1,0)</f>
        <v>1</v>
      </c>
      <c r="AM29" s="49">
        <f>IF($U29&gt;=0,$U29,0)</f>
        <v>426</v>
      </c>
      <c r="AN29" s="49">
        <f>IF($H29&lt;&gt;"",$E29,0)</f>
        <v>0</v>
      </c>
      <c r="AO29" s="49">
        <f>IF($K29&lt;=0,0,$K29)</f>
        <v>397</v>
      </c>
      <c r="AP29" s="54">
        <f>IF($C29="","",IF($M29&lt;=0,0,IFERROR(IF(ISNA($L29*$M29), ,$L29*$M29),"/")))</f>
        <v>0</v>
      </c>
      <c r="AQ29" s="49">
        <f>IF($M29&lt;&gt;"",$L29,0)</f>
        <v>0</v>
      </c>
      <c r="AR29" s="69">
        <f>IF($Y29&lt;&gt;"",1,0)+$FE29</f>
        <v>1</v>
      </c>
      <c r="AS29" s="49">
        <f>IF(AND($D29=100,OR($Q29&lt;&gt;"",OR($L29=0,$L29=""))),1,0)</f>
        <v>1</v>
      </c>
      <c r="AT29" s="49" t="str">
        <f>IFERROR(VLOOKUP($C29,Données!$C$19:'Données'!$I$48,3,0),"")</f>
        <v>HN</v>
      </c>
      <c r="AU29" s="49">
        <f>IF($BI29=1,$E29,0)</f>
        <v>0</v>
      </c>
      <c r="AV29" s="49">
        <f>IF($H29="",0,IF($BI29=1,$I29,"0"))</f>
        <v>0</v>
      </c>
      <c r="AW29" s="49">
        <f>IF(AND($AK29=1,$BI29=1),1,0)</f>
        <v>1</v>
      </c>
      <c r="AX29" s="49">
        <f>IF($AW29=1,$K29,0)</f>
        <v>397</v>
      </c>
      <c r="AY29" s="49">
        <f>IF(AND($AL29=1,$BI29=1),1,0)</f>
        <v>1</v>
      </c>
      <c r="AZ29" s="49">
        <f>IF($AY29=1,$U29,0)</f>
        <v>426</v>
      </c>
      <c r="BA29" s="49">
        <f>$AU29*$AV29</f>
        <v>0</v>
      </c>
      <c r="BB29" s="49">
        <f>IF($C29="",0,IF(OR($E29=0,$E29=""),1,0))</f>
        <v>1</v>
      </c>
      <c r="BC29" s="49">
        <f>IF($C29&lt;&gt;"",1,0)</f>
        <v>1</v>
      </c>
      <c r="BD29" s="49">
        <f>IF($BI29=1,IF($C29="",0,IF(OR($E29=0,$E29=""),1,0)),0)</f>
        <v>1</v>
      </c>
      <c r="BE29" s="49">
        <f>IF($BI29=1,IF($C29&lt;&gt;"",1,0),0)</f>
        <v>1</v>
      </c>
      <c r="BF29" s="49" t="str">
        <f>TEXT('Feuille Saisie'!$B$4,"aaaa")</f>
        <v>2019</v>
      </c>
      <c r="BG29" s="49" t="str">
        <f>IF($Q29="",TEXT('Feuille Saisie'!$B$4,"aaaa"),TEXT($Q29,"aaaa"))</f>
        <v>2019</v>
      </c>
      <c r="BH29" s="49">
        <f>IF(AND($AS29=1,$BG29=$BF29),1,0)</f>
        <v>1</v>
      </c>
      <c r="BI29" s="49">
        <f>IF($AA29="♺",0,1)</f>
        <v>1</v>
      </c>
      <c r="BJ29" s="49" t="str">
        <f>IF($BI29=1,$DA29,0)</f>
        <v>/</v>
      </c>
      <c r="BK29" s="49">
        <f>IF($BI29=1,$DB29,0)</f>
        <v>0</v>
      </c>
      <c r="BL29" s="46" t="str">
        <f>IF($C29="","",IF($FE29=1,"µ",""))</f>
        <v/>
      </c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 t="str">
        <f>IF($BI29=1,$DA29,0)</f>
        <v>/</v>
      </c>
      <c r="CZ29" s="49">
        <f>IF($BI29=1,$DB29,0)</f>
        <v>0</v>
      </c>
      <c r="DA29" s="49" t="str">
        <f>IF($I29&lt;=0,0,$I29)</f>
        <v>/</v>
      </c>
      <c r="DB29" s="54">
        <f>IF($H29&lt;&gt;"",1,0)</f>
        <v>0</v>
      </c>
      <c r="DC29" s="49" t="str">
        <f>TEXT('Feuille Saisie'!$B$4,"aaaa")</f>
        <v>2019</v>
      </c>
      <c r="DD29" s="49" t="str">
        <f>IF($J29="",TEXT('Feuille Saisie'!$B$4,"aaaa"),TEXT($J29,"aaaa"))</f>
        <v>2019</v>
      </c>
      <c r="DE29" s="49">
        <f>IF(AND($DF29=1,$DC29=$DD29),1,0)</f>
        <v>1</v>
      </c>
      <c r="DF29" s="49">
        <f>IF($J29&lt;&gt;"",1,0)</f>
        <v>1</v>
      </c>
      <c r="DG29" s="97" t="str">
        <f>TEXT(IFERROR(VLOOKUP($C29,Données!$C$19:'Données'!$I$48,4,0),""),"aaaa")</f>
        <v>2018</v>
      </c>
      <c r="DH29" s="49">
        <f>IF(AND($DI29=1,$DC29=$DG29),1,0)</f>
        <v>0</v>
      </c>
      <c r="DI29" s="49">
        <f>IF(OR($E29="",$E29=0),1,0)</f>
        <v>1</v>
      </c>
      <c r="DJ29" s="49">
        <f>IF($DC29=$DG29,1,0)</f>
        <v>0</v>
      </c>
      <c r="DK29" s="49">
        <f>IF($DE29=1,$K29,0)</f>
        <v>397</v>
      </c>
      <c r="DL29" s="49">
        <f>IF($T29&lt;&gt;"",1,0)</f>
        <v>1</v>
      </c>
      <c r="DM29" s="49" t="str">
        <f>IF($T29="",TEXT('Feuille Saisie'!$B$4,"aaaa"),TEXT($T29,"aaaa"))</f>
        <v>2019</v>
      </c>
      <c r="DN29" s="49">
        <f>IF(AND($DL29=1,$DC29=$DM29),1,0)</f>
        <v>1</v>
      </c>
      <c r="DO29" s="49">
        <f>IF($DN29=1,$U29,0)</f>
        <v>426</v>
      </c>
      <c r="EA29" s="49" t="str">
        <f>IFERROR(VLOOKUP($C29,Données!$C$19:'Données'!$I$48,3,0),"")</f>
        <v>HN</v>
      </c>
      <c r="EB29" s="49" t="str">
        <f>IF($EA29="HN",$EF29," ")</f>
        <v>A</v>
      </c>
      <c r="EC29" s="49" t="str">
        <f>IF($EA29="HR",$EF29," ")</f>
        <v xml:space="preserve"> </v>
      </c>
      <c r="ED29" s="49" t="str">
        <f>IF($EA29="OF",$EF29," ")</f>
        <v xml:space="preserve"> </v>
      </c>
      <c r="EE29" s="49" t="str">
        <f>IF($EA29="IE",$EF29," ")</f>
        <v xml:space="preserve"> </v>
      </c>
      <c r="EF29" s="49" t="str">
        <f>IF($BI29=1,$C29," ")</f>
        <v>A</v>
      </c>
      <c r="FA29" s="54">
        <f>IF($C29="","",IFERROR(IF(ISNA(VLOOKUP($C29,'Bilan final GPA HN'!$C$29:'Bilan final GPA HN'!$X$43,22,0)), ,VLOOKUP($C29,'Bilan final GPA HN'!$C$29:'Bilan final GPA HN'!$X$43,22,0)),"/"))</f>
        <v>0</v>
      </c>
      <c r="FB29" s="54">
        <f>IF($C29="","",IFERROR(IF(ISNA(VLOOKUP($C29,'Bilan final GPA HR'!$C$29:'Bilan final GPA HR'!$X$43,22,0)), ,VLOOKUP($C29,'Bilan final GPA HR'!$C$29:'Bilan final GPA HR'!$X$43,22,0)),"/"))</f>
        <v>0</v>
      </c>
      <c r="FC29" s="54">
        <f>IF($C29="","",IFERROR(IF(ISNA(VLOOKUP($C29,'Bilan final GPA OF'!$C$29:'Bilan final GPA OF'!$X$43,22,0)), ,VLOOKUP($C29,'Bilan final GPA OF'!$C$29:'Bilan final GPA OF'!$X$43,22,0)),"/"))</f>
        <v>0</v>
      </c>
      <c r="FD29" s="54">
        <f>IF($C29="","",IFERROR(IF(ISNA(VLOOKUP($C29,'Bilan final GPA IE'!$C$29:'Bilan final GPA IE'!$X$43,22,0)), ,VLOOKUP($C29,'Bilan final GPA IE'!$C$29:'Bilan final GPA IE'!$X$43,22,0)),"/"))</f>
        <v>0</v>
      </c>
      <c r="FE29" s="115">
        <f>SUM(FA29:FD29)</f>
        <v>0</v>
      </c>
      <c r="FF29" s="116" t="s">
        <v>97</v>
      </c>
      <c r="FG29" s="117" t="str">
        <f>IF($FE29=1,"µ","")</f>
        <v/>
      </c>
    </row>
    <row r="30" spans="1:163" ht="50.1" customHeight="1" x14ac:dyDescent="0.3">
      <c r="B30" s="1"/>
      <c r="C30" s="84"/>
      <c r="D30" s="41">
        <f>IF(IF(ISNA(('Feuille Saisie'!$B$4-VLOOKUP($C30,Données!$C$19:'Données'!$I$48,4,0)))/365.24*100, ,('Feuille Saisie'!$B$4-VLOOKUP($C30,Données!$C$19:'Données'!$I$48,4,0))/365.24*100)&lt;100,IF(ISNA(('Feuille Saisie'!$B$4-VLOOKUP($C30,Données!$C$19:'Données'!$I$48,4,0)))/365.24*100, ,('Feuille Saisie'!$B$4-VLOOKUP($C30,Données!$C$19:'Données'!$I$48,4,0))/365.24*100),100)</f>
        <v>0</v>
      </c>
      <c r="E30" s="19"/>
      <c r="F30" s="42" t="str">
        <f>IF(ISNA(IF(AND($E30=0,VLOOKUP($C30,Données!$C$19:'Données'!$I$48,6,0)&lt;&gt;""),"0,00",IFERROR(IF(ISNA($E30/VLOOKUP($C30,Données!$C$19:'Données'!$I$48,6,0)), ,$E30/VLOOKUP($C30,Données!$C$19:'Données'!$I$48,6,0)),"/"))),"",IF(AND($E30=0,VLOOKUP($C30,Données!$C$19:'Données'!$I$48,6,0)&lt;&gt;""),"0,00",IFERROR(IF(ISNA($E30/VLOOKUP($C30,Données!$C$19:'Données'!$I$48,6,0)), ,$E30/VLOOKUP($C30,Données!$C$19:'Données'!$I$48,6,0)),"/")))</f>
        <v/>
      </c>
      <c r="G30" s="42" t="str">
        <f>IF(ISNA(IF(AND($E30=0,VLOOKUP($C30,Données!$C$19:'Données'!$I$48,7,0)&lt;&gt;""),"0,00",IFERROR(IF(ISNA($E30/VLOOKUP($C30,Données!$C$19:'Données'!$I$48,7,0)*100),,$E30/VLOOKUP($C30,Données!$C$19:'Données'!$I$48,7,0)*100),"/"))),"",IF(AND($E30=0,VLOOKUP($C30,Données!$C$19:'Données'!$I$48,7,0)&lt;&gt;""),"0,00",IFERROR(IF(ISNA($E30/VLOOKUP($C30,Données!$C$19:'Données'!$I$48,7,0)*100),,$E30/VLOOKUP($C30,Données!$C$19:'Données'!$I$48,7,0)*100),"/")))</f>
        <v/>
      </c>
      <c r="H30" s="33"/>
      <c r="I30" s="43" t="str">
        <f>IF($C30&lt;&gt;"",IF($E30=0,"/",IF(ISNA($H30-VLOOKUP($C30,Données!$C$19:'Données'!$I$48,4,0)), ,$H30-VLOOKUP($C30,Données!$C$19:'Données'!$I$48,4,0))),"")</f>
        <v/>
      </c>
      <c r="J30" s="33"/>
      <c r="K30" s="43" t="str">
        <f>IF($C30&lt;&gt;"",IF(ISNA($J30-VLOOKUP($C30,Données!$C$19:'Données'!$I$48,4,0)), ,$J30-VLOOKUP($C30,Données!$C$19:'Données'!$I$48,4,0)),"")</f>
        <v/>
      </c>
      <c r="L30" s="32"/>
      <c r="M30" s="19"/>
      <c r="N30" s="32"/>
      <c r="O30" s="19"/>
      <c r="P30" s="19"/>
      <c r="Q30" s="33"/>
      <c r="R30" s="43" t="str">
        <f>IF($C30&lt;&gt;"",IF($D30&lt;&gt;100,"/",IF(ISNA($Q30-VLOOKUP($C30,Données!$C$19:'Données'!$I$48,4,0)), ,$Q30-VLOOKUP($C30,Données!$C$19:'Données'!$I$48,4,0))),"")</f>
        <v/>
      </c>
      <c r="S30" s="38"/>
      <c r="T30" s="33"/>
      <c r="U30" s="43" t="str">
        <f>IF($C30&lt;&gt;"",IF($J30="","/",IF(ISNA($T30-VLOOKUP($C30,Données!$C$19:'Données'!$I$48,4,0)), ,$T30-VLOOKUP($C30,Données!$C$19:'Données'!$I$48,4,0))),"")</f>
        <v/>
      </c>
      <c r="V30" s="1"/>
      <c r="W30" s="1"/>
      <c r="X30" s="49"/>
      <c r="Y30" s="46" t="str">
        <f t="shared" ref="Y30:Y58" si="0">IF($C30="","",IF($D30&lt;&gt;100,"",IF($FE30=1,"",IF(AND($L30=0,$T30&lt;&gt;""),$Z30,IF(AND($Q30&lt;&gt;"",$T30&lt;&gt;""),$Z30,"")))))</f>
        <v/>
      </c>
      <c r="Z30" s="47" t="s">
        <v>39</v>
      </c>
      <c r="AA30" s="46" t="str">
        <f t="shared" ref="AA30:AA58" si="1">IF($C30="","",IF($FE30=1,"",IF($Y30=$Z30,"",IF($C30&lt;&gt;"",IF(OR($L30=0,OR($Q30="",$T30="")),$AB30,""),""))))</f>
        <v/>
      </c>
      <c r="AB30" s="48" t="s">
        <v>40</v>
      </c>
      <c r="AC30" s="49">
        <f t="shared" ref="AC30:AC58" si="2">IF(OR($E30="",$E30=0),1,2)</f>
        <v>1</v>
      </c>
      <c r="AD30" s="49">
        <f t="shared" ref="AD30:AD58" si="3">IF(OR($L30="",$L30=0),1,2)</f>
        <v>1</v>
      </c>
      <c r="AE30" s="49">
        <f t="shared" ref="AE30:AE58" si="4">IF(OR($J30="",$J30=0),1,2)</f>
        <v>1</v>
      </c>
      <c r="AF30" s="49">
        <f t="shared" ref="AF30:AF58" si="5">IF(OR($D30&lt;&gt;100,OR($O30&lt;&gt;0,$P30&lt;&gt;0)),1,2)</f>
        <v>1</v>
      </c>
      <c r="AG30" s="50">
        <f t="shared" ref="AG30:AG58" si="6">$T30-$J30</f>
        <v>0</v>
      </c>
      <c r="AH30" s="54" t="str">
        <f>IF($C30="","",IFERROR(IF(ISNA(VLOOKUP($C30,Données!$C$19:'Données'!$I$48,6,0)), ,VLOOKUP($C30,Données!$C$19:'Données'!$I$48,6,0)),"/"))</f>
        <v/>
      </c>
      <c r="AI30" s="54" t="str">
        <f>IF($C30="","",IFERROR(IF(ISNA(VLOOKUP($C30,Données!$C$19:'Données'!$I$48,7,0)), ,VLOOKUP($C30,Données!$C$19:'Données'!$I$48,7,0)),"/"))</f>
        <v/>
      </c>
      <c r="AJ30" s="54" t="str">
        <f t="shared" ref="AJ30:AJ58" si="7">IF($C30="","",IF($I30&lt;=0,0,IFERROR(IF(ISNA($E30*$I30), ,$E30*$I30),"/")))</f>
        <v/>
      </c>
      <c r="AK30" s="54">
        <f t="shared" ref="AK30:AK58" si="8">IF($J30&lt;&gt;"",1,0)</f>
        <v>0</v>
      </c>
      <c r="AL30" s="54">
        <f t="shared" ref="AL30:AL58" si="9">IF($T30&lt;&gt;"",1,0)</f>
        <v>0</v>
      </c>
      <c r="AM30" s="49" t="str">
        <f t="shared" ref="AM30:AM58" si="10">IF($U30&gt;=0,$U30,0)</f>
        <v/>
      </c>
      <c r="AN30" s="49">
        <f t="shared" ref="AN30:AN58" si="11">IF($H30&lt;&gt;"",$E30,0)</f>
        <v>0</v>
      </c>
      <c r="AO30" s="49" t="str">
        <f t="shared" ref="AO30:AO58" si="12">IF($K30&lt;=0,0,$K30)</f>
        <v/>
      </c>
      <c r="AP30" s="54" t="str">
        <f t="shared" ref="AP30:AP58" si="13">IF($C30="","",IF($M30&lt;=0,0,IFERROR(IF(ISNA($L30*$M30), ,$L30*$M30),"/")))</f>
        <v/>
      </c>
      <c r="AQ30" s="49">
        <f t="shared" ref="AQ30:AQ58" si="14">IF($M30&lt;&gt;"",$L30,0)</f>
        <v>0</v>
      </c>
      <c r="AR30" s="69">
        <f t="shared" ref="AR30:AR58" si="15">IF($Y30&lt;&gt;"",1,0)+$FE30</f>
        <v>0</v>
      </c>
      <c r="AS30" s="49">
        <f t="shared" ref="AS30:AS58" si="16">IF(AND($D30=100,OR($Q30&lt;&gt;"",OR($L30=0,$L30=""))),1,0)</f>
        <v>0</v>
      </c>
      <c r="AT30" s="49" t="str">
        <f>IFERROR(VLOOKUP($C30,Données!$C$19:'Données'!$I$48,3,0),"")</f>
        <v/>
      </c>
      <c r="AU30" s="49">
        <f t="shared" ref="AU30:AU58" si="17">IF($BI30=1,$E30,0)</f>
        <v>0</v>
      </c>
      <c r="AV30" s="49">
        <f t="shared" ref="AV30:AV58" si="18">IF($H30="",0,IF($BI30=1,$I30,"0"))</f>
        <v>0</v>
      </c>
      <c r="AW30" s="49">
        <f t="shared" ref="AW30:AW58" si="19">IF(AND($AK30=1,$BI30=1),1,0)</f>
        <v>0</v>
      </c>
      <c r="AX30" s="49">
        <f t="shared" ref="AX30:AX58" si="20">IF($AW30=1,$K30,0)</f>
        <v>0</v>
      </c>
      <c r="AY30" s="49">
        <f t="shared" ref="AY30:AY58" si="21">IF(AND($AL30=1,$BI30=1),1,0)</f>
        <v>0</v>
      </c>
      <c r="AZ30" s="49">
        <f t="shared" ref="AZ30:AZ58" si="22">IF($AY30=1,$U30,0)</f>
        <v>0</v>
      </c>
      <c r="BA30" s="49">
        <f t="shared" ref="BA30:BA58" si="23">$AU30*$AV30</f>
        <v>0</v>
      </c>
      <c r="BB30" s="49">
        <f t="shared" ref="BB30:BB58" si="24">IF($C30="",0,IF(OR($E30=0,$E30=""),1,0))</f>
        <v>0</v>
      </c>
      <c r="BC30" s="49">
        <f t="shared" ref="BC30:BC58" si="25">IF($C30&lt;&gt;"",1,0)</f>
        <v>0</v>
      </c>
      <c r="BD30" s="49">
        <f t="shared" ref="BD30:BD58" si="26">IF($BI30=1,IF($C30="",0,IF(OR($E30=0,$E30=""),1,0)),0)</f>
        <v>0</v>
      </c>
      <c r="BE30" s="49">
        <f t="shared" ref="BE30:BE58" si="27">IF($BI30=1,IF($C30&lt;&gt;"",1,0),0)</f>
        <v>0</v>
      </c>
      <c r="BF30" s="49" t="str">
        <f>TEXT('Feuille Saisie'!$B$4,"aaaa")</f>
        <v>2019</v>
      </c>
      <c r="BG30" s="49" t="str">
        <f>IF($Q30="",TEXT('Feuille Saisie'!$B$4,"aaaa"),TEXT($Q30,"aaaa"))</f>
        <v>2019</v>
      </c>
      <c r="BH30" s="49">
        <f t="shared" ref="BH30:BH58" si="28">IF(AND($AS30=1,$BG30=$BF30),1,0)</f>
        <v>0</v>
      </c>
      <c r="BI30" s="49">
        <f t="shared" ref="BI30:BI58" si="29">IF($AA30="♺",0,1)</f>
        <v>1</v>
      </c>
      <c r="BJ30" s="49" t="str">
        <f t="shared" ref="BJ30:BJ58" si="30">IF($BI30=1,$DA30,0)</f>
        <v/>
      </c>
      <c r="BK30" s="49">
        <f t="shared" ref="BK30:BK58" si="31">IF($BI30=1,$DB30,0)</f>
        <v>0</v>
      </c>
      <c r="BL30" s="46" t="str">
        <f t="shared" ref="BL30:BL58" si="32">IF($C30="","",IF($FE30=1,"µ",""))</f>
        <v/>
      </c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 t="str">
        <f t="shared" ref="CY30:CY58" si="33">IF($BI30=1,$DA30,0)</f>
        <v/>
      </c>
      <c r="CZ30" s="49">
        <f t="shared" ref="CZ30:CZ58" si="34">IF($BI30=1,$DB30,0)</f>
        <v>0</v>
      </c>
      <c r="DA30" s="49" t="str">
        <f t="shared" ref="DA30:DA58" si="35">IF($I30&lt;=0,0,$I30)</f>
        <v/>
      </c>
      <c r="DB30" s="54">
        <f t="shared" ref="DB30:DB58" si="36">IF($H30&lt;&gt;"",1,0)</f>
        <v>0</v>
      </c>
      <c r="DC30" s="49" t="str">
        <f>TEXT('Feuille Saisie'!$B$4,"aaaa")</f>
        <v>2019</v>
      </c>
      <c r="DD30" s="49" t="str">
        <f>IF($J30="",TEXT('Feuille Saisie'!$B$4,"aaaa"),TEXT($J30,"aaaa"))</f>
        <v>2019</v>
      </c>
      <c r="DE30" s="49">
        <f t="shared" ref="DE30:DE58" si="37">IF(AND($DF30=1,$DC30=$DD30),1,0)</f>
        <v>0</v>
      </c>
      <c r="DF30" s="49">
        <f t="shared" ref="DF30:DF58" si="38">IF($J30&lt;&gt;"",1,0)</f>
        <v>0</v>
      </c>
      <c r="DG30" s="97" t="str">
        <f>TEXT(IFERROR(VLOOKUP($C30,Données!$C$19:'Données'!$I$48,4,0),""),"aaaa")</f>
        <v/>
      </c>
      <c r="DH30" s="49">
        <f t="shared" ref="DH30:DH58" si="39">IF(AND($DI30=1,$DC30=$DG30),1,0)</f>
        <v>0</v>
      </c>
      <c r="DI30" s="49">
        <f t="shared" ref="DI30:DI58" si="40">IF(OR($E30="",$E30=0),1,0)</f>
        <v>1</v>
      </c>
      <c r="DJ30" s="49">
        <f t="shared" ref="DJ30:DJ58" si="41">IF($DC30=$DG30,1,0)</f>
        <v>0</v>
      </c>
      <c r="DK30" s="49">
        <f t="shared" ref="DK30:DK58" si="42">IF($DE30=1,$K30,0)</f>
        <v>0</v>
      </c>
      <c r="DL30" s="49">
        <f t="shared" ref="DL30:DL58" si="43">IF($T30&lt;&gt;"",1,0)</f>
        <v>0</v>
      </c>
      <c r="DM30" s="49" t="str">
        <f>IF($T30="",TEXT('Feuille Saisie'!$B$4,"aaaa"),TEXT($T30,"aaaa"))</f>
        <v>2019</v>
      </c>
      <c r="DN30" s="49">
        <f t="shared" ref="DN30:DN58" si="44">IF(AND($DL30=1,$DC30=$DM30),1,0)</f>
        <v>0</v>
      </c>
      <c r="DO30" s="49">
        <f t="shared" ref="DO30:DO58" si="45">IF($DN30=1,$U30,0)</f>
        <v>0</v>
      </c>
      <c r="EA30" s="49" t="str">
        <f>IFERROR(VLOOKUP($C30,Données!$C$19:'Données'!$I$48,3,0),"")</f>
        <v/>
      </c>
      <c r="EB30" s="49" t="str">
        <f t="shared" ref="EB30:EB58" si="46">IF($EA30="HN",$EF30," ")</f>
        <v xml:space="preserve"> </v>
      </c>
      <c r="EC30" s="49" t="str">
        <f t="shared" ref="EC30:EC58" si="47">IF($EA30="HR",$EF30," ")</f>
        <v xml:space="preserve"> </v>
      </c>
      <c r="ED30" s="49" t="str">
        <f t="shared" ref="ED30:ED58" si="48">IF($EA30="OF",$EF30," ")</f>
        <v xml:space="preserve"> </v>
      </c>
      <c r="EE30" s="49" t="str">
        <f t="shared" ref="EE30:EE58" si="49">IF($EA30="IE",$EF30," ")</f>
        <v xml:space="preserve"> </v>
      </c>
      <c r="EF30" s="49">
        <f t="shared" ref="EF30:EF58" si="50">IF($BI30=1,$C30," ")</f>
        <v>0</v>
      </c>
      <c r="FA30" s="54" t="str">
        <f>IF($C30="","",IFERROR(IF(ISNA(VLOOKUP($C30,'Bilan final GPA HN'!$C$29:'Bilan final GPA HN'!$X$43,22,0)), ,VLOOKUP($C30,'Bilan final GPA HN'!$C$29:'Bilan final GPA HN'!$X$43,22,0)),"/"))</f>
        <v/>
      </c>
      <c r="FB30" s="54" t="str">
        <f>IF($C30="","",IFERROR(IF(ISNA(VLOOKUP($C30,'Bilan final GPA HR'!$C$29:'Bilan final GPA HR'!$X$43,22,0)), ,VLOOKUP($C30,'Bilan final GPA HR'!$C$29:'Bilan final GPA HR'!$X$43,22,0)),"/"))</f>
        <v/>
      </c>
      <c r="FC30" s="54" t="str">
        <f>IF($C30="","",IFERROR(IF(ISNA(VLOOKUP($C30,'Bilan final GPA OF'!$C$29:'Bilan final GPA OF'!$X$43,22,0)), ,VLOOKUP($C30,'Bilan final GPA OF'!$C$29:'Bilan final GPA OF'!$X$43,22,0)),"/"))</f>
        <v/>
      </c>
      <c r="FD30" s="54" t="str">
        <f>IF($C30="","",IFERROR(IF(ISNA(VLOOKUP($C30,'Bilan final GPA IE'!$C$29:'Bilan final GPA IE'!$X$43,22,0)), ,VLOOKUP($C30,'Bilan final GPA IE'!$C$29:'Bilan final GPA IE'!$X$43,22,0)),"/"))</f>
        <v/>
      </c>
      <c r="FE30" s="115">
        <f t="shared" ref="FE30:FE43" si="51">SUM(FA30:FD30)</f>
        <v>0</v>
      </c>
      <c r="FF30" s="116" t="s">
        <v>97</v>
      </c>
      <c r="FG30" s="117" t="str">
        <f t="shared" ref="FG30:FG58" si="52">IF($FE30=1,"µ","")</f>
        <v/>
      </c>
    </row>
    <row r="31" spans="1:163" ht="50.1" customHeight="1" x14ac:dyDescent="0.3">
      <c r="B31" s="1"/>
      <c r="C31" s="84"/>
      <c r="D31" s="41">
        <f>IF(IF(ISNA(('Feuille Saisie'!$B$4-VLOOKUP($C31,Données!$C$19:'Données'!$I$48,4,0)))/365.24*100, ,('Feuille Saisie'!$B$4-VLOOKUP($C31,Données!$C$19:'Données'!$I$48,4,0))/365.24*100)&lt;100,IF(ISNA(('Feuille Saisie'!$B$4-VLOOKUP($C31,Données!$C$19:'Données'!$I$48,4,0)))/365.24*100, ,('Feuille Saisie'!$B$4-VLOOKUP($C31,Données!$C$19:'Données'!$I$48,4,0))/365.24*100),100)</f>
        <v>0</v>
      </c>
      <c r="E31" s="19"/>
      <c r="F31" s="42" t="str">
        <f>IF(ISNA(IF(AND($E31=0,VLOOKUP($C31,Données!$C$19:'Données'!$I$48,6,0)&lt;&gt;""),"0,00",IFERROR(IF(ISNA($E31/VLOOKUP($C31,Données!$C$19:'Données'!$I$48,6,0)), ,$E31/VLOOKUP($C31,Données!$C$19:'Données'!$I$48,6,0)),"/"))),"",IF(AND($E31=0,VLOOKUP($C31,Données!$C$19:'Données'!$I$48,6,0)&lt;&gt;""),"0,00",IFERROR(IF(ISNA($E31/VLOOKUP($C31,Données!$C$19:'Données'!$I$48,6,0)), ,$E31/VLOOKUP($C31,Données!$C$19:'Données'!$I$48,6,0)),"/")))</f>
        <v/>
      </c>
      <c r="G31" s="42" t="str">
        <f>IF(ISNA(IF(AND($E31=0,VLOOKUP($C31,Données!$C$19:'Données'!$I$48,7,0)&lt;&gt;""),"0,00",IFERROR(IF(ISNA($E31/VLOOKUP($C31,Données!$C$19:'Données'!$I$48,7,0)*100),,$E31/VLOOKUP($C31,Données!$C$19:'Données'!$I$48,7,0)*100),"/"))),"",IF(AND($E31=0,VLOOKUP($C31,Données!$C$19:'Données'!$I$48,7,0)&lt;&gt;""),"0,00",IFERROR(IF(ISNA($E31/VLOOKUP($C31,Données!$C$19:'Données'!$I$48,7,0)*100),,$E31/VLOOKUP($C31,Données!$C$19:'Données'!$I$48,7,0)*100),"/")))</f>
        <v/>
      </c>
      <c r="H31" s="33"/>
      <c r="I31" s="43" t="str">
        <f>IF($C31&lt;&gt;"",IF($E31=0,"/",IF(ISNA($H31-VLOOKUP($C31,Données!$C$19:'Données'!$I$48,4,0)), ,$H31-VLOOKUP($C31,Données!$C$19:'Données'!$I$48,4,0))),"")</f>
        <v/>
      </c>
      <c r="J31" s="33"/>
      <c r="K31" s="43" t="str">
        <f>IF($C31&lt;&gt;"",IF(ISNA($J31-VLOOKUP($C31,Données!$C$19:'Données'!$I$48,4,0)), ,$J31-VLOOKUP($C31,Données!$C$19:'Données'!$I$48,4,0)),"")</f>
        <v/>
      </c>
      <c r="L31" s="32"/>
      <c r="M31" s="19"/>
      <c r="N31" s="32"/>
      <c r="O31" s="19"/>
      <c r="P31" s="19"/>
      <c r="Q31" s="33"/>
      <c r="R31" s="43" t="str">
        <f>IF($C31&lt;&gt;"",IF($D31&lt;&gt;100,"/",IF(ISNA($Q31-VLOOKUP($C31,Données!$C$19:'Données'!$I$48,4,0)), ,$Q31-VLOOKUP($C31,Données!$C$19:'Données'!$I$48,4,0))),"")</f>
        <v/>
      </c>
      <c r="S31" s="38"/>
      <c r="T31" s="33"/>
      <c r="U31" s="43" t="str">
        <f>IF($C31&lt;&gt;"",IF($J31="","/",IF(ISNA($T31-VLOOKUP($C31,Données!$C$19:'Données'!$I$48,4,0)), ,$T31-VLOOKUP($C31,Données!$C$19:'Données'!$I$48,4,0))),"")</f>
        <v/>
      </c>
      <c r="V31" s="1"/>
      <c r="W31" s="1"/>
      <c r="X31" s="49"/>
      <c r="Y31" s="46" t="str">
        <f t="shared" si="0"/>
        <v/>
      </c>
      <c r="Z31" s="47" t="s">
        <v>39</v>
      </c>
      <c r="AA31" s="46" t="str">
        <f t="shared" si="1"/>
        <v/>
      </c>
      <c r="AB31" s="48" t="s">
        <v>40</v>
      </c>
      <c r="AC31" s="49">
        <f t="shared" si="2"/>
        <v>1</v>
      </c>
      <c r="AD31" s="49">
        <f t="shared" si="3"/>
        <v>1</v>
      </c>
      <c r="AE31" s="49">
        <f t="shared" si="4"/>
        <v>1</v>
      </c>
      <c r="AF31" s="49">
        <f t="shared" si="5"/>
        <v>1</v>
      </c>
      <c r="AG31" s="50">
        <f t="shared" si="6"/>
        <v>0</v>
      </c>
      <c r="AH31" s="54" t="str">
        <f>IF($C31="","",IFERROR(IF(ISNA(VLOOKUP($C31,Données!$C$19:'Données'!$I$48,6,0)), ,VLOOKUP($C31,Données!$C$19:'Données'!$I$48,6,0)),"/"))</f>
        <v/>
      </c>
      <c r="AI31" s="54" t="str">
        <f>IF($C31="","",IFERROR(IF(ISNA(VLOOKUP($C31,Données!$C$19:'Données'!$I$48,7,0)), ,VLOOKUP($C31,Données!$C$19:'Données'!$I$48,7,0)),"/"))</f>
        <v/>
      </c>
      <c r="AJ31" s="54" t="str">
        <f t="shared" si="7"/>
        <v/>
      </c>
      <c r="AK31" s="54">
        <f t="shared" si="8"/>
        <v>0</v>
      </c>
      <c r="AL31" s="54">
        <f t="shared" si="9"/>
        <v>0</v>
      </c>
      <c r="AM31" s="49" t="str">
        <f t="shared" si="10"/>
        <v/>
      </c>
      <c r="AN31" s="49">
        <f t="shared" si="11"/>
        <v>0</v>
      </c>
      <c r="AO31" s="49" t="str">
        <f t="shared" si="12"/>
        <v/>
      </c>
      <c r="AP31" s="54" t="str">
        <f t="shared" si="13"/>
        <v/>
      </c>
      <c r="AQ31" s="49">
        <f t="shared" si="14"/>
        <v>0</v>
      </c>
      <c r="AR31" s="69">
        <f t="shared" si="15"/>
        <v>0</v>
      </c>
      <c r="AS31" s="49">
        <f t="shared" si="16"/>
        <v>0</v>
      </c>
      <c r="AT31" s="49" t="str">
        <f>IFERROR(VLOOKUP($C31,Données!$C$19:'Données'!$I$48,3,0),"")</f>
        <v/>
      </c>
      <c r="AU31" s="49">
        <f t="shared" si="17"/>
        <v>0</v>
      </c>
      <c r="AV31" s="49">
        <f t="shared" si="18"/>
        <v>0</v>
      </c>
      <c r="AW31" s="49">
        <f t="shared" si="19"/>
        <v>0</v>
      </c>
      <c r="AX31" s="49">
        <f t="shared" si="20"/>
        <v>0</v>
      </c>
      <c r="AY31" s="49">
        <f t="shared" si="21"/>
        <v>0</v>
      </c>
      <c r="AZ31" s="49">
        <f t="shared" si="22"/>
        <v>0</v>
      </c>
      <c r="BA31" s="49">
        <f t="shared" si="23"/>
        <v>0</v>
      </c>
      <c r="BB31" s="49">
        <f t="shared" si="24"/>
        <v>0</v>
      </c>
      <c r="BC31" s="49">
        <f t="shared" si="25"/>
        <v>0</v>
      </c>
      <c r="BD31" s="49">
        <f t="shared" si="26"/>
        <v>0</v>
      </c>
      <c r="BE31" s="49">
        <f t="shared" si="27"/>
        <v>0</v>
      </c>
      <c r="BF31" s="49" t="str">
        <f>TEXT('Feuille Saisie'!$B$4,"aaaa")</f>
        <v>2019</v>
      </c>
      <c r="BG31" s="49" t="str">
        <f>IF($Q31="",TEXT('Feuille Saisie'!$B$4,"aaaa"),TEXT($Q31,"aaaa"))</f>
        <v>2019</v>
      </c>
      <c r="BH31" s="49">
        <f t="shared" si="28"/>
        <v>0</v>
      </c>
      <c r="BI31" s="49">
        <f t="shared" si="29"/>
        <v>1</v>
      </c>
      <c r="BJ31" s="49" t="str">
        <f t="shared" si="30"/>
        <v/>
      </c>
      <c r="BK31" s="49">
        <f t="shared" si="31"/>
        <v>0</v>
      </c>
      <c r="BL31" s="46" t="str">
        <f t="shared" si="32"/>
        <v/>
      </c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 t="str">
        <f t="shared" si="33"/>
        <v/>
      </c>
      <c r="CZ31" s="49">
        <f t="shared" si="34"/>
        <v>0</v>
      </c>
      <c r="DA31" s="49" t="str">
        <f t="shared" si="35"/>
        <v/>
      </c>
      <c r="DB31" s="54">
        <f t="shared" si="36"/>
        <v>0</v>
      </c>
      <c r="DC31" s="49" t="str">
        <f>TEXT('Feuille Saisie'!$B$4,"aaaa")</f>
        <v>2019</v>
      </c>
      <c r="DD31" s="49" t="str">
        <f>IF($J31="",TEXT('Feuille Saisie'!$B$4,"aaaa"),TEXT($J31,"aaaa"))</f>
        <v>2019</v>
      </c>
      <c r="DE31" s="49">
        <f t="shared" si="37"/>
        <v>0</v>
      </c>
      <c r="DF31" s="49">
        <f t="shared" si="38"/>
        <v>0</v>
      </c>
      <c r="DG31" s="97" t="str">
        <f>TEXT(IFERROR(VLOOKUP($C31,Données!$C$19:'Données'!$I$48,4,0),""),"aaaa")</f>
        <v/>
      </c>
      <c r="DH31" s="49">
        <f t="shared" si="39"/>
        <v>0</v>
      </c>
      <c r="DI31" s="49">
        <f t="shared" si="40"/>
        <v>1</v>
      </c>
      <c r="DJ31" s="49">
        <f t="shared" si="41"/>
        <v>0</v>
      </c>
      <c r="DK31" s="49">
        <f t="shared" si="42"/>
        <v>0</v>
      </c>
      <c r="DL31" s="49">
        <f t="shared" si="43"/>
        <v>0</v>
      </c>
      <c r="DM31" s="49" t="str">
        <f>IF($T31="",TEXT('Feuille Saisie'!$B$4,"aaaa"),TEXT($T31,"aaaa"))</f>
        <v>2019</v>
      </c>
      <c r="DN31" s="49">
        <f t="shared" si="44"/>
        <v>0</v>
      </c>
      <c r="DO31" s="49">
        <f t="shared" si="45"/>
        <v>0</v>
      </c>
      <c r="EA31" s="49" t="str">
        <f>IFERROR(VLOOKUP($C31,Données!$C$19:'Données'!$I$48,3,0),"")</f>
        <v/>
      </c>
      <c r="EB31" s="49" t="str">
        <f t="shared" si="46"/>
        <v xml:space="preserve"> </v>
      </c>
      <c r="EC31" s="49" t="str">
        <f t="shared" si="47"/>
        <v xml:space="preserve"> </v>
      </c>
      <c r="ED31" s="49" t="str">
        <f t="shared" si="48"/>
        <v xml:space="preserve"> </v>
      </c>
      <c r="EE31" s="49" t="str">
        <f t="shared" si="49"/>
        <v xml:space="preserve"> </v>
      </c>
      <c r="EF31" s="49">
        <f t="shared" si="50"/>
        <v>0</v>
      </c>
      <c r="FA31" s="54" t="str">
        <f>IF($C31="","",IFERROR(IF(ISNA(VLOOKUP($C31,'Bilan final GPA HN'!$C$29:'Bilan final GPA HN'!$X$43,22,0)), ,VLOOKUP($C31,'Bilan final GPA HN'!$C$29:'Bilan final GPA HN'!$X$43,22,0)),"/"))</f>
        <v/>
      </c>
      <c r="FB31" s="54" t="str">
        <f>IF($C31="","",IFERROR(IF(ISNA(VLOOKUP($C31,'Bilan final GPA HR'!$C$29:'Bilan final GPA HR'!$X$43,22,0)), ,VLOOKUP($C31,'Bilan final GPA HR'!$C$29:'Bilan final GPA HR'!$X$43,22,0)),"/"))</f>
        <v/>
      </c>
      <c r="FC31" s="54" t="str">
        <f>IF($C31="","",IFERROR(IF(ISNA(VLOOKUP($C31,'Bilan final GPA OF'!$C$29:'Bilan final GPA OF'!$X$43,22,0)), ,VLOOKUP($C31,'Bilan final GPA OF'!$C$29:'Bilan final GPA OF'!$X$43,22,0)),"/"))</f>
        <v/>
      </c>
      <c r="FD31" s="54" t="str">
        <f>IF($C31="","",IFERROR(IF(ISNA(VLOOKUP($C31,'Bilan final GPA IE'!$C$29:'Bilan final GPA IE'!$X$43,22,0)), ,VLOOKUP($C31,'Bilan final GPA IE'!$C$29:'Bilan final GPA IE'!$X$43,22,0)),"/"))</f>
        <v/>
      </c>
      <c r="FE31" s="115">
        <f t="shared" si="51"/>
        <v>0</v>
      </c>
      <c r="FF31" s="116" t="s">
        <v>97</v>
      </c>
      <c r="FG31" s="117" t="str">
        <f t="shared" si="52"/>
        <v/>
      </c>
    </row>
    <row r="32" spans="1:163" ht="50.1" customHeight="1" x14ac:dyDescent="0.3">
      <c r="A32" s="1"/>
      <c r="B32" s="1"/>
      <c r="C32" s="84"/>
      <c r="D32" s="41">
        <f>IF(IF(ISNA(('Feuille Saisie'!$B$4-VLOOKUP($C32,Données!$C$19:'Données'!$I$48,4,0)))/365.24*100, ,('Feuille Saisie'!$B$4-VLOOKUP($C32,Données!$C$19:'Données'!$I$48,4,0))/365.24*100)&lt;100,IF(ISNA(('Feuille Saisie'!$B$4-VLOOKUP($C32,Données!$C$19:'Données'!$I$48,4,0)))/365.24*100, ,('Feuille Saisie'!$B$4-VLOOKUP($C32,Données!$C$19:'Données'!$I$48,4,0))/365.24*100),100)</f>
        <v>0</v>
      </c>
      <c r="E32" s="19"/>
      <c r="F32" s="42" t="str">
        <f>IF(ISNA(IF(AND($E32=0,VLOOKUP($C32,Données!$C$19:'Données'!$I$48,6,0)&lt;&gt;""),"0,00",IFERROR(IF(ISNA($E32/VLOOKUP($C32,Données!$C$19:'Données'!$I$48,6,0)), ,$E32/VLOOKUP($C32,Données!$C$19:'Données'!$I$48,6,0)),"/"))),"",IF(AND($E32=0,VLOOKUP($C32,Données!$C$19:'Données'!$I$48,6,0)&lt;&gt;""),"0,00",IFERROR(IF(ISNA($E32/VLOOKUP($C32,Données!$C$19:'Données'!$I$48,6,0)), ,$E32/VLOOKUP($C32,Données!$C$19:'Données'!$I$48,6,0)),"/")))</f>
        <v/>
      </c>
      <c r="G32" s="42" t="str">
        <f>IF(ISNA(IF(AND($E32=0,VLOOKUP($C32,Données!$C$19:'Données'!$I$48,7,0)&lt;&gt;""),"0,00",IFERROR(IF(ISNA($E32/VLOOKUP($C32,Données!$C$19:'Données'!$I$48,7,0)*100),,$E32/VLOOKUP($C32,Données!$C$19:'Données'!$I$48,7,0)*100),"/"))),"",IF(AND($E32=0,VLOOKUP($C32,Données!$C$19:'Données'!$I$48,7,0)&lt;&gt;""),"0,00",IFERROR(IF(ISNA($E32/VLOOKUP($C32,Données!$C$19:'Données'!$I$48,7,0)*100),,$E32/VLOOKUP($C32,Données!$C$19:'Données'!$I$48,7,0)*100),"/")))</f>
        <v/>
      </c>
      <c r="H32" s="33"/>
      <c r="I32" s="43" t="str">
        <f>IF($C32&lt;&gt;"",IF($E32=0,"/",IF(ISNA($H32-VLOOKUP($C32,Données!$C$19:'Données'!$I$48,4,0)), ,$H32-VLOOKUP($C32,Données!$C$19:'Données'!$I$48,4,0))),"")</f>
        <v/>
      </c>
      <c r="J32" s="33"/>
      <c r="K32" s="43" t="str">
        <f>IF($C32&lt;&gt;"",IF(ISNA($J32-VLOOKUP($C32,Données!$C$19:'Données'!$I$48,4,0)), ,$J32-VLOOKUP($C32,Données!$C$19:'Données'!$I$48,4,0)),"")</f>
        <v/>
      </c>
      <c r="L32" s="32"/>
      <c r="M32" s="19"/>
      <c r="N32" s="32"/>
      <c r="O32" s="19"/>
      <c r="P32" s="19"/>
      <c r="Q32" s="33"/>
      <c r="R32" s="43" t="str">
        <f>IF($C32&lt;&gt;"",IF($D32&lt;&gt;100,"/",IF(ISNA($Q32-VLOOKUP($C32,Données!$C$19:'Données'!$I$48,4,0)), ,$Q32-VLOOKUP($C32,Données!$C$19:'Données'!$I$48,4,0))),"")</f>
        <v/>
      </c>
      <c r="S32" s="38"/>
      <c r="T32" s="33"/>
      <c r="U32" s="43" t="str">
        <f>IF($C32&lt;&gt;"",IF($J32="","/",IF(ISNA($T32-VLOOKUP($C32,Données!$C$19:'Données'!$I$48,4,0)), ,$T32-VLOOKUP($C32,Données!$C$19:'Données'!$I$48,4,0))),"")</f>
        <v/>
      </c>
      <c r="V32" s="1"/>
      <c r="W32" s="1"/>
      <c r="X32" s="49"/>
      <c r="Y32" s="46" t="str">
        <f t="shared" si="0"/>
        <v/>
      </c>
      <c r="Z32" s="47" t="s">
        <v>39</v>
      </c>
      <c r="AA32" s="46" t="str">
        <f t="shared" si="1"/>
        <v/>
      </c>
      <c r="AB32" s="48" t="s">
        <v>40</v>
      </c>
      <c r="AC32" s="49">
        <f t="shared" si="2"/>
        <v>1</v>
      </c>
      <c r="AD32" s="49">
        <f t="shared" si="3"/>
        <v>1</v>
      </c>
      <c r="AE32" s="49">
        <f t="shared" si="4"/>
        <v>1</v>
      </c>
      <c r="AF32" s="49">
        <f t="shared" si="5"/>
        <v>1</v>
      </c>
      <c r="AG32" s="50">
        <f t="shared" si="6"/>
        <v>0</v>
      </c>
      <c r="AH32" s="54" t="str">
        <f>IF($C32="","",IFERROR(IF(ISNA(VLOOKUP($C32,Données!$C$19:'Données'!$I$48,6,0)), ,VLOOKUP($C32,Données!$C$19:'Données'!$I$48,6,0)),"/"))</f>
        <v/>
      </c>
      <c r="AI32" s="54" t="str">
        <f>IF($C32="","",IFERROR(IF(ISNA(VLOOKUP($C32,Données!$C$19:'Données'!$I$48,7,0)), ,VLOOKUP($C32,Données!$C$19:'Données'!$I$48,7,0)),"/"))</f>
        <v/>
      </c>
      <c r="AJ32" s="54" t="str">
        <f t="shared" si="7"/>
        <v/>
      </c>
      <c r="AK32" s="54">
        <f t="shared" si="8"/>
        <v>0</v>
      </c>
      <c r="AL32" s="54">
        <f t="shared" si="9"/>
        <v>0</v>
      </c>
      <c r="AM32" s="49" t="str">
        <f t="shared" si="10"/>
        <v/>
      </c>
      <c r="AN32" s="49">
        <f t="shared" si="11"/>
        <v>0</v>
      </c>
      <c r="AO32" s="49" t="str">
        <f t="shared" si="12"/>
        <v/>
      </c>
      <c r="AP32" s="54" t="str">
        <f t="shared" si="13"/>
        <v/>
      </c>
      <c r="AQ32" s="49">
        <f t="shared" si="14"/>
        <v>0</v>
      </c>
      <c r="AR32" s="69">
        <f t="shared" si="15"/>
        <v>0</v>
      </c>
      <c r="AS32" s="49">
        <f t="shared" si="16"/>
        <v>0</v>
      </c>
      <c r="AT32" s="49" t="str">
        <f>IFERROR(VLOOKUP($C32,Données!$C$19:'Données'!$I$48,3,0),"")</f>
        <v/>
      </c>
      <c r="AU32" s="49">
        <f t="shared" si="17"/>
        <v>0</v>
      </c>
      <c r="AV32" s="49">
        <f t="shared" si="18"/>
        <v>0</v>
      </c>
      <c r="AW32" s="49">
        <f t="shared" si="19"/>
        <v>0</v>
      </c>
      <c r="AX32" s="49">
        <f t="shared" si="20"/>
        <v>0</v>
      </c>
      <c r="AY32" s="49">
        <f t="shared" si="21"/>
        <v>0</v>
      </c>
      <c r="AZ32" s="49">
        <f t="shared" si="22"/>
        <v>0</v>
      </c>
      <c r="BA32" s="49">
        <f t="shared" si="23"/>
        <v>0</v>
      </c>
      <c r="BB32" s="49">
        <f t="shared" si="24"/>
        <v>0</v>
      </c>
      <c r="BC32" s="49">
        <f t="shared" si="25"/>
        <v>0</v>
      </c>
      <c r="BD32" s="49">
        <f t="shared" si="26"/>
        <v>0</v>
      </c>
      <c r="BE32" s="49">
        <f t="shared" si="27"/>
        <v>0</v>
      </c>
      <c r="BF32" s="49" t="str">
        <f>TEXT('Feuille Saisie'!$B$4,"aaaa")</f>
        <v>2019</v>
      </c>
      <c r="BG32" s="49" t="str">
        <f>IF($Q32="",TEXT('Feuille Saisie'!$B$4,"aaaa"),TEXT($Q32,"aaaa"))</f>
        <v>2019</v>
      </c>
      <c r="BH32" s="49">
        <f t="shared" si="28"/>
        <v>0</v>
      </c>
      <c r="BI32" s="49">
        <f t="shared" si="29"/>
        <v>1</v>
      </c>
      <c r="BJ32" s="49" t="str">
        <f t="shared" si="30"/>
        <v/>
      </c>
      <c r="BK32" s="49">
        <f t="shared" si="31"/>
        <v>0</v>
      </c>
      <c r="BL32" s="46" t="str">
        <f t="shared" si="32"/>
        <v/>
      </c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 t="str">
        <f t="shared" si="33"/>
        <v/>
      </c>
      <c r="CZ32" s="49">
        <f t="shared" si="34"/>
        <v>0</v>
      </c>
      <c r="DA32" s="49" t="str">
        <f t="shared" si="35"/>
        <v/>
      </c>
      <c r="DB32" s="54">
        <f t="shared" si="36"/>
        <v>0</v>
      </c>
      <c r="DC32" s="49" t="str">
        <f>TEXT('Feuille Saisie'!$B$4,"aaaa")</f>
        <v>2019</v>
      </c>
      <c r="DD32" s="49" t="str">
        <f>IF($J32="",TEXT('Feuille Saisie'!$B$4,"aaaa"),TEXT($J32,"aaaa"))</f>
        <v>2019</v>
      </c>
      <c r="DE32" s="49">
        <f t="shared" si="37"/>
        <v>0</v>
      </c>
      <c r="DF32" s="49">
        <f t="shared" si="38"/>
        <v>0</v>
      </c>
      <c r="DG32" s="97" t="str">
        <f>TEXT(IFERROR(VLOOKUP($C32,Données!$C$19:'Données'!$I$48,4,0),""),"aaaa")</f>
        <v/>
      </c>
      <c r="DH32" s="49">
        <f t="shared" si="39"/>
        <v>0</v>
      </c>
      <c r="DI32" s="49">
        <f t="shared" si="40"/>
        <v>1</v>
      </c>
      <c r="DJ32" s="49">
        <f t="shared" si="41"/>
        <v>0</v>
      </c>
      <c r="DK32" s="49">
        <f t="shared" si="42"/>
        <v>0</v>
      </c>
      <c r="DL32" s="49">
        <f t="shared" si="43"/>
        <v>0</v>
      </c>
      <c r="DM32" s="49" t="str">
        <f>IF($T32="",TEXT('Feuille Saisie'!$B$4,"aaaa"),TEXT($T32,"aaaa"))</f>
        <v>2019</v>
      </c>
      <c r="DN32" s="49">
        <f t="shared" si="44"/>
        <v>0</v>
      </c>
      <c r="DO32" s="49">
        <f t="shared" si="45"/>
        <v>0</v>
      </c>
      <c r="EA32" s="49" t="str">
        <f>IFERROR(VLOOKUP($C32,Données!$C$19:'Données'!$I$48,3,0),"")</f>
        <v/>
      </c>
      <c r="EB32" s="49" t="str">
        <f t="shared" si="46"/>
        <v xml:space="preserve"> </v>
      </c>
      <c r="EC32" s="49" t="str">
        <f t="shared" si="47"/>
        <v xml:space="preserve"> </v>
      </c>
      <c r="ED32" s="49" t="str">
        <f t="shared" si="48"/>
        <v xml:space="preserve"> </v>
      </c>
      <c r="EE32" s="49" t="str">
        <f t="shared" si="49"/>
        <v xml:space="preserve"> </v>
      </c>
      <c r="EF32" s="49">
        <f t="shared" si="50"/>
        <v>0</v>
      </c>
      <c r="FA32" s="54" t="str">
        <f>IF($C32="","",IFERROR(IF(ISNA(VLOOKUP($C32,'Bilan final GPA HN'!$C$29:'Bilan final GPA HN'!$X$43,22,0)), ,VLOOKUP($C32,'Bilan final GPA HN'!$C$29:'Bilan final GPA HN'!$X$43,22,0)),"/"))</f>
        <v/>
      </c>
      <c r="FB32" s="54" t="str">
        <f>IF($C32="","",IFERROR(IF(ISNA(VLOOKUP($C32,'Bilan final GPA HR'!$C$29:'Bilan final GPA HR'!$X$43,22,0)), ,VLOOKUP($C32,'Bilan final GPA HR'!$C$29:'Bilan final GPA HR'!$X$43,22,0)),"/"))</f>
        <v/>
      </c>
      <c r="FC32" s="54" t="str">
        <f>IF($C32="","",IFERROR(IF(ISNA(VLOOKUP($C32,'Bilan final GPA OF'!$C$29:'Bilan final GPA OF'!$X$43,22,0)), ,VLOOKUP($C32,'Bilan final GPA OF'!$C$29:'Bilan final GPA OF'!$X$43,22,0)),"/"))</f>
        <v/>
      </c>
      <c r="FD32" s="54" t="str">
        <f>IF($C32="","",IFERROR(IF(ISNA(VLOOKUP($C32,'Bilan final GPA IE'!$C$29:'Bilan final GPA IE'!$X$43,22,0)), ,VLOOKUP($C32,'Bilan final GPA IE'!$C$29:'Bilan final GPA IE'!$X$43,22,0)),"/"))</f>
        <v/>
      </c>
      <c r="FE32" s="115">
        <f t="shared" si="51"/>
        <v>0</v>
      </c>
      <c r="FF32" s="116" t="s">
        <v>97</v>
      </c>
      <c r="FG32" s="117" t="str">
        <f t="shared" si="52"/>
        <v/>
      </c>
    </row>
    <row r="33" spans="1:163" ht="50.1" customHeight="1" x14ac:dyDescent="0.3">
      <c r="A33" s="1"/>
      <c r="B33" s="1"/>
      <c r="C33" s="84"/>
      <c r="D33" s="41">
        <f>IF(IF(ISNA(('Feuille Saisie'!$B$4-VLOOKUP($C33,Données!$C$19:'Données'!$I$48,4,0)))/365.24*100, ,('Feuille Saisie'!$B$4-VLOOKUP($C33,Données!$C$19:'Données'!$I$48,4,0))/365.24*100)&lt;100,IF(ISNA(('Feuille Saisie'!$B$4-VLOOKUP($C33,Données!$C$19:'Données'!$I$48,4,0)))/365.24*100, ,('Feuille Saisie'!$B$4-VLOOKUP($C33,Données!$C$19:'Données'!$I$48,4,0))/365.24*100),100)</f>
        <v>0</v>
      </c>
      <c r="E33" s="19"/>
      <c r="F33" s="42" t="str">
        <f>IF(ISNA(IF(AND($E33=0,VLOOKUP($C33,Données!$C$19:'Données'!$I$48,6,0)&lt;&gt;""),"0,00",IFERROR(IF(ISNA($E33/VLOOKUP($C33,Données!$C$19:'Données'!$I$48,6,0)), ,$E33/VLOOKUP($C33,Données!$C$19:'Données'!$I$48,6,0)),"/"))),"",IF(AND($E33=0,VLOOKUP($C33,Données!$C$19:'Données'!$I$48,6,0)&lt;&gt;""),"0,00",IFERROR(IF(ISNA($E33/VLOOKUP($C33,Données!$C$19:'Données'!$I$48,6,0)), ,$E33/VLOOKUP($C33,Données!$C$19:'Données'!$I$48,6,0)),"/")))</f>
        <v/>
      </c>
      <c r="G33" s="42" t="str">
        <f>IF(ISNA(IF(AND($E33=0,VLOOKUP($C33,Données!$C$19:'Données'!$I$48,7,0)&lt;&gt;""),"0,00",IFERROR(IF(ISNA($E33/VLOOKUP($C33,Données!$C$19:'Données'!$I$48,7,0)*100),,$E33/VLOOKUP($C33,Données!$C$19:'Données'!$I$48,7,0)*100),"/"))),"",IF(AND($E33=0,VLOOKUP($C33,Données!$C$19:'Données'!$I$48,7,0)&lt;&gt;""),"0,00",IFERROR(IF(ISNA($E33/VLOOKUP($C33,Données!$C$19:'Données'!$I$48,7,0)*100),,$E33/VLOOKUP($C33,Données!$C$19:'Données'!$I$48,7,0)*100),"/")))</f>
        <v/>
      </c>
      <c r="H33" s="33"/>
      <c r="I33" s="43" t="str">
        <f>IF($C33&lt;&gt;"",IF($E33=0,"/",IF(ISNA($H33-VLOOKUP($C33,Données!$C$19:'Données'!$I$48,4,0)), ,$H33-VLOOKUP($C33,Données!$C$19:'Données'!$I$48,4,0))),"")</f>
        <v/>
      </c>
      <c r="J33" s="33"/>
      <c r="K33" s="43" t="str">
        <f>IF($C33&lt;&gt;"",IF(ISNA($J33-VLOOKUP($C33,Données!$C$19:'Données'!$I$48,4,0)), ,$J33-VLOOKUP($C33,Données!$C$19:'Données'!$I$48,4,0)),"")</f>
        <v/>
      </c>
      <c r="L33" s="32"/>
      <c r="M33" s="19"/>
      <c r="N33" s="32"/>
      <c r="O33" s="19"/>
      <c r="P33" s="19"/>
      <c r="Q33" s="33"/>
      <c r="R33" s="43" t="str">
        <f>IF($C33&lt;&gt;"",IF($D33&lt;&gt;100,"/",IF(ISNA($Q33-VLOOKUP($C33,Données!$C$19:'Données'!$I$48,4,0)), ,$Q33-VLOOKUP($C33,Données!$C$19:'Données'!$I$48,4,0))),"")</f>
        <v/>
      </c>
      <c r="S33" s="38"/>
      <c r="T33" s="33"/>
      <c r="U33" s="43" t="str">
        <f>IF($C33&lt;&gt;"",IF($J33="","/",IF(ISNA($T33-VLOOKUP($C33,Données!$C$19:'Données'!$I$48,4,0)), ,$T33-VLOOKUP($C33,Données!$C$19:'Données'!$I$48,4,0))),"")</f>
        <v/>
      </c>
      <c r="V33" s="1"/>
      <c r="W33" s="1"/>
      <c r="X33" s="49"/>
      <c r="Y33" s="46" t="str">
        <f t="shared" si="0"/>
        <v/>
      </c>
      <c r="Z33" s="47" t="s">
        <v>39</v>
      </c>
      <c r="AA33" s="46" t="str">
        <f t="shared" si="1"/>
        <v/>
      </c>
      <c r="AB33" s="48" t="s">
        <v>40</v>
      </c>
      <c r="AC33" s="49">
        <f t="shared" si="2"/>
        <v>1</v>
      </c>
      <c r="AD33" s="49">
        <f t="shared" si="3"/>
        <v>1</v>
      </c>
      <c r="AE33" s="49">
        <f t="shared" si="4"/>
        <v>1</v>
      </c>
      <c r="AF33" s="49">
        <f t="shared" si="5"/>
        <v>1</v>
      </c>
      <c r="AG33" s="50">
        <f t="shared" si="6"/>
        <v>0</v>
      </c>
      <c r="AH33" s="54" t="str">
        <f>IF($C33="","",IFERROR(IF(ISNA(VLOOKUP($C33,Données!$C$19:'Données'!$I$48,6,0)), ,VLOOKUP($C33,Données!$C$19:'Données'!$I$48,6,0)),"/"))</f>
        <v/>
      </c>
      <c r="AI33" s="54" t="str">
        <f>IF($C33="","",IFERROR(IF(ISNA(VLOOKUP($C33,Données!$C$19:'Données'!$I$48,7,0)), ,VLOOKUP($C33,Données!$C$19:'Données'!$I$48,7,0)),"/"))</f>
        <v/>
      </c>
      <c r="AJ33" s="54" t="str">
        <f t="shared" si="7"/>
        <v/>
      </c>
      <c r="AK33" s="54">
        <f t="shared" si="8"/>
        <v>0</v>
      </c>
      <c r="AL33" s="54">
        <f t="shared" si="9"/>
        <v>0</v>
      </c>
      <c r="AM33" s="49" t="str">
        <f t="shared" si="10"/>
        <v/>
      </c>
      <c r="AN33" s="49">
        <f t="shared" si="11"/>
        <v>0</v>
      </c>
      <c r="AO33" s="49" t="str">
        <f t="shared" si="12"/>
        <v/>
      </c>
      <c r="AP33" s="54" t="str">
        <f t="shared" si="13"/>
        <v/>
      </c>
      <c r="AQ33" s="49">
        <f t="shared" si="14"/>
        <v>0</v>
      </c>
      <c r="AR33" s="69">
        <f t="shared" si="15"/>
        <v>0</v>
      </c>
      <c r="AS33" s="49">
        <f t="shared" si="16"/>
        <v>0</v>
      </c>
      <c r="AT33" s="49" t="str">
        <f>IFERROR(VLOOKUP($C33,Données!$C$19:'Données'!$I$48,3,0),"")</f>
        <v/>
      </c>
      <c r="AU33" s="49">
        <f t="shared" si="17"/>
        <v>0</v>
      </c>
      <c r="AV33" s="49">
        <f t="shared" si="18"/>
        <v>0</v>
      </c>
      <c r="AW33" s="49">
        <f t="shared" si="19"/>
        <v>0</v>
      </c>
      <c r="AX33" s="49">
        <f t="shared" si="20"/>
        <v>0</v>
      </c>
      <c r="AY33" s="49">
        <f t="shared" si="21"/>
        <v>0</v>
      </c>
      <c r="AZ33" s="49">
        <f t="shared" si="22"/>
        <v>0</v>
      </c>
      <c r="BA33" s="49">
        <f t="shared" si="23"/>
        <v>0</v>
      </c>
      <c r="BB33" s="49">
        <f t="shared" si="24"/>
        <v>0</v>
      </c>
      <c r="BC33" s="49">
        <f t="shared" si="25"/>
        <v>0</v>
      </c>
      <c r="BD33" s="49">
        <f t="shared" si="26"/>
        <v>0</v>
      </c>
      <c r="BE33" s="49">
        <f t="shared" si="27"/>
        <v>0</v>
      </c>
      <c r="BF33" s="49" t="str">
        <f>TEXT('Feuille Saisie'!$B$4,"aaaa")</f>
        <v>2019</v>
      </c>
      <c r="BG33" s="49" t="str">
        <f>IF($Q33="",TEXT('Feuille Saisie'!$B$4,"aaaa"),TEXT($Q33,"aaaa"))</f>
        <v>2019</v>
      </c>
      <c r="BH33" s="49">
        <f t="shared" si="28"/>
        <v>0</v>
      </c>
      <c r="BI33" s="49">
        <f t="shared" si="29"/>
        <v>1</v>
      </c>
      <c r="BJ33" s="49" t="str">
        <f t="shared" si="30"/>
        <v/>
      </c>
      <c r="BK33" s="49">
        <f t="shared" si="31"/>
        <v>0</v>
      </c>
      <c r="BL33" s="46" t="str">
        <f t="shared" si="32"/>
        <v/>
      </c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 t="str">
        <f t="shared" si="33"/>
        <v/>
      </c>
      <c r="CZ33" s="49">
        <f t="shared" si="34"/>
        <v>0</v>
      </c>
      <c r="DA33" s="49" t="str">
        <f t="shared" si="35"/>
        <v/>
      </c>
      <c r="DB33" s="54">
        <f t="shared" si="36"/>
        <v>0</v>
      </c>
      <c r="DC33" s="49" t="str">
        <f>TEXT('Feuille Saisie'!$B$4,"aaaa")</f>
        <v>2019</v>
      </c>
      <c r="DD33" s="49" t="str">
        <f>IF($J33="",TEXT('Feuille Saisie'!$B$4,"aaaa"),TEXT($J33,"aaaa"))</f>
        <v>2019</v>
      </c>
      <c r="DE33" s="49">
        <f t="shared" si="37"/>
        <v>0</v>
      </c>
      <c r="DF33" s="49">
        <f t="shared" si="38"/>
        <v>0</v>
      </c>
      <c r="DG33" s="97" t="str">
        <f>TEXT(IFERROR(VLOOKUP($C33,Données!$C$19:'Données'!$I$48,4,0),""),"aaaa")</f>
        <v/>
      </c>
      <c r="DH33" s="49">
        <f t="shared" si="39"/>
        <v>0</v>
      </c>
      <c r="DI33" s="49">
        <f t="shared" si="40"/>
        <v>1</v>
      </c>
      <c r="DJ33" s="49">
        <f t="shared" si="41"/>
        <v>0</v>
      </c>
      <c r="DK33" s="49">
        <f t="shared" si="42"/>
        <v>0</v>
      </c>
      <c r="DL33" s="49">
        <f t="shared" si="43"/>
        <v>0</v>
      </c>
      <c r="DM33" s="49" t="str">
        <f>IF($T33="",TEXT('Feuille Saisie'!$B$4,"aaaa"),TEXT($T33,"aaaa"))</f>
        <v>2019</v>
      </c>
      <c r="DN33" s="49">
        <f t="shared" si="44"/>
        <v>0</v>
      </c>
      <c r="DO33" s="49">
        <f t="shared" si="45"/>
        <v>0</v>
      </c>
      <c r="EA33" s="49" t="str">
        <f>IFERROR(VLOOKUP($C33,Données!$C$19:'Données'!$I$48,3,0),"")</f>
        <v/>
      </c>
      <c r="EB33" s="49" t="str">
        <f t="shared" si="46"/>
        <v xml:space="preserve"> </v>
      </c>
      <c r="EC33" s="49" t="str">
        <f t="shared" si="47"/>
        <v xml:space="preserve"> </v>
      </c>
      <c r="ED33" s="49" t="str">
        <f t="shared" si="48"/>
        <v xml:space="preserve"> </v>
      </c>
      <c r="EE33" s="49" t="str">
        <f t="shared" si="49"/>
        <v xml:space="preserve"> </v>
      </c>
      <c r="EF33" s="49">
        <f t="shared" si="50"/>
        <v>0</v>
      </c>
      <c r="FA33" s="54" t="str">
        <f>IF($C33="","",IFERROR(IF(ISNA(VLOOKUP($C33,'Bilan final GPA HN'!$C$29:'Bilan final GPA HN'!$X$43,22,0)), ,VLOOKUP($C33,'Bilan final GPA HN'!$C$29:'Bilan final GPA HN'!$X$43,22,0)),"/"))</f>
        <v/>
      </c>
      <c r="FB33" s="54" t="str">
        <f>IF($C33="","",IFERROR(IF(ISNA(VLOOKUP($C33,'Bilan final GPA HR'!$C$29:'Bilan final GPA HR'!$X$43,22,0)), ,VLOOKUP($C33,'Bilan final GPA HR'!$C$29:'Bilan final GPA HR'!$X$43,22,0)),"/"))</f>
        <v/>
      </c>
      <c r="FC33" s="54" t="str">
        <f>IF($C33="","",IFERROR(IF(ISNA(VLOOKUP($C33,'Bilan final GPA OF'!$C$29:'Bilan final GPA OF'!$X$43,22,0)), ,VLOOKUP($C33,'Bilan final GPA OF'!$C$29:'Bilan final GPA OF'!$X$43,22,0)),"/"))</f>
        <v/>
      </c>
      <c r="FD33" s="54" t="str">
        <f>IF($C33="","",IFERROR(IF(ISNA(VLOOKUP($C33,'Bilan final GPA IE'!$C$29:'Bilan final GPA IE'!$X$43,22,0)), ,VLOOKUP($C33,'Bilan final GPA IE'!$C$29:'Bilan final GPA IE'!$X$43,22,0)),"/"))</f>
        <v/>
      </c>
      <c r="FE33" s="115">
        <f t="shared" si="51"/>
        <v>0</v>
      </c>
      <c r="FF33" s="116" t="s">
        <v>97</v>
      </c>
      <c r="FG33" s="117" t="str">
        <f t="shared" si="52"/>
        <v/>
      </c>
    </row>
    <row r="34" spans="1:163" ht="50.1" customHeight="1" x14ac:dyDescent="0.3">
      <c r="A34" s="1"/>
      <c r="B34" s="1"/>
      <c r="C34" s="84"/>
      <c r="D34" s="41">
        <f>IF(IF(ISNA(('Feuille Saisie'!$B$4-VLOOKUP($C34,Données!$C$19:'Données'!$I$48,4,0)))/365.24*100, ,('Feuille Saisie'!$B$4-VLOOKUP($C34,Données!$C$19:'Données'!$I$48,4,0))/365.24*100)&lt;100,IF(ISNA(('Feuille Saisie'!$B$4-VLOOKUP($C34,Données!$C$19:'Données'!$I$48,4,0)))/365.24*100, ,('Feuille Saisie'!$B$4-VLOOKUP($C34,Données!$C$19:'Données'!$I$48,4,0))/365.24*100),100)</f>
        <v>0</v>
      </c>
      <c r="E34" s="19"/>
      <c r="F34" s="42" t="str">
        <f>IF(ISNA(IF(AND($E34=0,VLOOKUP($C34,Données!$C$19:'Données'!$I$48,6,0)&lt;&gt;""),"0,00",IFERROR(IF(ISNA($E34/VLOOKUP($C34,Données!$C$19:'Données'!$I$48,6,0)), ,$E34/VLOOKUP($C34,Données!$C$19:'Données'!$I$48,6,0)),"/"))),"",IF(AND($E34=0,VLOOKUP($C34,Données!$C$19:'Données'!$I$48,6,0)&lt;&gt;""),"0,00",IFERROR(IF(ISNA($E34/VLOOKUP($C34,Données!$C$19:'Données'!$I$48,6,0)), ,$E34/VLOOKUP($C34,Données!$C$19:'Données'!$I$48,6,0)),"/")))</f>
        <v/>
      </c>
      <c r="G34" s="42" t="str">
        <f>IF(ISNA(IF(AND($E34=0,VLOOKUP($C34,Données!$C$19:'Données'!$I$48,7,0)&lt;&gt;""),"0,00",IFERROR(IF(ISNA($E34/VLOOKUP($C34,Données!$C$19:'Données'!$I$48,7,0)*100),,$E34/VLOOKUP($C34,Données!$C$19:'Données'!$I$48,7,0)*100),"/"))),"",IF(AND($E34=0,VLOOKUP($C34,Données!$C$19:'Données'!$I$48,7,0)&lt;&gt;""),"0,00",IFERROR(IF(ISNA($E34/VLOOKUP($C34,Données!$C$19:'Données'!$I$48,7,0)*100),,$E34/VLOOKUP($C34,Données!$C$19:'Données'!$I$48,7,0)*100),"/")))</f>
        <v/>
      </c>
      <c r="H34" s="33"/>
      <c r="I34" s="43" t="str">
        <f>IF($C34&lt;&gt;"",IF($E34=0,"/",IF(ISNA($H34-VLOOKUP($C34,Données!$C$19:'Données'!$I$48,4,0)), ,$H34-VLOOKUP($C34,Données!$C$19:'Données'!$I$48,4,0))),"")</f>
        <v/>
      </c>
      <c r="J34" s="33"/>
      <c r="K34" s="43" t="str">
        <f>IF($C34&lt;&gt;"",IF(ISNA($J34-VLOOKUP($C34,Données!$C$19:'Données'!$I$48,4,0)), ,$J34-VLOOKUP($C34,Données!$C$19:'Données'!$I$48,4,0)),"")</f>
        <v/>
      </c>
      <c r="L34" s="32"/>
      <c r="M34" s="19"/>
      <c r="N34" s="32"/>
      <c r="O34" s="19"/>
      <c r="P34" s="19"/>
      <c r="Q34" s="33"/>
      <c r="R34" s="43" t="str">
        <f>IF($C34&lt;&gt;"",IF($D34&lt;&gt;100,"/",IF(ISNA($Q34-VLOOKUP($C34,Données!$C$19:'Données'!$I$48,4,0)), ,$Q34-VLOOKUP($C34,Données!$C$19:'Données'!$I$48,4,0))),"")</f>
        <v/>
      </c>
      <c r="S34" s="38"/>
      <c r="T34" s="33"/>
      <c r="U34" s="43" t="str">
        <f>IF($C34&lt;&gt;"",IF($J34="","/",IF(ISNA($T34-VLOOKUP($C34,Données!$C$19:'Données'!$I$48,4,0)), ,$T34-VLOOKUP($C34,Données!$C$19:'Données'!$I$48,4,0))),"")</f>
        <v/>
      </c>
      <c r="V34" s="1"/>
      <c r="W34" s="1"/>
      <c r="X34" s="49"/>
      <c r="Y34" s="46" t="str">
        <f t="shared" si="0"/>
        <v/>
      </c>
      <c r="Z34" s="47" t="s">
        <v>39</v>
      </c>
      <c r="AA34" s="46" t="str">
        <f t="shared" si="1"/>
        <v/>
      </c>
      <c r="AB34" s="48" t="s">
        <v>40</v>
      </c>
      <c r="AC34" s="49">
        <f t="shared" si="2"/>
        <v>1</v>
      </c>
      <c r="AD34" s="49">
        <f t="shared" si="3"/>
        <v>1</v>
      </c>
      <c r="AE34" s="49">
        <f t="shared" si="4"/>
        <v>1</v>
      </c>
      <c r="AF34" s="49">
        <f t="shared" si="5"/>
        <v>1</v>
      </c>
      <c r="AG34" s="50">
        <f t="shared" si="6"/>
        <v>0</v>
      </c>
      <c r="AH34" s="54" t="str">
        <f>IF($C34="","",IFERROR(IF(ISNA(VLOOKUP($C34,Données!$C$19:'Données'!$I$48,6,0)), ,VLOOKUP($C34,Données!$C$19:'Données'!$I$48,6,0)),"/"))</f>
        <v/>
      </c>
      <c r="AI34" s="54" t="str">
        <f>IF($C34="","",IFERROR(IF(ISNA(VLOOKUP($C34,Données!$C$19:'Données'!$I$48,7,0)), ,VLOOKUP($C34,Données!$C$19:'Données'!$I$48,7,0)),"/"))</f>
        <v/>
      </c>
      <c r="AJ34" s="54" t="str">
        <f t="shared" si="7"/>
        <v/>
      </c>
      <c r="AK34" s="54">
        <f t="shared" si="8"/>
        <v>0</v>
      </c>
      <c r="AL34" s="54">
        <f t="shared" si="9"/>
        <v>0</v>
      </c>
      <c r="AM34" s="49" t="str">
        <f t="shared" si="10"/>
        <v/>
      </c>
      <c r="AN34" s="49">
        <f t="shared" si="11"/>
        <v>0</v>
      </c>
      <c r="AO34" s="49" t="str">
        <f t="shared" si="12"/>
        <v/>
      </c>
      <c r="AP34" s="54" t="str">
        <f t="shared" si="13"/>
        <v/>
      </c>
      <c r="AQ34" s="49">
        <f t="shared" si="14"/>
        <v>0</v>
      </c>
      <c r="AR34" s="69">
        <f t="shared" si="15"/>
        <v>0</v>
      </c>
      <c r="AS34" s="49">
        <f t="shared" si="16"/>
        <v>0</v>
      </c>
      <c r="AT34" s="49" t="str">
        <f>IFERROR(VLOOKUP($C34,Données!$C$19:'Données'!$I$48,3,0),"")</f>
        <v/>
      </c>
      <c r="AU34" s="49">
        <f t="shared" si="17"/>
        <v>0</v>
      </c>
      <c r="AV34" s="49">
        <f t="shared" si="18"/>
        <v>0</v>
      </c>
      <c r="AW34" s="49">
        <f t="shared" si="19"/>
        <v>0</v>
      </c>
      <c r="AX34" s="49">
        <f t="shared" si="20"/>
        <v>0</v>
      </c>
      <c r="AY34" s="49">
        <f t="shared" si="21"/>
        <v>0</v>
      </c>
      <c r="AZ34" s="49">
        <f t="shared" si="22"/>
        <v>0</v>
      </c>
      <c r="BA34" s="49">
        <f t="shared" si="23"/>
        <v>0</v>
      </c>
      <c r="BB34" s="49">
        <f t="shared" si="24"/>
        <v>0</v>
      </c>
      <c r="BC34" s="49">
        <f t="shared" si="25"/>
        <v>0</v>
      </c>
      <c r="BD34" s="49">
        <f t="shared" si="26"/>
        <v>0</v>
      </c>
      <c r="BE34" s="49">
        <f t="shared" si="27"/>
        <v>0</v>
      </c>
      <c r="BF34" s="49" t="str">
        <f>TEXT('Feuille Saisie'!$B$4,"aaaa")</f>
        <v>2019</v>
      </c>
      <c r="BG34" s="49" t="str">
        <f>IF($Q34="",TEXT('Feuille Saisie'!$B$4,"aaaa"),TEXT($Q34,"aaaa"))</f>
        <v>2019</v>
      </c>
      <c r="BH34" s="49">
        <f t="shared" si="28"/>
        <v>0</v>
      </c>
      <c r="BI34" s="49">
        <f t="shared" si="29"/>
        <v>1</v>
      </c>
      <c r="BJ34" s="49" t="str">
        <f t="shared" si="30"/>
        <v/>
      </c>
      <c r="BK34" s="49">
        <f t="shared" si="31"/>
        <v>0</v>
      </c>
      <c r="BL34" s="46" t="str">
        <f t="shared" si="32"/>
        <v/>
      </c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 t="str">
        <f t="shared" si="33"/>
        <v/>
      </c>
      <c r="CZ34" s="49">
        <f t="shared" si="34"/>
        <v>0</v>
      </c>
      <c r="DA34" s="49" t="str">
        <f t="shared" si="35"/>
        <v/>
      </c>
      <c r="DB34" s="54">
        <f t="shared" si="36"/>
        <v>0</v>
      </c>
      <c r="DC34" s="49" t="str">
        <f>TEXT('Feuille Saisie'!$B$4,"aaaa")</f>
        <v>2019</v>
      </c>
      <c r="DD34" s="49" t="str">
        <f>IF($J34="",TEXT('Feuille Saisie'!$B$4,"aaaa"),TEXT($J34,"aaaa"))</f>
        <v>2019</v>
      </c>
      <c r="DE34" s="49">
        <f t="shared" si="37"/>
        <v>0</v>
      </c>
      <c r="DF34" s="49">
        <f t="shared" si="38"/>
        <v>0</v>
      </c>
      <c r="DG34" s="97" t="str">
        <f>TEXT(IFERROR(VLOOKUP($C34,Données!$C$19:'Données'!$I$48,4,0),""),"aaaa")</f>
        <v/>
      </c>
      <c r="DH34" s="49">
        <f t="shared" si="39"/>
        <v>0</v>
      </c>
      <c r="DI34" s="49">
        <f t="shared" si="40"/>
        <v>1</v>
      </c>
      <c r="DJ34" s="49">
        <f t="shared" si="41"/>
        <v>0</v>
      </c>
      <c r="DK34" s="49">
        <f t="shared" si="42"/>
        <v>0</v>
      </c>
      <c r="DL34" s="49">
        <f t="shared" si="43"/>
        <v>0</v>
      </c>
      <c r="DM34" s="49" t="str">
        <f>IF($T34="",TEXT('Feuille Saisie'!$B$4,"aaaa"),TEXT($T34,"aaaa"))</f>
        <v>2019</v>
      </c>
      <c r="DN34" s="49">
        <f t="shared" si="44"/>
        <v>0</v>
      </c>
      <c r="DO34" s="49">
        <f t="shared" si="45"/>
        <v>0</v>
      </c>
      <c r="EA34" s="49" t="str">
        <f>IFERROR(VLOOKUP($C34,Données!$C$19:'Données'!$I$48,3,0),"")</f>
        <v/>
      </c>
      <c r="EB34" s="49" t="str">
        <f t="shared" si="46"/>
        <v xml:space="preserve"> </v>
      </c>
      <c r="EC34" s="49" t="str">
        <f t="shared" si="47"/>
        <v xml:space="preserve"> </v>
      </c>
      <c r="ED34" s="49" t="str">
        <f t="shared" si="48"/>
        <v xml:space="preserve"> </v>
      </c>
      <c r="EE34" s="49" t="str">
        <f t="shared" si="49"/>
        <v xml:space="preserve"> </v>
      </c>
      <c r="EF34" s="49">
        <f t="shared" si="50"/>
        <v>0</v>
      </c>
      <c r="FA34" s="54" t="str">
        <f>IF($C34="","",IFERROR(IF(ISNA(VLOOKUP($C34,'Bilan final GPA HN'!$C$29:'Bilan final GPA HN'!$X$43,22,0)), ,VLOOKUP($C34,'Bilan final GPA HN'!$C$29:'Bilan final GPA HN'!$X$43,22,0)),"/"))</f>
        <v/>
      </c>
      <c r="FB34" s="54" t="str">
        <f>IF($C34="","",IFERROR(IF(ISNA(VLOOKUP($C34,'Bilan final GPA HR'!$C$29:'Bilan final GPA HR'!$X$43,22,0)), ,VLOOKUP($C34,'Bilan final GPA HR'!$C$29:'Bilan final GPA HR'!$X$43,22,0)),"/"))</f>
        <v/>
      </c>
      <c r="FC34" s="54" t="str">
        <f>IF($C34="","",IFERROR(IF(ISNA(VLOOKUP($C34,'Bilan final GPA OF'!$C$29:'Bilan final GPA OF'!$X$43,22,0)), ,VLOOKUP($C34,'Bilan final GPA OF'!$C$29:'Bilan final GPA OF'!$X$43,22,0)),"/"))</f>
        <v/>
      </c>
      <c r="FD34" s="54" t="str">
        <f>IF($C34="","",IFERROR(IF(ISNA(VLOOKUP($C34,'Bilan final GPA IE'!$C$29:'Bilan final GPA IE'!$X$43,22,0)), ,VLOOKUP($C34,'Bilan final GPA IE'!$C$29:'Bilan final GPA IE'!$X$43,22,0)),"/"))</f>
        <v/>
      </c>
      <c r="FE34" s="115">
        <f t="shared" si="51"/>
        <v>0</v>
      </c>
      <c r="FF34" s="116" t="s">
        <v>97</v>
      </c>
      <c r="FG34" s="117" t="str">
        <f t="shared" si="52"/>
        <v/>
      </c>
    </row>
    <row r="35" spans="1:163" ht="50.1" customHeight="1" x14ac:dyDescent="0.3">
      <c r="A35" s="1"/>
      <c r="B35" s="1"/>
      <c r="C35" s="84"/>
      <c r="D35" s="41">
        <f>IF(IF(ISNA(('Feuille Saisie'!$B$4-VLOOKUP($C35,Données!$C$19:'Données'!$I$48,4,0)))/365.24*100, ,('Feuille Saisie'!$B$4-VLOOKUP($C35,Données!$C$19:'Données'!$I$48,4,0))/365.24*100)&lt;100,IF(ISNA(('Feuille Saisie'!$B$4-VLOOKUP($C35,Données!$C$19:'Données'!$I$48,4,0)))/365.24*100, ,('Feuille Saisie'!$B$4-VLOOKUP($C35,Données!$C$19:'Données'!$I$48,4,0))/365.24*100),100)</f>
        <v>0</v>
      </c>
      <c r="E35" s="19"/>
      <c r="F35" s="42" t="str">
        <f>IF(ISNA(IF(AND($E35=0,VLOOKUP($C35,Données!$C$19:'Données'!$I$48,6,0)&lt;&gt;""),"0,00",IFERROR(IF(ISNA($E35/VLOOKUP($C35,Données!$C$19:'Données'!$I$48,6,0)), ,$E35/VLOOKUP($C35,Données!$C$19:'Données'!$I$48,6,0)),"/"))),"",IF(AND($E35=0,VLOOKUP($C35,Données!$C$19:'Données'!$I$48,6,0)&lt;&gt;""),"0,00",IFERROR(IF(ISNA($E35/VLOOKUP($C35,Données!$C$19:'Données'!$I$48,6,0)), ,$E35/VLOOKUP($C35,Données!$C$19:'Données'!$I$48,6,0)),"/")))</f>
        <v/>
      </c>
      <c r="G35" s="42" t="str">
        <f>IF(ISNA(IF(AND($E35=0,VLOOKUP($C35,Données!$C$19:'Données'!$I$48,7,0)&lt;&gt;""),"0,00",IFERROR(IF(ISNA($E35/VLOOKUP($C35,Données!$C$19:'Données'!$I$48,7,0)*100),,$E35/VLOOKUP($C35,Données!$C$19:'Données'!$I$48,7,0)*100),"/"))),"",IF(AND($E35=0,VLOOKUP($C35,Données!$C$19:'Données'!$I$48,7,0)&lt;&gt;""),"0,00",IFERROR(IF(ISNA($E35/VLOOKUP($C35,Données!$C$19:'Données'!$I$48,7,0)*100),,$E35/VLOOKUP($C35,Données!$C$19:'Données'!$I$48,7,0)*100),"/")))</f>
        <v/>
      </c>
      <c r="H35" s="33"/>
      <c r="I35" s="43" t="str">
        <f>IF($C35&lt;&gt;"",IF($E35=0,"/",IF(ISNA($H35-VLOOKUP($C35,Données!$C$19:'Données'!$I$48,4,0)), ,$H35-VLOOKUP($C35,Données!$C$19:'Données'!$I$48,4,0))),"")</f>
        <v/>
      </c>
      <c r="J35" s="33"/>
      <c r="K35" s="43" t="str">
        <f>IF($C35&lt;&gt;"",IF(ISNA($J35-VLOOKUP($C35,Données!$C$19:'Données'!$I$48,4,0)), ,$J35-VLOOKUP($C35,Données!$C$19:'Données'!$I$48,4,0)),"")</f>
        <v/>
      </c>
      <c r="L35" s="32"/>
      <c r="M35" s="19"/>
      <c r="N35" s="32"/>
      <c r="O35" s="19"/>
      <c r="P35" s="19"/>
      <c r="Q35" s="33"/>
      <c r="R35" s="43" t="str">
        <f>IF($C35&lt;&gt;"",IF($D35&lt;&gt;100,"/",IF(ISNA($Q35-VLOOKUP($C35,Données!$C$19:'Données'!$I$48,4,0)), ,$Q35-VLOOKUP($C35,Données!$C$19:'Données'!$I$48,4,0))),"")</f>
        <v/>
      </c>
      <c r="S35" s="38"/>
      <c r="T35" s="33"/>
      <c r="U35" s="43" t="str">
        <f>IF($C35&lt;&gt;"",IF($J35="","/",IF(ISNA($T35-VLOOKUP($C35,Données!$C$19:'Données'!$I$48,4,0)), ,$T35-VLOOKUP($C35,Données!$C$19:'Données'!$I$48,4,0))),"")</f>
        <v/>
      </c>
      <c r="V35" s="1"/>
      <c r="W35" s="1"/>
      <c r="X35" s="49"/>
      <c r="Y35" s="46" t="str">
        <f t="shared" si="0"/>
        <v/>
      </c>
      <c r="Z35" s="47" t="s">
        <v>39</v>
      </c>
      <c r="AA35" s="46" t="str">
        <f t="shared" si="1"/>
        <v/>
      </c>
      <c r="AB35" s="48" t="s">
        <v>40</v>
      </c>
      <c r="AC35" s="49">
        <f t="shared" si="2"/>
        <v>1</v>
      </c>
      <c r="AD35" s="49">
        <f t="shared" si="3"/>
        <v>1</v>
      </c>
      <c r="AE35" s="49">
        <f t="shared" si="4"/>
        <v>1</v>
      </c>
      <c r="AF35" s="49">
        <f t="shared" si="5"/>
        <v>1</v>
      </c>
      <c r="AG35" s="50">
        <f t="shared" si="6"/>
        <v>0</v>
      </c>
      <c r="AH35" s="54" t="str">
        <f>IF($C35="","",IFERROR(IF(ISNA(VLOOKUP($C35,Données!$C$19:'Données'!$I$48,6,0)), ,VLOOKUP($C35,Données!$C$19:'Données'!$I$48,6,0)),"/"))</f>
        <v/>
      </c>
      <c r="AI35" s="54" t="str">
        <f>IF($C35="","",IFERROR(IF(ISNA(VLOOKUP($C35,Données!$C$19:'Données'!$I$48,7,0)), ,VLOOKUP($C35,Données!$C$19:'Données'!$I$48,7,0)),"/"))</f>
        <v/>
      </c>
      <c r="AJ35" s="54" t="str">
        <f t="shared" si="7"/>
        <v/>
      </c>
      <c r="AK35" s="54">
        <f t="shared" si="8"/>
        <v>0</v>
      </c>
      <c r="AL35" s="54">
        <f t="shared" si="9"/>
        <v>0</v>
      </c>
      <c r="AM35" s="49" t="str">
        <f t="shared" si="10"/>
        <v/>
      </c>
      <c r="AN35" s="49">
        <f t="shared" si="11"/>
        <v>0</v>
      </c>
      <c r="AO35" s="49" t="str">
        <f t="shared" si="12"/>
        <v/>
      </c>
      <c r="AP35" s="54" t="str">
        <f t="shared" si="13"/>
        <v/>
      </c>
      <c r="AQ35" s="49">
        <f t="shared" si="14"/>
        <v>0</v>
      </c>
      <c r="AR35" s="69">
        <f t="shared" si="15"/>
        <v>0</v>
      </c>
      <c r="AS35" s="49">
        <f t="shared" si="16"/>
        <v>0</v>
      </c>
      <c r="AT35" s="49" t="str">
        <f>IFERROR(VLOOKUP($C35,Données!$C$19:'Données'!$I$48,3,0),"")</f>
        <v/>
      </c>
      <c r="AU35" s="49">
        <f t="shared" si="17"/>
        <v>0</v>
      </c>
      <c r="AV35" s="49">
        <f t="shared" si="18"/>
        <v>0</v>
      </c>
      <c r="AW35" s="49">
        <f t="shared" si="19"/>
        <v>0</v>
      </c>
      <c r="AX35" s="49">
        <f t="shared" si="20"/>
        <v>0</v>
      </c>
      <c r="AY35" s="49">
        <f t="shared" si="21"/>
        <v>0</v>
      </c>
      <c r="AZ35" s="49">
        <f t="shared" si="22"/>
        <v>0</v>
      </c>
      <c r="BA35" s="49">
        <f t="shared" si="23"/>
        <v>0</v>
      </c>
      <c r="BB35" s="49">
        <f t="shared" si="24"/>
        <v>0</v>
      </c>
      <c r="BC35" s="49">
        <f t="shared" si="25"/>
        <v>0</v>
      </c>
      <c r="BD35" s="49">
        <f t="shared" si="26"/>
        <v>0</v>
      </c>
      <c r="BE35" s="49">
        <f t="shared" si="27"/>
        <v>0</v>
      </c>
      <c r="BF35" s="49" t="str">
        <f>TEXT('Feuille Saisie'!$B$4,"aaaa")</f>
        <v>2019</v>
      </c>
      <c r="BG35" s="49" t="str">
        <f>IF($Q35="",TEXT('Feuille Saisie'!$B$4,"aaaa"),TEXT($Q35,"aaaa"))</f>
        <v>2019</v>
      </c>
      <c r="BH35" s="49">
        <f t="shared" si="28"/>
        <v>0</v>
      </c>
      <c r="BI35" s="49">
        <f t="shared" si="29"/>
        <v>1</v>
      </c>
      <c r="BJ35" s="49" t="str">
        <f t="shared" si="30"/>
        <v/>
      </c>
      <c r="BK35" s="49">
        <f t="shared" si="31"/>
        <v>0</v>
      </c>
      <c r="BL35" s="46" t="str">
        <f t="shared" si="32"/>
        <v/>
      </c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 t="str">
        <f t="shared" si="33"/>
        <v/>
      </c>
      <c r="CZ35" s="49">
        <f t="shared" si="34"/>
        <v>0</v>
      </c>
      <c r="DA35" s="49" t="str">
        <f t="shared" si="35"/>
        <v/>
      </c>
      <c r="DB35" s="54">
        <f t="shared" si="36"/>
        <v>0</v>
      </c>
      <c r="DC35" s="49" t="str">
        <f>TEXT('Feuille Saisie'!$B$4,"aaaa")</f>
        <v>2019</v>
      </c>
      <c r="DD35" s="49" t="str">
        <f>IF($J35="",TEXT('Feuille Saisie'!$B$4,"aaaa"),TEXT($J35,"aaaa"))</f>
        <v>2019</v>
      </c>
      <c r="DE35" s="49">
        <f t="shared" si="37"/>
        <v>0</v>
      </c>
      <c r="DF35" s="49">
        <f t="shared" si="38"/>
        <v>0</v>
      </c>
      <c r="DG35" s="97" t="str">
        <f>TEXT(IFERROR(VLOOKUP($C35,Données!$C$19:'Données'!$I$48,4,0),""),"aaaa")</f>
        <v/>
      </c>
      <c r="DH35" s="49">
        <f t="shared" si="39"/>
        <v>0</v>
      </c>
      <c r="DI35" s="49">
        <f t="shared" si="40"/>
        <v>1</v>
      </c>
      <c r="DJ35" s="49">
        <f t="shared" si="41"/>
        <v>0</v>
      </c>
      <c r="DK35" s="49">
        <f t="shared" si="42"/>
        <v>0</v>
      </c>
      <c r="DL35" s="49">
        <f t="shared" si="43"/>
        <v>0</v>
      </c>
      <c r="DM35" s="49" t="str">
        <f>IF($T35="",TEXT('Feuille Saisie'!$B$4,"aaaa"),TEXT($T35,"aaaa"))</f>
        <v>2019</v>
      </c>
      <c r="DN35" s="49">
        <f t="shared" si="44"/>
        <v>0</v>
      </c>
      <c r="DO35" s="49">
        <f t="shared" si="45"/>
        <v>0</v>
      </c>
      <c r="EA35" s="49" t="str">
        <f>IFERROR(VLOOKUP($C35,Données!$C$19:'Données'!$I$48,3,0),"")</f>
        <v/>
      </c>
      <c r="EB35" s="49" t="str">
        <f t="shared" si="46"/>
        <v xml:space="preserve"> </v>
      </c>
      <c r="EC35" s="49" t="str">
        <f t="shared" si="47"/>
        <v xml:space="preserve"> </v>
      </c>
      <c r="ED35" s="49" t="str">
        <f t="shared" si="48"/>
        <v xml:space="preserve"> </v>
      </c>
      <c r="EE35" s="49" t="str">
        <f t="shared" si="49"/>
        <v xml:space="preserve"> </v>
      </c>
      <c r="EF35" s="49">
        <f t="shared" si="50"/>
        <v>0</v>
      </c>
      <c r="FA35" s="54" t="str">
        <f>IF($C35="","",IFERROR(IF(ISNA(VLOOKUP($C35,'Bilan final GPA HN'!$C$29:'Bilan final GPA HN'!$X$43,22,0)), ,VLOOKUP($C35,'Bilan final GPA HN'!$C$29:'Bilan final GPA HN'!$X$43,22,0)),"/"))</f>
        <v/>
      </c>
      <c r="FB35" s="54" t="str">
        <f>IF($C35="","",IFERROR(IF(ISNA(VLOOKUP($C35,'Bilan final GPA HR'!$C$29:'Bilan final GPA HR'!$X$43,22,0)), ,VLOOKUP($C35,'Bilan final GPA HR'!$C$29:'Bilan final GPA HR'!$X$43,22,0)),"/"))</f>
        <v/>
      </c>
      <c r="FC35" s="54" t="str">
        <f>IF($C35="","",IFERROR(IF(ISNA(VLOOKUP($C35,'Bilan final GPA OF'!$C$29:'Bilan final GPA OF'!$X$43,22,0)), ,VLOOKUP($C35,'Bilan final GPA OF'!$C$29:'Bilan final GPA OF'!$X$43,22,0)),"/"))</f>
        <v/>
      </c>
      <c r="FD35" s="54" t="str">
        <f>IF($C35="","",IFERROR(IF(ISNA(VLOOKUP($C35,'Bilan final GPA IE'!$C$29:'Bilan final GPA IE'!$X$43,22,0)), ,VLOOKUP($C35,'Bilan final GPA IE'!$C$29:'Bilan final GPA IE'!$X$43,22,0)),"/"))</f>
        <v/>
      </c>
      <c r="FE35" s="115">
        <f t="shared" si="51"/>
        <v>0</v>
      </c>
      <c r="FF35" s="116" t="s">
        <v>97</v>
      </c>
      <c r="FG35" s="117" t="str">
        <f t="shared" si="52"/>
        <v/>
      </c>
    </row>
    <row r="36" spans="1:163" ht="50.1" customHeight="1" x14ac:dyDescent="0.3">
      <c r="A36" s="1"/>
      <c r="B36" s="1"/>
      <c r="C36" s="15"/>
      <c r="D36" s="41">
        <f>IF(IF(ISNA(('Feuille Saisie'!$B$4-VLOOKUP($C36,Données!$C$19:'Données'!$I$48,4,0)))/365.24*100, ,('Feuille Saisie'!$B$4-VLOOKUP($C36,Données!$C$19:'Données'!$I$48,4,0))/365.24*100)&lt;100,IF(ISNA(('Feuille Saisie'!$B$4-VLOOKUP($C36,Données!$C$19:'Données'!$I$48,4,0)))/365.24*100, ,('Feuille Saisie'!$B$4-VLOOKUP($C36,Données!$C$19:'Données'!$I$48,4,0))/365.24*100),100)</f>
        <v>0</v>
      </c>
      <c r="E36" s="19"/>
      <c r="F36" s="42" t="str">
        <f>IF(ISNA(IF(AND($E36=0,VLOOKUP($C36,Données!$C$19:'Données'!$I$48,6,0)&lt;&gt;""),"0,00",IFERROR(IF(ISNA($E36/VLOOKUP($C36,Données!$C$19:'Données'!$I$48,6,0)), ,$E36/VLOOKUP($C36,Données!$C$19:'Données'!$I$48,6,0)),"/"))),"",IF(AND($E36=0,VLOOKUP($C36,Données!$C$19:'Données'!$I$48,6,0)&lt;&gt;""),"0,00",IFERROR(IF(ISNA($E36/VLOOKUP($C36,Données!$C$19:'Données'!$I$48,6,0)), ,$E36/VLOOKUP($C36,Données!$C$19:'Données'!$I$48,6,0)),"/")))</f>
        <v/>
      </c>
      <c r="G36" s="42" t="str">
        <f>IF(ISNA(IF(AND($E36=0,VLOOKUP($C36,Données!$C$19:'Données'!$I$48,7,0)&lt;&gt;""),"0,00",IFERROR(IF(ISNA($E36/VLOOKUP($C36,Données!$C$19:'Données'!$I$48,7,0)*100),,$E36/VLOOKUP($C36,Données!$C$19:'Données'!$I$48,7,0)*100),"/"))),"",IF(AND($E36=0,VLOOKUP($C36,Données!$C$19:'Données'!$I$48,7,0)&lt;&gt;""),"0,00",IFERROR(IF(ISNA($E36/VLOOKUP($C36,Données!$C$19:'Données'!$I$48,7,0)*100),,$E36/VLOOKUP($C36,Données!$C$19:'Données'!$I$48,7,0)*100),"/")))</f>
        <v/>
      </c>
      <c r="H36" s="33"/>
      <c r="I36" s="43" t="str">
        <f>IF($C36&lt;&gt;"",IF($E36=0,"/",IF(ISNA($H36-VLOOKUP($C36,Données!$C$19:'Données'!$I$48,4,0)), ,$H36-VLOOKUP($C36,Données!$C$19:'Données'!$I$48,4,0))),"")</f>
        <v/>
      </c>
      <c r="J36" s="33"/>
      <c r="K36" s="43" t="str">
        <f>IF($C36&lt;&gt;"",IF(ISNA($J36-VLOOKUP($C36,Données!$C$19:'Données'!$I$48,4,0)), ,$J36-VLOOKUP($C36,Données!$C$19:'Données'!$I$48,4,0)),"")</f>
        <v/>
      </c>
      <c r="L36" s="32"/>
      <c r="M36" s="19"/>
      <c r="N36" s="31"/>
      <c r="O36" s="95"/>
      <c r="P36" s="95"/>
      <c r="Q36" s="33"/>
      <c r="R36" s="43" t="str">
        <f>IF($C36&lt;&gt;"",IF($D36&lt;&gt;100,"/",IF(ISNA($Q36-VLOOKUP($C36,Données!$C$19:'Données'!$I$48,4,0)), ,$Q36-VLOOKUP($C36,Données!$C$19:'Données'!$I$48,4,0))),"")</f>
        <v/>
      </c>
      <c r="S36" s="38"/>
      <c r="T36" s="33"/>
      <c r="U36" s="43" t="str">
        <f>IF($C36&lt;&gt;"",IF($J36="","/",IF(ISNA($T36-VLOOKUP($C36,Données!$C$19:'Données'!$I$48,4,0)), ,$T36-VLOOKUP($C36,Données!$C$19:'Données'!$I$48,4,0))),"")</f>
        <v/>
      </c>
      <c r="V36" s="1"/>
      <c r="W36" s="1"/>
      <c r="X36" s="49"/>
      <c r="Y36" s="46" t="str">
        <f t="shared" si="0"/>
        <v/>
      </c>
      <c r="Z36" s="47" t="s">
        <v>39</v>
      </c>
      <c r="AA36" s="46" t="str">
        <f t="shared" si="1"/>
        <v/>
      </c>
      <c r="AB36" s="48" t="s">
        <v>40</v>
      </c>
      <c r="AC36" s="49">
        <f t="shared" si="2"/>
        <v>1</v>
      </c>
      <c r="AD36" s="49">
        <f t="shared" si="3"/>
        <v>1</v>
      </c>
      <c r="AE36" s="49">
        <f t="shared" si="4"/>
        <v>1</v>
      </c>
      <c r="AF36" s="49">
        <f t="shared" si="5"/>
        <v>1</v>
      </c>
      <c r="AG36" s="50">
        <f t="shared" si="6"/>
        <v>0</v>
      </c>
      <c r="AH36" s="54" t="str">
        <f>IF($C36="","",IFERROR(IF(ISNA(VLOOKUP($C36,Données!$C$19:'Données'!$I$48,6,0)), ,VLOOKUP($C36,Données!$C$19:'Données'!$I$48,6,0)),"/"))</f>
        <v/>
      </c>
      <c r="AI36" s="54" t="str">
        <f>IF($C36="","",IFERROR(IF(ISNA(VLOOKUP($C36,Données!$C$19:'Données'!$I$48,7,0)), ,VLOOKUP($C36,Données!$C$19:'Données'!$I$48,7,0)),"/"))</f>
        <v/>
      </c>
      <c r="AJ36" s="54" t="str">
        <f t="shared" si="7"/>
        <v/>
      </c>
      <c r="AK36" s="54">
        <f t="shared" si="8"/>
        <v>0</v>
      </c>
      <c r="AL36" s="54">
        <f t="shared" si="9"/>
        <v>0</v>
      </c>
      <c r="AM36" s="49" t="str">
        <f t="shared" si="10"/>
        <v/>
      </c>
      <c r="AN36" s="49">
        <f t="shared" si="11"/>
        <v>0</v>
      </c>
      <c r="AO36" s="49" t="str">
        <f t="shared" si="12"/>
        <v/>
      </c>
      <c r="AP36" s="54" t="str">
        <f t="shared" si="13"/>
        <v/>
      </c>
      <c r="AQ36" s="49">
        <f t="shared" si="14"/>
        <v>0</v>
      </c>
      <c r="AR36" s="69">
        <f t="shared" si="15"/>
        <v>0</v>
      </c>
      <c r="AS36" s="49">
        <f t="shared" si="16"/>
        <v>0</v>
      </c>
      <c r="AT36" s="49" t="str">
        <f>IFERROR(VLOOKUP($C36,Données!$C$19:'Données'!$I$48,3,0),"")</f>
        <v/>
      </c>
      <c r="AU36" s="49">
        <f t="shared" si="17"/>
        <v>0</v>
      </c>
      <c r="AV36" s="49">
        <f t="shared" si="18"/>
        <v>0</v>
      </c>
      <c r="AW36" s="49">
        <f t="shared" si="19"/>
        <v>0</v>
      </c>
      <c r="AX36" s="49">
        <f t="shared" si="20"/>
        <v>0</v>
      </c>
      <c r="AY36" s="49">
        <f t="shared" si="21"/>
        <v>0</v>
      </c>
      <c r="AZ36" s="49">
        <f t="shared" si="22"/>
        <v>0</v>
      </c>
      <c r="BA36" s="49">
        <f t="shared" si="23"/>
        <v>0</v>
      </c>
      <c r="BB36" s="49">
        <f t="shared" si="24"/>
        <v>0</v>
      </c>
      <c r="BC36" s="49">
        <f t="shared" si="25"/>
        <v>0</v>
      </c>
      <c r="BD36" s="49">
        <f t="shared" si="26"/>
        <v>0</v>
      </c>
      <c r="BE36" s="49">
        <f t="shared" si="27"/>
        <v>0</v>
      </c>
      <c r="BF36" s="49" t="str">
        <f>TEXT('Feuille Saisie'!$B$4,"aaaa")</f>
        <v>2019</v>
      </c>
      <c r="BG36" s="49" t="str">
        <f>IF($Q36="",TEXT('Feuille Saisie'!$B$4,"aaaa"),TEXT($Q36,"aaaa"))</f>
        <v>2019</v>
      </c>
      <c r="BH36" s="49">
        <f t="shared" si="28"/>
        <v>0</v>
      </c>
      <c r="BI36" s="49">
        <f t="shared" si="29"/>
        <v>1</v>
      </c>
      <c r="BJ36" s="49" t="str">
        <f t="shared" si="30"/>
        <v/>
      </c>
      <c r="BK36" s="49">
        <f t="shared" si="31"/>
        <v>0</v>
      </c>
      <c r="BL36" s="46" t="str">
        <f t="shared" si="32"/>
        <v/>
      </c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 t="str">
        <f t="shared" si="33"/>
        <v/>
      </c>
      <c r="CZ36" s="49">
        <f t="shared" si="34"/>
        <v>0</v>
      </c>
      <c r="DA36" s="49" t="str">
        <f t="shared" si="35"/>
        <v/>
      </c>
      <c r="DB36" s="54">
        <f t="shared" si="36"/>
        <v>0</v>
      </c>
      <c r="DC36" s="49" t="str">
        <f>TEXT('Feuille Saisie'!$B$4,"aaaa")</f>
        <v>2019</v>
      </c>
      <c r="DD36" s="49" t="str">
        <f>IF($J36="",TEXT('Feuille Saisie'!$B$4,"aaaa"),TEXT($J36,"aaaa"))</f>
        <v>2019</v>
      </c>
      <c r="DE36" s="49">
        <f t="shared" si="37"/>
        <v>0</v>
      </c>
      <c r="DF36" s="49">
        <f t="shared" si="38"/>
        <v>0</v>
      </c>
      <c r="DG36" s="97" t="str">
        <f>TEXT(IFERROR(VLOOKUP($C36,Données!$C$19:'Données'!$I$48,4,0),""),"aaaa")</f>
        <v/>
      </c>
      <c r="DH36" s="49">
        <f t="shared" si="39"/>
        <v>0</v>
      </c>
      <c r="DI36" s="49">
        <f t="shared" si="40"/>
        <v>1</v>
      </c>
      <c r="DJ36" s="49">
        <f t="shared" si="41"/>
        <v>0</v>
      </c>
      <c r="DK36" s="49">
        <f t="shared" si="42"/>
        <v>0</v>
      </c>
      <c r="DL36" s="49">
        <f t="shared" si="43"/>
        <v>0</v>
      </c>
      <c r="DM36" s="49" t="str">
        <f>IF($T36="",TEXT('Feuille Saisie'!$B$4,"aaaa"),TEXT($T36,"aaaa"))</f>
        <v>2019</v>
      </c>
      <c r="DN36" s="49">
        <f t="shared" si="44"/>
        <v>0</v>
      </c>
      <c r="DO36" s="49">
        <f t="shared" si="45"/>
        <v>0</v>
      </c>
      <c r="EA36" s="49" t="str">
        <f>IFERROR(VLOOKUP($C36,Données!$C$19:'Données'!$I$48,3,0),"")</f>
        <v/>
      </c>
      <c r="EB36" s="49" t="str">
        <f t="shared" si="46"/>
        <v xml:space="preserve"> </v>
      </c>
      <c r="EC36" s="49" t="str">
        <f t="shared" si="47"/>
        <v xml:space="preserve"> </v>
      </c>
      <c r="ED36" s="49" t="str">
        <f t="shared" si="48"/>
        <v xml:space="preserve"> </v>
      </c>
      <c r="EE36" s="49" t="str">
        <f t="shared" si="49"/>
        <v xml:space="preserve"> </v>
      </c>
      <c r="EF36" s="49">
        <f t="shared" si="50"/>
        <v>0</v>
      </c>
      <c r="FA36" s="54" t="str">
        <f>IF($C36="","",IFERROR(IF(ISNA(VLOOKUP($C36,'Bilan final GPA HN'!$C$29:'Bilan final GPA HN'!$X$43,22,0)), ,VLOOKUP($C36,'Bilan final GPA HN'!$C$29:'Bilan final GPA HN'!$X$43,22,0)),"/"))</f>
        <v/>
      </c>
      <c r="FB36" s="54" t="str">
        <f>IF($C36="","",IFERROR(IF(ISNA(VLOOKUP($C36,'Bilan final GPA HR'!$C$29:'Bilan final GPA HR'!$X$43,22,0)), ,VLOOKUP($C36,'Bilan final GPA HR'!$C$29:'Bilan final GPA HR'!$X$43,22,0)),"/"))</f>
        <v/>
      </c>
      <c r="FC36" s="54" t="str">
        <f>IF($C36="","",IFERROR(IF(ISNA(VLOOKUP($C36,'Bilan final GPA OF'!$C$29:'Bilan final GPA OF'!$X$43,22,0)), ,VLOOKUP($C36,'Bilan final GPA OF'!$C$29:'Bilan final GPA OF'!$X$43,22,0)),"/"))</f>
        <v/>
      </c>
      <c r="FD36" s="54" t="str">
        <f>IF($C36="","",IFERROR(IF(ISNA(VLOOKUP($C36,'Bilan final GPA IE'!$C$29:'Bilan final GPA IE'!$X$43,22,0)), ,VLOOKUP($C36,'Bilan final GPA IE'!$C$29:'Bilan final GPA IE'!$X$43,22,0)),"/"))</f>
        <v/>
      </c>
      <c r="FE36" s="115">
        <f t="shared" si="51"/>
        <v>0</v>
      </c>
      <c r="FF36" s="116" t="s">
        <v>97</v>
      </c>
      <c r="FG36" s="117" t="str">
        <f t="shared" si="52"/>
        <v/>
      </c>
    </row>
    <row r="37" spans="1:163" ht="50.1" customHeight="1" x14ac:dyDescent="0.3">
      <c r="A37" s="1"/>
      <c r="B37" s="1"/>
      <c r="C37" s="15"/>
      <c r="D37" s="41">
        <f>IF(IF(ISNA(('Feuille Saisie'!$B$4-VLOOKUP($C37,Données!$C$19:'Données'!$I$48,4,0)))/365.24*100, ,('Feuille Saisie'!$B$4-VLOOKUP($C37,Données!$C$19:'Données'!$I$48,4,0))/365.24*100)&lt;100,IF(ISNA(('Feuille Saisie'!$B$4-VLOOKUP($C37,Données!$C$19:'Données'!$I$48,4,0)))/365.24*100, ,('Feuille Saisie'!$B$4-VLOOKUP($C37,Données!$C$19:'Données'!$I$48,4,0))/365.24*100),100)</f>
        <v>0</v>
      </c>
      <c r="E37" s="19"/>
      <c r="F37" s="42" t="str">
        <f>IF(ISNA(IF(AND($E37=0,VLOOKUP($C37,Données!$C$19:'Données'!$I$48,6,0)&lt;&gt;""),"0,00",IFERROR(IF(ISNA($E37/VLOOKUP($C37,Données!$C$19:'Données'!$I$48,6,0)), ,$E37/VLOOKUP($C37,Données!$C$19:'Données'!$I$48,6,0)),"/"))),"",IF(AND($E37=0,VLOOKUP($C37,Données!$C$19:'Données'!$I$48,6,0)&lt;&gt;""),"0,00",IFERROR(IF(ISNA($E37/VLOOKUP($C37,Données!$C$19:'Données'!$I$48,6,0)), ,$E37/VLOOKUP($C37,Données!$C$19:'Données'!$I$48,6,0)),"/")))</f>
        <v/>
      </c>
      <c r="G37" s="42" t="str">
        <f>IF(ISNA(IF(AND($E37=0,VLOOKUP($C37,Données!$C$19:'Données'!$I$48,7,0)&lt;&gt;""),"0,00",IFERROR(IF(ISNA($E37/VLOOKUP($C37,Données!$C$19:'Données'!$I$48,7,0)*100),,$E37/VLOOKUP($C37,Données!$C$19:'Données'!$I$48,7,0)*100),"/"))),"",IF(AND($E37=0,VLOOKUP($C37,Données!$C$19:'Données'!$I$48,7,0)&lt;&gt;""),"0,00",IFERROR(IF(ISNA($E37/VLOOKUP($C37,Données!$C$19:'Données'!$I$48,7,0)*100),,$E37/VLOOKUP($C37,Données!$C$19:'Données'!$I$48,7,0)*100),"/")))</f>
        <v/>
      </c>
      <c r="H37" s="33"/>
      <c r="I37" s="43" t="str">
        <f>IF($C37&lt;&gt;"",IF($E37=0,"/",IF(ISNA($H37-VLOOKUP($C37,Données!$C$19:'Données'!$I$48,4,0)), ,$H37-VLOOKUP($C37,Données!$C$19:'Données'!$I$48,4,0))),"")</f>
        <v/>
      </c>
      <c r="J37" s="33"/>
      <c r="K37" s="43" t="str">
        <f>IF($C37&lt;&gt;"",IF(ISNA($J37-VLOOKUP($C37,Données!$C$19:'Données'!$I$48,4,0)), ,$J37-VLOOKUP($C37,Données!$C$19:'Données'!$I$48,4,0)),"")</f>
        <v/>
      </c>
      <c r="L37" s="32"/>
      <c r="M37" s="19"/>
      <c r="N37" s="31"/>
      <c r="O37" s="95"/>
      <c r="P37" s="95"/>
      <c r="Q37" s="33"/>
      <c r="R37" s="43" t="str">
        <f>IF($C37&lt;&gt;"",IF($D37&lt;&gt;100,"/",IF(ISNA($Q37-VLOOKUP($C37,Données!$C$19:'Données'!$I$48,4,0)), ,$Q37-VLOOKUP($C37,Données!$C$19:'Données'!$I$48,4,0))),"")</f>
        <v/>
      </c>
      <c r="S37" s="16"/>
      <c r="T37" s="33"/>
      <c r="U37" s="43" t="str">
        <f>IF($C37&lt;&gt;"",IF($J37="","/",IF(ISNA($T37-VLOOKUP($C37,Données!$C$19:'Données'!$I$48,4,0)), ,$T37-VLOOKUP($C37,Données!$C$19:'Données'!$I$48,4,0))),"")</f>
        <v/>
      </c>
      <c r="V37" s="1"/>
      <c r="W37" s="1"/>
      <c r="X37" s="49"/>
      <c r="Y37" s="46" t="str">
        <f t="shared" si="0"/>
        <v/>
      </c>
      <c r="Z37" s="47" t="s">
        <v>39</v>
      </c>
      <c r="AA37" s="46" t="str">
        <f t="shared" si="1"/>
        <v/>
      </c>
      <c r="AB37" s="48" t="s">
        <v>40</v>
      </c>
      <c r="AC37" s="49">
        <f t="shared" si="2"/>
        <v>1</v>
      </c>
      <c r="AD37" s="49">
        <f t="shared" si="3"/>
        <v>1</v>
      </c>
      <c r="AE37" s="49">
        <f t="shared" si="4"/>
        <v>1</v>
      </c>
      <c r="AF37" s="49">
        <f t="shared" si="5"/>
        <v>1</v>
      </c>
      <c r="AG37" s="50">
        <f t="shared" si="6"/>
        <v>0</v>
      </c>
      <c r="AH37" s="54" t="str">
        <f>IF($C37="","",IFERROR(IF(ISNA(VLOOKUP($C37,Données!$C$19:'Données'!$I$48,6,0)), ,VLOOKUP($C37,Données!$C$19:'Données'!$I$48,6,0)),"/"))</f>
        <v/>
      </c>
      <c r="AI37" s="54" t="str">
        <f>IF($C37="","",IFERROR(IF(ISNA(VLOOKUP($C37,Données!$C$19:'Données'!$I$48,7,0)), ,VLOOKUP($C37,Données!$C$19:'Données'!$I$48,7,0)),"/"))</f>
        <v/>
      </c>
      <c r="AJ37" s="54" t="str">
        <f t="shared" si="7"/>
        <v/>
      </c>
      <c r="AK37" s="54">
        <f t="shared" si="8"/>
        <v>0</v>
      </c>
      <c r="AL37" s="54">
        <f t="shared" si="9"/>
        <v>0</v>
      </c>
      <c r="AM37" s="49" t="str">
        <f t="shared" si="10"/>
        <v/>
      </c>
      <c r="AN37" s="49">
        <f t="shared" si="11"/>
        <v>0</v>
      </c>
      <c r="AO37" s="49" t="str">
        <f t="shared" si="12"/>
        <v/>
      </c>
      <c r="AP37" s="54" t="str">
        <f t="shared" si="13"/>
        <v/>
      </c>
      <c r="AQ37" s="49">
        <f t="shared" si="14"/>
        <v>0</v>
      </c>
      <c r="AR37" s="69">
        <f t="shared" si="15"/>
        <v>0</v>
      </c>
      <c r="AS37" s="49">
        <f t="shared" si="16"/>
        <v>0</v>
      </c>
      <c r="AT37" s="49" t="str">
        <f>IFERROR(VLOOKUP($C37,Données!$C$19:'Données'!$I$48,3,0),"")</f>
        <v/>
      </c>
      <c r="AU37" s="49">
        <f t="shared" si="17"/>
        <v>0</v>
      </c>
      <c r="AV37" s="49">
        <f t="shared" si="18"/>
        <v>0</v>
      </c>
      <c r="AW37" s="49">
        <f t="shared" si="19"/>
        <v>0</v>
      </c>
      <c r="AX37" s="49">
        <f t="shared" si="20"/>
        <v>0</v>
      </c>
      <c r="AY37" s="49">
        <f t="shared" si="21"/>
        <v>0</v>
      </c>
      <c r="AZ37" s="49">
        <f t="shared" si="22"/>
        <v>0</v>
      </c>
      <c r="BA37" s="49">
        <f t="shared" si="23"/>
        <v>0</v>
      </c>
      <c r="BB37" s="49">
        <f t="shared" si="24"/>
        <v>0</v>
      </c>
      <c r="BC37" s="49">
        <f t="shared" si="25"/>
        <v>0</v>
      </c>
      <c r="BD37" s="49">
        <f t="shared" si="26"/>
        <v>0</v>
      </c>
      <c r="BE37" s="49">
        <f t="shared" si="27"/>
        <v>0</v>
      </c>
      <c r="BF37" s="49" t="str">
        <f>TEXT('Feuille Saisie'!$B$4,"aaaa")</f>
        <v>2019</v>
      </c>
      <c r="BG37" s="49" t="str">
        <f>IF($Q37="",TEXT('Feuille Saisie'!$B$4,"aaaa"),TEXT($Q37,"aaaa"))</f>
        <v>2019</v>
      </c>
      <c r="BH37" s="49">
        <f t="shared" si="28"/>
        <v>0</v>
      </c>
      <c r="BI37" s="49">
        <f t="shared" si="29"/>
        <v>1</v>
      </c>
      <c r="BJ37" s="49" t="str">
        <f t="shared" si="30"/>
        <v/>
      </c>
      <c r="BK37" s="49">
        <f t="shared" si="31"/>
        <v>0</v>
      </c>
      <c r="BL37" s="46" t="str">
        <f t="shared" si="32"/>
        <v/>
      </c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49" t="str">
        <f t="shared" si="33"/>
        <v/>
      </c>
      <c r="CZ37" s="49">
        <f t="shared" si="34"/>
        <v>0</v>
      </c>
      <c r="DA37" s="49" t="str">
        <f t="shared" si="35"/>
        <v/>
      </c>
      <c r="DB37" s="54">
        <f t="shared" si="36"/>
        <v>0</v>
      </c>
      <c r="DC37" s="49" t="str">
        <f>TEXT('Feuille Saisie'!$B$4,"aaaa")</f>
        <v>2019</v>
      </c>
      <c r="DD37" s="49" t="str">
        <f>IF($J37="",TEXT('Feuille Saisie'!$B$4,"aaaa"),TEXT($J37,"aaaa"))</f>
        <v>2019</v>
      </c>
      <c r="DE37" s="49">
        <f t="shared" si="37"/>
        <v>0</v>
      </c>
      <c r="DF37" s="49">
        <f t="shared" si="38"/>
        <v>0</v>
      </c>
      <c r="DG37" s="97" t="str">
        <f>TEXT(IFERROR(VLOOKUP($C37,Données!$C$19:'Données'!$I$48,4,0),""),"aaaa")</f>
        <v/>
      </c>
      <c r="DH37" s="49">
        <f t="shared" si="39"/>
        <v>0</v>
      </c>
      <c r="DI37" s="49">
        <f t="shared" si="40"/>
        <v>1</v>
      </c>
      <c r="DJ37" s="49">
        <f t="shared" si="41"/>
        <v>0</v>
      </c>
      <c r="DK37" s="49">
        <f t="shared" si="42"/>
        <v>0</v>
      </c>
      <c r="DL37" s="49">
        <f t="shared" si="43"/>
        <v>0</v>
      </c>
      <c r="DM37" s="49" t="str">
        <f>IF($T37="",TEXT('Feuille Saisie'!$B$4,"aaaa"),TEXT($T37,"aaaa"))</f>
        <v>2019</v>
      </c>
      <c r="DN37" s="49">
        <f t="shared" si="44"/>
        <v>0</v>
      </c>
      <c r="DO37" s="49">
        <f t="shared" si="45"/>
        <v>0</v>
      </c>
      <c r="EA37" s="49" t="str">
        <f>IFERROR(VLOOKUP($C37,Données!$C$19:'Données'!$I$48,3,0),"")</f>
        <v/>
      </c>
      <c r="EB37" s="49" t="str">
        <f t="shared" si="46"/>
        <v xml:space="preserve"> </v>
      </c>
      <c r="EC37" s="49" t="str">
        <f t="shared" si="47"/>
        <v xml:space="preserve"> </v>
      </c>
      <c r="ED37" s="49" t="str">
        <f t="shared" si="48"/>
        <v xml:space="preserve"> </v>
      </c>
      <c r="EE37" s="49" t="str">
        <f t="shared" si="49"/>
        <v xml:space="preserve"> </v>
      </c>
      <c r="EF37" s="49">
        <f t="shared" si="50"/>
        <v>0</v>
      </c>
      <c r="FA37" s="54" t="str">
        <f>IF($C37="","",IFERROR(IF(ISNA(VLOOKUP($C37,'Bilan final GPA HN'!$C$29:'Bilan final GPA HN'!$X$43,22,0)), ,VLOOKUP($C37,'Bilan final GPA HN'!$C$29:'Bilan final GPA HN'!$X$43,22,0)),"/"))</f>
        <v/>
      </c>
      <c r="FB37" s="54" t="str">
        <f>IF($C37="","",IFERROR(IF(ISNA(VLOOKUP($C37,'Bilan final GPA HR'!$C$29:'Bilan final GPA HR'!$X$43,22,0)), ,VLOOKUP($C37,'Bilan final GPA HR'!$C$29:'Bilan final GPA HR'!$X$43,22,0)),"/"))</f>
        <v/>
      </c>
      <c r="FC37" s="54" t="str">
        <f>IF($C37="","",IFERROR(IF(ISNA(VLOOKUP($C37,'Bilan final GPA OF'!$C$29:'Bilan final GPA OF'!$X$43,22,0)), ,VLOOKUP($C37,'Bilan final GPA OF'!$C$29:'Bilan final GPA OF'!$X$43,22,0)),"/"))</f>
        <v/>
      </c>
      <c r="FD37" s="54" t="str">
        <f>IF($C37="","",IFERROR(IF(ISNA(VLOOKUP($C37,'Bilan final GPA IE'!$C$29:'Bilan final GPA IE'!$X$43,22,0)), ,VLOOKUP($C37,'Bilan final GPA IE'!$C$29:'Bilan final GPA IE'!$X$43,22,0)),"/"))</f>
        <v/>
      </c>
      <c r="FE37" s="115">
        <f t="shared" si="51"/>
        <v>0</v>
      </c>
      <c r="FF37" s="116" t="s">
        <v>97</v>
      </c>
      <c r="FG37" s="117" t="str">
        <f t="shared" si="52"/>
        <v/>
      </c>
    </row>
    <row r="38" spans="1:163" ht="50.1" customHeight="1" x14ac:dyDescent="0.3">
      <c r="A38" s="1"/>
      <c r="B38" s="1"/>
      <c r="C38" s="15"/>
      <c r="D38" s="41">
        <f>IF(IF(ISNA(('Feuille Saisie'!$B$4-VLOOKUP($C38,Données!$C$19:'Données'!$I$48,4,0)))/365.24*100, ,('Feuille Saisie'!$B$4-VLOOKUP($C38,Données!$C$19:'Données'!$I$48,4,0))/365.24*100)&lt;100,IF(ISNA(('Feuille Saisie'!$B$4-VLOOKUP($C38,Données!$C$19:'Données'!$I$48,4,0)))/365.24*100, ,('Feuille Saisie'!$B$4-VLOOKUP($C38,Données!$C$19:'Données'!$I$48,4,0))/365.24*100),100)</f>
        <v>0</v>
      </c>
      <c r="E38" s="19"/>
      <c r="F38" s="42" t="str">
        <f>IF(ISNA(IF(AND($E38=0,VLOOKUP($C38,Données!$C$19:'Données'!$I$48,6,0)&lt;&gt;""),"0,00",IFERROR(IF(ISNA($E38/VLOOKUP($C38,Données!$C$19:'Données'!$I$48,6,0)), ,$E38/VLOOKUP($C38,Données!$C$19:'Données'!$I$48,6,0)),"/"))),"",IF(AND($E38=0,VLOOKUP($C38,Données!$C$19:'Données'!$I$48,6,0)&lt;&gt;""),"0,00",IFERROR(IF(ISNA($E38/VLOOKUP($C38,Données!$C$19:'Données'!$I$48,6,0)), ,$E38/VLOOKUP($C38,Données!$C$19:'Données'!$I$48,6,0)),"/")))</f>
        <v/>
      </c>
      <c r="G38" s="42" t="str">
        <f>IF(ISNA(IF(AND($E38=0,VLOOKUP($C38,Données!$C$19:'Données'!$I$48,7,0)&lt;&gt;""),"0,00",IFERROR(IF(ISNA($E38/VLOOKUP($C38,Données!$C$19:'Données'!$I$48,7,0)*100),,$E38/VLOOKUP($C38,Données!$C$19:'Données'!$I$48,7,0)*100),"/"))),"",IF(AND($E38=0,VLOOKUP($C38,Données!$C$19:'Données'!$I$48,7,0)&lt;&gt;""),"0,00",IFERROR(IF(ISNA($E38/VLOOKUP($C38,Données!$C$19:'Données'!$I$48,7,0)*100),,$E38/VLOOKUP($C38,Données!$C$19:'Données'!$I$48,7,0)*100),"/")))</f>
        <v/>
      </c>
      <c r="H38" s="33"/>
      <c r="I38" s="43" t="str">
        <f>IF($C38&lt;&gt;"",IF($E38=0,"/",IF(ISNA($H38-VLOOKUP($C38,Données!$C$19:'Données'!$I$48,4,0)), ,$H38-VLOOKUP($C38,Données!$C$19:'Données'!$I$48,4,0))),"")</f>
        <v/>
      </c>
      <c r="J38" s="33"/>
      <c r="K38" s="43" t="str">
        <f>IF($C38&lt;&gt;"",IF(ISNA($J38-VLOOKUP($C38,Données!$C$19:'Données'!$I$48,4,0)), ,$J38-VLOOKUP($C38,Données!$C$19:'Données'!$I$48,4,0)),"")</f>
        <v/>
      </c>
      <c r="L38" s="32"/>
      <c r="M38" s="19"/>
      <c r="N38" s="31"/>
      <c r="O38" s="95"/>
      <c r="P38" s="95"/>
      <c r="Q38" s="33"/>
      <c r="R38" s="43" t="str">
        <f>IF($C38&lt;&gt;"",IF($D38&lt;&gt;100,"/",IF(ISNA($Q38-VLOOKUP($C38,Données!$C$19:'Données'!$I$48,4,0)), ,$Q38-VLOOKUP($C38,Données!$C$19:'Données'!$I$48,4,0))),"")</f>
        <v/>
      </c>
      <c r="S38" s="16"/>
      <c r="T38" s="33"/>
      <c r="U38" s="43" t="str">
        <f>IF($C38&lt;&gt;"",IF($J38="","/",IF(ISNA($T38-VLOOKUP($C38,Données!$C$19:'Données'!$I$48,4,0)), ,$T38-VLOOKUP($C38,Données!$C$19:'Données'!$I$48,4,0))),"")</f>
        <v/>
      </c>
      <c r="V38" s="1"/>
      <c r="W38" s="1"/>
      <c r="X38" s="49"/>
      <c r="Y38" s="46" t="str">
        <f t="shared" si="0"/>
        <v/>
      </c>
      <c r="Z38" s="47" t="s">
        <v>39</v>
      </c>
      <c r="AA38" s="46" t="str">
        <f t="shared" si="1"/>
        <v/>
      </c>
      <c r="AB38" s="48" t="s">
        <v>40</v>
      </c>
      <c r="AC38" s="49">
        <f t="shared" si="2"/>
        <v>1</v>
      </c>
      <c r="AD38" s="49">
        <f t="shared" si="3"/>
        <v>1</v>
      </c>
      <c r="AE38" s="49">
        <f t="shared" si="4"/>
        <v>1</v>
      </c>
      <c r="AF38" s="49">
        <f t="shared" si="5"/>
        <v>1</v>
      </c>
      <c r="AG38" s="50">
        <f t="shared" si="6"/>
        <v>0</v>
      </c>
      <c r="AH38" s="54" t="str">
        <f>IF($C38="","",IFERROR(IF(ISNA(VLOOKUP($C38,Données!$C$19:'Données'!$I$48,6,0)), ,VLOOKUP($C38,Données!$C$19:'Données'!$I$48,6,0)),"/"))</f>
        <v/>
      </c>
      <c r="AI38" s="54" t="str">
        <f>IF($C38="","",IFERROR(IF(ISNA(VLOOKUP($C38,Données!$C$19:'Données'!$I$48,7,0)), ,VLOOKUP($C38,Données!$C$19:'Données'!$I$48,7,0)),"/"))</f>
        <v/>
      </c>
      <c r="AJ38" s="54" t="str">
        <f t="shared" si="7"/>
        <v/>
      </c>
      <c r="AK38" s="54">
        <f t="shared" si="8"/>
        <v>0</v>
      </c>
      <c r="AL38" s="54">
        <f t="shared" si="9"/>
        <v>0</v>
      </c>
      <c r="AM38" s="49" t="str">
        <f t="shared" si="10"/>
        <v/>
      </c>
      <c r="AN38" s="49">
        <f t="shared" si="11"/>
        <v>0</v>
      </c>
      <c r="AO38" s="49" t="str">
        <f t="shared" si="12"/>
        <v/>
      </c>
      <c r="AP38" s="54" t="str">
        <f t="shared" si="13"/>
        <v/>
      </c>
      <c r="AQ38" s="49">
        <f t="shared" si="14"/>
        <v>0</v>
      </c>
      <c r="AR38" s="69">
        <f t="shared" si="15"/>
        <v>0</v>
      </c>
      <c r="AS38" s="49">
        <f t="shared" si="16"/>
        <v>0</v>
      </c>
      <c r="AT38" s="49" t="str">
        <f>IFERROR(VLOOKUP($C38,Données!$C$19:'Données'!$I$48,3,0),"")</f>
        <v/>
      </c>
      <c r="AU38" s="49">
        <f t="shared" si="17"/>
        <v>0</v>
      </c>
      <c r="AV38" s="49">
        <f t="shared" si="18"/>
        <v>0</v>
      </c>
      <c r="AW38" s="49">
        <f t="shared" si="19"/>
        <v>0</v>
      </c>
      <c r="AX38" s="49">
        <f t="shared" si="20"/>
        <v>0</v>
      </c>
      <c r="AY38" s="49">
        <f t="shared" si="21"/>
        <v>0</v>
      </c>
      <c r="AZ38" s="49">
        <f t="shared" si="22"/>
        <v>0</v>
      </c>
      <c r="BA38" s="49">
        <f t="shared" si="23"/>
        <v>0</v>
      </c>
      <c r="BB38" s="49">
        <f t="shared" si="24"/>
        <v>0</v>
      </c>
      <c r="BC38" s="49">
        <f t="shared" si="25"/>
        <v>0</v>
      </c>
      <c r="BD38" s="49">
        <f t="shared" si="26"/>
        <v>0</v>
      </c>
      <c r="BE38" s="49">
        <f t="shared" si="27"/>
        <v>0</v>
      </c>
      <c r="BF38" s="49" t="str">
        <f>TEXT('Feuille Saisie'!$B$4,"aaaa")</f>
        <v>2019</v>
      </c>
      <c r="BG38" s="49" t="str">
        <f>IF($Q38="",TEXT('Feuille Saisie'!$B$4,"aaaa"),TEXT($Q38,"aaaa"))</f>
        <v>2019</v>
      </c>
      <c r="BH38" s="49">
        <f t="shared" si="28"/>
        <v>0</v>
      </c>
      <c r="BI38" s="49">
        <f t="shared" si="29"/>
        <v>1</v>
      </c>
      <c r="BJ38" s="49" t="str">
        <f t="shared" si="30"/>
        <v/>
      </c>
      <c r="BK38" s="49">
        <f t="shared" si="31"/>
        <v>0</v>
      </c>
      <c r="BL38" s="46" t="str">
        <f t="shared" si="32"/>
        <v/>
      </c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 t="str">
        <f t="shared" si="33"/>
        <v/>
      </c>
      <c r="CZ38" s="49">
        <f t="shared" si="34"/>
        <v>0</v>
      </c>
      <c r="DA38" s="49" t="str">
        <f t="shared" si="35"/>
        <v/>
      </c>
      <c r="DB38" s="54">
        <f t="shared" si="36"/>
        <v>0</v>
      </c>
      <c r="DC38" s="49" t="str">
        <f>TEXT('Feuille Saisie'!$B$4,"aaaa")</f>
        <v>2019</v>
      </c>
      <c r="DD38" s="49" t="str">
        <f>IF($J38="",TEXT('Feuille Saisie'!$B$4,"aaaa"),TEXT($J38,"aaaa"))</f>
        <v>2019</v>
      </c>
      <c r="DE38" s="49">
        <f t="shared" si="37"/>
        <v>0</v>
      </c>
      <c r="DF38" s="49">
        <f t="shared" si="38"/>
        <v>0</v>
      </c>
      <c r="DG38" s="97" t="str">
        <f>TEXT(IFERROR(VLOOKUP($C38,Données!$C$19:'Données'!$I$48,4,0),""),"aaaa")</f>
        <v/>
      </c>
      <c r="DH38" s="49">
        <f t="shared" si="39"/>
        <v>0</v>
      </c>
      <c r="DI38" s="49">
        <f t="shared" si="40"/>
        <v>1</v>
      </c>
      <c r="DJ38" s="49">
        <f t="shared" si="41"/>
        <v>0</v>
      </c>
      <c r="DK38" s="49">
        <f t="shared" si="42"/>
        <v>0</v>
      </c>
      <c r="DL38" s="49">
        <f t="shared" si="43"/>
        <v>0</v>
      </c>
      <c r="DM38" s="49" t="str">
        <f>IF($T38="",TEXT('Feuille Saisie'!$B$4,"aaaa"),TEXT($T38,"aaaa"))</f>
        <v>2019</v>
      </c>
      <c r="DN38" s="49">
        <f t="shared" si="44"/>
        <v>0</v>
      </c>
      <c r="DO38" s="49">
        <f t="shared" si="45"/>
        <v>0</v>
      </c>
      <c r="EA38" s="49" t="str">
        <f>IFERROR(VLOOKUP($C38,Données!$C$19:'Données'!$I$48,3,0),"")</f>
        <v/>
      </c>
      <c r="EB38" s="49" t="str">
        <f t="shared" si="46"/>
        <v xml:space="preserve"> </v>
      </c>
      <c r="EC38" s="49" t="str">
        <f t="shared" si="47"/>
        <v xml:space="preserve"> </v>
      </c>
      <c r="ED38" s="49" t="str">
        <f t="shared" si="48"/>
        <v xml:space="preserve"> </v>
      </c>
      <c r="EE38" s="49" t="str">
        <f t="shared" si="49"/>
        <v xml:space="preserve"> </v>
      </c>
      <c r="EF38" s="49">
        <f t="shared" si="50"/>
        <v>0</v>
      </c>
      <c r="FA38" s="54" t="str">
        <f>IF($C38="","",IFERROR(IF(ISNA(VLOOKUP($C38,'Bilan final GPA HN'!$C$29:'Bilan final GPA HN'!$X$43,22,0)), ,VLOOKUP($C38,'Bilan final GPA HN'!$C$29:'Bilan final GPA HN'!$X$43,22,0)),"/"))</f>
        <v/>
      </c>
      <c r="FB38" s="54" t="str">
        <f>IF($C38="","",IFERROR(IF(ISNA(VLOOKUP($C38,'Bilan final GPA HR'!$C$29:'Bilan final GPA HR'!$X$43,22,0)), ,VLOOKUP($C38,'Bilan final GPA HR'!$C$29:'Bilan final GPA HR'!$X$43,22,0)),"/"))</f>
        <v/>
      </c>
      <c r="FC38" s="54" t="str">
        <f>IF($C38="","",IFERROR(IF(ISNA(VLOOKUP($C38,'Bilan final GPA OF'!$C$29:'Bilan final GPA OF'!$X$43,22,0)), ,VLOOKUP($C38,'Bilan final GPA OF'!$C$29:'Bilan final GPA OF'!$X$43,22,0)),"/"))</f>
        <v/>
      </c>
      <c r="FD38" s="54" t="str">
        <f>IF($C38="","",IFERROR(IF(ISNA(VLOOKUP($C38,'Bilan final GPA IE'!$C$29:'Bilan final GPA IE'!$X$43,22,0)), ,VLOOKUP($C38,'Bilan final GPA IE'!$C$29:'Bilan final GPA IE'!$X$43,22,0)),"/"))</f>
        <v/>
      </c>
      <c r="FE38" s="115">
        <f t="shared" si="51"/>
        <v>0</v>
      </c>
      <c r="FF38" s="116" t="s">
        <v>97</v>
      </c>
      <c r="FG38" s="117" t="str">
        <f t="shared" si="52"/>
        <v/>
      </c>
    </row>
    <row r="39" spans="1:163" ht="50.1" customHeight="1" x14ac:dyDescent="0.3">
      <c r="A39" s="1"/>
      <c r="B39" s="1"/>
      <c r="C39" s="15"/>
      <c r="D39" s="41">
        <f>IF(IF(ISNA(('Feuille Saisie'!$B$4-VLOOKUP($C39,Données!$C$19:'Données'!$I$48,4,0)))/365.24*100, ,('Feuille Saisie'!$B$4-VLOOKUP($C39,Données!$C$19:'Données'!$I$48,4,0))/365.24*100)&lt;100,IF(ISNA(('Feuille Saisie'!$B$4-VLOOKUP($C39,Données!$C$19:'Données'!$I$48,4,0)))/365.24*100, ,('Feuille Saisie'!$B$4-VLOOKUP($C39,Données!$C$19:'Données'!$I$48,4,0))/365.24*100),100)</f>
        <v>0</v>
      </c>
      <c r="E39" s="19"/>
      <c r="F39" s="42" t="str">
        <f>IF(ISNA(IF(AND($E39=0,VLOOKUP($C39,Données!$C$19:'Données'!$I$48,6,0)&lt;&gt;""),"0,00",IFERROR(IF(ISNA($E39/VLOOKUP($C39,Données!$C$19:'Données'!$I$48,6,0)), ,$E39/VLOOKUP($C39,Données!$C$19:'Données'!$I$48,6,0)),"/"))),"",IF(AND($E39=0,VLOOKUP($C39,Données!$C$19:'Données'!$I$48,6,0)&lt;&gt;""),"0,00",IFERROR(IF(ISNA($E39/VLOOKUP($C39,Données!$C$19:'Données'!$I$48,6,0)), ,$E39/VLOOKUP($C39,Données!$C$19:'Données'!$I$48,6,0)),"/")))</f>
        <v/>
      </c>
      <c r="G39" s="42" t="str">
        <f>IF(ISNA(IF(AND($E39=0,VLOOKUP($C39,Données!$C$19:'Données'!$I$48,7,0)&lt;&gt;""),"0,00",IFERROR(IF(ISNA($E39/VLOOKUP($C39,Données!$C$19:'Données'!$I$48,7,0)*100),,$E39/VLOOKUP($C39,Données!$C$19:'Données'!$I$48,7,0)*100),"/"))),"",IF(AND($E39=0,VLOOKUP($C39,Données!$C$19:'Données'!$I$48,7,0)&lt;&gt;""),"0,00",IFERROR(IF(ISNA($E39/VLOOKUP($C39,Données!$C$19:'Données'!$I$48,7,0)*100),,$E39/VLOOKUP($C39,Données!$C$19:'Données'!$I$48,7,0)*100),"/")))</f>
        <v/>
      </c>
      <c r="H39" s="33"/>
      <c r="I39" s="43" t="str">
        <f>IF($C39&lt;&gt;"",IF($E39=0,"/",IF(ISNA($H39-VLOOKUP($C39,Données!$C$19:'Données'!$I$48,4,0)), ,$H39-VLOOKUP($C39,Données!$C$19:'Données'!$I$48,4,0))),"")</f>
        <v/>
      </c>
      <c r="J39" s="33"/>
      <c r="K39" s="43" t="str">
        <f>IF($C39&lt;&gt;"",IF(ISNA($J39-VLOOKUP($C39,Données!$C$19:'Données'!$I$48,4,0)), ,$J39-VLOOKUP($C39,Données!$C$19:'Données'!$I$48,4,0)),"")</f>
        <v/>
      </c>
      <c r="L39" s="32"/>
      <c r="M39" s="19"/>
      <c r="N39" s="31"/>
      <c r="O39" s="95"/>
      <c r="P39" s="95"/>
      <c r="Q39" s="33"/>
      <c r="R39" s="43" t="str">
        <f>IF($C39&lt;&gt;"",IF($D39&lt;&gt;100,"/",IF(ISNA($Q39-VLOOKUP($C39,Données!$C$19:'Données'!$I$48,4,0)), ,$Q39-VLOOKUP($C39,Données!$C$19:'Données'!$I$48,4,0))),"")</f>
        <v/>
      </c>
      <c r="S39" s="16"/>
      <c r="T39" s="33"/>
      <c r="U39" s="43" t="str">
        <f>IF($C39&lt;&gt;"",IF($J39="","/",IF(ISNA($T39-VLOOKUP($C39,Données!$C$19:'Données'!$I$48,4,0)), ,$T39-VLOOKUP($C39,Données!$C$19:'Données'!$I$48,4,0))),"")</f>
        <v/>
      </c>
      <c r="V39" s="1"/>
      <c r="W39" s="1"/>
      <c r="X39" s="49"/>
      <c r="Y39" s="46" t="str">
        <f t="shared" si="0"/>
        <v/>
      </c>
      <c r="Z39" s="47" t="s">
        <v>39</v>
      </c>
      <c r="AA39" s="46" t="str">
        <f t="shared" si="1"/>
        <v/>
      </c>
      <c r="AB39" s="48" t="s">
        <v>40</v>
      </c>
      <c r="AC39" s="49">
        <f t="shared" si="2"/>
        <v>1</v>
      </c>
      <c r="AD39" s="49">
        <f t="shared" si="3"/>
        <v>1</v>
      </c>
      <c r="AE39" s="49">
        <f t="shared" si="4"/>
        <v>1</v>
      </c>
      <c r="AF39" s="49">
        <f t="shared" si="5"/>
        <v>1</v>
      </c>
      <c r="AG39" s="50">
        <f t="shared" si="6"/>
        <v>0</v>
      </c>
      <c r="AH39" s="54" t="str">
        <f>IF($C39="","",IFERROR(IF(ISNA(VLOOKUP($C39,Données!$C$19:'Données'!$I$48,6,0)), ,VLOOKUP($C39,Données!$C$19:'Données'!$I$48,6,0)),"/"))</f>
        <v/>
      </c>
      <c r="AI39" s="54" t="str">
        <f>IF($C39="","",IFERROR(IF(ISNA(VLOOKUP($C39,Données!$C$19:'Données'!$I$48,7,0)), ,VLOOKUP($C39,Données!$C$19:'Données'!$I$48,7,0)),"/"))</f>
        <v/>
      </c>
      <c r="AJ39" s="54" t="str">
        <f t="shared" si="7"/>
        <v/>
      </c>
      <c r="AK39" s="54">
        <f t="shared" si="8"/>
        <v>0</v>
      </c>
      <c r="AL39" s="54">
        <f t="shared" si="9"/>
        <v>0</v>
      </c>
      <c r="AM39" s="49" t="str">
        <f t="shared" si="10"/>
        <v/>
      </c>
      <c r="AN39" s="49">
        <f t="shared" si="11"/>
        <v>0</v>
      </c>
      <c r="AO39" s="49" t="str">
        <f t="shared" si="12"/>
        <v/>
      </c>
      <c r="AP39" s="54" t="str">
        <f t="shared" si="13"/>
        <v/>
      </c>
      <c r="AQ39" s="49">
        <f t="shared" si="14"/>
        <v>0</v>
      </c>
      <c r="AR39" s="69">
        <f t="shared" si="15"/>
        <v>0</v>
      </c>
      <c r="AS39" s="49">
        <f t="shared" si="16"/>
        <v>0</v>
      </c>
      <c r="AT39" s="49" t="str">
        <f>IFERROR(VLOOKUP($C39,Données!$C$19:'Données'!$I$48,3,0),"")</f>
        <v/>
      </c>
      <c r="AU39" s="49">
        <f t="shared" si="17"/>
        <v>0</v>
      </c>
      <c r="AV39" s="49">
        <f t="shared" si="18"/>
        <v>0</v>
      </c>
      <c r="AW39" s="49">
        <f t="shared" si="19"/>
        <v>0</v>
      </c>
      <c r="AX39" s="49">
        <f t="shared" si="20"/>
        <v>0</v>
      </c>
      <c r="AY39" s="49">
        <f t="shared" si="21"/>
        <v>0</v>
      </c>
      <c r="AZ39" s="49">
        <f t="shared" si="22"/>
        <v>0</v>
      </c>
      <c r="BA39" s="49">
        <f t="shared" si="23"/>
        <v>0</v>
      </c>
      <c r="BB39" s="49">
        <f t="shared" si="24"/>
        <v>0</v>
      </c>
      <c r="BC39" s="49">
        <f t="shared" si="25"/>
        <v>0</v>
      </c>
      <c r="BD39" s="49">
        <f t="shared" si="26"/>
        <v>0</v>
      </c>
      <c r="BE39" s="49">
        <f t="shared" si="27"/>
        <v>0</v>
      </c>
      <c r="BF39" s="49" t="str">
        <f>TEXT('Feuille Saisie'!$B$4,"aaaa")</f>
        <v>2019</v>
      </c>
      <c r="BG39" s="49" t="str">
        <f>IF($Q39="",TEXT('Feuille Saisie'!$B$4,"aaaa"),TEXT($Q39,"aaaa"))</f>
        <v>2019</v>
      </c>
      <c r="BH39" s="49">
        <f t="shared" si="28"/>
        <v>0</v>
      </c>
      <c r="BI39" s="49">
        <f t="shared" si="29"/>
        <v>1</v>
      </c>
      <c r="BJ39" s="49" t="str">
        <f t="shared" si="30"/>
        <v/>
      </c>
      <c r="BK39" s="49">
        <f t="shared" si="31"/>
        <v>0</v>
      </c>
      <c r="BL39" s="46" t="str">
        <f t="shared" si="32"/>
        <v/>
      </c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 t="str">
        <f t="shared" si="33"/>
        <v/>
      </c>
      <c r="CZ39" s="49">
        <f t="shared" si="34"/>
        <v>0</v>
      </c>
      <c r="DA39" s="49" t="str">
        <f t="shared" si="35"/>
        <v/>
      </c>
      <c r="DB39" s="54">
        <f t="shared" si="36"/>
        <v>0</v>
      </c>
      <c r="DC39" s="49" t="str">
        <f>TEXT('Feuille Saisie'!$B$4,"aaaa")</f>
        <v>2019</v>
      </c>
      <c r="DD39" s="49" t="str">
        <f>IF($J39="",TEXT('Feuille Saisie'!$B$4,"aaaa"),TEXT($J39,"aaaa"))</f>
        <v>2019</v>
      </c>
      <c r="DE39" s="49">
        <f t="shared" si="37"/>
        <v>0</v>
      </c>
      <c r="DF39" s="49">
        <f t="shared" si="38"/>
        <v>0</v>
      </c>
      <c r="DG39" s="97" t="str">
        <f>TEXT(IFERROR(VLOOKUP($C39,Données!$C$19:'Données'!$I$48,4,0),""),"aaaa")</f>
        <v/>
      </c>
      <c r="DH39" s="49">
        <f t="shared" si="39"/>
        <v>0</v>
      </c>
      <c r="DI39" s="49">
        <f t="shared" si="40"/>
        <v>1</v>
      </c>
      <c r="DJ39" s="49">
        <f t="shared" si="41"/>
        <v>0</v>
      </c>
      <c r="DK39" s="49">
        <f t="shared" si="42"/>
        <v>0</v>
      </c>
      <c r="DL39" s="49">
        <f t="shared" si="43"/>
        <v>0</v>
      </c>
      <c r="DM39" s="49" t="str">
        <f>IF($T39="",TEXT('Feuille Saisie'!$B$4,"aaaa"),TEXT($T39,"aaaa"))</f>
        <v>2019</v>
      </c>
      <c r="DN39" s="49">
        <f t="shared" si="44"/>
        <v>0</v>
      </c>
      <c r="DO39" s="49">
        <f t="shared" si="45"/>
        <v>0</v>
      </c>
      <c r="EA39" s="49" t="str">
        <f>IFERROR(VLOOKUP($C39,Données!$C$19:'Données'!$I$48,3,0),"")</f>
        <v/>
      </c>
      <c r="EB39" s="49" t="str">
        <f t="shared" si="46"/>
        <v xml:space="preserve"> </v>
      </c>
      <c r="EC39" s="49" t="str">
        <f t="shared" si="47"/>
        <v xml:space="preserve"> </v>
      </c>
      <c r="ED39" s="49" t="str">
        <f t="shared" si="48"/>
        <v xml:space="preserve"> </v>
      </c>
      <c r="EE39" s="49" t="str">
        <f t="shared" si="49"/>
        <v xml:space="preserve"> </v>
      </c>
      <c r="EF39" s="49">
        <f t="shared" si="50"/>
        <v>0</v>
      </c>
      <c r="FA39" s="54" t="str">
        <f>IF($C39="","",IFERROR(IF(ISNA(VLOOKUP($C39,'Bilan final GPA HN'!$C$29:'Bilan final GPA HN'!$X$43,22,0)), ,VLOOKUP($C39,'Bilan final GPA HN'!$C$29:'Bilan final GPA HN'!$X$43,22,0)),"/"))</f>
        <v/>
      </c>
      <c r="FB39" s="54" t="str">
        <f>IF($C39="","",IFERROR(IF(ISNA(VLOOKUP($C39,'Bilan final GPA HR'!$C$29:'Bilan final GPA HR'!$X$43,22,0)), ,VLOOKUP($C39,'Bilan final GPA HR'!$C$29:'Bilan final GPA HR'!$X$43,22,0)),"/"))</f>
        <v/>
      </c>
      <c r="FC39" s="54" t="str">
        <f>IF($C39="","",IFERROR(IF(ISNA(VLOOKUP($C39,'Bilan final GPA OF'!$C$29:'Bilan final GPA OF'!$X$43,22,0)), ,VLOOKUP($C39,'Bilan final GPA OF'!$C$29:'Bilan final GPA OF'!$X$43,22,0)),"/"))</f>
        <v/>
      </c>
      <c r="FD39" s="54" t="str">
        <f>IF($C39="","",IFERROR(IF(ISNA(VLOOKUP($C39,'Bilan final GPA IE'!$C$29:'Bilan final GPA IE'!$X$43,22,0)), ,VLOOKUP($C39,'Bilan final GPA IE'!$C$29:'Bilan final GPA IE'!$X$43,22,0)),"/"))</f>
        <v/>
      </c>
      <c r="FE39" s="115">
        <f t="shared" si="51"/>
        <v>0</v>
      </c>
      <c r="FF39" s="116" t="s">
        <v>97</v>
      </c>
      <c r="FG39" s="117" t="str">
        <f t="shared" si="52"/>
        <v/>
      </c>
    </row>
    <row r="40" spans="1:163" ht="50.1" customHeight="1" x14ac:dyDescent="0.3">
      <c r="A40" s="1"/>
      <c r="B40" s="1"/>
      <c r="C40" s="15"/>
      <c r="D40" s="41">
        <f>IF(IF(ISNA(('Feuille Saisie'!$B$4-VLOOKUP($C40,Données!$C$19:'Données'!$I$48,4,0)))/365.24*100, ,('Feuille Saisie'!$B$4-VLOOKUP($C40,Données!$C$19:'Données'!$I$48,4,0))/365.24*100)&lt;100,IF(ISNA(('Feuille Saisie'!$B$4-VLOOKUP($C40,Données!$C$19:'Données'!$I$48,4,0)))/365.24*100, ,('Feuille Saisie'!$B$4-VLOOKUP($C40,Données!$C$19:'Données'!$I$48,4,0))/365.24*100),100)</f>
        <v>0</v>
      </c>
      <c r="E40" s="19"/>
      <c r="F40" s="42" t="str">
        <f>IF(ISNA(IF(AND($E40=0,VLOOKUP($C40,Données!$C$19:'Données'!$I$48,6,0)&lt;&gt;""),"0,00",IFERROR(IF(ISNA($E40/VLOOKUP($C40,Données!$C$19:'Données'!$I$48,6,0)), ,$E40/VLOOKUP($C40,Données!$C$19:'Données'!$I$48,6,0)),"/"))),"",IF(AND($E40=0,VLOOKUP($C40,Données!$C$19:'Données'!$I$48,6,0)&lt;&gt;""),"0,00",IFERROR(IF(ISNA($E40/VLOOKUP($C40,Données!$C$19:'Données'!$I$48,6,0)), ,$E40/VLOOKUP($C40,Données!$C$19:'Données'!$I$48,6,0)),"/")))</f>
        <v/>
      </c>
      <c r="G40" s="42" t="str">
        <f>IF(ISNA(IF(AND($E40=0,VLOOKUP($C40,Données!$C$19:'Données'!$I$48,7,0)&lt;&gt;""),"0,00",IFERROR(IF(ISNA($E40/VLOOKUP($C40,Données!$C$19:'Données'!$I$48,7,0)*100),,$E40/VLOOKUP($C40,Données!$C$19:'Données'!$I$48,7,0)*100),"/"))),"",IF(AND($E40=0,VLOOKUP($C40,Données!$C$19:'Données'!$I$48,7,0)&lt;&gt;""),"0,00",IFERROR(IF(ISNA($E40/VLOOKUP($C40,Données!$C$19:'Données'!$I$48,7,0)*100),,$E40/VLOOKUP($C40,Données!$C$19:'Données'!$I$48,7,0)*100),"/")))</f>
        <v/>
      </c>
      <c r="H40" s="33"/>
      <c r="I40" s="43" t="str">
        <f>IF($C40&lt;&gt;"",IF($E40=0,"/",IF(ISNA($H40-VLOOKUP($C40,Données!$C$19:'Données'!$I$48,4,0)), ,$H40-VLOOKUP($C40,Données!$C$19:'Données'!$I$48,4,0))),"")</f>
        <v/>
      </c>
      <c r="J40" s="33"/>
      <c r="K40" s="43" t="str">
        <f>IF($C40&lt;&gt;"",IF(ISNA($J40-VLOOKUP($C40,Données!$C$19:'Données'!$I$48,4,0)), ,$J40-VLOOKUP($C40,Données!$C$19:'Données'!$I$48,4,0)),"")</f>
        <v/>
      </c>
      <c r="L40" s="32"/>
      <c r="M40" s="19"/>
      <c r="N40" s="31"/>
      <c r="O40" s="95"/>
      <c r="P40" s="95"/>
      <c r="Q40" s="33"/>
      <c r="R40" s="43" t="str">
        <f>IF($C40&lt;&gt;"",IF($D40&lt;&gt;100,"/",IF(ISNA($Q40-VLOOKUP($C40,Données!$C$19:'Données'!$I$48,4,0)), ,$Q40-VLOOKUP($C40,Données!$C$19:'Données'!$I$48,4,0))),"")</f>
        <v/>
      </c>
      <c r="S40" s="16"/>
      <c r="T40" s="33"/>
      <c r="U40" s="43" t="str">
        <f>IF($C40&lt;&gt;"",IF($J40="","/",IF(ISNA($T40-VLOOKUP($C40,Données!$C$19:'Données'!$I$48,4,0)), ,$T40-VLOOKUP($C40,Données!$C$19:'Données'!$I$48,4,0))),"")</f>
        <v/>
      </c>
      <c r="V40" s="1"/>
      <c r="W40" s="1"/>
      <c r="X40" s="49"/>
      <c r="Y40" s="46" t="str">
        <f t="shared" si="0"/>
        <v/>
      </c>
      <c r="Z40" s="47" t="s">
        <v>39</v>
      </c>
      <c r="AA40" s="46" t="str">
        <f t="shared" si="1"/>
        <v/>
      </c>
      <c r="AB40" s="48" t="s">
        <v>40</v>
      </c>
      <c r="AC40" s="49">
        <f t="shared" si="2"/>
        <v>1</v>
      </c>
      <c r="AD40" s="49">
        <f t="shared" si="3"/>
        <v>1</v>
      </c>
      <c r="AE40" s="49">
        <f t="shared" si="4"/>
        <v>1</v>
      </c>
      <c r="AF40" s="49">
        <f t="shared" si="5"/>
        <v>1</v>
      </c>
      <c r="AG40" s="50">
        <f t="shared" si="6"/>
        <v>0</v>
      </c>
      <c r="AH40" s="54" t="str">
        <f>IF($C40="","",IFERROR(IF(ISNA(VLOOKUP($C40,Données!$C$19:'Données'!$I$48,6,0)), ,VLOOKUP($C40,Données!$C$19:'Données'!$I$48,6,0)),"/"))</f>
        <v/>
      </c>
      <c r="AI40" s="54" t="str">
        <f>IF($C40="","",IFERROR(IF(ISNA(VLOOKUP($C40,Données!$C$19:'Données'!$I$48,7,0)), ,VLOOKUP($C40,Données!$C$19:'Données'!$I$48,7,0)),"/"))</f>
        <v/>
      </c>
      <c r="AJ40" s="54" t="str">
        <f t="shared" si="7"/>
        <v/>
      </c>
      <c r="AK40" s="54">
        <f t="shared" si="8"/>
        <v>0</v>
      </c>
      <c r="AL40" s="54">
        <f t="shared" si="9"/>
        <v>0</v>
      </c>
      <c r="AM40" s="49" t="str">
        <f t="shared" si="10"/>
        <v/>
      </c>
      <c r="AN40" s="49">
        <f t="shared" si="11"/>
        <v>0</v>
      </c>
      <c r="AO40" s="49" t="str">
        <f t="shared" si="12"/>
        <v/>
      </c>
      <c r="AP40" s="54" t="str">
        <f t="shared" si="13"/>
        <v/>
      </c>
      <c r="AQ40" s="49">
        <f t="shared" si="14"/>
        <v>0</v>
      </c>
      <c r="AR40" s="69">
        <f t="shared" si="15"/>
        <v>0</v>
      </c>
      <c r="AS40" s="49">
        <f t="shared" si="16"/>
        <v>0</v>
      </c>
      <c r="AT40" s="49" t="str">
        <f>IFERROR(VLOOKUP($C40,Données!$C$19:'Données'!$I$48,3,0),"")</f>
        <v/>
      </c>
      <c r="AU40" s="49">
        <f t="shared" si="17"/>
        <v>0</v>
      </c>
      <c r="AV40" s="49">
        <f t="shared" si="18"/>
        <v>0</v>
      </c>
      <c r="AW40" s="49">
        <f t="shared" si="19"/>
        <v>0</v>
      </c>
      <c r="AX40" s="49">
        <f t="shared" si="20"/>
        <v>0</v>
      </c>
      <c r="AY40" s="49">
        <f t="shared" si="21"/>
        <v>0</v>
      </c>
      <c r="AZ40" s="49">
        <f t="shared" si="22"/>
        <v>0</v>
      </c>
      <c r="BA40" s="49">
        <f t="shared" si="23"/>
        <v>0</v>
      </c>
      <c r="BB40" s="49">
        <f t="shared" si="24"/>
        <v>0</v>
      </c>
      <c r="BC40" s="49">
        <f t="shared" si="25"/>
        <v>0</v>
      </c>
      <c r="BD40" s="49">
        <f t="shared" si="26"/>
        <v>0</v>
      </c>
      <c r="BE40" s="49">
        <f t="shared" si="27"/>
        <v>0</v>
      </c>
      <c r="BF40" s="49" t="str">
        <f>TEXT('Feuille Saisie'!$B$4,"aaaa")</f>
        <v>2019</v>
      </c>
      <c r="BG40" s="49" t="str">
        <f>IF($Q40="",TEXT('Feuille Saisie'!$B$4,"aaaa"),TEXT($Q40,"aaaa"))</f>
        <v>2019</v>
      </c>
      <c r="BH40" s="49">
        <f t="shared" si="28"/>
        <v>0</v>
      </c>
      <c r="BI40" s="49">
        <f t="shared" si="29"/>
        <v>1</v>
      </c>
      <c r="BJ40" s="49" t="str">
        <f t="shared" si="30"/>
        <v/>
      </c>
      <c r="BK40" s="49">
        <f t="shared" si="31"/>
        <v>0</v>
      </c>
      <c r="BL40" s="46" t="str">
        <f t="shared" si="32"/>
        <v/>
      </c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  <c r="CU40" s="49"/>
      <c r="CV40" s="49"/>
      <c r="CW40" s="49"/>
      <c r="CX40" s="49"/>
      <c r="CY40" s="49" t="str">
        <f t="shared" si="33"/>
        <v/>
      </c>
      <c r="CZ40" s="49">
        <f t="shared" si="34"/>
        <v>0</v>
      </c>
      <c r="DA40" s="49" t="str">
        <f t="shared" si="35"/>
        <v/>
      </c>
      <c r="DB40" s="54">
        <f t="shared" si="36"/>
        <v>0</v>
      </c>
      <c r="DC40" s="49" t="str">
        <f>TEXT('Feuille Saisie'!$B$4,"aaaa")</f>
        <v>2019</v>
      </c>
      <c r="DD40" s="49" t="str">
        <f>IF($J40="",TEXT('Feuille Saisie'!$B$4,"aaaa"),TEXT($J40,"aaaa"))</f>
        <v>2019</v>
      </c>
      <c r="DE40" s="49">
        <f t="shared" si="37"/>
        <v>0</v>
      </c>
      <c r="DF40" s="49">
        <f t="shared" si="38"/>
        <v>0</v>
      </c>
      <c r="DG40" s="97" t="str">
        <f>TEXT(IFERROR(VLOOKUP($C40,Données!$C$19:'Données'!$I$48,4,0),""),"aaaa")</f>
        <v/>
      </c>
      <c r="DH40" s="49">
        <f t="shared" si="39"/>
        <v>0</v>
      </c>
      <c r="DI40" s="49">
        <f t="shared" si="40"/>
        <v>1</v>
      </c>
      <c r="DJ40" s="49">
        <f t="shared" si="41"/>
        <v>0</v>
      </c>
      <c r="DK40" s="49">
        <f t="shared" si="42"/>
        <v>0</v>
      </c>
      <c r="DL40" s="49">
        <f t="shared" si="43"/>
        <v>0</v>
      </c>
      <c r="DM40" s="49" t="str">
        <f>IF($T40="",TEXT('Feuille Saisie'!$B$4,"aaaa"),TEXT($T40,"aaaa"))</f>
        <v>2019</v>
      </c>
      <c r="DN40" s="49">
        <f t="shared" si="44"/>
        <v>0</v>
      </c>
      <c r="DO40" s="49">
        <f t="shared" si="45"/>
        <v>0</v>
      </c>
      <c r="EA40" s="49" t="str">
        <f>IFERROR(VLOOKUP($C40,Données!$C$19:'Données'!$I$48,3,0),"")</f>
        <v/>
      </c>
      <c r="EB40" s="49" t="str">
        <f t="shared" si="46"/>
        <v xml:space="preserve"> </v>
      </c>
      <c r="EC40" s="49" t="str">
        <f t="shared" si="47"/>
        <v xml:space="preserve"> </v>
      </c>
      <c r="ED40" s="49" t="str">
        <f t="shared" si="48"/>
        <v xml:space="preserve"> </v>
      </c>
      <c r="EE40" s="49" t="str">
        <f t="shared" si="49"/>
        <v xml:space="preserve"> </v>
      </c>
      <c r="EF40" s="49">
        <f t="shared" si="50"/>
        <v>0</v>
      </c>
      <c r="FA40" s="54" t="str">
        <f>IF($C40="","",IFERROR(IF(ISNA(VLOOKUP($C40,'Bilan final GPA HN'!$C$29:'Bilan final GPA HN'!$X$43,22,0)), ,VLOOKUP($C40,'Bilan final GPA HN'!$C$29:'Bilan final GPA HN'!$X$43,22,0)),"/"))</f>
        <v/>
      </c>
      <c r="FB40" s="54" t="str">
        <f>IF($C40="","",IFERROR(IF(ISNA(VLOOKUP($C40,'Bilan final GPA HR'!$C$29:'Bilan final GPA HR'!$X$43,22,0)), ,VLOOKUP($C40,'Bilan final GPA HR'!$C$29:'Bilan final GPA HR'!$X$43,22,0)),"/"))</f>
        <v/>
      </c>
      <c r="FC40" s="54" t="str">
        <f>IF($C40="","",IFERROR(IF(ISNA(VLOOKUP($C40,'Bilan final GPA OF'!$C$29:'Bilan final GPA OF'!$X$43,22,0)), ,VLOOKUP($C40,'Bilan final GPA OF'!$C$29:'Bilan final GPA OF'!$X$43,22,0)),"/"))</f>
        <v/>
      </c>
      <c r="FD40" s="54" t="str">
        <f>IF($C40="","",IFERROR(IF(ISNA(VLOOKUP($C40,'Bilan final GPA IE'!$C$29:'Bilan final GPA IE'!$X$43,22,0)), ,VLOOKUP($C40,'Bilan final GPA IE'!$C$29:'Bilan final GPA IE'!$X$43,22,0)),"/"))</f>
        <v/>
      </c>
      <c r="FE40" s="115">
        <f t="shared" si="51"/>
        <v>0</v>
      </c>
      <c r="FF40" s="116" t="s">
        <v>97</v>
      </c>
      <c r="FG40" s="117" t="str">
        <f t="shared" si="52"/>
        <v/>
      </c>
    </row>
    <row r="41" spans="1:163" ht="50.1" customHeight="1" x14ac:dyDescent="0.3">
      <c r="A41" s="1"/>
      <c r="B41" s="1"/>
      <c r="C41" s="15"/>
      <c r="D41" s="41">
        <f>IF(IF(ISNA(('Feuille Saisie'!$B$4-VLOOKUP($C41,Données!$C$19:'Données'!$I$48,4,0)))/365.24*100, ,('Feuille Saisie'!$B$4-VLOOKUP($C41,Données!$C$19:'Données'!$I$48,4,0))/365.24*100)&lt;100,IF(ISNA(('Feuille Saisie'!$B$4-VLOOKUP($C41,Données!$C$19:'Données'!$I$48,4,0)))/365.24*100, ,('Feuille Saisie'!$B$4-VLOOKUP($C41,Données!$C$19:'Données'!$I$48,4,0))/365.24*100),100)</f>
        <v>0</v>
      </c>
      <c r="E41" s="19"/>
      <c r="F41" s="42" t="str">
        <f>IF(ISNA(IF(AND($E41=0,VLOOKUP($C41,Données!$C$19:'Données'!$I$48,6,0)&lt;&gt;""),"0,00",IFERROR(IF(ISNA($E41/VLOOKUP($C41,Données!$C$19:'Données'!$I$48,6,0)), ,$E41/VLOOKUP($C41,Données!$C$19:'Données'!$I$48,6,0)),"/"))),"",IF(AND($E41=0,VLOOKUP($C41,Données!$C$19:'Données'!$I$48,6,0)&lt;&gt;""),"0,00",IFERROR(IF(ISNA($E41/VLOOKUP($C41,Données!$C$19:'Données'!$I$48,6,0)), ,$E41/VLOOKUP($C41,Données!$C$19:'Données'!$I$48,6,0)),"/")))</f>
        <v/>
      </c>
      <c r="G41" s="42" t="str">
        <f>IF(ISNA(IF(AND($E41=0,VLOOKUP($C41,Données!$C$19:'Données'!$I$48,7,0)&lt;&gt;""),"0,00",IFERROR(IF(ISNA($E41/VLOOKUP($C41,Données!$C$19:'Données'!$I$48,7,0)*100),,$E41/VLOOKUP($C41,Données!$C$19:'Données'!$I$48,7,0)*100),"/"))),"",IF(AND($E41=0,VLOOKUP($C41,Données!$C$19:'Données'!$I$48,7,0)&lt;&gt;""),"0,00",IFERROR(IF(ISNA($E41/VLOOKUP($C41,Données!$C$19:'Données'!$I$48,7,0)*100),,$E41/VLOOKUP($C41,Données!$C$19:'Données'!$I$48,7,0)*100),"/")))</f>
        <v/>
      </c>
      <c r="H41" s="33"/>
      <c r="I41" s="43" t="str">
        <f>IF($C41&lt;&gt;"",IF($E41=0,"/",IF(ISNA($H41-VLOOKUP($C41,Données!$C$19:'Données'!$I$48,4,0)), ,$H41-VLOOKUP($C41,Données!$C$19:'Données'!$I$48,4,0))),"")</f>
        <v/>
      </c>
      <c r="J41" s="33"/>
      <c r="K41" s="43" t="str">
        <f>IF($C41&lt;&gt;"",IF(ISNA($J41-VLOOKUP($C41,Données!$C$19:'Données'!$I$48,4,0)), ,$J41-VLOOKUP($C41,Données!$C$19:'Données'!$I$48,4,0)),"")</f>
        <v/>
      </c>
      <c r="L41" s="32"/>
      <c r="M41" s="19"/>
      <c r="N41" s="31"/>
      <c r="O41" s="95"/>
      <c r="P41" s="95"/>
      <c r="Q41" s="33"/>
      <c r="R41" s="43" t="str">
        <f>IF($C41&lt;&gt;"",IF($D41&lt;&gt;100,"/",IF(ISNA($Q41-VLOOKUP($C41,Données!$C$19:'Données'!$I$48,4,0)), ,$Q41-VLOOKUP($C41,Données!$C$19:'Données'!$I$48,4,0))),"")</f>
        <v/>
      </c>
      <c r="S41" s="16"/>
      <c r="T41" s="33"/>
      <c r="U41" s="43" t="str">
        <f>IF($C41&lt;&gt;"",IF($J41="","/",IF(ISNA($T41-VLOOKUP($C41,Données!$C$19:'Données'!$I$48,4,0)), ,$T41-VLOOKUP($C41,Données!$C$19:'Données'!$I$48,4,0))),"")</f>
        <v/>
      </c>
      <c r="V41" s="1"/>
      <c r="W41" s="1"/>
      <c r="X41" s="49"/>
      <c r="Y41" s="46" t="str">
        <f t="shared" si="0"/>
        <v/>
      </c>
      <c r="Z41" s="47" t="s">
        <v>39</v>
      </c>
      <c r="AA41" s="46" t="str">
        <f t="shared" si="1"/>
        <v/>
      </c>
      <c r="AB41" s="48" t="s">
        <v>40</v>
      </c>
      <c r="AC41" s="49">
        <f t="shared" si="2"/>
        <v>1</v>
      </c>
      <c r="AD41" s="49">
        <f t="shared" si="3"/>
        <v>1</v>
      </c>
      <c r="AE41" s="49">
        <f t="shared" si="4"/>
        <v>1</v>
      </c>
      <c r="AF41" s="49">
        <f t="shared" si="5"/>
        <v>1</v>
      </c>
      <c r="AG41" s="50">
        <f t="shared" si="6"/>
        <v>0</v>
      </c>
      <c r="AH41" s="54" t="str">
        <f>IF($C41="","",IFERROR(IF(ISNA(VLOOKUP($C41,Données!$C$19:'Données'!$I$48,6,0)), ,VLOOKUP($C41,Données!$C$19:'Données'!$I$48,6,0)),"/"))</f>
        <v/>
      </c>
      <c r="AI41" s="54" t="str">
        <f>IF($C41="","",IFERROR(IF(ISNA(VLOOKUP($C41,Données!$C$19:'Données'!$I$48,7,0)), ,VLOOKUP($C41,Données!$C$19:'Données'!$I$48,7,0)),"/"))</f>
        <v/>
      </c>
      <c r="AJ41" s="54" t="str">
        <f t="shared" si="7"/>
        <v/>
      </c>
      <c r="AK41" s="54">
        <f t="shared" si="8"/>
        <v>0</v>
      </c>
      <c r="AL41" s="54">
        <f t="shared" si="9"/>
        <v>0</v>
      </c>
      <c r="AM41" s="49" t="str">
        <f t="shared" si="10"/>
        <v/>
      </c>
      <c r="AN41" s="49">
        <f t="shared" si="11"/>
        <v>0</v>
      </c>
      <c r="AO41" s="49" t="str">
        <f t="shared" si="12"/>
        <v/>
      </c>
      <c r="AP41" s="54" t="str">
        <f t="shared" si="13"/>
        <v/>
      </c>
      <c r="AQ41" s="49">
        <f t="shared" si="14"/>
        <v>0</v>
      </c>
      <c r="AR41" s="69">
        <f t="shared" si="15"/>
        <v>0</v>
      </c>
      <c r="AS41" s="49">
        <f t="shared" si="16"/>
        <v>0</v>
      </c>
      <c r="AT41" s="49" t="str">
        <f>IFERROR(VLOOKUP($C41,Données!$C$19:'Données'!$I$48,3,0),"")</f>
        <v/>
      </c>
      <c r="AU41" s="49">
        <f t="shared" si="17"/>
        <v>0</v>
      </c>
      <c r="AV41" s="49">
        <f t="shared" si="18"/>
        <v>0</v>
      </c>
      <c r="AW41" s="49">
        <f t="shared" si="19"/>
        <v>0</v>
      </c>
      <c r="AX41" s="49">
        <f t="shared" si="20"/>
        <v>0</v>
      </c>
      <c r="AY41" s="49">
        <f t="shared" si="21"/>
        <v>0</v>
      </c>
      <c r="AZ41" s="49">
        <f t="shared" si="22"/>
        <v>0</v>
      </c>
      <c r="BA41" s="49">
        <f t="shared" si="23"/>
        <v>0</v>
      </c>
      <c r="BB41" s="49">
        <f t="shared" si="24"/>
        <v>0</v>
      </c>
      <c r="BC41" s="49">
        <f t="shared" si="25"/>
        <v>0</v>
      </c>
      <c r="BD41" s="49">
        <f t="shared" si="26"/>
        <v>0</v>
      </c>
      <c r="BE41" s="49">
        <f t="shared" si="27"/>
        <v>0</v>
      </c>
      <c r="BF41" s="49" t="str">
        <f>TEXT('Feuille Saisie'!$B$4,"aaaa")</f>
        <v>2019</v>
      </c>
      <c r="BG41" s="49" t="str">
        <f>IF($Q41="",TEXT('Feuille Saisie'!$B$4,"aaaa"),TEXT($Q41,"aaaa"))</f>
        <v>2019</v>
      </c>
      <c r="BH41" s="49">
        <f t="shared" si="28"/>
        <v>0</v>
      </c>
      <c r="BI41" s="49">
        <f t="shared" si="29"/>
        <v>1</v>
      </c>
      <c r="BJ41" s="49" t="str">
        <f t="shared" si="30"/>
        <v/>
      </c>
      <c r="BK41" s="49">
        <f t="shared" si="31"/>
        <v>0</v>
      </c>
      <c r="BL41" s="46" t="str">
        <f t="shared" si="32"/>
        <v/>
      </c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  <c r="CV41" s="49"/>
      <c r="CW41" s="49"/>
      <c r="CX41" s="49"/>
      <c r="CY41" s="49" t="str">
        <f t="shared" si="33"/>
        <v/>
      </c>
      <c r="CZ41" s="49">
        <f t="shared" si="34"/>
        <v>0</v>
      </c>
      <c r="DA41" s="49" t="str">
        <f t="shared" si="35"/>
        <v/>
      </c>
      <c r="DB41" s="54">
        <f t="shared" si="36"/>
        <v>0</v>
      </c>
      <c r="DC41" s="49" t="str">
        <f>TEXT('Feuille Saisie'!$B$4,"aaaa")</f>
        <v>2019</v>
      </c>
      <c r="DD41" s="49" t="str">
        <f>IF($J41="",TEXT('Feuille Saisie'!$B$4,"aaaa"),TEXT($J41,"aaaa"))</f>
        <v>2019</v>
      </c>
      <c r="DE41" s="49">
        <f t="shared" si="37"/>
        <v>0</v>
      </c>
      <c r="DF41" s="49">
        <f t="shared" si="38"/>
        <v>0</v>
      </c>
      <c r="DG41" s="97" t="str">
        <f>TEXT(IFERROR(VLOOKUP($C41,Données!$C$19:'Données'!$I$48,4,0),""),"aaaa")</f>
        <v/>
      </c>
      <c r="DH41" s="49">
        <f t="shared" si="39"/>
        <v>0</v>
      </c>
      <c r="DI41" s="49">
        <f t="shared" si="40"/>
        <v>1</v>
      </c>
      <c r="DJ41" s="49">
        <f t="shared" si="41"/>
        <v>0</v>
      </c>
      <c r="DK41" s="49">
        <f t="shared" si="42"/>
        <v>0</v>
      </c>
      <c r="DL41" s="49">
        <f t="shared" si="43"/>
        <v>0</v>
      </c>
      <c r="DM41" s="49" t="str">
        <f>IF($T41="",TEXT('Feuille Saisie'!$B$4,"aaaa"),TEXT($T41,"aaaa"))</f>
        <v>2019</v>
      </c>
      <c r="DN41" s="49">
        <f t="shared" si="44"/>
        <v>0</v>
      </c>
      <c r="DO41" s="49">
        <f t="shared" si="45"/>
        <v>0</v>
      </c>
      <c r="EA41" s="49" t="str">
        <f>IFERROR(VLOOKUP($C41,Données!$C$19:'Données'!$I$48,3,0),"")</f>
        <v/>
      </c>
      <c r="EB41" s="49" t="str">
        <f t="shared" si="46"/>
        <v xml:space="preserve"> </v>
      </c>
      <c r="EC41" s="49" t="str">
        <f t="shared" si="47"/>
        <v xml:space="preserve"> </v>
      </c>
      <c r="ED41" s="49" t="str">
        <f t="shared" si="48"/>
        <v xml:space="preserve"> </v>
      </c>
      <c r="EE41" s="49" t="str">
        <f t="shared" si="49"/>
        <v xml:space="preserve"> </v>
      </c>
      <c r="EF41" s="49">
        <f t="shared" si="50"/>
        <v>0</v>
      </c>
      <c r="FA41" s="54" t="str">
        <f>IF($C41="","",IFERROR(IF(ISNA(VLOOKUP($C41,'Bilan final GPA HN'!$C$29:'Bilan final GPA HN'!$X$43,22,0)), ,VLOOKUP($C41,'Bilan final GPA HN'!$C$29:'Bilan final GPA HN'!$X$43,22,0)),"/"))</f>
        <v/>
      </c>
      <c r="FB41" s="54" t="str">
        <f>IF($C41="","",IFERROR(IF(ISNA(VLOOKUP($C41,'Bilan final GPA HR'!$C$29:'Bilan final GPA HR'!$X$43,22,0)), ,VLOOKUP($C41,'Bilan final GPA HR'!$C$29:'Bilan final GPA HR'!$X$43,22,0)),"/"))</f>
        <v/>
      </c>
      <c r="FC41" s="54" t="str">
        <f>IF($C41="","",IFERROR(IF(ISNA(VLOOKUP($C41,'Bilan final GPA OF'!$C$29:'Bilan final GPA OF'!$X$43,22,0)), ,VLOOKUP($C41,'Bilan final GPA OF'!$C$29:'Bilan final GPA OF'!$X$43,22,0)),"/"))</f>
        <v/>
      </c>
      <c r="FD41" s="54" t="str">
        <f>IF($C41="","",IFERROR(IF(ISNA(VLOOKUP($C41,'Bilan final GPA IE'!$C$29:'Bilan final GPA IE'!$X$43,22,0)), ,VLOOKUP($C41,'Bilan final GPA IE'!$C$29:'Bilan final GPA IE'!$X$43,22,0)),"/"))</f>
        <v/>
      </c>
      <c r="FE41" s="115">
        <f t="shared" si="51"/>
        <v>0</v>
      </c>
      <c r="FF41" s="116" t="s">
        <v>97</v>
      </c>
      <c r="FG41" s="117" t="str">
        <f t="shared" si="52"/>
        <v/>
      </c>
    </row>
    <row r="42" spans="1:163" ht="50.1" customHeight="1" x14ac:dyDescent="0.3">
      <c r="A42" s="1"/>
      <c r="B42" s="1"/>
      <c r="C42" s="15"/>
      <c r="D42" s="41">
        <f>IF(IF(ISNA(('Feuille Saisie'!$B$4-VLOOKUP($C42,Données!$C$19:'Données'!$I$48,4,0)))/365.24*100, ,('Feuille Saisie'!$B$4-VLOOKUP($C42,Données!$C$19:'Données'!$I$48,4,0))/365.24*100)&lt;100,IF(ISNA(('Feuille Saisie'!$B$4-VLOOKUP($C42,Données!$C$19:'Données'!$I$48,4,0)))/365.24*100, ,('Feuille Saisie'!$B$4-VLOOKUP($C42,Données!$C$19:'Données'!$I$48,4,0))/365.24*100),100)</f>
        <v>0</v>
      </c>
      <c r="E42" s="19"/>
      <c r="F42" s="42" t="str">
        <f>IF(ISNA(IF(AND($E42=0,VLOOKUP($C42,Données!$C$19:'Données'!$I$48,6,0)&lt;&gt;""),"0,00",IFERROR(IF(ISNA($E42/VLOOKUP($C42,Données!$C$19:'Données'!$I$48,6,0)), ,$E42/VLOOKUP($C42,Données!$C$19:'Données'!$I$48,6,0)),"/"))),"",IF(AND($E42=0,VLOOKUP($C42,Données!$C$19:'Données'!$I$48,6,0)&lt;&gt;""),"0,00",IFERROR(IF(ISNA($E42/VLOOKUP($C42,Données!$C$19:'Données'!$I$48,6,0)), ,$E42/VLOOKUP($C42,Données!$C$19:'Données'!$I$48,6,0)),"/")))</f>
        <v/>
      </c>
      <c r="G42" s="42" t="str">
        <f>IF(ISNA(IF(AND($E42=0,VLOOKUP($C42,Données!$C$19:'Données'!$I$48,7,0)&lt;&gt;""),"0,00",IFERROR(IF(ISNA($E42/VLOOKUP($C42,Données!$C$19:'Données'!$I$48,7,0)*100),,$E42/VLOOKUP($C42,Données!$C$19:'Données'!$I$48,7,0)*100),"/"))),"",IF(AND($E42=0,VLOOKUP($C42,Données!$C$19:'Données'!$I$48,7,0)&lt;&gt;""),"0,00",IFERROR(IF(ISNA($E42/VLOOKUP($C42,Données!$C$19:'Données'!$I$48,7,0)*100),,$E42/VLOOKUP($C42,Données!$C$19:'Données'!$I$48,7,0)*100),"/")))</f>
        <v/>
      </c>
      <c r="H42" s="33"/>
      <c r="I42" s="43" t="str">
        <f>IF($C42&lt;&gt;"",IF($E42=0,"/",IF(ISNA($H42-VLOOKUP($C42,Données!$C$19:'Données'!$I$48,4,0)), ,$H42-VLOOKUP($C42,Données!$C$19:'Données'!$I$48,4,0))),"")</f>
        <v/>
      </c>
      <c r="J42" s="33"/>
      <c r="K42" s="43" t="str">
        <f>IF($C42&lt;&gt;"",IF(ISNA($J42-VLOOKUP($C42,Données!$C$19:'Données'!$I$48,4,0)), ,$J42-VLOOKUP($C42,Données!$C$19:'Données'!$I$48,4,0)),"")</f>
        <v/>
      </c>
      <c r="L42" s="32"/>
      <c r="M42" s="19"/>
      <c r="N42" s="31"/>
      <c r="O42" s="95"/>
      <c r="P42" s="95"/>
      <c r="Q42" s="33"/>
      <c r="R42" s="43" t="str">
        <f>IF($C42&lt;&gt;"",IF($D42&lt;&gt;100,"/",IF(ISNA($Q42-VLOOKUP($C42,Données!$C$19:'Données'!$I$48,4,0)), ,$Q42-VLOOKUP($C42,Données!$C$19:'Données'!$I$48,4,0))),"")</f>
        <v/>
      </c>
      <c r="S42" s="16"/>
      <c r="T42" s="33"/>
      <c r="U42" s="43" t="str">
        <f>IF($C42&lt;&gt;"",IF($J42="","/",IF(ISNA($T42-VLOOKUP($C42,Données!$C$19:'Données'!$I$48,4,0)), ,$T42-VLOOKUP($C42,Données!$C$19:'Données'!$I$48,4,0))),"")</f>
        <v/>
      </c>
      <c r="V42" s="1"/>
      <c r="W42" s="1"/>
      <c r="X42" s="49"/>
      <c r="Y42" s="46" t="str">
        <f t="shared" si="0"/>
        <v/>
      </c>
      <c r="Z42" s="47" t="s">
        <v>39</v>
      </c>
      <c r="AA42" s="46" t="str">
        <f t="shared" si="1"/>
        <v/>
      </c>
      <c r="AB42" s="48" t="s">
        <v>40</v>
      </c>
      <c r="AC42" s="49">
        <f t="shared" si="2"/>
        <v>1</v>
      </c>
      <c r="AD42" s="49">
        <f t="shared" si="3"/>
        <v>1</v>
      </c>
      <c r="AE42" s="49">
        <f t="shared" si="4"/>
        <v>1</v>
      </c>
      <c r="AF42" s="49">
        <f t="shared" si="5"/>
        <v>1</v>
      </c>
      <c r="AG42" s="50">
        <f t="shared" si="6"/>
        <v>0</v>
      </c>
      <c r="AH42" s="54" t="str">
        <f>IF($C42="","",IFERROR(IF(ISNA(VLOOKUP($C42,Données!$C$19:'Données'!$I$48,6,0)), ,VLOOKUP($C42,Données!$C$19:'Données'!$I$48,6,0)),"/"))</f>
        <v/>
      </c>
      <c r="AI42" s="54" t="str">
        <f>IF($C42="","",IFERROR(IF(ISNA(VLOOKUP($C42,Données!$C$19:'Données'!$I$48,7,0)), ,VLOOKUP($C42,Données!$C$19:'Données'!$I$48,7,0)),"/"))</f>
        <v/>
      </c>
      <c r="AJ42" s="54" t="str">
        <f t="shared" si="7"/>
        <v/>
      </c>
      <c r="AK42" s="54">
        <f t="shared" si="8"/>
        <v>0</v>
      </c>
      <c r="AL42" s="54">
        <f t="shared" si="9"/>
        <v>0</v>
      </c>
      <c r="AM42" s="49" t="str">
        <f t="shared" si="10"/>
        <v/>
      </c>
      <c r="AN42" s="49">
        <f t="shared" si="11"/>
        <v>0</v>
      </c>
      <c r="AO42" s="49" t="str">
        <f t="shared" si="12"/>
        <v/>
      </c>
      <c r="AP42" s="54" t="str">
        <f t="shared" si="13"/>
        <v/>
      </c>
      <c r="AQ42" s="49">
        <f t="shared" si="14"/>
        <v>0</v>
      </c>
      <c r="AR42" s="69">
        <f t="shared" si="15"/>
        <v>0</v>
      </c>
      <c r="AS42" s="49">
        <f t="shared" si="16"/>
        <v>0</v>
      </c>
      <c r="AT42" s="49" t="str">
        <f>IFERROR(VLOOKUP($C42,Données!$C$19:'Données'!$I$48,3,0),"")</f>
        <v/>
      </c>
      <c r="AU42" s="49">
        <f t="shared" si="17"/>
        <v>0</v>
      </c>
      <c r="AV42" s="49">
        <f t="shared" si="18"/>
        <v>0</v>
      </c>
      <c r="AW42" s="49">
        <f t="shared" si="19"/>
        <v>0</v>
      </c>
      <c r="AX42" s="49">
        <f t="shared" si="20"/>
        <v>0</v>
      </c>
      <c r="AY42" s="49">
        <f t="shared" si="21"/>
        <v>0</v>
      </c>
      <c r="AZ42" s="49">
        <f t="shared" si="22"/>
        <v>0</v>
      </c>
      <c r="BA42" s="49">
        <f t="shared" si="23"/>
        <v>0</v>
      </c>
      <c r="BB42" s="49">
        <f t="shared" si="24"/>
        <v>0</v>
      </c>
      <c r="BC42" s="49">
        <f t="shared" si="25"/>
        <v>0</v>
      </c>
      <c r="BD42" s="49">
        <f t="shared" si="26"/>
        <v>0</v>
      </c>
      <c r="BE42" s="49">
        <f t="shared" si="27"/>
        <v>0</v>
      </c>
      <c r="BF42" s="49" t="str">
        <f>TEXT('Feuille Saisie'!$B$4,"aaaa")</f>
        <v>2019</v>
      </c>
      <c r="BG42" s="49" t="str">
        <f>IF($Q42="",TEXT('Feuille Saisie'!$B$4,"aaaa"),TEXT($Q42,"aaaa"))</f>
        <v>2019</v>
      </c>
      <c r="BH42" s="49">
        <f t="shared" si="28"/>
        <v>0</v>
      </c>
      <c r="BI42" s="49">
        <f t="shared" si="29"/>
        <v>1</v>
      </c>
      <c r="BJ42" s="49" t="str">
        <f t="shared" si="30"/>
        <v/>
      </c>
      <c r="BK42" s="49">
        <f t="shared" si="31"/>
        <v>0</v>
      </c>
      <c r="BL42" s="46" t="str">
        <f t="shared" si="32"/>
        <v/>
      </c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 t="str">
        <f t="shared" si="33"/>
        <v/>
      </c>
      <c r="CZ42" s="49">
        <f t="shared" si="34"/>
        <v>0</v>
      </c>
      <c r="DA42" s="49" t="str">
        <f t="shared" si="35"/>
        <v/>
      </c>
      <c r="DB42" s="54">
        <f t="shared" si="36"/>
        <v>0</v>
      </c>
      <c r="DC42" s="49" t="str">
        <f>TEXT('Feuille Saisie'!$B$4,"aaaa")</f>
        <v>2019</v>
      </c>
      <c r="DD42" s="49" t="str">
        <f>IF($J42="",TEXT('Feuille Saisie'!$B$4,"aaaa"),TEXT($J42,"aaaa"))</f>
        <v>2019</v>
      </c>
      <c r="DE42" s="49">
        <f t="shared" si="37"/>
        <v>0</v>
      </c>
      <c r="DF42" s="49">
        <f t="shared" si="38"/>
        <v>0</v>
      </c>
      <c r="DG42" s="97" t="str">
        <f>TEXT(IFERROR(VLOOKUP($C42,Données!$C$19:'Données'!$I$48,4,0),""),"aaaa")</f>
        <v/>
      </c>
      <c r="DH42" s="49">
        <f t="shared" si="39"/>
        <v>0</v>
      </c>
      <c r="DI42" s="49">
        <f t="shared" si="40"/>
        <v>1</v>
      </c>
      <c r="DJ42" s="49">
        <f t="shared" si="41"/>
        <v>0</v>
      </c>
      <c r="DK42" s="49">
        <f t="shared" si="42"/>
        <v>0</v>
      </c>
      <c r="DL42" s="49">
        <f t="shared" si="43"/>
        <v>0</v>
      </c>
      <c r="DM42" s="49" t="str">
        <f>IF($T42="",TEXT('Feuille Saisie'!$B$4,"aaaa"),TEXT($T42,"aaaa"))</f>
        <v>2019</v>
      </c>
      <c r="DN42" s="49">
        <f t="shared" si="44"/>
        <v>0</v>
      </c>
      <c r="DO42" s="49">
        <f t="shared" si="45"/>
        <v>0</v>
      </c>
      <c r="EA42" s="49" t="str">
        <f>IFERROR(VLOOKUP($C42,Données!$C$19:'Données'!$I$48,3,0),"")</f>
        <v/>
      </c>
      <c r="EB42" s="49" t="str">
        <f t="shared" si="46"/>
        <v xml:space="preserve"> </v>
      </c>
      <c r="EC42" s="49" t="str">
        <f t="shared" si="47"/>
        <v xml:space="preserve"> </v>
      </c>
      <c r="ED42" s="49" t="str">
        <f t="shared" si="48"/>
        <v xml:space="preserve"> </v>
      </c>
      <c r="EE42" s="49" t="str">
        <f t="shared" si="49"/>
        <v xml:space="preserve"> </v>
      </c>
      <c r="EF42" s="49">
        <f t="shared" si="50"/>
        <v>0</v>
      </c>
      <c r="FA42" s="54" t="str">
        <f>IF($C42="","",IFERROR(IF(ISNA(VLOOKUP($C42,'Bilan final GPA HN'!$C$29:'Bilan final GPA HN'!$X$43,22,0)), ,VLOOKUP($C42,'Bilan final GPA HN'!$C$29:'Bilan final GPA HN'!$X$43,22,0)),"/"))</f>
        <v/>
      </c>
      <c r="FB42" s="54" t="str">
        <f>IF($C42="","",IFERROR(IF(ISNA(VLOOKUP($C42,'Bilan final GPA HR'!$C$29:'Bilan final GPA HR'!$X$43,22,0)), ,VLOOKUP($C42,'Bilan final GPA HR'!$C$29:'Bilan final GPA HR'!$X$43,22,0)),"/"))</f>
        <v/>
      </c>
      <c r="FC42" s="54" t="str">
        <f>IF($C42="","",IFERROR(IF(ISNA(VLOOKUP($C42,'Bilan final GPA OF'!$C$29:'Bilan final GPA OF'!$X$43,22,0)), ,VLOOKUP($C42,'Bilan final GPA OF'!$C$29:'Bilan final GPA OF'!$X$43,22,0)),"/"))</f>
        <v/>
      </c>
      <c r="FD42" s="54" t="str">
        <f>IF($C42="","",IFERROR(IF(ISNA(VLOOKUP($C42,'Bilan final GPA IE'!$C$29:'Bilan final GPA IE'!$X$43,22,0)), ,VLOOKUP($C42,'Bilan final GPA IE'!$C$29:'Bilan final GPA IE'!$X$43,22,0)),"/"))</f>
        <v/>
      </c>
      <c r="FE42" s="115">
        <f t="shared" si="51"/>
        <v>0</v>
      </c>
      <c r="FF42" s="116" t="s">
        <v>97</v>
      </c>
      <c r="FG42" s="117" t="str">
        <f t="shared" si="52"/>
        <v/>
      </c>
    </row>
    <row r="43" spans="1:163" ht="50.1" customHeight="1" x14ac:dyDescent="0.3">
      <c r="A43" s="1"/>
      <c r="B43" s="1"/>
      <c r="C43" s="15"/>
      <c r="D43" s="41">
        <f>IF(IF(ISNA(('Feuille Saisie'!$B$4-VLOOKUP($C43,Données!$C$19:'Données'!$I$48,4,0)))/365.24*100, ,('Feuille Saisie'!$B$4-VLOOKUP($C43,Données!$C$19:'Données'!$I$48,4,0))/365.24*100)&lt;100,IF(ISNA(('Feuille Saisie'!$B$4-VLOOKUP($C43,Données!$C$19:'Données'!$I$48,4,0)))/365.24*100, ,('Feuille Saisie'!$B$4-VLOOKUP($C43,Données!$C$19:'Données'!$I$48,4,0))/365.24*100),100)</f>
        <v>0</v>
      </c>
      <c r="E43" s="19"/>
      <c r="F43" s="42" t="str">
        <f>IF(ISNA(IF(AND($E43=0,VLOOKUP($C43,Données!$C$19:'Données'!$I$48,6,0)&lt;&gt;""),"0,00",IFERROR(IF(ISNA($E43/VLOOKUP($C43,Données!$C$19:'Données'!$I$48,6,0)), ,$E43/VLOOKUP($C43,Données!$C$19:'Données'!$I$48,6,0)),"/"))),"",IF(AND($E43=0,VLOOKUP($C43,Données!$C$19:'Données'!$I$48,6,0)&lt;&gt;""),"0,00",IFERROR(IF(ISNA($E43/VLOOKUP($C43,Données!$C$19:'Données'!$I$48,6,0)), ,$E43/VLOOKUP($C43,Données!$C$19:'Données'!$I$48,6,0)),"/")))</f>
        <v/>
      </c>
      <c r="G43" s="42" t="str">
        <f>IF(ISNA(IF(AND($E43=0,VLOOKUP($C43,Données!$C$19:'Données'!$I$48,7,0)&lt;&gt;""),"0,00",IFERROR(IF(ISNA($E43/VLOOKUP($C43,Données!$C$19:'Données'!$I$48,7,0)*100),,$E43/VLOOKUP($C43,Données!$C$19:'Données'!$I$48,7,0)*100),"/"))),"",IF(AND($E43=0,VLOOKUP($C43,Données!$C$19:'Données'!$I$48,7,0)&lt;&gt;""),"0,00",IFERROR(IF(ISNA($E43/VLOOKUP($C43,Données!$C$19:'Données'!$I$48,7,0)*100),,$E43/VLOOKUP($C43,Données!$C$19:'Données'!$I$48,7,0)*100),"/")))</f>
        <v/>
      </c>
      <c r="H43" s="33"/>
      <c r="I43" s="43" t="str">
        <f>IF($C43&lt;&gt;"",IF($E43=0,"/",IF(ISNA($H43-VLOOKUP($C43,Données!$C$19:'Données'!$I$48,4,0)), ,$H43-VLOOKUP($C43,Données!$C$19:'Données'!$I$48,4,0))),"")</f>
        <v/>
      </c>
      <c r="J43" s="33"/>
      <c r="K43" s="43" t="str">
        <f>IF($C43&lt;&gt;"",IF(ISNA($J43-VLOOKUP($C43,Données!$C$19:'Données'!$I$48,4,0)), ,$J43-VLOOKUP($C43,Données!$C$19:'Données'!$I$48,4,0)),"")</f>
        <v/>
      </c>
      <c r="L43" s="32"/>
      <c r="M43" s="19"/>
      <c r="N43" s="31"/>
      <c r="O43" s="95"/>
      <c r="P43" s="95"/>
      <c r="Q43" s="33"/>
      <c r="R43" s="43" t="str">
        <f>IF($C43&lt;&gt;"",IF($D43&lt;&gt;100,"/",IF(ISNA($Q43-VLOOKUP($C43,Données!$C$19:'Données'!$I$48,4,0)), ,$Q43-VLOOKUP($C43,Données!$C$19:'Données'!$I$48,4,0))),"")</f>
        <v/>
      </c>
      <c r="S43" s="16"/>
      <c r="T43" s="33"/>
      <c r="U43" s="43" t="str">
        <f>IF($C43&lt;&gt;"",IF($J43="","/",IF(ISNA($T43-VLOOKUP($C43,Données!$C$19:'Données'!$I$48,4,0)), ,$T43-VLOOKUP($C43,Données!$C$19:'Données'!$I$48,4,0))),"")</f>
        <v/>
      </c>
      <c r="V43" s="1"/>
      <c r="W43" s="1"/>
      <c r="X43" s="49"/>
      <c r="Y43" s="46" t="str">
        <f t="shared" si="0"/>
        <v/>
      </c>
      <c r="Z43" s="47" t="s">
        <v>39</v>
      </c>
      <c r="AA43" s="46" t="str">
        <f t="shared" si="1"/>
        <v/>
      </c>
      <c r="AB43" s="48" t="s">
        <v>40</v>
      </c>
      <c r="AC43" s="49">
        <f t="shared" si="2"/>
        <v>1</v>
      </c>
      <c r="AD43" s="49">
        <f t="shared" si="3"/>
        <v>1</v>
      </c>
      <c r="AE43" s="49">
        <f t="shared" si="4"/>
        <v>1</v>
      </c>
      <c r="AF43" s="49">
        <f t="shared" si="5"/>
        <v>1</v>
      </c>
      <c r="AG43" s="50">
        <f t="shared" si="6"/>
        <v>0</v>
      </c>
      <c r="AH43" s="54" t="str">
        <f>IF($C43="","",IFERROR(IF(ISNA(VLOOKUP($C43,Données!$C$19:'Données'!$I$48,6,0)), ,VLOOKUP($C43,Données!$C$19:'Données'!$I$48,6,0)),"/"))</f>
        <v/>
      </c>
      <c r="AI43" s="54" t="str">
        <f>IF($C43="","",IFERROR(IF(ISNA(VLOOKUP($C43,Données!$C$19:'Données'!$I$48,7,0)), ,VLOOKUP($C43,Données!$C$19:'Données'!$I$48,7,0)),"/"))</f>
        <v/>
      </c>
      <c r="AJ43" s="54" t="str">
        <f t="shared" si="7"/>
        <v/>
      </c>
      <c r="AK43" s="54">
        <f t="shared" si="8"/>
        <v>0</v>
      </c>
      <c r="AL43" s="54">
        <f t="shared" si="9"/>
        <v>0</v>
      </c>
      <c r="AM43" s="49" t="str">
        <f t="shared" si="10"/>
        <v/>
      </c>
      <c r="AN43" s="49">
        <f t="shared" si="11"/>
        <v>0</v>
      </c>
      <c r="AO43" s="49" t="str">
        <f t="shared" si="12"/>
        <v/>
      </c>
      <c r="AP43" s="54" t="str">
        <f t="shared" si="13"/>
        <v/>
      </c>
      <c r="AQ43" s="49">
        <f t="shared" si="14"/>
        <v>0</v>
      </c>
      <c r="AR43" s="69">
        <f t="shared" si="15"/>
        <v>0</v>
      </c>
      <c r="AS43" s="49">
        <f t="shared" si="16"/>
        <v>0</v>
      </c>
      <c r="AT43" s="49" t="str">
        <f>IFERROR(VLOOKUP($C43,Données!$C$19:'Données'!$I$48,3,0),"")</f>
        <v/>
      </c>
      <c r="AU43" s="49">
        <f t="shared" si="17"/>
        <v>0</v>
      </c>
      <c r="AV43" s="49">
        <f t="shared" si="18"/>
        <v>0</v>
      </c>
      <c r="AW43" s="49">
        <f t="shared" si="19"/>
        <v>0</v>
      </c>
      <c r="AX43" s="49">
        <f t="shared" si="20"/>
        <v>0</v>
      </c>
      <c r="AY43" s="49">
        <f t="shared" si="21"/>
        <v>0</v>
      </c>
      <c r="AZ43" s="49">
        <f t="shared" si="22"/>
        <v>0</v>
      </c>
      <c r="BA43" s="49">
        <f t="shared" si="23"/>
        <v>0</v>
      </c>
      <c r="BB43" s="49">
        <f t="shared" si="24"/>
        <v>0</v>
      </c>
      <c r="BC43" s="49">
        <f t="shared" si="25"/>
        <v>0</v>
      </c>
      <c r="BD43" s="49">
        <f t="shared" si="26"/>
        <v>0</v>
      </c>
      <c r="BE43" s="49">
        <f t="shared" si="27"/>
        <v>0</v>
      </c>
      <c r="BF43" s="49" t="str">
        <f>TEXT('Feuille Saisie'!$B$4,"aaaa")</f>
        <v>2019</v>
      </c>
      <c r="BG43" s="49" t="str">
        <f>IF($Q43="",TEXT('Feuille Saisie'!$B$4,"aaaa"),TEXT($Q43,"aaaa"))</f>
        <v>2019</v>
      </c>
      <c r="BH43" s="49">
        <f t="shared" si="28"/>
        <v>0</v>
      </c>
      <c r="BI43" s="49">
        <f t="shared" si="29"/>
        <v>1</v>
      </c>
      <c r="BJ43" s="49" t="str">
        <f t="shared" si="30"/>
        <v/>
      </c>
      <c r="BK43" s="49">
        <f t="shared" si="31"/>
        <v>0</v>
      </c>
      <c r="BL43" s="46" t="str">
        <f t="shared" si="32"/>
        <v/>
      </c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 t="str">
        <f t="shared" si="33"/>
        <v/>
      </c>
      <c r="CZ43" s="49">
        <f t="shared" si="34"/>
        <v>0</v>
      </c>
      <c r="DA43" s="49" t="str">
        <f t="shared" si="35"/>
        <v/>
      </c>
      <c r="DB43" s="54">
        <f t="shared" si="36"/>
        <v>0</v>
      </c>
      <c r="DC43" s="49" t="str">
        <f>TEXT('Feuille Saisie'!$B$4,"aaaa")</f>
        <v>2019</v>
      </c>
      <c r="DD43" s="49" t="str">
        <f>IF($J43="",TEXT('Feuille Saisie'!$B$4,"aaaa"),TEXT($J43,"aaaa"))</f>
        <v>2019</v>
      </c>
      <c r="DE43" s="49">
        <f t="shared" si="37"/>
        <v>0</v>
      </c>
      <c r="DF43" s="49">
        <f t="shared" si="38"/>
        <v>0</v>
      </c>
      <c r="DG43" s="97" t="str">
        <f>TEXT(IFERROR(VLOOKUP($C43,Données!$C$19:'Données'!$I$48,4,0),""),"aaaa")</f>
        <v/>
      </c>
      <c r="DH43" s="49">
        <f t="shared" si="39"/>
        <v>0</v>
      </c>
      <c r="DI43" s="49">
        <f t="shared" si="40"/>
        <v>1</v>
      </c>
      <c r="DJ43" s="49">
        <f t="shared" si="41"/>
        <v>0</v>
      </c>
      <c r="DK43" s="49">
        <f t="shared" si="42"/>
        <v>0</v>
      </c>
      <c r="DL43" s="49">
        <f t="shared" si="43"/>
        <v>0</v>
      </c>
      <c r="DM43" s="49" t="str">
        <f>IF($T43="",TEXT('Feuille Saisie'!$B$4,"aaaa"),TEXT($T43,"aaaa"))</f>
        <v>2019</v>
      </c>
      <c r="DN43" s="49">
        <f t="shared" si="44"/>
        <v>0</v>
      </c>
      <c r="DO43" s="49">
        <f t="shared" si="45"/>
        <v>0</v>
      </c>
      <c r="EA43" s="49" t="str">
        <f>IFERROR(VLOOKUP($C43,Données!$C$19:'Données'!$I$48,3,0),"")</f>
        <v/>
      </c>
      <c r="EB43" s="49" t="str">
        <f t="shared" si="46"/>
        <v xml:space="preserve"> </v>
      </c>
      <c r="EC43" s="49" t="str">
        <f t="shared" si="47"/>
        <v xml:space="preserve"> </v>
      </c>
      <c r="ED43" s="49" t="str">
        <f t="shared" si="48"/>
        <v xml:space="preserve"> </v>
      </c>
      <c r="EE43" s="49" t="str">
        <f t="shared" si="49"/>
        <v xml:space="preserve"> </v>
      </c>
      <c r="EF43" s="49">
        <f t="shared" si="50"/>
        <v>0</v>
      </c>
      <c r="FA43" s="54" t="str">
        <f>IF($C43="","",IFERROR(IF(ISNA(VLOOKUP($C43,'Bilan final GPA HN'!$C$29:'Bilan final GPA HN'!$X$43,22,0)), ,VLOOKUP($C43,'Bilan final GPA HN'!$C$29:'Bilan final GPA HN'!$X$43,22,0)),"/"))</f>
        <v/>
      </c>
      <c r="FB43" s="54" t="str">
        <f>IF($C43="","",IFERROR(IF(ISNA(VLOOKUP($C43,'Bilan final GPA HR'!$C$29:'Bilan final GPA HR'!$X$43,22,0)), ,VLOOKUP($C43,'Bilan final GPA HR'!$C$29:'Bilan final GPA HR'!$X$43,22,0)),"/"))</f>
        <v/>
      </c>
      <c r="FC43" s="54" t="str">
        <f>IF($C43="","",IFERROR(IF(ISNA(VLOOKUP($C43,'Bilan final GPA OF'!$C$29:'Bilan final GPA OF'!$X$43,22,0)), ,VLOOKUP($C43,'Bilan final GPA OF'!$C$29:'Bilan final GPA OF'!$X$43,22,0)),"/"))</f>
        <v/>
      </c>
      <c r="FD43" s="54" t="str">
        <f>IF($C43="","",IFERROR(IF(ISNA(VLOOKUP($C43,'Bilan final GPA IE'!$C$29:'Bilan final GPA IE'!$X$43,22,0)), ,VLOOKUP($C43,'Bilan final GPA IE'!$C$29:'Bilan final GPA IE'!$X$43,22,0)),"/"))</f>
        <v/>
      </c>
      <c r="FE43" s="115">
        <f t="shared" si="51"/>
        <v>0</v>
      </c>
      <c r="FF43" s="116" t="s">
        <v>97</v>
      </c>
      <c r="FG43" s="117" t="str">
        <f t="shared" si="52"/>
        <v/>
      </c>
    </row>
    <row r="44" spans="1:163" ht="50.1" customHeight="1" x14ac:dyDescent="0.3">
      <c r="A44" s="1"/>
      <c r="B44" s="1"/>
      <c r="C44" s="15"/>
      <c r="D44" s="41">
        <f>IF(IF(ISNA(('Feuille Saisie'!$B$4-VLOOKUP($C44,Données!$C$19:'Données'!$I$48,4,0)))/365.24*100, ,('Feuille Saisie'!$B$4-VLOOKUP($C44,Données!$C$19:'Données'!$I$48,4,0))/365.24*100)&lt;100,IF(ISNA(('Feuille Saisie'!$B$4-VLOOKUP($C44,Données!$C$19:'Données'!$I$48,4,0)))/365.24*100, ,('Feuille Saisie'!$B$4-VLOOKUP($C44,Données!$C$19:'Données'!$I$48,4,0))/365.24*100),100)</f>
        <v>0</v>
      </c>
      <c r="E44" s="19"/>
      <c r="F44" s="42" t="str">
        <f>IF(ISNA(IF(AND($E44=0,VLOOKUP($C44,Données!$C$19:'Données'!$I$48,6,0)&lt;&gt;""),"0,00",IFERROR(IF(ISNA($E44/VLOOKUP($C44,Données!$C$19:'Données'!$I$48,6,0)), ,$E44/VLOOKUP($C44,Données!$C$19:'Données'!$I$48,6,0)),"/"))),"",IF(AND($E44=0,VLOOKUP($C44,Données!$C$19:'Données'!$I$48,6,0)&lt;&gt;""),"0,00",IFERROR(IF(ISNA($E44/VLOOKUP($C44,Données!$C$19:'Données'!$I$48,6,0)), ,$E44/VLOOKUP($C44,Données!$C$19:'Données'!$I$48,6,0)),"/")))</f>
        <v/>
      </c>
      <c r="G44" s="42" t="str">
        <f>IF(ISNA(IF(AND($E44=0,VLOOKUP($C44,Données!$C$19:'Données'!$I$48,7,0)&lt;&gt;""),"0,00",IFERROR(IF(ISNA($E44/VLOOKUP($C44,Données!$C$19:'Données'!$I$48,7,0)*100),,$E44/VLOOKUP($C44,Données!$C$19:'Données'!$I$48,7,0)*100),"/"))),"",IF(AND($E44=0,VLOOKUP($C44,Données!$C$19:'Données'!$I$48,7,0)&lt;&gt;""),"0,00",IFERROR(IF(ISNA($E44/VLOOKUP($C44,Données!$C$19:'Données'!$I$48,7,0)*100),,$E44/VLOOKUP($C44,Données!$C$19:'Données'!$I$48,7,0)*100),"/")))</f>
        <v/>
      </c>
      <c r="H44" s="33"/>
      <c r="I44" s="43" t="str">
        <f>IF($C44&lt;&gt;"",IF($E44=0,"/",IF(ISNA($H44-VLOOKUP($C44,Données!$C$19:'Données'!$I$48,4,0)), ,$H44-VLOOKUP($C44,Données!$C$19:'Données'!$I$48,4,0))),"")</f>
        <v/>
      </c>
      <c r="J44" s="33"/>
      <c r="K44" s="43" t="str">
        <f>IF($C44&lt;&gt;"",IF(ISNA($J44-VLOOKUP($C44,Données!$C$19:'Données'!$I$48,4,0)), ,$J44-VLOOKUP($C44,Données!$C$19:'Données'!$I$48,4,0)),"")</f>
        <v/>
      </c>
      <c r="L44" s="32"/>
      <c r="M44" s="19"/>
      <c r="N44" s="31"/>
      <c r="O44" s="95"/>
      <c r="P44" s="95"/>
      <c r="Q44" s="33"/>
      <c r="R44" s="43" t="str">
        <f>IF($C44&lt;&gt;"",IF($D44&lt;&gt;100,"/",IF(ISNA($Q44-VLOOKUP($C44,Données!$C$19:'Données'!$I$48,4,0)), ,$Q44-VLOOKUP($C44,Données!$C$19:'Données'!$I$48,4,0))),"")</f>
        <v/>
      </c>
      <c r="S44" s="16"/>
      <c r="T44" s="33"/>
      <c r="U44" s="43" t="str">
        <f>IF($C44&lt;&gt;"",IF($J44="","/",IF(ISNA($T44-VLOOKUP($C44,Données!$C$19:'Données'!$I$48,4,0)), ,$T44-VLOOKUP($C44,Données!$C$19:'Données'!$I$48,4,0))),"")</f>
        <v/>
      </c>
      <c r="V44" s="1"/>
      <c r="W44" s="1"/>
      <c r="X44" s="49"/>
      <c r="Y44" s="46" t="str">
        <f t="shared" si="0"/>
        <v/>
      </c>
      <c r="Z44" s="47" t="s">
        <v>39</v>
      </c>
      <c r="AA44" s="46" t="str">
        <f t="shared" si="1"/>
        <v/>
      </c>
      <c r="AB44" s="48" t="s">
        <v>40</v>
      </c>
      <c r="AC44" s="49">
        <f t="shared" si="2"/>
        <v>1</v>
      </c>
      <c r="AD44" s="49">
        <f t="shared" si="3"/>
        <v>1</v>
      </c>
      <c r="AE44" s="49">
        <f t="shared" si="4"/>
        <v>1</v>
      </c>
      <c r="AF44" s="49">
        <f t="shared" si="5"/>
        <v>1</v>
      </c>
      <c r="AG44" s="50">
        <f t="shared" si="6"/>
        <v>0</v>
      </c>
      <c r="AH44" s="54" t="str">
        <f>IF($C44="","",IFERROR(IF(ISNA(VLOOKUP($C44,Données!$C$19:'Données'!$I$48,6,0)), ,VLOOKUP($C44,Données!$C$19:'Données'!$I$48,6,0)),"/"))</f>
        <v/>
      </c>
      <c r="AI44" s="54" t="str">
        <f>IF($C44="","",IFERROR(IF(ISNA(VLOOKUP($C44,Données!$C$19:'Données'!$I$48,7,0)), ,VLOOKUP($C44,Données!$C$19:'Données'!$I$48,7,0)),"/"))</f>
        <v/>
      </c>
      <c r="AJ44" s="54" t="str">
        <f t="shared" si="7"/>
        <v/>
      </c>
      <c r="AK44" s="54">
        <f t="shared" si="8"/>
        <v>0</v>
      </c>
      <c r="AL44" s="54">
        <f t="shared" si="9"/>
        <v>0</v>
      </c>
      <c r="AM44" s="49" t="str">
        <f t="shared" si="10"/>
        <v/>
      </c>
      <c r="AN44" s="49">
        <f t="shared" si="11"/>
        <v>0</v>
      </c>
      <c r="AO44" s="49" t="str">
        <f t="shared" si="12"/>
        <v/>
      </c>
      <c r="AP44" s="54" t="str">
        <f t="shared" si="13"/>
        <v/>
      </c>
      <c r="AQ44" s="49">
        <f t="shared" si="14"/>
        <v>0</v>
      </c>
      <c r="AR44" s="69">
        <f t="shared" si="15"/>
        <v>0</v>
      </c>
      <c r="AS44" s="49">
        <f t="shared" si="16"/>
        <v>0</v>
      </c>
      <c r="AT44" s="49" t="str">
        <f>IFERROR(VLOOKUP($C44,Données!$C$19:'Données'!$I$48,3,0),"")</f>
        <v/>
      </c>
      <c r="AU44" s="49">
        <f t="shared" si="17"/>
        <v>0</v>
      </c>
      <c r="AV44" s="49">
        <f t="shared" si="18"/>
        <v>0</v>
      </c>
      <c r="AW44" s="49">
        <f t="shared" si="19"/>
        <v>0</v>
      </c>
      <c r="AX44" s="49">
        <f t="shared" si="20"/>
        <v>0</v>
      </c>
      <c r="AY44" s="49">
        <f t="shared" si="21"/>
        <v>0</v>
      </c>
      <c r="AZ44" s="49">
        <f t="shared" si="22"/>
        <v>0</v>
      </c>
      <c r="BA44" s="49">
        <f t="shared" si="23"/>
        <v>0</v>
      </c>
      <c r="BB44" s="49">
        <f t="shared" si="24"/>
        <v>0</v>
      </c>
      <c r="BC44" s="49">
        <f t="shared" si="25"/>
        <v>0</v>
      </c>
      <c r="BD44" s="49">
        <f t="shared" si="26"/>
        <v>0</v>
      </c>
      <c r="BE44" s="49">
        <f t="shared" si="27"/>
        <v>0</v>
      </c>
      <c r="BF44" s="49" t="str">
        <f>TEXT('Feuille Saisie'!$B$4,"aaaa")</f>
        <v>2019</v>
      </c>
      <c r="BG44" s="49" t="str">
        <f>IF($Q44="",TEXT('Feuille Saisie'!$B$4,"aaaa"),TEXT($Q44,"aaaa"))</f>
        <v>2019</v>
      </c>
      <c r="BH44" s="49">
        <f t="shared" si="28"/>
        <v>0</v>
      </c>
      <c r="BI44" s="49">
        <f t="shared" si="29"/>
        <v>1</v>
      </c>
      <c r="BJ44" s="49" t="str">
        <f t="shared" si="30"/>
        <v/>
      </c>
      <c r="BK44" s="49">
        <f t="shared" si="31"/>
        <v>0</v>
      </c>
      <c r="BL44" s="46" t="str">
        <f t="shared" si="32"/>
        <v/>
      </c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 t="str">
        <f t="shared" si="33"/>
        <v/>
      </c>
      <c r="CZ44" s="49">
        <f t="shared" si="34"/>
        <v>0</v>
      </c>
      <c r="DA44" s="49" t="str">
        <f t="shared" si="35"/>
        <v/>
      </c>
      <c r="DB44" s="54">
        <f t="shared" si="36"/>
        <v>0</v>
      </c>
      <c r="DC44" s="49" t="str">
        <f>TEXT('Feuille Saisie'!$B$4,"aaaa")</f>
        <v>2019</v>
      </c>
      <c r="DD44" s="49" t="str">
        <f>IF($J44="",TEXT('Feuille Saisie'!$B$4,"aaaa"),TEXT($J44,"aaaa"))</f>
        <v>2019</v>
      </c>
      <c r="DE44" s="49">
        <f t="shared" si="37"/>
        <v>0</v>
      </c>
      <c r="DF44" s="49">
        <f t="shared" si="38"/>
        <v>0</v>
      </c>
      <c r="DG44" s="97" t="str">
        <f>TEXT(IFERROR(VLOOKUP($C44,Données!$C$19:'Données'!$I$48,4,0),""),"aaaa")</f>
        <v/>
      </c>
      <c r="DH44" s="49">
        <f t="shared" si="39"/>
        <v>0</v>
      </c>
      <c r="DI44" s="49">
        <f t="shared" si="40"/>
        <v>1</v>
      </c>
      <c r="DJ44" s="49">
        <f t="shared" si="41"/>
        <v>0</v>
      </c>
      <c r="DK44" s="49">
        <f t="shared" si="42"/>
        <v>0</v>
      </c>
      <c r="DL44" s="49">
        <f t="shared" si="43"/>
        <v>0</v>
      </c>
      <c r="DM44" s="49" t="str">
        <f>IF($T44="",TEXT('Feuille Saisie'!$B$4,"aaaa"),TEXT($T44,"aaaa"))</f>
        <v>2019</v>
      </c>
      <c r="DN44" s="49">
        <f t="shared" si="44"/>
        <v>0</v>
      </c>
      <c r="DO44" s="49">
        <f t="shared" si="45"/>
        <v>0</v>
      </c>
      <c r="EA44" s="49" t="str">
        <f>IFERROR(VLOOKUP($C44,Données!$C$19:'Données'!$I$48,3,0),"")</f>
        <v/>
      </c>
      <c r="EB44" s="49" t="str">
        <f t="shared" si="46"/>
        <v xml:space="preserve"> </v>
      </c>
      <c r="EC44" s="49" t="str">
        <f t="shared" si="47"/>
        <v xml:space="preserve"> </v>
      </c>
      <c r="ED44" s="49" t="str">
        <f t="shared" si="48"/>
        <v xml:space="preserve"> </v>
      </c>
      <c r="EE44" s="49" t="str">
        <f t="shared" si="49"/>
        <v xml:space="preserve"> </v>
      </c>
      <c r="EF44" s="49">
        <f t="shared" si="50"/>
        <v>0</v>
      </c>
      <c r="FA44" s="54" t="str">
        <f>IF($C44="","",IFERROR(IF(ISNA(VLOOKUP($C44,'Bilan final GPA HN'!$C$29:'Bilan final GPA HN'!$X$43,22,0)), ,VLOOKUP($C44,'Bilan final GPA HN'!$C$29:'Bilan final GPA HN'!$X$43,22,0)),"/"))</f>
        <v/>
      </c>
      <c r="FB44" s="54" t="str">
        <f>IF($C44="","",IFERROR(IF(ISNA(VLOOKUP($C44,'Bilan final GPA HR'!$C$29:'Bilan final GPA HR'!$X$43,22,0)), ,VLOOKUP($C44,'Bilan final GPA HR'!$C$29:'Bilan final GPA HR'!$X$43,22,0)),"/"))</f>
        <v/>
      </c>
      <c r="FC44" s="54" t="str">
        <f>IF($C44="","",IFERROR(IF(ISNA(VLOOKUP($C44,'Bilan final GPA OF'!$C$29:'Bilan final GPA OF'!$X$43,22,0)), ,VLOOKUP($C44,'Bilan final GPA OF'!$C$29:'Bilan final GPA OF'!$X$43,22,0)),"/"))</f>
        <v/>
      </c>
      <c r="FD44" s="54" t="str">
        <f>IF($C44="","",IFERROR(IF(ISNA(VLOOKUP($C44,'Bilan final GPA IE'!$C$29:'Bilan final GPA IE'!$X$43,22,0)), ,VLOOKUP($C44,'Bilan final GPA IE'!$C$29:'Bilan final GPA IE'!$X$43,22,0)),"/"))</f>
        <v/>
      </c>
      <c r="FE44" s="115">
        <f t="shared" ref="FE44:FE52" si="53">SUM(FA44:FD44)</f>
        <v>0</v>
      </c>
      <c r="FF44" s="116" t="s">
        <v>97</v>
      </c>
      <c r="FG44" s="117" t="str">
        <f t="shared" si="52"/>
        <v/>
      </c>
    </row>
    <row r="45" spans="1:163" ht="50.1" customHeight="1" x14ac:dyDescent="0.3">
      <c r="A45" s="1"/>
      <c r="B45" s="1"/>
      <c r="C45" s="15"/>
      <c r="D45" s="41">
        <f>IF(IF(ISNA(('Feuille Saisie'!$B$4-VLOOKUP($C45,Données!$C$19:'Données'!$I$48,4,0)))/365.24*100, ,('Feuille Saisie'!$B$4-VLOOKUP($C45,Données!$C$19:'Données'!$I$48,4,0))/365.24*100)&lt;100,IF(ISNA(('Feuille Saisie'!$B$4-VLOOKUP($C45,Données!$C$19:'Données'!$I$48,4,0)))/365.24*100, ,('Feuille Saisie'!$B$4-VLOOKUP($C45,Données!$C$19:'Données'!$I$48,4,0))/365.24*100),100)</f>
        <v>0</v>
      </c>
      <c r="E45" s="19"/>
      <c r="F45" s="42" t="str">
        <f>IF(ISNA(IF(AND($E45=0,VLOOKUP($C45,Données!$C$19:'Données'!$I$48,6,0)&lt;&gt;""),"0,00",IFERROR(IF(ISNA($E45/VLOOKUP($C45,Données!$C$19:'Données'!$I$48,6,0)), ,$E45/VLOOKUP($C45,Données!$C$19:'Données'!$I$48,6,0)),"/"))),"",IF(AND($E45=0,VLOOKUP($C45,Données!$C$19:'Données'!$I$48,6,0)&lt;&gt;""),"0,00",IFERROR(IF(ISNA($E45/VLOOKUP($C45,Données!$C$19:'Données'!$I$48,6,0)), ,$E45/VLOOKUP($C45,Données!$C$19:'Données'!$I$48,6,0)),"/")))</f>
        <v/>
      </c>
      <c r="G45" s="42" t="str">
        <f>IF(ISNA(IF(AND($E45=0,VLOOKUP($C45,Données!$C$19:'Données'!$I$48,7,0)&lt;&gt;""),"0,00",IFERROR(IF(ISNA($E45/VLOOKUP($C45,Données!$C$19:'Données'!$I$48,7,0)*100),,$E45/VLOOKUP($C45,Données!$C$19:'Données'!$I$48,7,0)*100),"/"))),"",IF(AND($E45=0,VLOOKUP($C45,Données!$C$19:'Données'!$I$48,7,0)&lt;&gt;""),"0,00",IFERROR(IF(ISNA($E45/VLOOKUP($C45,Données!$C$19:'Données'!$I$48,7,0)*100),,$E45/VLOOKUP($C45,Données!$C$19:'Données'!$I$48,7,0)*100),"/")))</f>
        <v/>
      </c>
      <c r="H45" s="33"/>
      <c r="I45" s="43" t="str">
        <f>IF($C45&lt;&gt;"",IF($E45=0,"/",IF(ISNA($H45-VLOOKUP($C45,Données!$C$19:'Données'!$I$48,4,0)), ,$H45-VLOOKUP($C45,Données!$C$19:'Données'!$I$48,4,0))),"")</f>
        <v/>
      </c>
      <c r="J45" s="33"/>
      <c r="K45" s="43" t="str">
        <f>IF($C45&lt;&gt;"",IF(ISNA($J45-VLOOKUP($C45,Données!$C$19:'Données'!$I$48,4,0)), ,$J45-VLOOKUP($C45,Données!$C$19:'Données'!$I$48,4,0)),"")</f>
        <v/>
      </c>
      <c r="L45" s="32"/>
      <c r="M45" s="19"/>
      <c r="N45" s="31"/>
      <c r="O45" s="95"/>
      <c r="P45" s="95"/>
      <c r="Q45" s="33"/>
      <c r="R45" s="43" t="str">
        <f>IF($C45&lt;&gt;"",IF($D45&lt;&gt;100,"/",IF(ISNA($Q45-VLOOKUP($C45,Données!$C$19:'Données'!$I$48,4,0)), ,$Q45-VLOOKUP($C45,Données!$C$19:'Données'!$I$48,4,0))),"")</f>
        <v/>
      </c>
      <c r="S45" s="16"/>
      <c r="T45" s="33"/>
      <c r="U45" s="43" t="str">
        <f>IF($C45&lt;&gt;"",IF($J45="","/",IF(ISNA($T45-VLOOKUP($C45,Données!$C$19:'Données'!$I$48,4,0)), ,$T45-VLOOKUP($C45,Données!$C$19:'Données'!$I$48,4,0))),"")</f>
        <v/>
      </c>
      <c r="V45" s="1"/>
      <c r="W45" s="1"/>
      <c r="X45" s="49"/>
      <c r="Y45" s="46" t="str">
        <f t="shared" si="0"/>
        <v/>
      </c>
      <c r="Z45" s="47" t="s">
        <v>39</v>
      </c>
      <c r="AA45" s="46" t="str">
        <f t="shared" si="1"/>
        <v/>
      </c>
      <c r="AB45" s="48" t="s">
        <v>40</v>
      </c>
      <c r="AC45" s="49">
        <f t="shared" si="2"/>
        <v>1</v>
      </c>
      <c r="AD45" s="49">
        <f t="shared" si="3"/>
        <v>1</v>
      </c>
      <c r="AE45" s="49">
        <f t="shared" si="4"/>
        <v>1</v>
      </c>
      <c r="AF45" s="49">
        <f t="shared" si="5"/>
        <v>1</v>
      </c>
      <c r="AG45" s="50">
        <f t="shared" si="6"/>
        <v>0</v>
      </c>
      <c r="AH45" s="54" t="str">
        <f>IF($C45="","",IFERROR(IF(ISNA(VLOOKUP($C45,Données!$C$19:'Données'!$I$48,6,0)), ,VLOOKUP($C45,Données!$C$19:'Données'!$I$48,6,0)),"/"))</f>
        <v/>
      </c>
      <c r="AI45" s="54" t="str">
        <f>IF($C45="","",IFERROR(IF(ISNA(VLOOKUP($C45,Données!$C$19:'Données'!$I$48,7,0)), ,VLOOKUP($C45,Données!$C$19:'Données'!$I$48,7,0)),"/"))</f>
        <v/>
      </c>
      <c r="AJ45" s="54" t="str">
        <f t="shared" si="7"/>
        <v/>
      </c>
      <c r="AK45" s="54">
        <f t="shared" si="8"/>
        <v>0</v>
      </c>
      <c r="AL45" s="54">
        <f t="shared" si="9"/>
        <v>0</v>
      </c>
      <c r="AM45" s="49" t="str">
        <f t="shared" si="10"/>
        <v/>
      </c>
      <c r="AN45" s="49">
        <f t="shared" si="11"/>
        <v>0</v>
      </c>
      <c r="AO45" s="49" t="str">
        <f t="shared" si="12"/>
        <v/>
      </c>
      <c r="AP45" s="54" t="str">
        <f t="shared" si="13"/>
        <v/>
      </c>
      <c r="AQ45" s="49">
        <f t="shared" si="14"/>
        <v>0</v>
      </c>
      <c r="AR45" s="69">
        <f t="shared" si="15"/>
        <v>0</v>
      </c>
      <c r="AS45" s="49">
        <f t="shared" si="16"/>
        <v>0</v>
      </c>
      <c r="AT45" s="49" t="str">
        <f>IFERROR(VLOOKUP($C45,Données!$C$19:'Données'!$I$48,3,0),"")</f>
        <v/>
      </c>
      <c r="AU45" s="49">
        <f t="shared" si="17"/>
        <v>0</v>
      </c>
      <c r="AV45" s="49">
        <f t="shared" si="18"/>
        <v>0</v>
      </c>
      <c r="AW45" s="49">
        <f t="shared" si="19"/>
        <v>0</v>
      </c>
      <c r="AX45" s="49">
        <f t="shared" si="20"/>
        <v>0</v>
      </c>
      <c r="AY45" s="49">
        <f t="shared" si="21"/>
        <v>0</v>
      </c>
      <c r="AZ45" s="49">
        <f t="shared" si="22"/>
        <v>0</v>
      </c>
      <c r="BA45" s="49">
        <f t="shared" si="23"/>
        <v>0</v>
      </c>
      <c r="BB45" s="49">
        <f t="shared" si="24"/>
        <v>0</v>
      </c>
      <c r="BC45" s="49">
        <f t="shared" si="25"/>
        <v>0</v>
      </c>
      <c r="BD45" s="49">
        <f t="shared" si="26"/>
        <v>0</v>
      </c>
      <c r="BE45" s="49">
        <f t="shared" si="27"/>
        <v>0</v>
      </c>
      <c r="BF45" s="49" t="str">
        <f>TEXT('Feuille Saisie'!$B$4,"aaaa")</f>
        <v>2019</v>
      </c>
      <c r="BG45" s="49" t="str">
        <f>IF($Q45="",TEXT('Feuille Saisie'!$B$4,"aaaa"),TEXT($Q45,"aaaa"))</f>
        <v>2019</v>
      </c>
      <c r="BH45" s="49">
        <f t="shared" si="28"/>
        <v>0</v>
      </c>
      <c r="BI45" s="49">
        <f t="shared" si="29"/>
        <v>1</v>
      </c>
      <c r="BJ45" s="49" t="str">
        <f t="shared" si="30"/>
        <v/>
      </c>
      <c r="BK45" s="49">
        <f t="shared" si="31"/>
        <v>0</v>
      </c>
      <c r="BL45" s="46" t="str">
        <f t="shared" si="32"/>
        <v/>
      </c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 t="str">
        <f t="shared" si="33"/>
        <v/>
      </c>
      <c r="CZ45" s="49">
        <f t="shared" si="34"/>
        <v>0</v>
      </c>
      <c r="DA45" s="49" t="str">
        <f t="shared" si="35"/>
        <v/>
      </c>
      <c r="DB45" s="54">
        <f t="shared" si="36"/>
        <v>0</v>
      </c>
      <c r="DC45" s="49" t="str">
        <f>TEXT('Feuille Saisie'!$B$4,"aaaa")</f>
        <v>2019</v>
      </c>
      <c r="DD45" s="49" t="str">
        <f>IF($J45="",TEXT('Feuille Saisie'!$B$4,"aaaa"),TEXT($J45,"aaaa"))</f>
        <v>2019</v>
      </c>
      <c r="DE45" s="49">
        <f t="shared" si="37"/>
        <v>0</v>
      </c>
      <c r="DF45" s="49">
        <f t="shared" si="38"/>
        <v>0</v>
      </c>
      <c r="DG45" s="97" t="str">
        <f>TEXT(IFERROR(VLOOKUP($C45,Données!$C$19:'Données'!$I$48,4,0),""),"aaaa")</f>
        <v/>
      </c>
      <c r="DH45" s="49">
        <f t="shared" si="39"/>
        <v>0</v>
      </c>
      <c r="DI45" s="49">
        <f t="shared" si="40"/>
        <v>1</v>
      </c>
      <c r="DJ45" s="49">
        <f t="shared" si="41"/>
        <v>0</v>
      </c>
      <c r="DK45" s="49">
        <f t="shared" si="42"/>
        <v>0</v>
      </c>
      <c r="DL45" s="49">
        <f t="shared" si="43"/>
        <v>0</v>
      </c>
      <c r="DM45" s="49" t="str">
        <f>IF($T45="",TEXT('Feuille Saisie'!$B$4,"aaaa"),TEXT($T45,"aaaa"))</f>
        <v>2019</v>
      </c>
      <c r="DN45" s="49">
        <f t="shared" si="44"/>
        <v>0</v>
      </c>
      <c r="DO45" s="49">
        <f t="shared" si="45"/>
        <v>0</v>
      </c>
      <c r="EA45" s="49" t="str">
        <f>IFERROR(VLOOKUP($C45,Données!$C$19:'Données'!$I$48,3,0),"")</f>
        <v/>
      </c>
      <c r="EB45" s="49" t="str">
        <f t="shared" si="46"/>
        <v xml:space="preserve"> </v>
      </c>
      <c r="EC45" s="49" t="str">
        <f t="shared" si="47"/>
        <v xml:space="preserve"> </v>
      </c>
      <c r="ED45" s="49" t="str">
        <f t="shared" si="48"/>
        <v xml:space="preserve"> </v>
      </c>
      <c r="EE45" s="49" t="str">
        <f t="shared" si="49"/>
        <v xml:space="preserve"> </v>
      </c>
      <c r="EF45" s="49">
        <f t="shared" si="50"/>
        <v>0</v>
      </c>
      <c r="FA45" s="54" t="str">
        <f>IF($C45="","",IFERROR(IF(ISNA(VLOOKUP($C45,'Bilan final GPA HN'!$C$29:'Bilan final GPA HN'!$X$43,22,0)), ,VLOOKUP($C45,'Bilan final GPA HN'!$C$29:'Bilan final GPA HN'!$X$43,22,0)),"/"))</f>
        <v/>
      </c>
      <c r="FB45" s="54" t="str">
        <f>IF($C45="","",IFERROR(IF(ISNA(VLOOKUP($C45,'Bilan final GPA HR'!$C$29:'Bilan final GPA HR'!$X$43,22,0)), ,VLOOKUP($C45,'Bilan final GPA HR'!$C$29:'Bilan final GPA HR'!$X$43,22,0)),"/"))</f>
        <v/>
      </c>
      <c r="FC45" s="54" t="str">
        <f>IF($C45="","",IFERROR(IF(ISNA(VLOOKUP($C45,'Bilan final GPA OF'!$C$29:'Bilan final GPA OF'!$X$43,22,0)), ,VLOOKUP($C45,'Bilan final GPA OF'!$C$29:'Bilan final GPA OF'!$X$43,22,0)),"/"))</f>
        <v/>
      </c>
      <c r="FD45" s="54" t="str">
        <f>IF($C45="","",IFERROR(IF(ISNA(VLOOKUP($C45,'Bilan final GPA IE'!$C$29:'Bilan final GPA IE'!$X$43,22,0)), ,VLOOKUP($C45,'Bilan final GPA IE'!$C$29:'Bilan final GPA IE'!$X$43,22,0)),"/"))</f>
        <v/>
      </c>
      <c r="FE45" s="115">
        <f t="shared" si="53"/>
        <v>0</v>
      </c>
      <c r="FF45" s="116" t="s">
        <v>97</v>
      </c>
      <c r="FG45" s="117" t="str">
        <f t="shared" si="52"/>
        <v/>
      </c>
    </row>
    <row r="46" spans="1:163" ht="50.1" customHeight="1" x14ac:dyDescent="0.3">
      <c r="A46" s="1"/>
      <c r="B46" s="1"/>
      <c r="C46" s="15"/>
      <c r="D46" s="41">
        <f>IF(IF(ISNA(('Feuille Saisie'!$B$4-VLOOKUP($C46,Données!$C$19:'Données'!$I$48,4,0)))/365.24*100, ,('Feuille Saisie'!$B$4-VLOOKUP($C46,Données!$C$19:'Données'!$I$48,4,0))/365.24*100)&lt;100,IF(ISNA(('Feuille Saisie'!$B$4-VLOOKUP($C46,Données!$C$19:'Données'!$I$48,4,0)))/365.24*100, ,('Feuille Saisie'!$B$4-VLOOKUP($C46,Données!$C$19:'Données'!$I$48,4,0))/365.24*100),100)</f>
        <v>0</v>
      </c>
      <c r="E46" s="19"/>
      <c r="F46" s="42" t="str">
        <f>IF(ISNA(IF(AND($E46=0,VLOOKUP($C46,Données!$C$19:'Données'!$I$48,6,0)&lt;&gt;""),"0,00",IFERROR(IF(ISNA($E46/VLOOKUP($C46,Données!$C$19:'Données'!$I$48,6,0)), ,$E46/VLOOKUP($C46,Données!$C$19:'Données'!$I$48,6,0)),"/"))),"",IF(AND($E46=0,VLOOKUP($C46,Données!$C$19:'Données'!$I$48,6,0)&lt;&gt;""),"0,00",IFERROR(IF(ISNA($E46/VLOOKUP($C46,Données!$C$19:'Données'!$I$48,6,0)), ,$E46/VLOOKUP($C46,Données!$C$19:'Données'!$I$48,6,0)),"/")))</f>
        <v/>
      </c>
      <c r="G46" s="42" t="str">
        <f>IF(ISNA(IF(AND($E46=0,VLOOKUP($C46,Données!$C$19:'Données'!$I$48,7,0)&lt;&gt;""),"0,00",IFERROR(IF(ISNA($E46/VLOOKUP($C46,Données!$C$19:'Données'!$I$48,7,0)*100),,$E46/VLOOKUP($C46,Données!$C$19:'Données'!$I$48,7,0)*100),"/"))),"",IF(AND($E46=0,VLOOKUP($C46,Données!$C$19:'Données'!$I$48,7,0)&lt;&gt;""),"0,00",IFERROR(IF(ISNA($E46/VLOOKUP($C46,Données!$C$19:'Données'!$I$48,7,0)*100),,$E46/VLOOKUP($C46,Données!$C$19:'Données'!$I$48,7,0)*100),"/")))</f>
        <v/>
      </c>
      <c r="H46" s="33"/>
      <c r="I46" s="43" t="str">
        <f>IF($C46&lt;&gt;"",IF($E46=0,"/",IF(ISNA($H46-VLOOKUP($C46,Données!$C$19:'Données'!$I$48,4,0)), ,$H46-VLOOKUP($C46,Données!$C$19:'Données'!$I$48,4,0))),"")</f>
        <v/>
      </c>
      <c r="J46" s="33"/>
      <c r="K46" s="43" t="str">
        <f>IF($C46&lt;&gt;"",IF(ISNA($J46-VLOOKUP($C46,Données!$C$19:'Données'!$I$48,4,0)), ,$J46-VLOOKUP($C46,Données!$C$19:'Données'!$I$48,4,0)),"")</f>
        <v/>
      </c>
      <c r="L46" s="32"/>
      <c r="M46" s="19"/>
      <c r="N46" s="31"/>
      <c r="O46" s="95"/>
      <c r="P46" s="95"/>
      <c r="Q46" s="33"/>
      <c r="R46" s="43" t="str">
        <f>IF($C46&lt;&gt;"",IF($D46&lt;&gt;100,"/",IF(ISNA($Q46-VLOOKUP($C46,Données!$C$19:'Données'!$I$48,4,0)), ,$Q46-VLOOKUP($C46,Données!$C$19:'Données'!$I$48,4,0))),"")</f>
        <v/>
      </c>
      <c r="S46" s="16"/>
      <c r="T46" s="33"/>
      <c r="U46" s="43" t="str">
        <f>IF($C46&lt;&gt;"",IF($J46="","/",IF(ISNA($T46-VLOOKUP($C46,Données!$C$19:'Données'!$I$48,4,0)), ,$T46-VLOOKUP($C46,Données!$C$19:'Données'!$I$48,4,0))),"")</f>
        <v/>
      </c>
      <c r="V46" s="1"/>
      <c r="W46" s="1"/>
      <c r="X46" s="49"/>
      <c r="Y46" s="46" t="str">
        <f t="shared" si="0"/>
        <v/>
      </c>
      <c r="Z46" s="47" t="s">
        <v>39</v>
      </c>
      <c r="AA46" s="46" t="str">
        <f t="shared" si="1"/>
        <v/>
      </c>
      <c r="AB46" s="48" t="s">
        <v>40</v>
      </c>
      <c r="AC46" s="49">
        <f t="shared" si="2"/>
        <v>1</v>
      </c>
      <c r="AD46" s="49">
        <f t="shared" si="3"/>
        <v>1</v>
      </c>
      <c r="AE46" s="49">
        <f t="shared" si="4"/>
        <v>1</v>
      </c>
      <c r="AF46" s="49">
        <f t="shared" si="5"/>
        <v>1</v>
      </c>
      <c r="AG46" s="50">
        <f t="shared" si="6"/>
        <v>0</v>
      </c>
      <c r="AH46" s="54" t="str">
        <f>IF($C46="","",IFERROR(IF(ISNA(VLOOKUP($C46,Données!$C$19:'Données'!$I$48,6,0)), ,VLOOKUP($C46,Données!$C$19:'Données'!$I$48,6,0)),"/"))</f>
        <v/>
      </c>
      <c r="AI46" s="54" t="str">
        <f>IF($C46="","",IFERROR(IF(ISNA(VLOOKUP($C46,Données!$C$19:'Données'!$I$48,7,0)), ,VLOOKUP($C46,Données!$C$19:'Données'!$I$48,7,0)),"/"))</f>
        <v/>
      </c>
      <c r="AJ46" s="54" t="str">
        <f t="shared" si="7"/>
        <v/>
      </c>
      <c r="AK46" s="54">
        <f t="shared" si="8"/>
        <v>0</v>
      </c>
      <c r="AL46" s="54">
        <f t="shared" si="9"/>
        <v>0</v>
      </c>
      <c r="AM46" s="49" t="str">
        <f t="shared" si="10"/>
        <v/>
      </c>
      <c r="AN46" s="49">
        <f t="shared" si="11"/>
        <v>0</v>
      </c>
      <c r="AO46" s="49" t="str">
        <f t="shared" si="12"/>
        <v/>
      </c>
      <c r="AP46" s="54" t="str">
        <f t="shared" si="13"/>
        <v/>
      </c>
      <c r="AQ46" s="49">
        <f t="shared" si="14"/>
        <v>0</v>
      </c>
      <c r="AR46" s="69">
        <f t="shared" si="15"/>
        <v>0</v>
      </c>
      <c r="AS46" s="49">
        <f t="shared" si="16"/>
        <v>0</v>
      </c>
      <c r="AT46" s="49" t="str">
        <f>IFERROR(VLOOKUP($C46,Données!$C$19:'Données'!$I$48,3,0),"")</f>
        <v/>
      </c>
      <c r="AU46" s="49">
        <f t="shared" si="17"/>
        <v>0</v>
      </c>
      <c r="AV46" s="49">
        <f t="shared" si="18"/>
        <v>0</v>
      </c>
      <c r="AW46" s="49">
        <f t="shared" si="19"/>
        <v>0</v>
      </c>
      <c r="AX46" s="49">
        <f t="shared" si="20"/>
        <v>0</v>
      </c>
      <c r="AY46" s="49">
        <f t="shared" si="21"/>
        <v>0</v>
      </c>
      <c r="AZ46" s="49">
        <f t="shared" si="22"/>
        <v>0</v>
      </c>
      <c r="BA46" s="49">
        <f t="shared" si="23"/>
        <v>0</v>
      </c>
      <c r="BB46" s="49">
        <f t="shared" si="24"/>
        <v>0</v>
      </c>
      <c r="BC46" s="49">
        <f t="shared" si="25"/>
        <v>0</v>
      </c>
      <c r="BD46" s="49">
        <f t="shared" si="26"/>
        <v>0</v>
      </c>
      <c r="BE46" s="49">
        <f t="shared" si="27"/>
        <v>0</v>
      </c>
      <c r="BF46" s="49" t="str">
        <f>TEXT('Feuille Saisie'!$B$4,"aaaa")</f>
        <v>2019</v>
      </c>
      <c r="BG46" s="49" t="str">
        <f>IF($Q46="",TEXT('Feuille Saisie'!$B$4,"aaaa"),TEXT($Q46,"aaaa"))</f>
        <v>2019</v>
      </c>
      <c r="BH46" s="49">
        <f t="shared" si="28"/>
        <v>0</v>
      </c>
      <c r="BI46" s="49">
        <f t="shared" si="29"/>
        <v>1</v>
      </c>
      <c r="BJ46" s="49" t="str">
        <f t="shared" si="30"/>
        <v/>
      </c>
      <c r="BK46" s="49">
        <f t="shared" si="31"/>
        <v>0</v>
      </c>
      <c r="BL46" s="46" t="str">
        <f t="shared" si="32"/>
        <v/>
      </c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 t="str">
        <f t="shared" si="33"/>
        <v/>
      </c>
      <c r="CZ46" s="49">
        <f t="shared" si="34"/>
        <v>0</v>
      </c>
      <c r="DA46" s="49" t="str">
        <f t="shared" si="35"/>
        <v/>
      </c>
      <c r="DB46" s="54">
        <f t="shared" si="36"/>
        <v>0</v>
      </c>
      <c r="DC46" s="49" t="str">
        <f>TEXT('Feuille Saisie'!$B$4,"aaaa")</f>
        <v>2019</v>
      </c>
      <c r="DD46" s="49" t="str">
        <f>IF($J46="",TEXT('Feuille Saisie'!$B$4,"aaaa"),TEXT($J46,"aaaa"))</f>
        <v>2019</v>
      </c>
      <c r="DE46" s="49">
        <f t="shared" si="37"/>
        <v>0</v>
      </c>
      <c r="DF46" s="49">
        <f t="shared" si="38"/>
        <v>0</v>
      </c>
      <c r="DG46" s="97" t="str">
        <f>TEXT(IFERROR(VLOOKUP($C46,Données!$C$19:'Données'!$I$48,4,0),""),"aaaa")</f>
        <v/>
      </c>
      <c r="DH46" s="49">
        <f t="shared" si="39"/>
        <v>0</v>
      </c>
      <c r="DI46" s="49">
        <f t="shared" si="40"/>
        <v>1</v>
      </c>
      <c r="DJ46" s="49">
        <f t="shared" si="41"/>
        <v>0</v>
      </c>
      <c r="DK46" s="49">
        <f t="shared" si="42"/>
        <v>0</v>
      </c>
      <c r="DL46" s="49">
        <f t="shared" si="43"/>
        <v>0</v>
      </c>
      <c r="DM46" s="49" t="str">
        <f>IF($T46="",TEXT('Feuille Saisie'!$B$4,"aaaa"),TEXT($T46,"aaaa"))</f>
        <v>2019</v>
      </c>
      <c r="DN46" s="49">
        <f t="shared" si="44"/>
        <v>0</v>
      </c>
      <c r="DO46" s="49">
        <f t="shared" si="45"/>
        <v>0</v>
      </c>
      <c r="EA46" s="49" t="str">
        <f>IFERROR(VLOOKUP($C46,Données!$C$19:'Données'!$I$48,3,0),"")</f>
        <v/>
      </c>
      <c r="EB46" s="49" t="str">
        <f t="shared" si="46"/>
        <v xml:space="preserve"> </v>
      </c>
      <c r="EC46" s="49" t="str">
        <f t="shared" si="47"/>
        <v xml:space="preserve"> </v>
      </c>
      <c r="ED46" s="49" t="str">
        <f t="shared" si="48"/>
        <v xml:space="preserve"> </v>
      </c>
      <c r="EE46" s="49" t="str">
        <f t="shared" si="49"/>
        <v xml:space="preserve"> </v>
      </c>
      <c r="EF46" s="49">
        <f t="shared" si="50"/>
        <v>0</v>
      </c>
      <c r="FA46" s="54" t="str">
        <f>IF($C46="","",IFERROR(IF(ISNA(VLOOKUP($C46,'Bilan final GPA HN'!$C$29:'Bilan final GPA HN'!$X$43,22,0)), ,VLOOKUP($C46,'Bilan final GPA HN'!$C$29:'Bilan final GPA HN'!$X$43,22,0)),"/"))</f>
        <v/>
      </c>
      <c r="FB46" s="54" t="str">
        <f>IF($C46="","",IFERROR(IF(ISNA(VLOOKUP($C46,'Bilan final GPA HR'!$C$29:'Bilan final GPA HR'!$X$43,22,0)), ,VLOOKUP($C46,'Bilan final GPA HR'!$C$29:'Bilan final GPA HR'!$X$43,22,0)),"/"))</f>
        <v/>
      </c>
      <c r="FC46" s="54" t="str">
        <f>IF($C46="","",IFERROR(IF(ISNA(VLOOKUP($C46,'Bilan final GPA OF'!$C$29:'Bilan final GPA OF'!$X$43,22,0)), ,VLOOKUP($C46,'Bilan final GPA OF'!$C$29:'Bilan final GPA OF'!$X$43,22,0)),"/"))</f>
        <v/>
      </c>
      <c r="FD46" s="54" t="str">
        <f>IF($C46="","",IFERROR(IF(ISNA(VLOOKUP($C46,'Bilan final GPA IE'!$C$29:'Bilan final GPA IE'!$X$43,22,0)), ,VLOOKUP($C46,'Bilan final GPA IE'!$C$29:'Bilan final GPA IE'!$X$43,22,0)),"/"))</f>
        <v/>
      </c>
      <c r="FE46" s="115">
        <f t="shared" si="53"/>
        <v>0</v>
      </c>
      <c r="FF46" s="116" t="s">
        <v>97</v>
      </c>
      <c r="FG46" s="117" t="str">
        <f t="shared" si="52"/>
        <v/>
      </c>
    </row>
    <row r="47" spans="1:163" ht="50.1" customHeight="1" x14ac:dyDescent="0.3">
      <c r="A47" s="1"/>
      <c r="B47" s="1"/>
      <c r="C47" s="15"/>
      <c r="D47" s="41">
        <f>IF(IF(ISNA(('Feuille Saisie'!$B$4-VLOOKUP($C47,Données!$C$19:'Données'!$I$48,4,0)))/365.24*100, ,('Feuille Saisie'!$B$4-VLOOKUP($C47,Données!$C$19:'Données'!$I$48,4,0))/365.24*100)&lt;100,IF(ISNA(('Feuille Saisie'!$B$4-VLOOKUP($C47,Données!$C$19:'Données'!$I$48,4,0)))/365.24*100, ,('Feuille Saisie'!$B$4-VLOOKUP($C47,Données!$C$19:'Données'!$I$48,4,0))/365.24*100),100)</f>
        <v>0</v>
      </c>
      <c r="E47" s="19"/>
      <c r="F47" s="42" t="str">
        <f>IF(ISNA(IF(AND($E47=0,VLOOKUP($C47,Données!$C$19:'Données'!$I$48,6,0)&lt;&gt;""),"0,00",IFERROR(IF(ISNA($E47/VLOOKUP($C47,Données!$C$19:'Données'!$I$48,6,0)), ,$E47/VLOOKUP($C47,Données!$C$19:'Données'!$I$48,6,0)),"/"))),"",IF(AND($E47=0,VLOOKUP($C47,Données!$C$19:'Données'!$I$48,6,0)&lt;&gt;""),"0,00",IFERROR(IF(ISNA($E47/VLOOKUP($C47,Données!$C$19:'Données'!$I$48,6,0)), ,$E47/VLOOKUP($C47,Données!$C$19:'Données'!$I$48,6,0)),"/")))</f>
        <v/>
      </c>
      <c r="G47" s="42" t="str">
        <f>IF(ISNA(IF(AND($E47=0,VLOOKUP($C47,Données!$C$19:'Données'!$I$48,7,0)&lt;&gt;""),"0,00",IFERROR(IF(ISNA($E47/VLOOKUP($C47,Données!$C$19:'Données'!$I$48,7,0)*100),,$E47/VLOOKUP($C47,Données!$C$19:'Données'!$I$48,7,0)*100),"/"))),"",IF(AND($E47=0,VLOOKUP($C47,Données!$C$19:'Données'!$I$48,7,0)&lt;&gt;""),"0,00",IFERROR(IF(ISNA($E47/VLOOKUP($C47,Données!$C$19:'Données'!$I$48,7,0)*100),,$E47/VLOOKUP($C47,Données!$C$19:'Données'!$I$48,7,0)*100),"/")))</f>
        <v/>
      </c>
      <c r="H47" s="33"/>
      <c r="I47" s="43" t="str">
        <f>IF($C47&lt;&gt;"",IF($E47=0,"/",IF(ISNA($H47-VLOOKUP($C47,Données!$C$19:'Données'!$I$48,4,0)), ,$H47-VLOOKUP($C47,Données!$C$19:'Données'!$I$48,4,0))),"")</f>
        <v/>
      </c>
      <c r="J47" s="33">
        <v>43498</v>
      </c>
      <c r="K47" s="43" t="str">
        <f>IF($C47&lt;&gt;"",IF(ISNA($J47-VLOOKUP($C47,Données!$C$19:'Données'!$I$48,4,0)), ,$J47-VLOOKUP($C47,Données!$C$19:'Données'!$I$48,4,0)),"")</f>
        <v/>
      </c>
      <c r="L47" s="32"/>
      <c r="M47" s="19"/>
      <c r="N47" s="31"/>
      <c r="O47" s="95"/>
      <c r="P47" s="95"/>
      <c r="Q47" s="33"/>
      <c r="R47" s="43" t="str">
        <f>IF($C47&lt;&gt;"",IF($D47&lt;&gt;100,"/",IF(ISNA($Q47-VLOOKUP($C47,Données!$C$19:'Données'!$I$48,4,0)), ,$Q47-VLOOKUP($C47,Données!$C$19:'Données'!$I$48,4,0))),"")</f>
        <v/>
      </c>
      <c r="S47" s="16"/>
      <c r="T47" s="33"/>
      <c r="U47" s="43" t="str">
        <f>IF($C47&lt;&gt;"",IF($J47="","/",IF(ISNA($T47-VLOOKUP($C47,Données!$C$19:'Données'!$I$48,4,0)), ,$T47-VLOOKUP($C47,Données!$C$19:'Données'!$I$48,4,0))),"")</f>
        <v/>
      </c>
      <c r="V47" s="1"/>
      <c r="W47" s="1"/>
      <c r="X47" s="49"/>
      <c r="Y47" s="46" t="str">
        <f t="shared" si="0"/>
        <v/>
      </c>
      <c r="Z47" s="47" t="s">
        <v>39</v>
      </c>
      <c r="AA47" s="46" t="str">
        <f t="shared" si="1"/>
        <v/>
      </c>
      <c r="AB47" s="48" t="s">
        <v>40</v>
      </c>
      <c r="AC47" s="49">
        <f t="shared" si="2"/>
        <v>1</v>
      </c>
      <c r="AD47" s="49">
        <f t="shared" si="3"/>
        <v>1</v>
      </c>
      <c r="AE47" s="49">
        <f t="shared" si="4"/>
        <v>2</v>
      </c>
      <c r="AF47" s="49">
        <f t="shared" si="5"/>
        <v>1</v>
      </c>
      <c r="AG47" s="50">
        <f t="shared" si="6"/>
        <v>-43498</v>
      </c>
      <c r="AH47" s="54" t="str">
        <f>IF($C47="","",IFERROR(IF(ISNA(VLOOKUP($C47,Données!$C$19:'Données'!$I$48,6,0)), ,VLOOKUP($C47,Données!$C$19:'Données'!$I$48,6,0)),"/"))</f>
        <v/>
      </c>
      <c r="AI47" s="54" t="str">
        <f>IF($C47="","",IFERROR(IF(ISNA(VLOOKUP($C47,Données!$C$19:'Données'!$I$48,7,0)), ,VLOOKUP($C47,Données!$C$19:'Données'!$I$48,7,0)),"/"))</f>
        <v/>
      </c>
      <c r="AJ47" s="54" t="str">
        <f t="shared" si="7"/>
        <v/>
      </c>
      <c r="AK47" s="54">
        <f t="shared" si="8"/>
        <v>1</v>
      </c>
      <c r="AL47" s="54">
        <f t="shared" si="9"/>
        <v>0</v>
      </c>
      <c r="AM47" s="49" t="str">
        <f t="shared" si="10"/>
        <v/>
      </c>
      <c r="AN47" s="49">
        <f t="shared" si="11"/>
        <v>0</v>
      </c>
      <c r="AO47" s="49" t="str">
        <f t="shared" si="12"/>
        <v/>
      </c>
      <c r="AP47" s="54" t="str">
        <f t="shared" si="13"/>
        <v/>
      </c>
      <c r="AQ47" s="49">
        <f t="shared" si="14"/>
        <v>0</v>
      </c>
      <c r="AR47" s="69">
        <f t="shared" si="15"/>
        <v>0</v>
      </c>
      <c r="AS47" s="49">
        <f t="shared" si="16"/>
        <v>0</v>
      </c>
      <c r="AT47" s="49" t="str">
        <f>IFERROR(VLOOKUP($C47,Données!$C$19:'Données'!$I$48,3,0),"")</f>
        <v/>
      </c>
      <c r="AU47" s="49">
        <f t="shared" si="17"/>
        <v>0</v>
      </c>
      <c r="AV47" s="49">
        <f t="shared" si="18"/>
        <v>0</v>
      </c>
      <c r="AW47" s="49">
        <f t="shared" si="19"/>
        <v>1</v>
      </c>
      <c r="AX47" s="49" t="str">
        <f t="shared" si="20"/>
        <v/>
      </c>
      <c r="AY47" s="49">
        <f t="shared" si="21"/>
        <v>0</v>
      </c>
      <c r="AZ47" s="49">
        <f t="shared" si="22"/>
        <v>0</v>
      </c>
      <c r="BA47" s="49">
        <f t="shared" si="23"/>
        <v>0</v>
      </c>
      <c r="BB47" s="49">
        <f t="shared" si="24"/>
        <v>0</v>
      </c>
      <c r="BC47" s="49">
        <f t="shared" si="25"/>
        <v>0</v>
      </c>
      <c r="BD47" s="49">
        <f t="shared" si="26"/>
        <v>0</v>
      </c>
      <c r="BE47" s="49">
        <f t="shared" si="27"/>
        <v>0</v>
      </c>
      <c r="BF47" s="49" t="str">
        <f>TEXT('Feuille Saisie'!$B$4,"aaaa")</f>
        <v>2019</v>
      </c>
      <c r="BG47" s="49" t="str">
        <f>IF($Q47="",TEXT('Feuille Saisie'!$B$4,"aaaa"),TEXT($Q47,"aaaa"))</f>
        <v>2019</v>
      </c>
      <c r="BH47" s="49">
        <f t="shared" si="28"/>
        <v>0</v>
      </c>
      <c r="BI47" s="49">
        <f t="shared" si="29"/>
        <v>1</v>
      </c>
      <c r="BJ47" s="49" t="str">
        <f t="shared" si="30"/>
        <v/>
      </c>
      <c r="BK47" s="49">
        <f t="shared" si="31"/>
        <v>0</v>
      </c>
      <c r="BL47" s="46" t="str">
        <f t="shared" si="32"/>
        <v/>
      </c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 t="str">
        <f t="shared" si="33"/>
        <v/>
      </c>
      <c r="CZ47" s="49">
        <f t="shared" si="34"/>
        <v>0</v>
      </c>
      <c r="DA47" s="49" t="str">
        <f t="shared" si="35"/>
        <v/>
      </c>
      <c r="DB47" s="54">
        <f t="shared" si="36"/>
        <v>0</v>
      </c>
      <c r="DC47" s="49" t="str">
        <f>TEXT('Feuille Saisie'!$B$4,"aaaa")</f>
        <v>2019</v>
      </c>
      <c r="DD47" s="49" t="str">
        <f>IF($J47="",TEXT('Feuille Saisie'!$B$4,"aaaa"),TEXT($J47,"aaaa"))</f>
        <v>2019</v>
      </c>
      <c r="DE47" s="49">
        <f t="shared" si="37"/>
        <v>1</v>
      </c>
      <c r="DF47" s="49">
        <f t="shared" si="38"/>
        <v>1</v>
      </c>
      <c r="DG47" s="97" t="str">
        <f>TEXT(IFERROR(VLOOKUP($C47,Données!$C$19:'Données'!$I$48,4,0),""),"aaaa")</f>
        <v/>
      </c>
      <c r="DH47" s="49">
        <f t="shared" si="39"/>
        <v>0</v>
      </c>
      <c r="DI47" s="49">
        <f t="shared" si="40"/>
        <v>1</v>
      </c>
      <c r="DJ47" s="49">
        <f t="shared" si="41"/>
        <v>0</v>
      </c>
      <c r="DK47" s="49" t="str">
        <f t="shared" si="42"/>
        <v/>
      </c>
      <c r="DL47" s="49">
        <f t="shared" si="43"/>
        <v>0</v>
      </c>
      <c r="DM47" s="49" t="str">
        <f>IF($T47="",TEXT('Feuille Saisie'!$B$4,"aaaa"),TEXT($T47,"aaaa"))</f>
        <v>2019</v>
      </c>
      <c r="DN47" s="49">
        <f t="shared" si="44"/>
        <v>0</v>
      </c>
      <c r="DO47" s="49">
        <f t="shared" si="45"/>
        <v>0</v>
      </c>
      <c r="EA47" s="49" t="str">
        <f>IFERROR(VLOOKUP($C47,Données!$C$19:'Données'!$I$48,3,0),"")</f>
        <v/>
      </c>
      <c r="EB47" s="49" t="str">
        <f t="shared" si="46"/>
        <v xml:space="preserve"> </v>
      </c>
      <c r="EC47" s="49" t="str">
        <f t="shared" si="47"/>
        <v xml:space="preserve"> </v>
      </c>
      <c r="ED47" s="49" t="str">
        <f t="shared" si="48"/>
        <v xml:space="preserve"> </v>
      </c>
      <c r="EE47" s="49" t="str">
        <f t="shared" si="49"/>
        <v xml:space="preserve"> </v>
      </c>
      <c r="EF47" s="49">
        <f t="shared" si="50"/>
        <v>0</v>
      </c>
      <c r="FA47" s="54" t="str">
        <f>IF($C47="","",IFERROR(IF(ISNA(VLOOKUP($C47,'Bilan final GPA HN'!$C$29:'Bilan final GPA HN'!$X$43,22,0)), ,VLOOKUP($C47,'Bilan final GPA HN'!$C$29:'Bilan final GPA HN'!$X$43,22,0)),"/"))</f>
        <v/>
      </c>
      <c r="FB47" s="54" t="str">
        <f>IF($C47="","",IFERROR(IF(ISNA(VLOOKUP($C47,'Bilan final GPA HR'!$C$29:'Bilan final GPA HR'!$X$43,22,0)), ,VLOOKUP($C47,'Bilan final GPA HR'!$C$29:'Bilan final GPA HR'!$X$43,22,0)),"/"))</f>
        <v/>
      </c>
      <c r="FC47" s="54" t="str">
        <f>IF($C47="","",IFERROR(IF(ISNA(VLOOKUP($C47,'Bilan final GPA OF'!$C$29:'Bilan final GPA OF'!$X$43,22,0)), ,VLOOKUP($C47,'Bilan final GPA OF'!$C$29:'Bilan final GPA OF'!$X$43,22,0)),"/"))</f>
        <v/>
      </c>
      <c r="FD47" s="54" t="str">
        <f>IF($C47="","",IFERROR(IF(ISNA(VLOOKUP($C47,'Bilan final GPA IE'!$C$29:'Bilan final GPA IE'!$X$43,22,0)), ,VLOOKUP($C47,'Bilan final GPA IE'!$C$29:'Bilan final GPA IE'!$X$43,22,0)),"/"))</f>
        <v/>
      </c>
      <c r="FE47" s="115">
        <f t="shared" si="53"/>
        <v>0</v>
      </c>
      <c r="FF47" s="116" t="s">
        <v>97</v>
      </c>
      <c r="FG47" s="117" t="str">
        <f t="shared" si="52"/>
        <v/>
      </c>
    </row>
    <row r="48" spans="1:163" ht="50.1" customHeight="1" x14ac:dyDescent="0.3">
      <c r="A48" s="1"/>
      <c r="B48" s="1"/>
      <c r="C48" s="15"/>
      <c r="D48" s="41">
        <f>IF(IF(ISNA(('Feuille Saisie'!$B$4-VLOOKUP($C48,Données!$C$19:'Données'!$I$48,4,0)))/365.24*100, ,('Feuille Saisie'!$B$4-VLOOKUP($C48,Données!$C$19:'Données'!$I$48,4,0))/365.24*100)&lt;100,IF(ISNA(('Feuille Saisie'!$B$4-VLOOKUP($C48,Données!$C$19:'Données'!$I$48,4,0)))/365.24*100, ,('Feuille Saisie'!$B$4-VLOOKUP($C48,Données!$C$19:'Données'!$I$48,4,0))/365.24*100),100)</f>
        <v>0</v>
      </c>
      <c r="E48" s="19"/>
      <c r="F48" s="42" t="str">
        <f>IF(ISNA(IF(AND($E48=0,VLOOKUP($C48,Données!$C$19:'Données'!$I$48,6,0)&lt;&gt;""),"0,00",IFERROR(IF(ISNA($E48/VLOOKUP($C48,Données!$C$19:'Données'!$I$48,6,0)), ,$E48/VLOOKUP($C48,Données!$C$19:'Données'!$I$48,6,0)),"/"))),"",IF(AND($E48=0,VLOOKUP($C48,Données!$C$19:'Données'!$I$48,6,0)&lt;&gt;""),"0,00",IFERROR(IF(ISNA($E48/VLOOKUP($C48,Données!$C$19:'Données'!$I$48,6,0)), ,$E48/VLOOKUP($C48,Données!$C$19:'Données'!$I$48,6,0)),"/")))</f>
        <v/>
      </c>
      <c r="G48" s="42" t="str">
        <f>IF(ISNA(IF(AND($E48=0,VLOOKUP($C48,Données!$C$19:'Données'!$I$48,7,0)&lt;&gt;""),"0,00",IFERROR(IF(ISNA($E48/VLOOKUP($C48,Données!$C$19:'Données'!$I$48,7,0)*100),,$E48/VLOOKUP($C48,Données!$C$19:'Données'!$I$48,7,0)*100),"/"))),"",IF(AND($E48=0,VLOOKUP($C48,Données!$C$19:'Données'!$I$48,7,0)&lt;&gt;""),"0,00",IFERROR(IF(ISNA($E48/VLOOKUP($C48,Données!$C$19:'Données'!$I$48,7,0)*100),,$E48/VLOOKUP($C48,Données!$C$19:'Données'!$I$48,7,0)*100),"/")))</f>
        <v/>
      </c>
      <c r="H48" s="33"/>
      <c r="I48" s="43" t="str">
        <f>IF($C48&lt;&gt;"",IF($E48=0,"/",IF(ISNA($H48-VLOOKUP($C48,Données!$C$19:'Données'!$I$48,4,0)), ,$H48-VLOOKUP($C48,Données!$C$19:'Données'!$I$48,4,0))),"")</f>
        <v/>
      </c>
      <c r="J48" s="33"/>
      <c r="K48" s="43" t="str">
        <f>IF($C48&lt;&gt;"",IF(ISNA($J48-VLOOKUP($C48,Données!$C$19:'Données'!$I$48,4,0)), ,$J48-VLOOKUP($C48,Données!$C$19:'Données'!$I$48,4,0)),"")</f>
        <v/>
      </c>
      <c r="L48" s="32"/>
      <c r="M48" s="19"/>
      <c r="N48" s="31"/>
      <c r="O48" s="95"/>
      <c r="P48" s="95"/>
      <c r="Q48" s="33"/>
      <c r="R48" s="43" t="str">
        <f>IF($C48&lt;&gt;"",IF($D48&lt;&gt;100,"/",IF(ISNA($Q48-VLOOKUP($C48,Données!$C$19:'Données'!$I$48,4,0)), ,$Q48-VLOOKUP($C48,Données!$C$19:'Données'!$I$48,4,0))),"")</f>
        <v/>
      </c>
      <c r="S48" s="16"/>
      <c r="T48" s="33"/>
      <c r="U48" s="43" t="str">
        <f>IF($C48&lt;&gt;"",IF($J48="","/",IF(ISNA($T48-VLOOKUP($C48,Données!$C$19:'Données'!$I$48,4,0)), ,$T48-VLOOKUP($C48,Données!$C$19:'Données'!$I$48,4,0))),"")</f>
        <v/>
      </c>
      <c r="V48" s="1"/>
      <c r="W48" s="1"/>
      <c r="X48" s="49"/>
      <c r="Y48" s="46" t="str">
        <f t="shared" si="0"/>
        <v/>
      </c>
      <c r="Z48" s="47" t="s">
        <v>39</v>
      </c>
      <c r="AA48" s="46" t="str">
        <f t="shared" si="1"/>
        <v/>
      </c>
      <c r="AB48" s="48" t="s">
        <v>40</v>
      </c>
      <c r="AC48" s="49">
        <f t="shared" si="2"/>
        <v>1</v>
      </c>
      <c r="AD48" s="49">
        <f t="shared" si="3"/>
        <v>1</v>
      </c>
      <c r="AE48" s="49">
        <f t="shared" si="4"/>
        <v>1</v>
      </c>
      <c r="AF48" s="49">
        <f t="shared" si="5"/>
        <v>1</v>
      </c>
      <c r="AG48" s="50">
        <f t="shared" si="6"/>
        <v>0</v>
      </c>
      <c r="AH48" s="54" t="str">
        <f>IF($C48="","",IFERROR(IF(ISNA(VLOOKUP($C48,Données!$C$19:'Données'!$I$48,6,0)), ,VLOOKUP($C48,Données!$C$19:'Données'!$I$48,6,0)),"/"))</f>
        <v/>
      </c>
      <c r="AI48" s="54" t="str">
        <f>IF($C48="","",IFERROR(IF(ISNA(VLOOKUP($C48,Données!$C$19:'Données'!$I$48,7,0)), ,VLOOKUP($C48,Données!$C$19:'Données'!$I$48,7,0)),"/"))</f>
        <v/>
      </c>
      <c r="AJ48" s="54" t="str">
        <f t="shared" si="7"/>
        <v/>
      </c>
      <c r="AK48" s="54">
        <f t="shared" si="8"/>
        <v>0</v>
      </c>
      <c r="AL48" s="54">
        <f t="shared" si="9"/>
        <v>0</v>
      </c>
      <c r="AM48" s="49" t="str">
        <f t="shared" si="10"/>
        <v/>
      </c>
      <c r="AN48" s="49">
        <f t="shared" si="11"/>
        <v>0</v>
      </c>
      <c r="AO48" s="49" t="str">
        <f t="shared" si="12"/>
        <v/>
      </c>
      <c r="AP48" s="54" t="str">
        <f t="shared" si="13"/>
        <v/>
      </c>
      <c r="AQ48" s="49">
        <f t="shared" si="14"/>
        <v>0</v>
      </c>
      <c r="AR48" s="69">
        <f t="shared" si="15"/>
        <v>0</v>
      </c>
      <c r="AS48" s="49">
        <f t="shared" si="16"/>
        <v>0</v>
      </c>
      <c r="AT48" s="49" t="str">
        <f>IFERROR(VLOOKUP($C48,Données!$C$19:'Données'!$I$48,3,0),"")</f>
        <v/>
      </c>
      <c r="AU48" s="49">
        <f t="shared" si="17"/>
        <v>0</v>
      </c>
      <c r="AV48" s="49">
        <f t="shared" si="18"/>
        <v>0</v>
      </c>
      <c r="AW48" s="49">
        <f t="shared" si="19"/>
        <v>0</v>
      </c>
      <c r="AX48" s="49">
        <f t="shared" si="20"/>
        <v>0</v>
      </c>
      <c r="AY48" s="49">
        <f t="shared" si="21"/>
        <v>0</v>
      </c>
      <c r="AZ48" s="49">
        <f t="shared" si="22"/>
        <v>0</v>
      </c>
      <c r="BA48" s="49">
        <f t="shared" si="23"/>
        <v>0</v>
      </c>
      <c r="BB48" s="49">
        <f t="shared" si="24"/>
        <v>0</v>
      </c>
      <c r="BC48" s="49">
        <f t="shared" si="25"/>
        <v>0</v>
      </c>
      <c r="BD48" s="49">
        <f t="shared" si="26"/>
        <v>0</v>
      </c>
      <c r="BE48" s="49">
        <f t="shared" si="27"/>
        <v>0</v>
      </c>
      <c r="BF48" s="49" t="str">
        <f>TEXT('Feuille Saisie'!$B$4,"aaaa")</f>
        <v>2019</v>
      </c>
      <c r="BG48" s="49" t="str">
        <f>IF($Q48="",TEXT('Feuille Saisie'!$B$4,"aaaa"),TEXT($Q48,"aaaa"))</f>
        <v>2019</v>
      </c>
      <c r="BH48" s="49">
        <f t="shared" si="28"/>
        <v>0</v>
      </c>
      <c r="BI48" s="49">
        <f t="shared" si="29"/>
        <v>1</v>
      </c>
      <c r="BJ48" s="49" t="str">
        <f t="shared" si="30"/>
        <v/>
      </c>
      <c r="BK48" s="49">
        <f t="shared" si="31"/>
        <v>0</v>
      </c>
      <c r="BL48" s="46" t="str">
        <f t="shared" si="32"/>
        <v/>
      </c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 t="str">
        <f t="shared" si="33"/>
        <v/>
      </c>
      <c r="CZ48" s="49">
        <f t="shared" si="34"/>
        <v>0</v>
      </c>
      <c r="DA48" s="49" t="str">
        <f t="shared" si="35"/>
        <v/>
      </c>
      <c r="DB48" s="54">
        <f t="shared" si="36"/>
        <v>0</v>
      </c>
      <c r="DC48" s="49" t="str">
        <f>TEXT('Feuille Saisie'!$B$4,"aaaa")</f>
        <v>2019</v>
      </c>
      <c r="DD48" s="49" t="str">
        <f>IF($J48="",TEXT('Feuille Saisie'!$B$4,"aaaa"),TEXT($J48,"aaaa"))</f>
        <v>2019</v>
      </c>
      <c r="DE48" s="49">
        <f t="shared" si="37"/>
        <v>0</v>
      </c>
      <c r="DF48" s="49">
        <f t="shared" si="38"/>
        <v>0</v>
      </c>
      <c r="DG48" s="97" t="str">
        <f>TEXT(IFERROR(VLOOKUP($C48,Données!$C$19:'Données'!$I$48,4,0),""),"aaaa")</f>
        <v/>
      </c>
      <c r="DH48" s="49">
        <f t="shared" si="39"/>
        <v>0</v>
      </c>
      <c r="DI48" s="49">
        <f t="shared" si="40"/>
        <v>1</v>
      </c>
      <c r="DJ48" s="49">
        <f t="shared" si="41"/>
        <v>0</v>
      </c>
      <c r="DK48" s="49">
        <f t="shared" si="42"/>
        <v>0</v>
      </c>
      <c r="DL48" s="49">
        <f t="shared" si="43"/>
        <v>0</v>
      </c>
      <c r="DM48" s="49" t="str">
        <f>IF($T48="",TEXT('Feuille Saisie'!$B$4,"aaaa"),TEXT($T48,"aaaa"))</f>
        <v>2019</v>
      </c>
      <c r="DN48" s="49">
        <f t="shared" si="44"/>
        <v>0</v>
      </c>
      <c r="DO48" s="49">
        <f t="shared" si="45"/>
        <v>0</v>
      </c>
      <c r="EA48" s="49" t="str">
        <f>IFERROR(VLOOKUP($C48,Données!$C$19:'Données'!$I$48,3,0),"")</f>
        <v/>
      </c>
      <c r="EB48" s="49" t="str">
        <f t="shared" si="46"/>
        <v xml:space="preserve"> </v>
      </c>
      <c r="EC48" s="49" t="str">
        <f t="shared" si="47"/>
        <v xml:space="preserve"> </v>
      </c>
      <c r="ED48" s="49" t="str">
        <f t="shared" si="48"/>
        <v xml:space="preserve"> </v>
      </c>
      <c r="EE48" s="49" t="str">
        <f t="shared" si="49"/>
        <v xml:space="preserve"> </v>
      </c>
      <c r="EF48" s="49">
        <f t="shared" si="50"/>
        <v>0</v>
      </c>
      <c r="FA48" s="54" t="str">
        <f>IF($C48="","",IFERROR(IF(ISNA(VLOOKUP($C48,'Bilan final GPA HN'!$C$29:'Bilan final GPA HN'!$X$43,22,0)), ,VLOOKUP($C48,'Bilan final GPA HN'!$C$29:'Bilan final GPA HN'!$X$43,22,0)),"/"))</f>
        <v/>
      </c>
      <c r="FB48" s="54" t="str">
        <f>IF($C48="","",IFERROR(IF(ISNA(VLOOKUP($C48,'Bilan final GPA HR'!$C$29:'Bilan final GPA HR'!$X$43,22,0)), ,VLOOKUP($C48,'Bilan final GPA HR'!$C$29:'Bilan final GPA HR'!$X$43,22,0)),"/"))</f>
        <v/>
      </c>
      <c r="FC48" s="54" t="str">
        <f>IF($C48="","",IFERROR(IF(ISNA(VLOOKUP($C48,'Bilan final GPA OF'!$C$29:'Bilan final GPA OF'!$X$43,22,0)), ,VLOOKUP($C48,'Bilan final GPA OF'!$C$29:'Bilan final GPA OF'!$X$43,22,0)),"/"))</f>
        <v/>
      </c>
      <c r="FD48" s="54" t="str">
        <f>IF($C48="","",IFERROR(IF(ISNA(VLOOKUP($C48,'Bilan final GPA IE'!$C$29:'Bilan final GPA IE'!$X$43,22,0)), ,VLOOKUP($C48,'Bilan final GPA IE'!$C$29:'Bilan final GPA IE'!$X$43,22,0)),"/"))</f>
        <v/>
      </c>
      <c r="FE48" s="115">
        <f t="shared" si="53"/>
        <v>0</v>
      </c>
      <c r="FF48" s="116" t="s">
        <v>97</v>
      </c>
      <c r="FG48" s="117" t="str">
        <f t="shared" si="52"/>
        <v/>
      </c>
    </row>
    <row r="49" spans="1:163" ht="50.1" customHeight="1" x14ac:dyDescent="0.3">
      <c r="A49" s="1"/>
      <c r="B49" s="1"/>
      <c r="C49" s="15"/>
      <c r="D49" s="41">
        <f>IF(IF(ISNA(('Feuille Saisie'!$B$4-VLOOKUP($C49,Données!$C$19:'Données'!$I$48,4,0)))/365.24*100, ,('Feuille Saisie'!$B$4-VLOOKUP($C49,Données!$C$19:'Données'!$I$48,4,0))/365.24*100)&lt;100,IF(ISNA(('Feuille Saisie'!$B$4-VLOOKUP($C49,Données!$C$19:'Données'!$I$48,4,0)))/365.24*100, ,('Feuille Saisie'!$B$4-VLOOKUP($C49,Données!$C$19:'Données'!$I$48,4,0))/365.24*100),100)</f>
        <v>0</v>
      </c>
      <c r="E49" s="19"/>
      <c r="F49" s="42" t="str">
        <f>IF(ISNA(IF(AND($E49=0,VLOOKUP($C49,Données!$C$19:'Données'!$I$48,6,0)&lt;&gt;""),"0,00",IFERROR(IF(ISNA($E49/VLOOKUP($C49,Données!$C$19:'Données'!$I$48,6,0)), ,$E49/VLOOKUP($C49,Données!$C$19:'Données'!$I$48,6,0)),"/"))),"",IF(AND($E49=0,VLOOKUP($C49,Données!$C$19:'Données'!$I$48,6,0)&lt;&gt;""),"0,00",IFERROR(IF(ISNA($E49/VLOOKUP($C49,Données!$C$19:'Données'!$I$48,6,0)), ,$E49/VLOOKUP($C49,Données!$C$19:'Données'!$I$48,6,0)),"/")))</f>
        <v/>
      </c>
      <c r="G49" s="42" t="str">
        <f>IF(ISNA(IF(AND($E49=0,VLOOKUP($C49,Données!$C$19:'Données'!$I$48,7,0)&lt;&gt;""),"0,00",IFERROR(IF(ISNA($E49/VLOOKUP($C49,Données!$C$19:'Données'!$I$48,7,0)*100),,$E49/VLOOKUP($C49,Données!$C$19:'Données'!$I$48,7,0)*100),"/"))),"",IF(AND($E49=0,VLOOKUP($C49,Données!$C$19:'Données'!$I$48,7,0)&lt;&gt;""),"0,00",IFERROR(IF(ISNA($E49/VLOOKUP($C49,Données!$C$19:'Données'!$I$48,7,0)*100),,$E49/VLOOKUP($C49,Données!$C$19:'Données'!$I$48,7,0)*100),"/")))</f>
        <v/>
      </c>
      <c r="H49" s="33"/>
      <c r="I49" s="43" t="str">
        <f>IF($C49&lt;&gt;"",IF($E49=0,"/",IF(ISNA($H49-VLOOKUP($C49,Données!$C$19:'Données'!$I$48,4,0)), ,$H49-VLOOKUP($C49,Données!$C$19:'Données'!$I$48,4,0))),"")</f>
        <v/>
      </c>
      <c r="J49" s="33">
        <v>43498</v>
      </c>
      <c r="K49" s="43" t="str">
        <f>IF($C49&lt;&gt;"",IF(ISNA($J49-VLOOKUP($C49,Données!$C$19:'Données'!$I$48,4,0)), ,$J49-VLOOKUP($C49,Données!$C$19:'Données'!$I$48,4,0)),"")</f>
        <v/>
      </c>
      <c r="L49" s="32"/>
      <c r="M49" s="19"/>
      <c r="N49" s="31"/>
      <c r="O49" s="95"/>
      <c r="P49" s="95"/>
      <c r="Q49" s="33"/>
      <c r="R49" s="43" t="str">
        <f>IF($C49&lt;&gt;"",IF($D49&lt;&gt;100,"/",IF(ISNA($Q49-VLOOKUP($C49,Données!$C$19:'Données'!$I$48,4,0)), ,$Q49-VLOOKUP($C49,Données!$C$19:'Données'!$I$48,4,0))),"")</f>
        <v/>
      </c>
      <c r="S49" s="16"/>
      <c r="T49" s="33"/>
      <c r="U49" s="43" t="str">
        <f>IF($C49&lt;&gt;"",IF($J49="","/",IF(ISNA($T49-VLOOKUP($C49,Données!$C$19:'Données'!$I$48,4,0)), ,$T49-VLOOKUP($C49,Données!$C$19:'Données'!$I$48,4,0))),"")</f>
        <v/>
      </c>
      <c r="V49" s="1"/>
      <c r="W49" s="1"/>
      <c r="X49" s="49"/>
      <c r="Y49" s="46" t="str">
        <f t="shared" si="0"/>
        <v/>
      </c>
      <c r="Z49" s="47" t="s">
        <v>39</v>
      </c>
      <c r="AA49" s="46" t="str">
        <f t="shared" si="1"/>
        <v/>
      </c>
      <c r="AB49" s="48" t="s">
        <v>40</v>
      </c>
      <c r="AC49" s="49">
        <f t="shared" si="2"/>
        <v>1</v>
      </c>
      <c r="AD49" s="49">
        <f t="shared" si="3"/>
        <v>1</v>
      </c>
      <c r="AE49" s="49">
        <f t="shared" si="4"/>
        <v>2</v>
      </c>
      <c r="AF49" s="49">
        <f t="shared" si="5"/>
        <v>1</v>
      </c>
      <c r="AG49" s="50">
        <f t="shared" si="6"/>
        <v>-43498</v>
      </c>
      <c r="AH49" s="54" t="str">
        <f>IF($C49="","",IFERROR(IF(ISNA(VLOOKUP($C49,Données!$C$19:'Données'!$I$48,6,0)), ,VLOOKUP($C49,Données!$C$19:'Données'!$I$48,6,0)),"/"))</f>
        <v/>
      </c>
      <c r="AI49" s="54" t="str">
        <f>IF($C49="","",IFERROR(IF(ISNA(VLOOKUP($C49,Données!$C$19:'Données'!$I$48,7,0)), ,VLOOKUP($C49,Données!$C$19:'Données'!$I$48,7,0)),"/"))</f>
        <v/>
      </c>
      <c r="AJ49" s="54" t="str">
        <f t="shared" si="7"/>
        <v/>
      </c>
      <c r="AK49" s="54">
        <f t="shared" si="8"/>
        <v>1</v>
      </c>
      <c r="AL49" s="54">
        <f t="shared" si="9"/>
        <v>0</v>
      </c>
      <c r="AM49" s="49" t="str">
        <f t="shared" si="10"/>
        <v/>
      </c>
      <c r="AN49" s="49">
        <f t="shared" si="11"/>
        <v>0</v>
      </c>
      <c r="AO49" s="49" t="str">
        <f t="shared" si="12"/>
        <v/>
      </c>
      <c r="AP49" s="54" t="str">
        <f t="shared" si="13"/>
        <v/>
      </c>
      <c r="AQ49" s="49">
        <f t="shared" si="14"/>
        <v>0</v>
      </c>
      <c r="AR49" s="69">
        <f t="shared" si="15"/>
        <v>0</v>
      </c>
      <c r="AS49" s="49">
        <f t="shared" si="16"/>
        <v>0</v>
      </c>
      <c r="AT49" s="49" t="str">
        <f>IFERROR(VLOOKUP($C49,Données!$C$19:'Données'!$I$48,3,0),"")</f>
        <v/>
      </c>
      <c r="AU49" s="49">
        <f t="shared" si="17"/>
        <v>0</v>
      </c>
      <c r="AV49" s="49">
        <f t="shared" si="18"/>
        <v>0</v>
      </c>
      <c r="AW49" s="49">
        <f t="shared" si="19"/>
        <v>1</v>
      </c>
      <c r="AX49" s="49" t="str">
        <f t="shared" si="20"/>
        <v/>
      </c>
      <c r="AY49" s="49">
        <f t="shared" si="21"/>
        <v>0</v>
      </c>
      <c r="AZ49" s="49">
        <f t="shared" si="22"/>
        <v>0</v>
      </c>
      <c r="BA49" s="49">
        <f t="shared" si="23"/>
        <v>0</v>
      </c>
      <c r="BB49" s="49">
        <f t="shared" si="24"/>
        <v>0</v>
      </c>
      <c r="BC49" s="49">
        <f t="shared" si="25"/>
        <v>0</v>
      </c>
      <c r="BD49" s="49">
        <f t="shared" si="26"/>
        <v>0</v>
      </c>
      <c r="BE49" s="49">
        <f t="shared" si="27"/>
        <v>0</v>
      </c>
      <c r="BF49" s="49" t="str">
        <f>TEXT('Feuille Saisie'!$B$4,"aaaa")</f>
        <v>2019</v>
      </c>
      <c r="BG49" s="49" t="str">
        <f>IF($Q49="",TEXT('Feuille Saisie'!$B$4,"aaaa"),TEXT($Q49,"aaaa"))</f>
        <v>2019</v>
      </c>
      <c r="BH49" s="49">
        <f t="shared" si="28"/>
        <v>0</v>
      </c>
      <c r="BI49" s="49">
        <f t="shared" si="29"/>
        <v>1</v>
      </c>
      <c r="BJ49" s="49" t="str">
        <f t="shared" si="30"/>
        <v/>
      </c>
      <c r="BK49" s="49">
        <f t="shared" si="31"/>
        <v>0</v>
      </c>
      <c r="BL49" s="46" t="str">
        <f t="shared" si="32"/>
        <v/>
      </c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 t="str">
        <f t="shared" si="33"/>
        <v/>
      </c>
      <c r="CZ49" s="49">
        <f t="shared" si="34"/>
        <v>0</v>
      </c>
      <c r="DA49" s="49" t="str">
        <f t="shared" si="35"/>
        <v/>
      </c>
      <c r="DB49" s="54">
        <f t="shared" si="36"/>
        <v>0</v>
      </c>
      <c r="DC49" s="49" t="str">
        <f>TEXT('Feuille Saisie'!$B$4,"aaaa")</f>
        <v>2019</v>
      </c>
      <c r="DD49" s="49" t="str">
        <f>IF($J49="",TEXT('Feuille Saisie'!$B$4,"aaaa"),TEXT($J49,"aaaa"))</f>
        <v>2019</v>
      </c>
      <c r="DE49" s="49">
        <f t="shared" si="37"/>
        <v>1</v>
      </c>
      <c r="DF49" s="49">
        <f t="shared" si="38"/>
        <v>1</v>
      </c>
      <c r="DG49" s="97" t="str">
        <f>TEXT(IFERROR(VLOOKUP($C49,Données!$C$19:'Données'!$I$48,4,0),""),"aaaa")</f>
        <v/>
      </c>
      <c r="DH49" s="49">
        <f t="shared" si="39"/>
        <v>0</v>
      </c>
      <c r="DI49" s="49">
        <f t="shared" si="40"/>
        <v>1</v>
      </c>
      <c r="DJ49" s="49">
        <f t="shared" si="41"/>
        <v>0</v>
      </c>
      <c r="DK49" s="49" t="str">
        <f t="shared" si="42"/>
        <v/>
      </c>
      <c r="DL49" s="49">
        <f t="shared" si="43"/>
        <v>0</v>
      </c>
      <c r="DM49" s="49" t="str">
        <f>IF($T49="",TEXT('Feuille Saisie'!$B$4,"aaaa"),TEXT($T49,"aaaa"))</f>
        <v>2019</v>
      </c>
      <c r="DN49" s="49">
        <f t="shared" si="44"/>
        <v>0</v>
      </c>
      <c r="DO49" s="49">
        <f t="shared" si="45"/>
        <v>0</v>
      </c>
      <c r="EA49" s="49" t="str">
        <f>IFERROR(VLOOKUP($C49,Données!$C$19:'Données'!$I$48,3,0),"")</f>
        <v/>
      </c>
      <c r="EB49" s="49" t="str">
        <f t="shared" si="46"/>
        <v xml:space="preserve"> </v>
      </c>
      <c r="EC49" s="49" t="str">
        <f t="shared" si="47"/>
        <v xml:space="preserve"> </v>
      </c>
      <c r="ED49" s="49" t="str">
        <f t="shared" si="48"/>
        <v xml:space="preserve"> </v>
      </c>
      <c r="EE49" s="49" t="str">
        <f t="shared" si="49"/>
        <v xml:space="preserve"> </v>
      </c>
      <c r="EF49" s="49">
        <f t="shared" si="50"/>
        <v>0</v>
      </c>
      <c r="FA49" s="54" t="str">
        <f>IF($C49="","",IFERROR(IF(ISNA(VLOOKUP($C49,'Bilan final GPA HN'!$C$29:'Bilan final GPA HN'!$X$43,22,0)), ,VLOOKUP($C49,'Bilan final GPA HN'!$C$29:'Bilan final GPA HN'!$X$43,22,0)),"/"))</f>
        <v/>
      </c>
      <c r="FB49" s="54" t="str">
        <f>IF($C49="","",IFERROR(IF(ISNA(VLOOKUP($C49,'Bilan final GPA HR'!$C$29:'Bilan final GPA HR'!$X$43,22,0)), ,VLOOKUP($C49,'Bilan final GPA HR'!$C$29:'Bilan final GPA HR'!$X$43,22,0)),"/"))</f>
        <v/>
      </c>
      <c r="FC49" s="54" t="str">
        <f>IF($C49="","",IFERROR(IF(ISNA(VLOOKUP($C49,'Bilan final GPA OF'!$C$29:'Bilan final GPA OF'!$X$43,22,0)), ,VLOOKUP($C49,'Bilan final GPA OF'!$C$29:'Bilan final GPA OF'!$X$43,22,0)),"/"))</f>
        <v/>
      </c>
      <c r="FD49" s="54" t="str">
        <f>IF($C49="","",IFERROR(IF(ISNA(VLOOKUP($C49,'Bilan final GPA IE'!$C$29:'Bilan final GPA IE'!$X$43,22,0)), ,VLOOKUP($C49,'Bilan final GPA IE'!$C$29:'Bilan final GPA IE'!$X$43,22,0)),"/"))</f>
        <v/>
      </c>
      <c r="FE49" s="115">
        <f t="shared" si="53"/>
        <v>0</v>
      </c>
      <c r="FF49" s="116" t="s">
        <v>97</v>
      </c>
      <c r="FG49" s="117" t="str">
        <f t="shared" si="52"/>
        <v/>
      </c>
    </row>
    <row r="50" spans="1:163" ht="50.1" customHeight="1" x14ac:dyDescent="0.3">
      <c r="A50" s="1"/>
      <c r="B50" s="1"/>
      <c r="C50" s="15"/>
      <c r="D50" s="41">
        <f>IF(IF(ISNA(('Feuille Saisie'!$B$4-VLOOKUP($C50,Données!$C$19:'Données'!$I$48,4,0)))/365.24*100, ,('Feuille Saisie'!$B$4-VLOOKUP($C50,Données!$C$19:'Données'!$I$48,4,0))/365.24*100)&lt;100,IF(ISNA(('Feuille Saisie'!$B$4-VLOOKUP($C50,Données!$C$19:'Données'!$I$48,4,0)))/365.24*100, ,('Feuille Saisie'!$B$4-VLOOKUP($C50,Données!$C$19:'Données'!$I$48,4,0))/365.24*100),100)</f>
        <v>0</v>
      </c>
      <c r="E50" s="19"/>
      <c r="F50" s="42" t="str">
        <f>IF(ISNA(IF(AND($E50=0,VLOOKUP($C50,Données!$C$19:'Données'!$I$48,6,0)&lt;&gt;""),"0,00",IFERROR(IF(ISNA($E50/VLOOKUP($C50,Données!$C$19:'Données'!$I$48,6,0)), ,$E50/VLOOKUP($C50,Données!$C$19:'Données'!$I$48,6,0)),"/"))),"",IF(AND($E50=0,VLOOKUP($C50,Données!$C$19:'Données'!$I$48,6,0)&lt;&gt;""),"0,00",IFERROR(IF(ISNA($E50/VLOOKUP($C50,Données!$C$19:'Données'!$I$48,6,0)), ,$E50/VLOOKUP($C50,Données!$C$19:'Données'!$I$48,6,0)),"/")))</f>
        <v/>
      </c>
      <c r="G50" s="42" t="str">
        <f>IF(ISNA(IF(AND($E50=0,VLOOKUP($C50,Données!$C$19:'Données'!$I$48,7,0)&lt;&gt;""),"0,00",IFERROR(IF(ISNA($E50/VLOOKUP($C50,Données!$C$19:'Données'!$I$48,7,0)*100),,$E50/VLOOKUP($C50,Données!$C$19:'Données'!$I$48,7,0)*100),"/"))),"",IF(AND($E50=0,VLOOKUP($C50,Données!$C$19:'Données'!$I$48,7,0)&lt;&gt;""),"0,00",IFERROR(IF(ISNA($E50/VLOOKUP($C50,Données!$C$19:'Données'!$I$48,7,0)*100),,$E50/VLOOKUP($C50,Données!$C$19:'Données'!$I$48,7,0)*100),"/")))</f>
        <v/>
      </c>
      <c r="H50" s="33"/>
      <c r="I50" s="43" t="str">
        <f>IF($C50&lt;&gt;"",IF($E50=0,"/",IF(ISNA($H50-VLOOKUP($C50,Données!$C$19:'Données'!$I$48,4,0)), ,$H50-VLOOKUP($C50,Données!$C$19:'Données'!$I$48,4,0))),"")</f>
        <v/>
      </c>
      <c r="J50" s="33"/>
      <c r="K50" s="43" t="str">
        <f>IF($C50&lt;&gt;"",IF(ISNA($J50-VLOOKUP($C50,Données!$C$19:'Données'!$I$48,4,0)), ,$J50-VLOOKUP($C50,Données!$C$19:'Données'!$I$48,4,0)),"")</f>
        <v/>
      </c>
      <c r="L50" s="32"/>
      <c r="M50" s="19"/>
      <c r="N50" s="31"/>
      <c r="O50" s="95"/>
      <c r="P50" s="95"/>
      <c r="Q50" s="33"/>
      <c r="R50" s="43" t="str">
        <f>IF($C50&lt;&gt;"",IF($D50&lt;&gt;100,"/",IF(ISNA($Q50-VLOOKUP($C50,Données!$C$19:'Données'!$I$48,4,0)), ,$Q50-VLOOKUP($C50,Données!$C$19:'Données'!$I$48,4,0))),"")</f>
        <v/>
      </c>
      <c r="S50" s="16"/>
      <c r="T50" s="33"/>
      <c r="U50" s="43" t="str">
        <f>IF($C50&lt;&gt;"",IF($J50="","/",IF(ISNA($T50-VLOOKUP($C50,Données!$C$19:'Données'!$I$48,4,0)), ,$T50-VLOOKUP($C50,Données!$C$19:'Données'!$I$48,4,0))),"")</f>
        <v/>
      </c>
      <c r="V50" s="1"/>
      <c r="W50" s="1"/>
      <c r="X50" s="49"/>
      <c r="Y50" s="46" t="str">
        <f t="shared" si="0"/>
        <v/>
      </c>
      <c r="Z50" s="47" t="s">
        <v>39</v>
      </c>
      <c r="AA50" s="46" t="str">
        <f t="shared" si="1"/>
        <v/>
      </c>
      <c r="AB50" s="48" t="s">
        <v>40</v>
      </c>
      <c r="AC50" s="49">
        <f t="shared" si="2"/>
        <v>1</v>
      </c>
      <c r="AD50" s="49">
        <f t="shared" si="3"/>
        <v>1</v>
      </c>
      <c r="AE50" s="49">
        <f t="shared" si="4"/>
        <v>1</v>
      </c>
      <c r="AF50" s="49">
        <f t="shared" si="5"/>
        <v>1</v>
      </c>
      <c r="AG50" s="50">
        <f t="shared" si="6"/>
        <v>0</v>
      </c>
      <c r="AH50" s="54" t="str">
        <f>IF($C50="","",IFERROR(IF(ISNA(VLOOKUP($C50,Données!$C$19:'Données'!$I$48,6,0)), ,VLOOKUP($C50,Données!$C$19:'Données'!$I$48,6,0)),"/"))</f>
        <v/>
      </c>
      <c r="AI50" s="54" t="str">
        <f>IF($C50="","",IFERROR(IF(ISNA(VLOOKUP($C50,Données!$C$19:'Données'!$I$48,7,0)), ,VLOOKUP($C50,Données!$C$19:'Données'!$I$48,7,0)),"/"))</f>
        <v/>
      </c>
      <c r="AJ50" s="54" t="str">
        <f t="shared" si="7"/>
        <v/>
      </c>
      <c r="AK50" s="54">
        <f t="shared" si="8"/>
        <v>0</v>
      </c>
      <c r="AL50" s="54">
        <f t="shared" si="9"/>
        <v>0</v>
      </c>
      <c r="AM50" s="49" t="str">
        <f t="shared" si="10"/>
        <v/>
      </c>
      <c r="AN50" s="49">
        <f t="shared" si="11"/>
        <v>0</v>
      </c>
      <c r="AO50" s="49" t="str">
        <f t="shared" si="12"/>
        <v/>
      </c>
      <c r="AP50" s="54" t="str">
        <f t="shared" si="13"/>
        <v/>
      </c>
      <c r="AQ50" s="49">
        <f t="shared" si="14"/>
        <v>0</v>
      </c>
      <c r="AR50" s="69">
        <f t="shared" si="15"/>
        <v>0</v>
      </c>
      <c r="AS50" s="49">
        <f t="shared" si="16"/>
        <v>0</v>
      </c>
      <c r="AT50" s="49" t="str">
        <f>IFERROR(VLOOKUP($C50,Données!$C$19:'Données'!$I$48,3,0),"")</f>
        <v/>
      </c>
      <c r="AU50" s="49">
        <f t="shared" si="17"/>
        <v>0</v>
      </c>
      <c r="AV50" s="49">
        <f t="shared" si="18"/>
        <v>0</v>
      </c>
      <c r="AW50" s="49">
        <f t="shared" si="19"/>
        <v>0</v>
      </c>
      <c r="AX50" s="49">
        <f t="shared" si="20"/>
        <v>0</v>
      </c>
      <c r="AY50" s="49">
        <f t="shared" si="21"/>
        <v>0</v>
      </c>
      <c r="AZ50" s="49">
        <f t="shared" si="22"/>
        <v>0</v>
      </c>
      <c r="BA50" s="49">
        <f t="shared" si="23"/>
        <v>0</v>
      </c>
      <c r="BB50" s="49">
        <f t="shared" si="24"/>
        <v>0</v>
      </c>
      <c r="BC50" s="49">
        <f t="shared" si="25"/>
        <v>0</v>
      </c>
      <c r="BD50" s="49">
        <f t="shared" si="26"/>
        <v>0</v>
      </c>
      <c r="BE50" s="49">
        <f t="shared" si="27"/>
        <v>0</v>
      </c>
      <c r="BF50" s="49" t="str">
        <f>TEXT('Feuille Saisie'!$B$4,"aaaa")</f>
        <v>2019</v>
      </c>
      <c r="BG50" s="49" t="str">
        <f>IF($Q50="",TEXT('Feuille Saisie'!$B$4,"aaaa"),TEXT($Q50,"aaaa"))</f>
        <v>2019</v>
      </c>
      <c r="BH50" s="49">
        <f t="shared" si="28"/>
        <v>0</v>
      </c>
      <c r="BI50" s="49">
        <f t="shared" si="29"/>
        <v>1</v>
      </c>
      <c r="BJ50" s="49" t="str">
        <f t="shared" si="30"/>
        <v/>
      </c>
      <c r="BK50" s="49">
        <f t="shared" si="31"/>
        <v>0</v>
      </c>
      <c r="BL50" s="46" t="str">
        <f t="shared" si="32"/>
        <v/>
      </c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9"/>
      <c r="CM50" s="49"/>
      <c r="CN50" s="49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 t="str">
        <f t="shared" si="33"/>
        <v/>
      </c>
      <c r="CZ50" s="49">
        <f t="shared" si="34"/>
        <v>0</v>
      </c>
      <c r="DA50" s="49" t="str">
        <f t="shared" si="35"/>
        <v/>
      </c>
      <c r="DB50" s="54">
        <f t="shared" si="36"/>
        <v>0</v>
      </c>
      <c r="DC50" s="49" t="str">
        <f>TEXT('Feuille Saisie'!$B$4,"aaaa")</f>
        <v>2019</v>
      </c>
      <c r="DD50" s="49" t="str">
        <f>IF($J50="",TEXT('Feuille Saisie'!$B$4,"aaaa"),TEXT($J50,"aaaa"))</f>
        <v>2019</v>
      </c>
      <c r="DE50" s="49">
        <f t="shared" si="37"/>
        <v>0</v>
      </c>
      <c r="DF50" s="49">
        <f t="shared" si="38"/>
        <v>0</v>
      </c>
      <c r="DG50" s="97" t="str">
        <f>TEXT(IFERROR(VLOOKUP($C50,Données!$C$19:'Données'!$I$48,4,0),""),"aaaa")</f>
        <v/>
      </c>
      <c r="DH50" s="49">
        <f t="shared" si="39"/>
        <v>0</v>
      </c>
      <c r="DI50" s="49">
        <f t="shared" si="40"/>
        <v>1</v>
      </c>
      <c r="DJ50" s="49">
        <f t="shared" si="41"/>
        <v>0</v>
      </c>
      <c r="DK50" s="49">
        <f t="shared" si="42"/>
        <v>0</v>
      </c>
      <c r="DL50" s="49">
        <f t="shared" si="43"/>
        <v>0</v>
      </c>
      <c r="DM50" s="49" t="str">
        <f>IF($T50="",TEXT('Feuille Saisie'!$B$4,"aaaa"),TEXT($T50,"aaaa"))</f>
        <v>2019</v>
      </c>
      <c r="DN50" s="49">
        <f t="shared" si="44"/>
        <v>0</v>
      </c>
      <c r="DO50" s="49">
        <f t="shared" si="45"/>
        <v>0</v>
      </c>
      <c r="EA50" s="49" t="str">
        <f>IFERROR(VLOOKUP($C50,Données!$C$19:'Données'!$I$48,3,0),"")</f>
        <v/>
      </c>
      <c r="EB50" s="49" t="str">
        <f t="shared" si="46"/>
        <v xml:space="preserve"> </v>
      </c>
      <c r="EC50" s="49" t="str">
        <f t="shared" si="47"/>
        <v xml:space="preserve"> </v>
      </c>
      <c r="ED50" s="49" t="str">
        <f t="shared" si="48"/>
        <v xml:space="preserve"> </v>
      </c>
      <c r="EE50" s="49" t="str">
        <f t="shared" si="49"/>
        <v xml:space="preserve"> </v>
      </c>
      <c r="EF50" s="49">
        <f t="shared" si="50"/>
        <v>0</v>
      </c>
      <c r="FA50" s="54" t="str">
        <f>IF($C50="","",IFERROR(IF(ISNA(VLOOKUP($C50,'Bilan final GPA HN'!$C$29:'Bilan final GPA HN'!$X$43,22,0)), ,VLOOKUP($C50,'Bilan final GPA HN'!$C$29:'Bilan final GPA HN'!$X$43,22,0)),"/"))</f>
        <v/>
      </c>
      <c r="FB50" s="54" t="str">
        <f>IF($C50="","",IFERROR(IF(ISNA(VLOOKUP($C50,'Bilan final GPA HR'!$C$29:'Bilan final GPA HR'!$X$43,22,0)), ,VLOOKUP($C50,'Bilan final GPA HR'!$C$29:'Bilan final GPA HR'!$X$43,22,0)),"/"))</f>
        <v/>
      </c>
      <c r="FC50" s="54" t="str">
        <f>IF($C50="","",IFERROR(IF(ISNA(VLOOKUP($C50,'Bilan final GPA OF'!$C$29:'Bilan final GPA OF'!$X$43,22,0)), ,VLOOKUP($C50,'Bilan final GPA OF'!$C$29:'Bilan final GPA OF'!$X$43,22,0)),"/"))</f>
        <v/>
      </c>
      <c r="FD50" s="54" t="str">
        <f>IF($C50="","",IFERROR(IF(ISNA(VLOOKUP($C50,'Bilan final GPA IE'!$C$29:'Bilan final GPA IE'!$X$43,22,0)), ,VLOOKUP($C50,'Bilan final GPA IE'!$C$29:'Bilan final GPA IE'!$X$43,22,0)),"/"))</f>
        <v/>
      </c>
      <c r="FE50" s="115">
        <f t="shared" si="53"/>
        <v>0</v>
      </c>
      <c r="FF50" s="116" t="s">
        <v>97</v>
      </c>
      <c r="FG50" s="117" t="str">
        <f t="shared" si="52"/>
        <v/>
      </c>
    </row>
    <row r="51" spans="1:163" ht="50.1" customHeight="1" x14ac:dyDescent="0.3">
      <c r="A51" s="1"/>
      <c r="B51" s="1"/>
      <c r="C51" s="15"/>
      <c r="D51" s="41">
        <f>IF(IF(ISNA(('Feuille Saisie'!$B$4-VLOOKUP($C51,Données!$C$19:'Données'!$I$48,4,0)))/365.24*100, ,('Feuille Saisie'!$B$4-VLOOKUP($C51,Données!$C$19:'Données'!$I$48,4,0))/365.24*100)&lt;100,IF(ISNA(('Feuille Saisie'!$B$4-VLOOKUP($C51,Données!$C$19:'Données'!$I$48,4,0)))/365.24*100, ,('Feuille Saisie'!$B$4-VLOOKUP($C51,Données!$C$19:'Données'!$I$48,4,0))/365.24*100),100)</f>
        <v>0</v>
      </c>
      <c r="E51" s="19"/>
      <c r="F51" s="42" t="str">
        <f>IF(ISNA(IF(AND($E51=0,VLOOKUP($C51,Données!$C$19:'Données'!$I$48,6,0)&lt;&gt;""),"0,00",IFERROR(IF(ISNA($E51/VLOOKUP($C51,Données!$C$19:'Données'!$I$48,6,0)), ,$E51/VLOOKUP($C51,Données!$C$19:'Données'!$I$48,6,0)),"/"))),"",IF(AND($E51=0,VLOOKUP($C51,Données!$C$19:'Données'!$I$48,6,0)&lt;&gt;""),"0,00",IFERROR(IF(ISNA($E51/VLOOKUP($C51,Données!$C$19:'Données'!$I$48,6,0)), ,$E51/VLOOKUP($C51,Données!$C$19:'Données'!$I$48,6,0)),"/")))</f>
        <v/>
      </c>
      <c r="G51" s="42" t="str">
        <f>IF(ISNA(IF(AND($E51=0,VLOOKUP($C51,Données!$C$19:'Données'!$I$48,7,0)&lt;&gt;""),"0,00",IFERROR(IF(ISNA($E51/VLOOKUP($C51,Données!$C$19:'Données'!$I$48,7,0)*100),,$E51/VLOOKUP($C51,Données!$C$19:'Données'!$I$48,7,0)*100),"/"))),"",IF(AND($E51=0,VLOOKUP($C51,Données!$C$19:'Données'!$I$48,7,0)&lt;&gt;""),"0,00",IFERROR(IF(ISNA($E51/VLOOKUP($C51,Données!$C$19:'Données'!$I$48,7,0)*100),,$E51/VLOOKUP($C51,Données!$C$19:'Données'!$I$48,7,0)*100),"/")))</f>
        <v/>
      </c>
      <c r="H51" s="33"/>
      <c r="I51" s="43" t="str">
        <f>IF($C51&lt;&gt;"",IF($E51=0,"/",IF(ISNA($H51-VLOOKUP($C51,Données!$C$19:'Données'!$I$48,4,0)), ,$H51-VLOOKUP($C51,Données!$C$19:'Données'!$I$48,4,0))),"")</f>
        <v/>
      </c>
      <c r="J51" s="33"/>
      <c r="K51" s="43" t="str">
        <f>IF($C51&lt;&gt;"",IF(ISNA($J51-VLOOKUP($C51,Données!$C$19:'Données'!$I$48,4,0)), ,$J51-VLOOKUP($C51,Données!$C$19:'Données'!$I$48,4,0)),"")</f>
        <v/>
      </c>
      <c r="L51" s="32"/>
      <c r="M51" s="19"/>
      <c r="N51" s="31"/>
      <c r="O51" s="95"/>
      <c r="P51" s="95"/>
      <c r="Q51" s="33"/>
      <c r="R51" s="43" t="str">
        <f>IF($C51&lt;&gt;"",IF($D51&lt;&gt;100,"/",IF(ISNA($Q51-VLOOKUP($C51,Données!$C$19:'Données'!$I$48,4,0)), ,$Q51-VLOOKUP($C51,Données!$C$19:'Données'!$I$48,4,0))),"")</f>
        <v/>
      </c>
      <c r="S51" s="16"/>
      <c r="T51" s="33"/>
      <c r="U51" s="43" t="str">
        <f>IF($C51&lt;&gt;"",IF($J51="","/",IF(ISNA($T51-VLOOKUP($C51,Données!$C$19:'Données'!$I$48,4,0)), ,$T51-VLOOKUP($C51,Données!$C$19:'Données'!$I$48,4,0))),"")</f>
        <v/>
      </c>
      <c r="V51" s="1"/>
      <c r="W51" s="1"/>
      <c r="X51" s="49"/>
      <c r="Y51" s="46" t="str">
        <f t="shared" si="0"/>
        <v/>
      </c>
      <c r="Z51" s="47" t="s">
        <v>39</v>
      </c>
      <c r="AA51" s="46" t="str">
        <f t="shared" si="1"/>
        <v/>
      </c>
      <c r="AB51" s="48" t="s">
        <v>40</v>
      </c>
      <c r="AC51" s="49">
        <f t="shared" si="2"/>
        <v>1</v>
      </c>
      <c r="AD51" s="49">
        <f t="shared" si="3"/>
        <v>1</v>
      </c>
      <c r="AE51" s="49">
        <f t="shared" si="4"/>
        <v>1</v>
      </c>
      <c r="AF51" s="49">
        <f t="shared" si="5"/>
        <v>1</v>
      </c>
      <c r="AG51" s="50">
        <f t="shared" si="6"/>
        <v>0</v>
      </c>
      <c r="AH51" s="54" t="str">
        <f>IF($C51="","",IFERROR(IF(ISNA(VLOOKUP($C51,Données!$C$19:'Données'!$I$48,6,0)), ,VLOOKUP($C51,Données!$C$19:'Données'!$I$48,6,0)),"/"))</f>
        <v/>
      </c>
      <c r="AI51" s="54" t="str">
        <f>IF($C51="","",IFERROR(IF(ISNA(VLOOKUP($C51,Données!$C$19:'Données'!$I$48,7,0)), ,VLOOKUP($C51,Données!$C$19:'Données'!$I$48,7,0)),"/"))</f>
        <v/>
      </c>
      <c r="AJ51" s="54" t="str">
        <f t="shared" si="7"/>
        <v/>
      </c>
      <c r="AK51" s="54">
        <f t="shared" si="8"/>
        <v>0</v>
      </c>
      <c r="AL51" s="54">
        <f t="shared" si="9"/>
        <v>0</v>
      </c>
      <c r="AM51" s="49" t="str">
        <f t="shared" si="10"/>
        <v/>
      </c>
      <c r="AN51" s="49">
        <f t="shared" si="11"/>
        <v>0</v>
      </c>
      <c r="AO51" s="49" t="str">
        <f t="shared" si="12"/>
        <v/>
      </c>
      <c r="AP51" s="54" t="str">
        <f t="shared" si="13"/>
        <v/>
      </c>
      <c r="AQ51" s="49">
        <f t="shared" si="14"/>
        <v>0</v>
      </c>
      <c r="AR51" s="69">
        <f t="shared" si="15"/>
        <v>0</v>
      </c>
      <c r="AS51" s="49">
        <f t="shared" si="16"/>
        <v>0</v>
      </c>
      <c r="AT51" s="49" t="str">
        <f>IFERROR(VLOOKUP($C51,Données!$C$19:'Données'!$I$48,3,0),"")</f>
        <v/>
      </c>
      <c r="AU51" s="49">
        <f t="shared" si="17"/>
        <v>0</v>
      </c>
      <c r="AV51" s="49">
        <f t="shared" si="18"/>
        <v>0</v>
      </c>
      <c r="AW51" s="49">
        <f t="shared" si="19"/>
        <v>0</v>
      </c>
      <c r="AX51" s="49">
        <f t="shared" si="20"/>
        <v>0</v>
      </c>
      <c r="AY51" s="49">
        <f t="shared" si="21"/>
        <v>0</v>
      </c>
      <c r="AZ51" s="49">
        <f t="shared" si="22"/>
        <v>0</v>
      </c>
      <c r="BA51" s="49">
        <f t="shared" si="23"/>
        <v>0</v>
      </c>
      <c r="BB51" s="49">
        <f t="shared" si="24"/>
        <v>0</v>
      </c>
      <c r="BC51" s="49">
        <f t="shared" si="25"/>
        <v>0</v>
      </c>
      <c r="BD51" s="49">
        <f t="shared" si="26"/>
        <v>0</v>
      </c>
      <c r="BE51" s="49">
        <f t="shared" si="27"/>
        <v>0</v>
      </c>
      <c r="BF51" s="49" t="str">
        <f>TEXT('Feuille Saisie'!$B$4,"aaaa")</f>
        <v>2019</v>
      </c>
      <c r="BG51" s="49" t="str">
        <f>IF($Q51="",TEXT('Feuille Saisie'!$B$4,"aaaa"),TEXT($Q51,"aaaa"))</f>
        <v>2019</v>
      </c>
      <c r="BH51" s="49">
        <f t="shared" si="28"/>
        <v>0</v>
      </c>
      <c r="BI51" s="49">
        <f t="shared" si="29"/>
        <v>1</v>
      </c>
      <c r="BJ51" s="49" t="str">
        <f t="shared" si="30"/>
        <v/>
      </c>
      <c r="BK51" s="49">
        <f t="shared" si="31"/>
        <v>0</v>
      </c>
      <c r="BL51" s="46" t="str">
        <f t="shared" si="32"/>
        <v/>
      </c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 t="str">
        <f t="shared" si="33"/>
        <v/>
      </c>
      <c r="CZ51" s="49">
        <f t="shared" si="34"/>
        <v>0</v>
      </c>
      <c r="DA51" s="49" t="str">
        <f t="shared" si="35"/>
        <v/>
      </c>
      <c r="DB51" s="54">
        <f t="shared" si="36"/>
        <v>0</v>
      </c>
      <c r="DC51" s="49" t="str">
        <f>TEXT('Feuille Saisie'!$B$4,"aaaa")</f>
        <v>2019</v>
      </c>
      <c r="DD51" s="49" t="str">
        <f>IF($J51="",TEXT('Feuille Saisie'!$B$4,"aaaa"),TEXT($J51,"aaaa"))</f>
        <v>2019</v>
      </c>
      <c r="DE51" s="49">
        <f t="shared" si="37"/>
        <v>0</v>
      </c>
      <c r="DF51" s="49">
        <f t="shared" si="38"/>
        <v>0</v>
      </c>
      <c r="DG51" s="97" t="str">
        <f>TEXT(IFERROR(VLOOKUP($C51,Données!$C$19:'Données'!$I$48,4,0),""),"aaaa")</f>
        <v/>
      </c>
      <c r="DH51" s="49">
        <f t="shared" si="39"/>
        <v>0</v>
      </c>
      <c r="DI51" s="49">
        <f t="shared" si="40"/>
        <v>1</v>
      </c>
      <c r="DJ51" s="49">
        <f t="shared" si="41"/>
        <v>0</v>
      </c>
      <c r="DK51" s="49">
        <f t="shared" si="42"/>
        <v>0</v>
      </c>
      <c r="DL51" s="49">
        <f t="shared" si="43"/>
        <v>0</v>
      </c>
      <c r="DM51" s="49" t="str">
        <f>IF($T51="",TEXT('Feuille Saisie'!$B$4,"aaaa"),TEXT($T51,"aaaa"))</f>
        <v>2019</v>
      </c>
      <c r="DN51" s="49">
        <f t="shared" si="44"/>
        <v>0</v>
      </c>
      <c r="DO51" s="49">
        <f t="shared" si="45"/>
        <v>0</v>
      </c>
      <c r="EA51" s="49" t="str">
        <f>IFERROR(VLOOKUP($C51,Données!$C$19:'Données'!$I$48,3,0),"")</f>
        <v/>
      </c>
      <c r="EB51" s="49" t="str">
        <f t="shared" si="46"/>
        <v xml:space="preserve"> </v>
      </c>
      <c r="EC51" s="49" t="str">
        <f t="shared" si="47"/>
        <v xml:space="preserve"> </v>
      </c>
      <c r="ED51" s="49" t="str">
        <f t="shared" si="48"/>
        <v xml:space="preserve"> </v>
      </c>
      <c r="EE51" s="49" t="str">
        <f t="shared" si="49"/>
        <v xml:space="preserve"> </v>
      </c>
      <c r="EF51" s="49">
        <f t="shared" si="50"/>
        <v>0</v>
      </c>
      <c r="FA51" s="54" t="str">
        <f>IF($C51="","",IFERROR(IF(ISNA(VLOOKUP($C51,'Bilan final GPA HN'!$C$29:'Bilan final GPA HN'!$X$43,22,0)), ,VLOOKUP($C51,'Bilan final GPA HN'!$C$29:'Bilan final GPA HN'!$X$43,22,0)),"/"))</f>
        <v/>
      </c>
      <c r="FB51" s="54" t="str">
        <f>IF($C51="","",IFERROR(IF(ISNA(VLOOKUP($C51,'Bilan final GPA HR'!$C$29:'Bilan final GPA HR'!$X$43,22,0)), ,VLOOKUP($C51,'Bilan final GPA HR'!$C$29:'Bilan final GPA HR'!$X$43,22,0)),"/"))</f>
        <v/>
      </c>
      <c r="FC51" s="54" t="str">
        <f>IF($C51="","",IFERROR(IF(ISNA(VLOOKUP($C51,'Bilan final GPA OF'!$C$29:'Bilan final GPA OF'!$X$43,22,0)), ,VLOOKUP($C51,'Bilan final GPA OF'!$C$29:'Bilan final GPA OF'!$X$43,22,0)),"/"))</f>
        <v/>
      </c>
      <c r="FD51" s="54" t="str">
        <f>IF($C51="","",IFERROR(IF(ISNA(VLOOKUP($C51,'Bilan final GPA IE'!$C$29:'Bilan final GPA IE'!$X$43,22,0)), ,VLOOKUP($C51,'Bilan final GPA IE'!$C$29:'Bilan final GPA IE'!$X$43,22,0)),"/"))</f>
        <v/>
      </c>
      <c r="FE51" s="115">
        <f t="shared" si="53"/>
        <v>0</v>
      </c>
      <c r="FF51" s="116" t="s">
        <v>97</v>
      </c>
      <c r="FG51" s="117" t="str">
        <f t="shared" si="52"/>
        <v/>
      </c>
    </row>
    <row r="52" spans="1:163" ht="50.1" customHeight="1" x14ac:dyDescent="0.3">
      <c r="A52" s="1"/>
      <c r="B52" s="1"/>
      <c r="C52" s="15"/>
      <c r="D52" s="41">
        <f>IF(IF(ISNA(('Feuille Saisie'!$B$4-VLOOKUP($C52,Données!$C$19:'Données'!$I$48,4,0)))/365.24*100, ,('Feuille Saisie'!$B$4-VLOOKUP($C52,Données!$C$19:'Données'!$I$48,4,0))/365.24*100)&lt;100,IF(ISNA(('Feuille Saisie'!$B$4-VLOOKUP($C52,Données!$C$19:'Données'!$I$48,4,0)))/365.24*100, ,('Feuille Saisie'!$B$4-VLOOKUP($C52,Données!$C$19:'Données'!$I$48,4,0))/365.24*100),100)</f>
        <v>0</v>
      </c>
      <c r="E52" s="19"/>
      <c r="F52" s="42" t="str">
        <f>IF(ISNA(IF(AND($E52=0,VLOOKUP($C52,Données!$C$19:'Données'!$I$48,6,0)&lt;&gt;""),"0,00",IFERROR(IF(ISNA($E52/VLOOKUP($C52,Données!$C$19:'Données'!$I$48,6,0)), ,$E52/VLOOKUP($C52,Données!$C$19:'Données'!$I$48,6,0)),"/"))),"",IF(AND($E52=0,VLOOKUP($C52,Données!$C$19:'Données'!$I$48,6,0)&lt;&gt;""),"0,00",IFERROR(IF(ISNA($E52/VLOOKUP($C52,Données!$C$19:'Données'!$I$48,6,0)), ,$E52/VLOOKUP($C52,Données!$C$19:'Données'!$I$48,6,0)),"/")))</f>
        <v/>
      </c>
      <c r="G52" s="42" t="str">
        <f>IF(ISNA(IF(AND($E52=0,VLOOKUP($C52,Données!$C$19:'Données'!$I$48,7,0)&lt;&gt;""),"0,00",IFERROR(IF(ISNA($E52/VLOOKUP($C52,Données!$C$19:'Données'!$I$48,7,0)*100),,$E52/VLOOKUP($C52,Données!$C$19:'Données'!$I$48,7,0)*100),"/"))),"",IF(AND($E52=0,VLOOKUP($C52,Données!$C$19:'Données'!$I$48,7,0)&lt;&gt;""),"0,00",IFERROR(IF(ISNA($E52/VLOOKUP($C52,Données!$C$19:'Données'!$I$48,7,0)*100),,$E52/VLOOKUP($C52,Données!$C$19:'Données'!$I$48,7,0)*100),"/")))</f>
        <v/>
      </c>
      <c r="H52" s="33"/>
      <c r="I52" s="43" t="str">
        <f>IF($C52&lt;&gt;"",IF($E52=0,"/",IF(ISNA($H52-VLOOKUP($C52,Données!$C$19:'Données'!$I$48,4,0)), ,$H52-VLOOKUP($C52,Données!$C$19:'Données'!$I$48,4,0))),"")</f>
        <v/>
      </c>
      <c r="J52" s="33"/>
      <c r="K52" s="43" t="str">
        <f>IF($C52&lt;&gt;"",IF(ISNA($J52-VLOOKUP($C52,Données!$C$19:'Données'!$I$48,4,0)), ,$J52-VLOOKUP($C52,Données!$C$19:'Données'!$I$48,4,0)),"")</f>
        <v/>
      </c>
      <c r="L52" s="32"/>
      <c r="M52" s="19"/>
      <c r="N52" s="31"/>
      <c r="O52" s="95"/>
      <c r="P52" s="95"/>
      <c r="Q52" s="33"/>
      <c r="R52" s="43" t="str">
        <f>IF($C52&lt;&gt;"",IF($D52&lt;&gt;100,"/",IF(ISNA($Q52-VLOOKUP($C52,Données!$C$19:'Données'!$I$48,4,0)), ,$Q52-VLOOKUP($C52,Données!$C$19:'Données'!$I$48,4,0))),"")</f>
        <v/>
      </c>
      <c r="S52" s="16"/>
      <c r="T52" s="33"/>
      <c r="U52" s="43" t="str">
        <f>IF($C52&lt;&gt;"",IF($J52="","/",IF(ISNA($T52-VLOOKUP($C52,Données!$C$19:'Données'!$I$48,4,0)), ,$T52-VLOOKUP($C52,Données!$C$19:'Données'!$I$48,4,0))),"")</f>
        <v/>
      </c>
      <c r="V52" s="1"/>
      <c r="W52" s="1"/>
      <c r="X52" s="49"/>
      <c r="Y52" s="46" t="str">
        <f t="shared" si="0"/>
        <v/>
      </c>
      <c r="Z52" s="47" t="s">
        <v>39</v>
      </c>
      <c r="AA52" s="46" t="str">
        <f t="shared" si="1"/>
        <v/>
      </c>
      <c r="AB52" s="48" t="s">
        <v>40</v>
      </c>
      <c r="AC52" s="49">
        <f t="shared" si="2"/>
        <v>1</v>
      </c>
      <c r="AD52" s="49">
        <f t="shared" si="3"/>
        <v>1</v>
      </c>
      <c r="AE52" s="49">
        <f t="shared" si="4"/>
        <v>1</v>
      </c>
      <c r="AF52" s="49">
        <f t="shared" si="5"/>
        <v>1</v>
      </c>
      <c r="AG52" s="50">
        <f t="shared" si="6"/>
        <v>0</v>
      </c>
      <c r="AH52" s="54" t="str">
        <f>IF($C52="","",IFERROR(IF(ISNA(VLOOKUP($C52,Données!$C$19:'Données'!$I$48,6,0)), ,VLOOKUP($C52,Données!$C$19:'Données'!$I$48,6,0)),"/"))</f>
        <v/>
      </c>
      <c r="AI52" s="54" t="str">
        <f>IF($C52="","",IFERROR(IF(ISNA(VLOOKUP($C52,Données!$C$19:'Données'!$I$48,7,0)), ,VLOOKUP($C52,Données!$C$19:'Données'!$I$48,7,0)),"/"))</f>
        <v/>
      </c>
      <c r="AJ52" s="54" t="str">
        <f t="shared" si="7"/>
        <v/>
      </c>
      <c r="AK52" s="54">
        <f t="shared" si="8"/>
        <v>0</v>
      </c>
      <c r="AL52" s="54">
        <f t="shared" si="9"/>
        <v>0</v>
      </c>
      <c r="AM52" s="49" t="str">
        <f t="shared" si="10"/>
        <v/>
      </c>
      <c r="AN52" s="49">
        <f t="shared" si="11"/>
        <v>0</v>
      </c>
      <c r="AO52" s="49" t="str">
        <f t="shared" si="12"/>
        <v/>
      </c>
      <c r="AP52" s="54" t="str">
        <f t="shared" si="13"/>
        <v/>
      </c>
      <c r="AQ52" s="49">
        <f t="shared" si="14"/>
        <v>0</v>
      </c>
      <c r="AR52" s="69">
        <f t="shared" si="15"/>
        <v>0</v>
      </c>
      <c r="AS52" s="49">
        <f t="shared" si="16"/>
        <v>0</v>
      </c>
      <c r="AT52" s="49" t="str">
        <f>IFERROR(VLOOKUP($C52,Données!$C$19:'Données'!$I$48,3,0),"")</f>
        <v/>
      </c>
      <c r="AU52" s="49">
        <f t="shared" si="17"/>
        <v>0</v>
      </c>
      <c r="AV52" s="49">
        <f t="shared" si="18"/>
        <v>0</v>
      </c>
      <c r="AW52" s="49">
        <f t="shared" si="19"/>
        <v>0</v>
      </c>
      <c r="AX52" s="49">
        <f t="shared" si="20"/>
        <v>0</v>
      </c>
      <c r="AY52" s="49">
        <f t="shared" si="21"/>
        <v>0</v>
      </c>
      <c r="AZ52" s="49">
        <f t="shared" si="22"/>
        <v>0</v>
      </c>
      <c r="BA52" s="49">
        <f t="shared" si="23"/>
        <v>0</v>
      </c>
      <c r="BB52" s="49">
        <f t="shared" si="24"/>
        <v>0</v>
      </c>
      <c r="BC52" s="49">
        <f t="shared" si="25"/>
        <v>0</v>
      </c>
      <c r="BD52" s="49">
        <f t="shared" si="26"/>
        <v>0</v>
      </c>
      <c r="BE52" s="49">
        <f t="shared" si="27"/>
        <v>0</v>
      </c>
      <c r="BF52" s="49" t="str">
        <f>TEXT('Feuille Saisie'!$B$4,"aaaa")</f>
        <v>2019</v>
      </c>
      <c r="BG52" s="49" t="str">
        <f>IF($Q52="",TEXT('Feuille Saisie'!$B$4,"aaaa"),TEXT($Q52,"aaaa"))</f>
        <v>2019</v>
      </c>
      <c r="BH52" s="49">
        <f t="shared" si="28"/>
        <v>0</v>
      </c>
      <c r="BI52" s="49">
        <f t="shared" si="29"/>
        <v>1</v>
      </c>
      <c r="BJ52" s="49" t="str">
        <f t="shared" si="30"/>
        <v/>
      </c>
      <c r="BK52" s="49">
        <f t="shared" si="31"/>
        <v>0</v>
      </c>
      <c r="BL52" s="46" t="str">
        <f t="shared" si="32"/>
        <v/>
      </c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  <c r="CN52" s="49"/>
      <c r="CO52" s="49"/>
      <c r="CP52" s="49"/>
      <c r="CQ52" s="49"/>
      <c r="CR52" s="49"/>
      <c r="CS52" s="49"/>
      <c r="CT52" s="49"/>
      <c r="CU52" s="49"/>
      <c r="CV52" s="49"/>
      <c r="CW52" s="49"/>
      <c r="CX52" s="49"/>
      <c r="CY52" s="49" t="str">
        <f t="shared" si="33"/>
        <v/>
      </c>
      <c r="CZ52" s="49">
        <f t="shared" si="34"/>
        <v>0</v>
      </c>
      <c r="DA52" s="49" t="str">
        <f t="shared" si="35"/>
        <v/>
      </c>
      <c r="DB52" s="54">
        <f t="shared" si="36"/>
        <v>0</v>
      </c>
      <c r="DC52" s="49" t="str">
        <f>TEXT('Feuille Saisie'!$B$4,"aaaa")</f>
        <v>2019</v>
      </c>
      <c r="DD52" s="49" t="str">
        <f>IF($J52="",TEXT('Feuille Saisie'!$B$4,"aaaa"),TEXT($J52,"aaaa"))</f>
        <v>2019</v>
      </c>
      <c r="DE52" s="49">
        <f t="shared" si="37"/>
        <v>0</v>
      </c>
      <c r="DF52" s="49">
        <f t="shared" si="38"/>
        <v>0</v>
      </c>
      <c r="DG52" s="97" t="str">
        <f>TEXT(IFERROR(VLOOKUP($C52,Données!$C$19:'Données'!$I$48,4,0),""),"aaaa")</f>
        <v/>
      </c>
      <c r="DH52" s="49">
        <f t="shared" si="39"/>
        <v>0</v>
      </c>
      <c r="DI52" s="49">
        <f t="shared" si="40"/>
        <v>1</v>
      </c>
      <c r="DJ52" s="49">
        <f t="shared" si="41"/>
        <v>0</v>
      </c>
      <c r="DK52" s="49">
        <f t="shared" si="42"/>
        <v>0</v>
      </c>
      <c r="DL52" s="49">
        <f t="shared" si="43"/>
        <v>0</v>
      </c>
      <c r="DM52" s="49" t="str">
        <f>IF($T52="",TEXT('Feuille Saisie'!$B$4,"aaaa"),TEXT($T52,"aaaa"))</f>
        <v>2019</v>
      </c>
      <c r="DN52" s="49">
        <f t="shared" si="44"/>
        <v>0</v>
      </c>
      <c r="DO52" s="49">
        <f t="shared" si="45"/>
        <v>0</v>
      </c>
      <c r="EA52" s="49" t="str">
        <f>IFERROR(VLOOKUP($C52,Données!$C$19:'Données'!$I$48,3,0),"")</f>
        <v/>
      </c>
      <c r="EB52" s="49" t="str">
        <f t="shared" si="46"/>
        <v xml:space="preserve"> </v>
      </c>
      <c r="EC52" s="49" t="str">
        <f t="shared" si="47"/>
        <v xml:space="preserve"> </v>
      </c>
      <c r="ED52" s="49" t="str">
        <f t="shared" si="48"/>
        <v xml:space="preserve"> </v>
      </c>
      <c r="EE52" s="49" t="str">
        <f t="shared" si="49"/>
        <v xml:space="preserve"> </v>
      </c>
      <c r="EF52" s="49">
        <f t="shared" si="50"/>
        <v>0</v>
      </c>
      <c r="FA52" s="54" t="str">
        <f>IF($C52="","",IFERROR(IF(ISNA(VLOOKUP($C52,'Bilan final GPA HN'!$C$29:'Bilan final GPA HN'!$X$43,22,0)), ,VLOOKUP($C52,'Bilan final GPA HN'!$C$29:'Bilan final GPA HN'!$X$43,22,0)),"/"))</f>
        <v/>
      </c>
      <c r="FB52" s="54" t="str">
        <f>IF($C52="","",IFERROR(IF(ISNA(VLOOKUP($C52,'Bilan final GPA HR'!$C$29:'Bilan final GPA HR'!$X$43,22,0)), ,VLOOKUP($C52,'Bilan final GPA HR'!$C$29:'Bilan final GPA HR'!$X$43,22,0)),"/"))</f>
        <v/>
      </c>
      <c r="FC52" s="54" t="str">
        <f>IF($C52="","",IFERROR(IF(ISNA(VLOOKUP($C52,'Bilan final GPA OF'!$C$29:'Bilan final GPA OF'!$X$43,22,0)), ,VLOOKUP($C52,'Bilan final GPA OF'!$C$29:'Bilan final GPA OF'!$X$43,22,0)),"/"))</f>
        <v/>
      </c>
      <c r="FD52" s="54" t="str">
        <f>IF($C52="","",IFERROR(IF(ISNA(VLOOKUP($C52,'Bilan final GPA IE'!$C$29:'Bilan final GPA IE'!$X$43,22,0)), ,VLOOKUP($C52,'Bilan final GPA IE'!$C$29:'Bilan final GPA IE'!$X$43,22,0)),"/"))</f>
        <v/>
      </c>
      <c r="FE52" s="115">
        <f t="shared" si="53"/>
        <v>0</v>
      </c>
      <c r="FF52" s="116" t="s">
        <v>97</v>
      </c>
      <c r="FG52" s="117" t="str">
        <f t="shared" si="52"/>
        <v/>
      </c>
    </row>
    <row r="53" spans="1:163" ht="50.1" customHeight="1" x14ac:dyDescent="0.3">
      <c r="A53" s="1"/>
      <c r="B53" s="1"/>
      <c r="C53" s="15"/>
      <c r="D53" s="41">
        <f>IF(IF(ISNA(('Feuille Saisie'!$B$4-VLOOKUP($C53,Données!$C$19:'Données'!$I$48,4,0)))/365.24*100, ,('Feuille Saisie'!$B$4-VLOOKUP($C53,Données!$C$19:'Données'!$I$48,4,0))/365.24*100)&lt;100,IF(ISNA(('Feuille Saisie'!$B$4-VLOOKUP($C53,Données!$C$19:'Données'!$I$48,4,0)))/365.24*100, ,('Feuille Saisie'!$B$4-VLOOKUP($C53,Données!$C$19:'Données'!$I$48,4,0))/365.24*100),100)</f>
        <v>0</v>
      </c>
      <c r="E53" s="19"/>
      <c r="F53" s="42" t="str">
        <f>IF(ISNA(IF(AND($E53=0,VLOOKUP($C53,Données!$C$19:'Données'!$I$48,6,0)&lt;&gt;""),"0,00",IFERROR(IF(ISNA($E53/VLOOKUP($C53,Données!$C$19:'Données'!$I$48,6,0)), ,$E53/VLOOKUP($C53,Données!$C$19:'Données'!$I$48,6,0)),"/"))),"",IF(AND($E53=0,VLOOKUP($C53,Données!$C$19:'Données'!$I$48,6,0)&lt;&gt;""),"0,00",IFERROR(IF(ISNA($E53/VLOOKUP($C53,Données!$C$19:'Données'!$I$48,6,0)), ,$E53/VLOOKUP($C53,Données!$C$19:'Données'!$I$48,6,0)),"/")))</f>
        <v/>
      </c>
      <c r="G53" s="42" t="str">
        <f>IF(ISNA(IF(AND($E53=0,VLOOKUP($C53,Données!$C$19:'Données'!$I$48,7,0)&lt;&gt;""),"0,00",IFERROR(IF(ISNA($E53/VLOOKUP($C53,Données!$C$19:'Données'!$I$48,7,0)*100),,$E53/VLOOKUP($C53,Données!$C$19:'Données'!$I$48,7,0)*100),"/"))),"",IF(AND($E53=0,VLOOKUP($C53,Données!$C$19:'Données'!$I$48,7,0)&lt;&gt;""),"0,00",IFERROR(IF(ISNA($E53/VLOOKUP($C53,Données!$C$19:'Données'!$I$48,7,0)*100),,$E53/VLOOKUP($C53,Données!$C$19:'Données'!$I$48,7,0)*100),"/")))</f>
        <v/>
      </c>
      <c r="H53" s="33"/>
      <c r="I53" s="43" t="str">
        <f>IF($C53&lt;&gt;"",IF($E53=0,"/",IF(ISNA($H53-VLOOKUP($C53,Données!$C$19:'Données'!$I$48,4,0)), ,$H53-VLOOKUP($C53,Données!$C$19:'Données'!$I$48,4,0))),"")</f>
        <v/>
      </c>
      <c r="J53" s="33">
        <v>43498</v>
      </c>
      <c r="K53" s="43" t="str">
        <f>IF($C53&lt;&gt;"",IF(ISNA($J53-VLOOKUP($C53,Données!$C$19:'Données'!$I$48,4,0)), ,$J53-VLOOKUP($C53,Données!$C$19:'Données'!$I$48,4,0)),"")</f>
        <v/>
      </c>
      <c r="L53" s="32"/>
      <c r="M53" s="19"/>
      <c r="N53" s="31"/>
      <c r="O53" s="95"/>
      <c r="P53" s="95"/>
      <c r="Q53" s="33"/>
      <c r="R53" s="43" t="str">
        <f>IF($C53&lt;&gt;"",IF($D53&lt;&gt;100,"/",IF(ISNA($Q53-VLOOKUP($C53,Données!$C$19:'Données'!$I$48,4,0)), ,$Q53-VLOOKUP($C53,Données!$C$19:'Données'!$I$48,4,0))),"")</f>
        <v/>
      </c>
      <c r="S53" s="16"/>
      <c r="T53" s="33"/>
      <c r="U53" s="43" t="str">
        <f>IF($C53&lt;&gt;"",IF($J53="","/",IF(ISNA($T53-VLOOKUP($C53,Données!$C$19:'Données'!$I$48,4,0)), ,$T53-VLOOKUP($C53,Données!$C$19:'Données'!$I$48,4,0))),"")</f>
        <v/>
      </c>
      <c r="V53" s="1"/>
      <c r="W53" s="1"/>
      <c r="X53" s="49"/>
      <c r="Y53" s="46" t="str">
        <f t="shared" si="0"/>
        <v/>
      </c>
      <c r="Z53" s="47" t="s">
        <v>39</v>
      </c>
      <c r="AA53" s="46" t="str">
        <f t="shared" si="1"/>
        <v/>
      </c>
      <c r="AB53" s="48" t="s">
        <v>40</v>
      </c>
      <c r="AC53" s="49">
        <f t="shared" si="2"/>
        <v>1</v>
      </c>
      <c r="AD53" s="49">
        <f t="shared" si="3"/>
        <v>1</v>
      </c>
      <c r="AE53" s="49">
        <f t="shared" si="4"/>
        <v>2</v>
      </c>
      <c r="AF53" s="49">
        <f t="shared" si="5"/>
        <v>1</v>
      </c>
      <c r="AG53" s="50">
        <f t="shared" si="6"/>
        <v>-43498</v>
      </c>
      <c r="AH53" s="54" t="str">
        <f>IF($C53="","",IFERROR(IF(ISNA(VLOOKUP($C53,Données!$C$19:'Données'!$I$48,6,0)), ,VLOOKUP($C53,Données!$C$19:'Données'!$I$48,6,0)),"/"))</f>
        <v/>
      </c>
      <c r="AI53" s="54" t="str">
        <f>IF($C53="","",IFERROR(IF(ISNA(VLOOKUP($C53,Données!$C$19:'Données'!$I$48,7,0)), ,VLOOKUP($C53,Données!$C$19:'Données'!$I$48,7,0)),"/"))</f>
        <v/>
      </c>
      <c r="AJ53" s="54" t="str">
        <f t="shared" si="7"/>
        <v/>
      </c>
      <c r="AK53" s="54">
        <f t="shared" si="8"/>
        <v>1</v>
      </c>
      <c r="AL53" s="54">
        <f t="shared" si="9"/>
        <v>0</v>
      </c>
      <c r="AM53" s="49" t="str">
        <f t="shared" si="10"/>
        <v/>
      </c>
      <c r="AN53" s="49">
        <f t="shared" si="11"/>
        <v>0</v>
      </c>
      <c r="AO53" s="49" t="str">
        <f t="shared" si="12"/>
        <v/>
      </c>
      <c r="AP53" s="54" t="str">
        <f t="shared" si="13"/>
        <v/>
      </c>
      <c r="AQ53" s="49">
        <f t="shared" si="14"/>
        <v>0</v>
      </c>
      <c r="AR53" s="69">
        <f t="shared" si="15"/>
        <v>0</v>
      </c>
      <c r="AS53" s="49">
        <f t="shared" si="16"/>
        <v>0</v>
      </c>
      <c r="AT53" s="49" t="str">
        <f>IFERROR(VLOOKUP($C53,Données!$C$19:'Données'!$I$48,3,0),"")</f>
        <v/>
      </c>
      <c r="AU53" s="49">
        <f t="shared" si="17"/>
        <v>0</v>
      </c>
      <c r="AV53" s="49">
        <f t="shared" si="18"/>
        <v>0</v>
      </c>
      <c r="AW53" s="49">
        <f t="shared" si="19"/>
        <v>1</v>
      </c>
      <c r="AX53" s="49" t="str">
        <f t="shared" si="20"/>
        <v/>
      </c>
      <c r="AY53" s="49">
        <f t="shared" si="21"/>
        <v>0</v>
      </c>
      <c r="AZ53" s="49">
        <f t="shared" si="22"/>
        <v>0</v>
      </c>
      <c r="BA53" s="49">
        <f t="shared" si="23"/>
        <v>0</v>
      </c>
      <c r="BB53" s="49">
        <f t="shared" si="24"/>
        <v>0</v>
      </c>
      <c r="BC53" s="49">
        <f t="shared" si="25"/>
        <v>0</v>
      </c>
      <c r="BD53" s="49">
        <f t="shared" si="26"/>
        <v>0</v>
      </c>
      <c r="BE53" s="49">
        <f t="shared" si="27"/>
        <v>0</v>
      </c>
      <c r="BF53" s="49" t="str">
        <f>TEXT('Feuille Saisie'!$B$4,"aaaa")</f>
        <v>2019</v>
      </c>
      <c r="BG53" s="49" t="str">
        <f>IF($Q53="",TEXT('Feuille Saisie'!$B$4,"aaaa"),TEXT($Q53,"aaaa"))</f>
        <v>2019</v>
      </c>
      <c r="BH53" s="49">
        <f t="shared" si="28"/>
        <v>0</v>
      </c>
      <c r="BI53" s="49">
        <f t="shared" si="29"/>
        <v>1</v>
      </c>
      <c r="BJ53" s="49" t="str">
        <f t="shared" si="30"/>
        <v/>
      </c>
      <c r="BK53" s="49">
        <f t="shared" si="31"/>
        <v>0</v>
      </c>
      <c r="BL53" s="46" t="str">
        <f t="shared" si="32"/>
        <v/>
      </c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49"/>
      <c r="CX53" s="49"/>
      <c r="CY53" s="49" t="str">
        <f t="shared" si="33"/>
        <v/>
      </c>
      <c r="CZ53" s="49">
        <f t="shared" si="34"/>
        <v>0</v>
      </c>
      <c r="DA53" s="49" t="str">
        <f t="shared" si="35"/>
        <v/>
      </c>
      <c r="DB53" s="54">
        <f t="shared" si="36"/>
        <v>0</v>
      </c>
      <c r="DC53" s="49" t="str">
        <f>TEXT('Feuille Saisie'!$B$4,"aaaa")</f>
        <v>2019</v>
      </c>
      <c r="DD53" s="49" t="str">
        <f>IF($J53="",TEXT('Feuille Saisie'!$B$4,"aaaa"),TEXT($J53,"aaaa"))</f>
        <v>2019</v>
      </c>
      <c r="DE53" s="49">
        <f t="shared" si="37"/>
        <v>1</v>
      </c>
      <c r="DF53" s="49">
        <f t="shared" si="38"/>
        <v>1</v>
      </c>
      <c r="DG53" s="97" t="str">
        <f>TEXT(IFERROR(VLOOKUP($C53,Données!$C$19:'Données'!$I$48,4,0),""),"aaaa")</f>
        <v/>
      </c>
      <c r="DH53" s="49">
        <f t="shared" si="39"/>
        <v>0</v>
      </c>
      <c r="DI53" s="49">
        <f t="shared" si="40"/>
        <v>1</v>
      </c>
      <c r="DJ53" s="49">
        <f t="shared" si="41"/>
        <v>0</v>
      </c>
      <c r="DK53" s="49" t="str">
        <f t="shared" si="42"/>
        <v/>
      </c>
      <c r="DL53" s="49">
        <f t="shared" si="43"/>
        <v>0</v>
      </c>
      <c r="DM53" s="49" t="str">
        <f>IF($T53="",TEXT('Feuille Saisie'!$B$4,"aaaa"),TEXT($T53,"aaaa"))</f>
        <v>2019</v>
      </c>
      <c r="DN53" s="49">
        <f t="shared" si="44"/>
        <v>0</v>
      </c>
      <c r="DO53" s="49">
        <f t="shared" si="45"/>
        <v>0</v>
      </c>
      <c r="EA53" s="49" t="str">
        <f>IFERROR(VLOOKUP($C53,Données!$C$19:'Données'!$I$48,3,0),"")</f>
        <v/>
      </c>
      <c r="EB53" s="49" t="str">
        <f t="shared" si="46"/>
        <v xml:space="preserve"> </v>
      </c>
      <c r="EC53" s="49" t="str">
        <f t="shared" si="47"/>
        <v xml:space="preserve"> </v>
      </c>
      <c r="ED53" s="49" t="str">
        <f t="shared" si="48"/>
        <v xml:space="preserve"> </v>
      </c>
      <c r="EE53" s="49" t="str">
        <f t="shared" si="49"/>
        <v xml:space="preserve"> </v>
      </c>
      <c r="EF53" s="49">
        <f t="shared" si="50"/>
        <v>0</v>
      </c>
      <c r="FA53" s="54" t="str">
        <f>IF($C53="","",IFERROR(IF(ISNA(VLOOKUP($C53,'Bilan final GPA HN'!$C$29:'Bilan final GPA HN'!$X$43,22,0)), ,VLOOKUP($C53,'Bilan final GPA HN'!$C$29:'Bilan final GPA HN'!$X$43,22,0)),"/"))</f>
        <v/>
      </c>
      <c r="FB53" s="54" t="str">
        <f>IF($C53="","",IFERROR(IF(ISNA(VLOOKUP($C53,'Bilan final GPA HR'!$C$29:'Bilan final GPA HR'!$X$43,22,0)), ,VLOOKUP($C53,'Bilan final GPA HR'!$C$29:'Bilan final GPA HR'!$X$43,22,0)),"/"))</f>
        <v/>
      </c>
      <c r="FC53" s="54" t="str">
        <f>IF($C53="","",IFERROR(IF(ISNA(VLOOKUP($C53,'Bilan final GPA OF'!$C$29:'Bilan final GPA OF'!$X$43,22,0)), ,VLOOKUP($C53,'Bilan final GPA OF'!$C$29:'Bilan final GPA OF'!$X$43,22,0)),"/"))</f>
        <v/>
      </c>
      <c r="FD53" s="54" t="str">
        <f>IF($C53="","",IFERROR(IF(ISNA(VLOOKUP($C53,'Bilan final GPA IE'!$C$29:'Bilan final GPA IE'!$X$43,22,0)), ,VLOOKUP($C53,'Bilan final GPA IE'!$C$29:'Bilan final GPA IE'!$X$43,22,0)),"/"))</f>
        <v/>
      </c>
      <c r="FE53" s="115">
        <f t="shared" ref="FE53:FE58" si="54">SUM(FA53:FD53)</f>
        <v>0</v>
      </c>
      <c r="FF53" s="116" t="s">
        <v>97</v>
      </c>
      <c r="FG53" s="117" t="str">
        <f t="shared" si="52"/>
        <v/>
      </c>
    </row>
    <row r="54" spans="1:163" ht="50.1" customHeight="1" x14ac:dyDescent="0.3">
      <c r="A54" s="1"/>
      <c r="B54" s="1"/>
      <c r="C54" s="15"/>
      <c r="D54" s="41">
        <f>IF(IF(ISNA(('Feuille Saisie'!$B$4-VLOOKUP($C54,Données!$C$19:'Données'!$I$48,4,0)))/365.24*100, ,('Feuille Saisie'!$B$4-VLOOKUP($C54,Données!$C$19:'Données'!$I$48,4,0))/365.24*100)&lt;100,IF(ISNA(('Feuille Saisie'!$B$4-VLOOKUP($C54,Données!$C$19:'Données'!$I$48,4,0)))/365.24*100, ,('Feuille Saisie'!$B$4-VLOOKUP($C54,Données!$C$19:'Données'!$I$48,4,0))/365.24*100),100)</f>
        <v>0</v>
      </c>
      <c r="E54" s="19"/>
      <c r="F54" s="42" t="str">
        <f>IF(ISNA(IF(AND($E54=0,VLOOKUP($C54,Données!$C$19:'Données'!$I$48,6,0)&lt;&gt;""),"0,00",IFERROR(IF(ISNA($E54/VLOOKUP($C54,Données!$C$19:'Données'!$I$48,6,0)), ,$E54/VLOOKUP($C54,Données!$C$19:'Données'!$I$48,6,0)),"/"))),"",IF(AND($E54=0,VLOOKUP($C54,Données!$C$19:'Données'!$I$48,6,0)&lt;&gt;""),"0,00",IFERROR(IF(ISNA($E54/VLOOKUP($C54,Données!$C$19:'Données'!$I$48,6,0)), ,$E54/VLOOKUP($C54,Données!$C$19:'Données'!$I$48,6,0)),"/")))</f>
        <v/>
      </c>
      <c r="G54" s="42" t="str">
        <f>IF(ISNA(IF(AND($E54=0,VLOOKUP($C54,Données!$C$19:'Données'!$I$48,7,0)&lt;&gt;""),"0,00",IFERROR(IF(ISNA($E54/VLOOKUP($C54,Données!$C$19:'Données'!$I$48,7,0)*100),,$E54/VLOOKUP($C54,Données!$C$19:'Données'!$I$48,7,0)*100),"/"))),"",IF(AND($E54=0,VLOOKUP($C54,Données!$C$19:'Données'!$I$48,7,0)&lt;&gt;""),"0,00",IFERROR(IF(ISNA($E54/VLOOKUP($C54,Données!$C$19:'Données'!$I$48,7,0)*100),,$E54/VLOOKUP($C54,Données!$C$19:'Données'!$I$48,7,0)*100),"/")))</f>
        <v/>
      </c>
      <c r="H54" s="33"/>
      <c r="I54" s="43" t="str">
        <f>IF($C54&lt;&gt;"",IF($E54=0,"/",IF(ISNA($H54-VLOOKUP($C54,Données!$C$19:'Données'!$I$48,4,0)), ,$H54-VLOOKUP($C54,Données!$C$19:'Données'!$I$48,4,0))),"")</f>
        <v/>
      </c>
      <c r="J54" s="33"/>
      <c r="K54" s="43" t="str">
        <f>IF($C54&lt;&gt;"",IF(ISNA($J54-VLOOKUP($C54,Données!$C$19:'Données'!$I$48,4,0)), ,$J54-VLOOKUP($C54,Données!$C$19:'Données'!$I$48,4,0)),"")</f>
        <v/>
      </c>
      <c r="L54" s="32"/>
      <c r="M54" s="19"/>
      <c r="N54" s="31"/>
      <c r="O54" s="95"/>
      <c r="P54" s="95"/>
      <c r="Q54" s="33"/>
      <c r="R54" s="43" t="str">
        <f>IF($C54&lt;&gt;"",IF($D54&lt;&gt;100,"/",IF(ISNA($Q54-VLOOKUP($C54,Données!$C$19:'Données'!$I$48,4,0)), ,$Q54-VLOOKUP($C54,Données!$C$19:'Données'!$I$48,4,0))),"")</f>
        <v/>
      </c>
      <c r="S54" s="16"/>
      <c r="T54" s="33"/>
      <c r="U54" s="43" t="str">
        <f>IF($C54&lt;&gt;"",IF($J54="","/",IF(ISNA($T54-VLOOKUP($C54,Données!$C$19:'Données'!$I$48,4,0)), ,$T54-VLOOKUP($C54,Données!$C$19:'Données'!$I$48,4,0))),"")</f>
        <v/>
      </c>
      <c r="V54" s="1"/>
      <c r="W54" s="1"/>
      <c r="X54" s="49"/>
      <c r="Y54" s="46" t="str">
        <f t="shared" si="0"/>
        <v/>
      </c>
      <c r="Z54" s="47" t="s">
        <v>39</v>
      </c>
      <c r="AA54" s="46" t="str">
        <f t="shared" si="1"/>
        <v/>
      </c>
      <c r="AB54" s="48" t="s">
        <v>40</v>
      </c>
      <c r="AC54" s="49">
        <f t="shared" si="2"/>
        <v>1</v>
      </c>
      <c r="AD54" s="49">
        <f t="shared" si="3"/>
        <v>1</v>
      </c>
      <c r="AE54" s="49">
        <f t="shared" si="4"/>
        <v>1</v>
      </c>
      <c r="AF54" s="49">
        <f t="shared" si="5"/>
        <v>1</v>
      </c>
      <c r="AG54" s="50">
        <f t="shared" si="6"/>
        <v>0</v>
      </c>
      <c r="AH54" s="54" t="str">
        <f>IF($C54="","",IFERROR(IF(ISNA(VLOOKUP($C54,Données!$C$19:'Données'!$I$48,6,0)), ,VLOOKUP($C54,Données!$C$19:'Données'!$I$48,6,0)),"/"))</f>
        <v/>
      </c>
      <c r="AI54" s="54" t="str">
        <f>IF($C54="","",IFERROR(IF(ISNA(VLOOKUP($C54,Données!$C$19:'Données'!$I$48,7,0)), ,VLOOKUP($C54,Données!$C$19:'Données'!$I$48,7,0)),"/"))</f>
        <v/>
      </c>
      <c r="AJ54" s="54" t="str">
        <f t="shared" si="7"/>
        <v/>
      </c>
      <c r="AK54" s="54">
        <f t="shared" si="8"/>
        <v>0</v>
      </c>
      <c r="AL54" s="54">
        <f t="shared" si="9"/>
        <v>0</v>
      </c>
      <c r="AM54" s="49" t="str">
        <f t="shared" si="10"/>
        <v/>
      </c>
      <c r="AN54" s="49">
        <f t="shared" si="11"/>
        <v>0</v>
      </c>
      <c r="AO54" s="49" t="str">
        <f t="shared" si="12"/>
        <v/>
      </c>
      <c r="AP54" s="54" t="str">
        <f t="shared" si="13"/>
        <v/>
      </c>
      <c r="AQ54" s="49">
        <f t="shared" si="14"/>
        <v>0</v>
      </c>
      <c r="AR54" s="69">
        <f t="shared" si="15"/>
        <v>0</v>
      </c>
      <c r="AS54" s="49">
        <f t="shared" si="16"/>
        <v>0</v>
      </c>
      <c r="AT54" s="49" t="str">
        <f>IFERROR(VLOOKUP($C54,Données!$C$19:'Données'!$I$48,3,0),"")</f>
        <v/>
      </c>
      <c r="AU54" s="49">
        <f t="shared" si="17"/>
        <v>0</v>
      </c>
      <c r="AV54" s="49">
        <f t="shared" si="18"/>
        <v>0</v>
      </c>
      <c r="AW54" s="49">
        <f t="shared" si="19"/>
        <v>0</v>
      </c>
      <c r="AX54" s="49">
        <f t="shared" si="20"/>
        <v>0</v>
      </c>
      <c r="AY54" s="49">
        <f t="shared" si="21"/>
        <v>0</v>
      </c>
      <c r="AZ54" s="49">
        <f t="shared" si="22"/>
        <v>0</v>
      </c>
      <c r="BA54" s="49">
        <f t="shared" si="23"/>
        <v>0</v>
      </c>
      <c r="BB54" s="49">
        <f t="shared" si="24"/>
        <v>0</v>
      </c>
      <c r="BC54" s="49">
        <f t="shared" si="25"/>
        <v>0</v>
      </c>
      <c r="BD54" s="49">
        <f t="shared" si="26"/>
        <v>0</v>
      </c>
      <c r="BE54" s="49">
        <f t="shared" si="27"/>
        <v>0</v>
      </c>
      <c r="BF54" s="49" t="str">
        <f>TEXT('Feuille Saisie'!$B$4,"aaaa")</f>
        <v>2019</v>
      </c>
      <c r="BG54" s="49" t="str">
        <f>IF($Q54="",TEXT('Feuille Saisie'!$B$4,"aaaa"),TEXT($Q54,"aaaa"))</f>
        <v>2019</v>
      </c>
      <c r="BH54" s="49">
        <f t="shared" si="28"/>
        <v>0</v>
      </c>
      <c r="BI54" s="49">
        <f t="shared" si="29"/>
        <v>1</v>
      </c>
      <c r="BJ54" s="49" t="str">
        <f t="shared" si="30"/>
        <v/>
      </c>
      <c r="BK54" s="49">
        <f t="shared" si="31"/>
        <v>0</v>
      </c>
      <c r="BL54" s="46" t="str">
        <f t="shared" si="32"/>
        <v/>
      </c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49" t="str">
        <f t="shared" si="33"/>
        <v/>
      </c>
      <c r="CZ54" s="49">
        <f t="shared" si="34"/>
        <v>0</v>
      </c>
      <c r="DA54" s="49" t="str">
        <f t="shared" si="35"/>
        <v/>
      </c>
      <c r="DB54" s="54">
        <f t="shared" si="36"/>
        <v>0</v>
      </c>
      <c r="DC54" s="49" t="str">
        <f>TEXT('Feuille Saisie'!$B$4,"aaaa")</f>
        <v>2019</v>
      </c>
      <c r="DD54" s="49" t="str">
        <f>IF($J54="",TEXT('Feuille Saisie'!$B$4,"aaaa"),TEXT($J54,"aaaa"))</f>
        <v>2019</v>
      </c>
      <c r="DE54" s="49">
        <f t="shared" si="37"/>
        <v>0</v>
      </c>
      <c r="DF54" s="49">
        <f t="shared" si="38"/>
        <v>0</v>
      </c>
      <c r="DG54" s="97" t="str">
        <f>TEXT(IFERROR(VLOOKUP($C54,Données!$C$19:'Données'!$I$48,4,0),""),"aaaa")</f>
        <v/>
      </c>
      <c r="DH54" s="49">
        <f t="shared" si="39"/>
        <v>0</v>
      </c>
      <c r="DI54" s="49">
        <f t="shared" si="40"/>
        <v>1</v>
      </c>
      <c r="DJ54" s="49">
        <f t="shared" si="41"/>
        <v>0</v>
      </c>
      <c r="DK54" s="49">
        <f t="shared" si="42"/>
        <v>0</v>
      </c>
      <c r="DL54" s="49">
        <f t="shared" si="43"/>
        <v>0</v>
      </c>
      <c r="DM54" s="49" t="str">
        <f>IF($T54="",TEXT('Feuille Saisie'!$B$4,"aaaa"),TEXT($T54,"aaaa"))</f>
        <v>2019</v>
      </c>
      <c r="DN54" s="49">
        <f t="shared" si="44"/>
        <v>0</v>
      </c>
      <c r="DO54" s="49">
        <f t="shared" si="45"/>
        <v>0</v>
      </c>
      <c r="EA54" s="49" t="str">
        <f>IFERROR(VLOOKUP($C54,Données!$C$19:'Données'!$I$48,3,0),"")</f>
        <v/>
      </c>
      <c r="EB54" s="49" t="str">
        <f t="shared" si="46"/>
        <v xml:space="preserve"> </v>
      </c>
      <c r="EC54" s="49" t="str">
        <f t="shared" si="47"/>
        <v xml:space="preserve"> </v>
      </c>
      <c r="ED54" s="49" t="str">
        <f t="shared" si="48"/>
        <v xml:space="preserve"> </v>
      </c>
      <c r="EE54" s="49" t="str">
        <f t="shared" si="49"/>
        <v xml:space="preserve"> </v>
      </c>
      <c r="EF54" s="49">
        <f t="shared" si="50"/>
        <v>0</v>
      </c>
      <c r="FA54" s="54" t="str">
        <f>IF($C54="","",IFERROR(IF(ISNA(VLOOKUP($C54,'Bilan final GPA HN'!$C$29:'Bilan final GPA HN'!$X$43,22,0)), ,VLOOKUP($C54,'Bilan final GPA HN'!$C$29:'Bilan final GPA HN'!$X$43,22,0)),"/"))</f>
        <v/>
      </c>
      <c r="FB54" s="54" t="str">
        <f>IF($C54="","",IFERROR(IF(ISNA(VLOOKUP($C54,'Bilan final GPA HR'!$C$29:'Bilan final GPA HR'!$X$43,22,0)), ,VLOOKUP($C54,'Bilan final GPA HR'!$C$29:'Bilan final GPA HR'!$X$43,22,0)),"/"))</f>
        <v/>
      </c>
      <c r="FC54" s="54" t="str">
        <f>IF($C54="","",IFERROR(IF(ISNA(VLOOKUP($C54,'Bilan final GPA OF'!$C$29:'Bilan final GPA OF'!$X$43,22,0)), ,VLOOKUP($C54,'Bilan final GPA OF'!$C$29:'Bilan final GPA OF'!$X$43,22,0)),"/"))</f>
        <v/>
      </c>
      <c r="FD54" s="54" t="str">
        <f>IF($C54="","",IFERROR(IF(ISNA(VLOOKUP($C54,'Bilan final GPA IE'!$C$29:'Bilan final GPA IE'!$X$43,22,0)), ,VLOOKUP($C54,'Bilan final GPA IE'!$C$29:'Bilan final GPA IE'!$X$43,22,0)),"/"))</f>
        <v/>
      </c>
      <c r="FE54" s="115">
        <f t="shared" si="54"/>
        <v>0</v>
      </c>
      <c r="FF54" s="116" t="s">
        <v>97</v>
      </c>
      <c r="FG54" s="117" t="str">
        <f t="shared" si="52"/>
        <v/>
      </c>
    </row>
    <row r="55" spans="1:163" ht="50.1" customHeight="1" x14ac:dyDescent="0.3">
      <c r="A55" s="1"/>
      <c r="B55" s="1"/>
      <c r="C55" s="15"/>
      <c r="D55" s="41">
        <f>IF(IF(ISNA(('Feuille Saisie'!$B$4-VLOOKUP($C55,Données!$C$19:'Données'!$I$48,4,0)))/365.24*100, ,('Feuille Saisie'!$B$4-VLOOKUP($C55,Données!$C$19:'Données'!$I$48,4,0))/365.24*100)&lt;100,IF(ISNA(('Feuille Saisie'!$B$4-VLOOKUP($C55,Données!$C$19:'Données'!$I$48,4,0)))/365.24*100, ,('Feuille Saisie'!$B$4-VLOOKUP($C55,Données!$C$19:'Données'!$I$48,4,0))/365.24*100),100)</f>
        <v>0</v>
      </c>
      <c r="E55" s="19"/>
      <c r="F55" s="42" t="str">
        <f>IF(ISNA(IF(AND($E55=0,VLOOKUP($C55,Données!$C$19:'Données'!$I$48,6,0)&lt;&gt;""),"0,00",IFERROR(IF(ISNA($E55/VLOOKUP($C55,Données!$C$19:'Données'!$I$48,6,0)), ,$E55/VLOOKUP($C55,Données!$C$19:'Données'!$I$48,6,0)),"/"))),"",IF(AND($E55=0,VLOOKUP($C55,Données!$C$19:'Données'!$I$48,6,0)&lt;&gt;""),"0,00",IFERROR(IF(ISNA($E55/VLOOKUP($C55,Données!$C$19:'Données'!$I$48,6,0)), ,$E55/VLOOKUP($C55,Données!$C$19:'Données'!$I$48,6,0)),"/")))</f>
        <v/>
      </c>
      <c r="G55" s="42" t="str">
        <f>IF(ISNA(IF(AND($E55=0,VLOOKUP($C55,Données!$C$19:'Données'!$I$48,7,0)&lt;&gt;""),"0,00",IFERROR(IF(ISNA($E55/VLOOKUP($C55,Données!$C$19:'Données'!$I$48,7,0)*100),,$E55/VLOOKUP($C55,Données!$C$19:'Données'!$I$48,7,0)*100),"/"))),"",IF(AND($E55=0,VLOOKUP($C55,Données!$C$19:'Données'!$I$48,7,0)&lt;&gt;""),"0,00",IFERROR(IF(ISNA($E55/VLOOKUP($C55,Données!$C$19:'Données'!$I$48,7,0)*100),,$E55/VLOOKUP($C55,Données!$C$19:'Données'!$I$48,7,0)*100),"/")))</f>
        <v/>
      </c>
      <c r="H55" s="33"/>
      <c r="I55" s="43" t="str">
        <f>IF($C55&lt;&gt;"",IF($E55=0,"/",IF(ISNA($H55-VLOOKUP($C55,Données!$C$19:'Données'!$I$48,4,0)), ,$H55-VLOOKUP($C55,Données!$C$19:'Données'!$I$48,4,0))),"")</f>
        <v/>
      </c>
      <c r="J55" s="33"/>
      <c r="K55" s="43" t="str">
        <f>IF($C55&lt;&gt;"",IF(ISNA($J55-VLOOKUP($C55,Données!$C$19:'Données'!$I$48,4,0)), ,$J55-VLOOKUP($C55,Données!$C$19:'Données'!$I$48,4,0)),"")</f>
        <v/>
      </c>
      <c r="L55" s="32"/>
      <c r="M55" s="19"/>
      <c r="N55" s="31"/>
      <c r="O55" s="95"/>
      <c r="P55" s="95"/>
      <c r="Q55" s="33"/>
      <c r="R55" s="43" t="str">
        <f>IF($C55&lt;&gt;"",IF($D55&lt;&gt;100,"/",IF(ISNA($Q55-VLOOKUP($C55,Données!$C$19:'Données'!$I$48,4,0)), ,$Q55-VLOOKUP($C55,Données!$C$19:'Données'!$I$48,4,0))),"")</f>
        <v/>
      </c>
      <c r="S55" s="16"/>
      <c r="T55" s="33"/>
      <c r="U55" s="43" t="str">
        <f>IF($C55&lt;&gt;"",IF($J55="","/",IF(ISNA($T55-VLOOKUP($C55,Données!$C$19:'Données'!$I$48,4,0)), ,$T55-VLOOKUP($C55,Données!$C$19:'Données'!$I$48,4,0))),"")</f>
        <v/>
      </c>
      <c r="V55" s="1"/>
      <c r="W55" s="1"/>
      <c r="X55" s="49"/>
      <c r="Y55" s="46" t="str">
        <f t="shared" si="0"/>
        <v/>
      </c>
      <c r="Z55" s="47" t="s">
        <v>39</v>
      </c>
      <c r="AA55" s="46" t="str">
        <f t="shared" si="1"/>
        <v/>
      </c>
      <c r="AB55" s="48" t="s">
        <v>40</v>
      </c>
      <c r="AC55" s="49">
        <f t="shared" si="2"/>
        <v>1</v>
      </c>
      <c r="AD55" s="49">
        <f t="shared" si="3"/>
        <v>1</v>
      </c>
      <c r="AE55" s="49">
        <f t="shared" si="4"/>
        <v>1</v>
      </c>
      <c r="AF55" s="49">
        <f t="shared" si="5"/>
        <v>1</v>
      </c>
      <c r="AG55" s="50">
        <f t="shared" si="6"/>
        <v>0</v>
      </c>
      <c r="AH55" s="54" t="str">
        <f>IF($C55="","",IFERROR(IF(ISNA(VLOOKUP($C55,Données!$C$19:'Données'!$I$48,6,0)), ,VLOOKUP($C55,Données!$C$19:'Données'!$I$48,6,0)),"/"))</f>
        <v/>
      </c>
      <c r="AI55" s="54" t="str">
        <f>IF($C55="","",IFERROR(IF(ISNA(VLOOKUP($C55,Données!$C$19:'Données'!$I$48,7,0)), ,VLOOKUP($C55,Données!$C$19:'Données'!$I$48,7,0)),"/"))</f>
        <v/>
      </c>
      <c r="AJ55" s="54" t="str">
        <f t="shared" si="7"/>
        <v/>
      </c>
      <c r="AK55" s="54">
        <f t="shared" si="8"/>
        <v>0</v>
      </c>
      <c r="AL55" s="54">
        <f t="shared" si="9"/>
        <v>0</v>
      </c>
      <c r="AM55" s="49" t="str">
        <f t="shared" si="10"/>
        <v/>
      </c>
      <c r="AN55" s="49">
        <f t="shared" si="11"/>
        <v>0</v>
      </c>
      <c r="AO55" s="49" t="str">
        <f t="shared" si="12"/>
        <v/>
      </c>
      <c r="AP55" s="54" t="str">
        <f t="shared" si="13"/>
        <v/>
      </c>
      <c r="AQ55" s="49">
        <f t="shared" si="14"/>
        <v>0</v>
      </c>
      <c r="AR55" s="69">
        <f t="shared" si="15"/>
        <v>0</v>
      </c>
      <c r="AS55" s="49">
        <f t="shared" si="16"/>
        <v>0</v>
      </c>
      <c r="AT55" s="49" t="str">
        <f>IFERROR(VLOOKUP($C55,Données!$C$19:'Données'!$I$48,3,0),"")</f>
        <v/>
      </c>
      <c r="AU55" s="49">
        <f t="shared" si="17"/>
        <v>0</v>
      </c>
      <c r="AV55" s="49">
        <f t="shared" si="18"/>
        <v>0</v>
      </c>
      <c r="AW55" s="49">
        <f t="shared" si="19"/>
        <v>0</v>
      </c>
      <c r="AX55" s="49">
        <f t="shared" si="20"/>
        <v>0</v>
      </c>
      <c r="AY55" s="49">
        <f t="shared" si="21"/>
        <v>0</v>
      </c>
      <c r="AZ55" s="49">
        <f t="shared" si="22"/>
        <v>0</v>
      </c>
      <c r="BA55" s="49">
        <f t="shared" si="23"/>
        <v>0</v>
      </c>
      <c r="BB55" s="49">
        <f t="shared" si="24"/>
        <v>0</v>
      </c>
      <c r="BC55" s="49">
        <f t="shared" si="25"/>
        <v>0</v>
      </c>
      <c r="BD55" s="49">
        <f t="shared" si="26"/>
        <v>0</v>
      </c>
      <c r="BE55" s="49">
        <f t="shared" si="27"/>
        <v>0</v>
      </c>
      <c r="BF55" s="49" t="str">
        <f>TEXT('Feuille Saisie'!$B$4,"aaaa")</f>
        <v>2019</v>
      </c>
      <c r="BG55" s="49" t="str">
        <f>IF($Q55="",TEXT('Feuille Saisie'!$B$4,"aaaa"),TEXT($Q55,"aaaa"))</f>
        <v>2019</v>
      </c>
      <c r="BH55" s="49">
        <f t="shared" si="28"/>
        <v>0</v>
      </c>
      <c r="BI55" s="49">
        <f t="shared" si="29"/>
        <v>1</v>
      </c>
      <c r="BJ55" s="49" t="str">
        <f t="shared" si="30"/>
        <v/>
      </c>
      <c r="BK55" s="49">
        <f t="shared" si="31"/>
        <v>0</v>
      </c>
      <c r="BL55" s="46" t="str">
        <f t="shared" si="32"/>
        <v/>
      </c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 t="str">
        <f t="shared" si="33"/>
        <v/>
      </c>
      <c r="CZ55" s="49">
        <f t="shared" si="34"/>
        <v>0</v>
      </c>
      <c r="DA55" s="49" t="str">
        <f t="shared" si="35"/>
        <v/>
      </c>
      <c r="DB55" s="54">
        <f t="shared" si="36"/>
        <v>0</v>
      </c>
      <c r="DC55" s="49" t="str">
        <f>TEXT('Feuille Saisie'!$B$4,"aaaa")</f>
        <v>2019</v>
      </c>
      <c r="DD55" s="49" t="str">
        <f>IF($J55="",TEXT('Feuille Saisie'!$B$4,"aaaa"),TEXT($J55,"aaaa"))</f>
        <v>2019</v>
      </c>
      <c r="DE55" s="49">
        <f t="shared" si="37"/>
        <v>0</v>
      </c>
      <c r="DF55" s="49">
        <f t="shared" si="38"/>
        <v>0</v>
      </c>
      <c r="DG55" s="97" t="str">
        <f>TEXT(IFERROR(VLOOKUP($C55,Données!$C$19:'Données'!$I$48,4,0),""),"aaaa")</f>
        <v/>
      </c>
      <c r="DH55" s="49">
        <f t="shared" si="39"/>
        <v>0</v>
      </c>
      <c r="DI55" s="49">
        <f t="shared" si="40"/>
        <v>1</v>
      </c>
      <c r="DJ55" s="49">
        <f t="shared" si="41"/>
        <v>0</v>
      </c>
      <c r="DK55" s="49">
        <f t="shared" si="42"/>
        <v>0</v>
      </c>
      <c r="DL55" s="49">
        <f t="shared" si="43"/>
        <v>0</v>
      </c>
      <c r="DM55" s="49" t="str">
        <f>IF($T55="",TEXT('Feuille Saisie'!$B$4,"aaaa"),TEXT($T55,"aaaa"))</f>
        <v>2019</v>
      </c>
      <c r="DN55" s="49">
        <f t="shared" si="44"/>
        <v>0</v>
      </c>
      <c r="DO55" s="49">
        <f t="shared" si="45"/>
        <v>0</v>
      </c>
      <c r="EA55" s="49" t="str">
        <f>IFERROR(VLOOKUP($C55,Données!$C$19:'Données'!$I$48,3,0),"")</f>
        <v/>
      </c>
      <c r="EB55" s="49" t="str">
        <f t="shared" si="46"/>
        <v xml:space="preserve"> </v>
      </c>
      <c r="EC55" s="49" t="str">
        <f t="shared" si="47"/>
        <v xml:space="preserve"> </v>
      </c>
      <c r="ED55" s="49" t="str">
        <f t="shared" si="48"/>
        <v xml:space="preserve"> </v>
      </c>
      <c r="EE55" s="49" t="str">
        <f t="shared" si="49"/>
        <v xml:space="preserve"> </v>
      </c>
      <c r="EF55" s="49">
        <f t="shared" si="50"/>
        <v>0</v>
      </c>
      <c r="FA55" s="54" t="str">
        <f>IF($C55="","",IFERROR(IF(ISNA(VLOOKUP($C55,'Bilan final GPA HN'!$C$29:'Bilan final GPA HN'!$X$43,22,0)), ,VLOOKUP($C55,'Bilan final GPA HN'!$C$29:'Bilan final GPA HN'!$X$43,22,0)),"/"))</f>
        <v/>
      </c>
      <c r="FB55" s="54" t="str">
        <f>IF($C55="","",IFERROR(IF(ISNA(VLOOKUP($C55,'Bilan final GPA HR'!$C$29:'Bilan final GPA HR'!$X$43,22,0)), ,VLOOKUP($C55,'Bilan final GPA HR'!$C$29:'Bilan final GPA HR'!$X$43,22,0)),"/"))</f>
        <v/>
      </c>
      <c r="FC55" s="54" t="str">
        <f>IF($C55="","",IFERROR(IF(ISNA(VLOOKUP($C55,'Bilan final GPA OF'!$C$29:'Bilan final GPA OF'!$X$43,22,0)), ,VLOOKUP($C55,'Bilan final GPA OF'!$C$29:'Bilan final GPA OF'!$X$43,22,0)),"/"))</f>
        <v/>
      </c>
      <c r="FD55" s="54" t="str">
        <f>IF($C55="","",IFERROR(IF(ISNA(VLOOKUP($C55,'Bilan final GPA IE'!$C$29:'Bilan final GPA IE'!$X$43,22,0)), ,VLOOKUP($C55,'Bilan final GPA IE'!$C$29:'Bilan final GPA IE'!$X$43,22,0)),"/"))</f>
        <v/>
      </c>
      <c r="FE55" s="115">
        <f t="shared" si="54"/>
        <v>0</v>
      </c>
      <c r="FF55" s="116" t="s">
        <v>97</v>
      </c>
      <c r="FG55" s="117" t="str">
        <f t="shared" si="52"/>
        <v/>
      </c>
    </row>
    <row r="56" spans="1:163" ht="50.1" customHeight="1" x14ac:dyDescent="0.3">
      <c r="A56" s="1"/>
      <c r="B56" s="1"/>
      <c r="C56" s="15"/>
      <c r="D56" s="41">
        <f>IF(IF(ISNA(('Feuille Saisie'!$B$4-VLOOKUP($C56,Données!$C$19:'Données'!$I$48,4,0)))/365.24*100, ,('Feuille Saisie'!$B$4-VLOOKUP($C56,Données!$C$19:'Données'!$I$48,4,0))/365.24*100)&lt;100,IF(ISNA(('Feuille Saisie'!$B$4-VLOOKUP($C56,Données!$C$19:'Données'!$I$48,4,0)))/365.24*100, ,('Feuille Saisie'!$B$4-VLOOKUP($C56,Données!$C$19:'Données'!$I$48,4,0))/365.24*100),100)</f>
        <v>0</v>
      </c>
      <c r="E56" s="19"/>
      <c r="F56" s="42" t="str">
        <f>IF(ISNA(IF(AND($E56=0,VLOOKUP($C56,Données!$C$19:'Données'!$I$48,6,0)&lt;&gt;""),"0,00",IFERROR(IF(ISNA($E56/VLOOKUP($C56,Données!$C$19:'Données'!$I$48,6,0)), ,$E56/VLOOKUP($C56,Données!$C$19:'Données'!$I$48,6,0)),"/"))),"",IF(AND($E56=0,VLOOKUP($C56,Données!$C$19:'Données'!$I$48,6,0)&lt;&gt;""),"0,00",IFERROR(IF(ISNA($E56/VLOOKUP($C56,Données!$C$19:'Données'!$I$48,6,0)), ,$E56/VLOOKUP($C56,Données!$C$19:'Données'!$I$48,6,0)),"/")))</f>
        <v/>
      </c>
      <c r="G56" s="42" t="str">
        <f>IF(ISNA(IF(AND($E56=0,VLOOKUP($C56,Données!$C$19:'Données'!$I$48,7,0)&lt;&gt;""),"0,00",IFERROR(IF(ISNA($E56/VLOOKUP($C56,Données!$C$19:'Données'!$I$48,7,0)*100),,$E56/VLOOKUP($C56,Données!$C$19:'Données'!$I$48,7,0)*100),"/"))),"",IF(AND($E56=0,VLOOKUP($C56,Données!$C$19:'Données'!$I$48,7,0)&lt;&gt;""),"0,00",IFERROR(IF(ISNA($E56/VLOOKUP($C56,Données!$C$19:'Données'!$I$48,7,0)*100),,$E56/VLOOKUP($C56,Données!$C$19:'Données'!$I$48,7,0)*100),"/")))</f>
        <v/>
      </c>
      <c r="H56" s="33"/>
      <c r="I56" s="43" t="str">
        <f>IF($C56&lt;&gt;"",IF($E56=0,"/",IF(ISNA($H56-VLOOKUP($C56,Données!$C$19:'Données'!$I$48,4,0)), ,$H56-VLOOKUP($C56,Données!$C$19:'Données'!$I$48,4,0))),"")</f>
        <v/>
      </c>
      <c r="J56" s="33"/>
      <c r="K56" s="43" t="str">
        <f>IF($C56&lt;&gt;"",IF(ISNA($J56-VLOOKUP($C56,Données!$C$19:'Données'!$I$48,4,0)), ,$J56-VLOOKUP($C56,Données!$C$19:'Données'!$I$48,4,0)),"")</f>
        <v/>
      </c>
      <c r="L56" s="32"/>
      <c r="M56" s="19"/>
      <c r="N56" s="31"/>
      <c r="O56" s="95"/>
      <c r="P56" s="95"/>
      <c r="Q56" s="33"/>
      <c r="R56" s="43" t="str">
        <f>IF($C56&lt;&gt;"",IF($D56&lt;&gt;100,"/",IF(ISNA($Q56-VLOOKUP($C56,Données!$C$19:'Données'!$I$48,4,0)), ,$Q56-VLOOKUP($C56,Données!$C$19:'Données'!$I$48,4,0))),"")</f>
        <v/>
      </c>
      <c r="S56" s="16"/>
      <c r="T56" s="33"/>
      <c r="U56" s="43" t="str">
        <f>IF($C56&lt;&gt;"",IF($J56="","/",IF(ISNA($T56-VLOOKUP($C56,Données!$C$19:'Données'!$I$48,4,0)), ,$T56-VLOOKUP($C56,Données!$C$19:'Données'!$I$48,4,0))),"")</f>
        <v/>
      </c>
      <c r="V56" s="1"/>
      <c r="W56" s="1"/>
      <c r="X56" s="49"/>
      <c r="Y56" s="46" t="str">
        <f t="shared" si="0"/>
        <v/>
      </c>
      <c r="Z56" s="47" t="s">
        <v>39</v>
      </c>
      <c r="AA56" s="46" t="str">
        <f t="shared" si="1"/>
        <v/>
      </c>
      <c r="AB56" s="48" t="s">
        <v>40</v>
      </c>
      <c r="AC56" s="49">
        <f t="shared" si="2"/>
        <v>1</v>
      </c>
      <c r="AD56" s="49">
        <f t="shared" si="3"/>
        <v>1</v>
      </c>
      <c r="AE56" s="49">
        <f t="shared" si="4"/>
        <v>1</v>
      </c>
      <c r="AF56" s="49">
        <f t="shared" si="5"/>
        <v>1</v>
      </c>
      <c r="AG56" s="50">
        <f t="shared" si="6"/>
        <v>0</v>
      </c>
      <c r="AH56" s="54" t="str">
        <f>IF($C56="","",IFERROR(IF(ISNA(VLOOKUP($C56,Données!$C$19:'Données'!$I$48,6,0)), ,VLOOKUP($C56,Données!$C$19:'Données'!$I$48,6,0)),"/"))</f>
        <v/>
      </c>
      <c r="AI56" s="54" t="str">
        <f>IF($C56="","",IFERROR(IF(ISNA(VLOOKUP($C56,Données!$C$19:'Données'!$I$48,7,0)), ,VLOOKUP($C56,Données!$C$19:'Données'!$I$48,7,0)),"/"))</f>
        <v/>
      </c>
      <c r="AJ56" s="54" t="str">
        <f t="shared" si="7"/>
        <v/>
      </c>
      <c r="AK56" s="54">
        <f t="shared" si="8"/>
        <v>0</v>
      </c>
      <c r="AL56" s="54">
        <f t="shared" si="9"/>
        <v>0</v>
      </c>
      <c r="AM56" s="49" t="str">
        <f t="shared" si="10"/>
        <v/>
      </c>
      <c r="AN56" s="49">
        <f t="shared" si="11"/>
        <v>0</v>
      </c>
      <c r="AO56" s="49" t="str">
        <f t="shared" si="12"/>
        <v/>
      </c>
      <c r="AP56" s="54" t="str">
        <f t="shared" si="13"/>
        <v/>
      </c>
      <c r="AQ56" s="49">
        <f t="shared" si="14"/>
        <v>0</v>
      </c>
      <c r="AR56" s="69">
        <f t="shared" si="15"/>
        <v>0</v>
      </c>
      <c r="AS56" s="49">
        <f t="shared" si="16"/>
        <v>0</v>
      </c>
      <c r="AT56" s="49" t="str">
        <f>IFERROR(VLOOKUP($C56,Données!$C$19:'Données'!$I$48,3,0),"")</f>
        <v/>
      </c>
      <c r="AU56" s="49">
        <f t="shared" si="17"/>
        <v>0</v>
      </c>
      <c r="AV56" s="49">
        <f t="shared" si="18"/>
        <v>0</v>
      </c>
      <c r="AW56" s="49">
        <f t="shared" si="19"/>
        <v>0</v>
      </c>
      <c r="AX56" s="49">
        <f t="shared" si="20"/>
        <v>0</v>
      </c>
      <c r="AY56" s="49">
        <f t="shared" si="21"/>
        <v>0</v>
      </c>
      <c r="AZ56" s="49">
        <f t="shared" si="22"/>
        <v>0</v>
      </c>
      <c r="BA56" s="49">
        <f t="shared" si="23"/>
        <v>0</v>
      </c>
      <c r="BB56" s="49">
        <f t="shared" si="24"/>
        <v>0</v>
      </c>
      <c r="BC56" s="49">
        <f t="shared" si="25"/>
        <v>0</v>
      </c>
      <c r="BD56" s="49">
        <f t="shared" si="26"/>
        <v>0</v>
      </c>
      <c r="BE56" s="49">
        <f t="shared" si="27"/>
        <v>0</v>
      </c>
      <c r="BF56" s="49" t="str">
        <f>TEXT('Feuille Saisie'!$B$4,"aaaa")</f>
        <v>2019</v>
      </c>
      <c r="BG56" s="49" t="str">
        <f>IF($Q56="",TEXT('Feuille Saisie'!$B$4,"aaaa"),TEXT($Q56,"aaaa"))</f>
        <v>2019</v>
      </c>
      <c r="BH56" s="49">
        <f t="shared" si="28"/>
        <v>0</v>
      </c>
      <c r="BI56" s="49">
        <f t="shared" si="29"/>
        <v>1</v>
      </c>
      <c r="BJ56" s="49" t="str">
        <f t="shared" si="30"/>
        <v/>
      </c>
      <c r="BK56" s="49">
        <f t="shared" si="31"/>
        <v>0</v>
      </c>
      <c r="BL56" s="46" t="str">
        <f t="shared" si="32"/>
        <v/>
      </c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  <c r="CJ56" s="49"/>
      <c r="CK56" s="49"/>
      <c r="CL56" s="49"/>
      <c r="CM56" s="49"/>
      <c r="CN56" s="49"/>
      <c r="CO56" s="49"/>
      <c r="CP56" s="49"/>
      <c r="CQ56" s="49"/>
      <c r="CR56" s="49"/>
      <c r="CS56" s="49"/>
      <c r="CT56" s="49"/>
      <c r="CU56" s="49"/>
      <c r="CV56" s="49"/>
      <c r="CW56" s="49"/>
      <c r="CX56" s="49"/>
      <c r="CY56" s="49" t="str">
        <f t="shared" si="33"/>
        <v/>
      </c>
      <c r="CZ56" s="49">
        <f t="shared" si="34"/>
        <v>0</v>
      </c>
      <c r="DA56" s="49" t="str">
        <f t="shared" si="35"/>
        <v/>
      </c>
      <c r="DB56" s="54">
        <f t="shared" si="36"/>
        <v>0</v>
      </c>
      <c r="DC56" s="49" t="str">
        <f>TEXT('Feuille Saisie'!$B$4,"aaaa")</f>
        <v>2019</v>
      </c>
      <c r="DD56" s="49" t="str">
        <f>IF($J56="",TEXT('Feuille Saisie'!$B$4,"aaaa"),TEXT($J56,"aaaa"))</f>
        <v>2019</v>
      </c>
      <c r="DE56" s="49">
        <f t="shared" si="37"/>
        <v>0</v>
      </c>
      <c r="DF56" s="49">
        <f t="shared" si="38"/>
        <v>0</v>
      </c>
      <c r="DG56" s="97" t="str">
        <f>TEXT(IFERROR(VLOOKUP($C56,Données!$C$19:'Données'!$I$48,4,0),""),"aaaa")</f>
        <v/>
      </c>
      <c r="DH56" s="49">
        <f t="shared" si="39"/>
        <v>0</v>
      </c>
      <c r="DI56" s="49">
        <f t="shared" si="40"/>
        <v>1</v>
      </c>
      <c r="DJ56" s="49">
        <f t="shared" si="41"/>
        <v>0</v>
      </c>
      <c r="DK56" s="49">
        <f t="shared" si="42"/>
        <v>0</v>
      </c>
      <c r="DL56" s="49">
        <f t="shared" si="43"/>
        <v>0</v>
      </c>
      <c r="DM56" s="49" t="str">
        <f>IF($T56="",TEXT('Feuille Saisie'!$B$4,"aaaa"),TEXT($T56,"aaaa"))</f>
        <v>2019</v>
      </c>
      <c r="DN56" s="49">
        <f t="shared" si="44"/>
        <v>0</v>
      </c>
      <c r="DO56" s="49">
        <f t="shared" si="45"/>
        <v>0</v>
      </c>
      <c r="EA56" s="49" t="str">
        <f>IFERROR(VLOOKUP($C56,Données!$C$19:'Données'!$I$48,3,0),"")</f>
        <v/>
      </c>
      <c r="EB56" s="49" t="str">
        <f t="shared" si="46"/>
        <v xml:space="preserve"> </v>
      </c>
      <c r="EC56" s="49" t="str">
        <f t="shared" si="47"/>
        <v xml:space="preserve"> </v>
      </c>
      <c r="ED56" s="49" t="str">
        <f t="shared" si="48"/>
        <v xml:space="preserve"> </v>
      </c>
      <c r="EE56" s="49" t="str">
        <f t="shared" si="49"/>
        <v xml:space="preserve"> </v>
      </c>
      <c r="EF56" s="49">
        <f t="shared" si="50"/>
        <v>0</v>
      </c>
      <c r="FA56" s="54" t="str">
        <f>IF($C56="","",IFERROR(IF(ISNA(VLOOKUP($C56,'Bilan final GPA HN'!$C$29:'Bilan final GPA HN'!$X$43,22,0)), ,VLOOKUP($C56,'Bilan final GPA HN'!$C$29:'Bilan final GPA HN'!$X$43,22,0)),"/"))</f>
        <v/>
      </c>
      <c r="FB56" s="54" t="str">
        <f>IF($C56="","",IFERROR(IF(ISNA(VLOOKUP($C56,'Bilan final GPA HR'!$C$29:'Bilan final GPA HR'!$X$43,22,0)), ,VLOOKUP($C56,'Bilan final GPA HR'!$C$29:'Bilan final GPA HR'!$X$43,22,0)),"/"))</f>
        <v/>
      </c>
      <c r="FC56" s="54" t="str">
        <f>IF($C56="","",IFERROR(IF(ISNA(VLOOKUP($C56,'Bilan final GPA OF'!$C$29:'Bilan final GPA OF'!$X$43,22,0)), ,VLOOKUP($C56,'Bilan final GPA OF'!$C$29:'Bilan final GPA OF'!$X$43,22,0)),"/"))</f>
        <v/>
      </c>
      <c r="FD56" s="54" t="str">
        <f>IF($C56="","",IFERROR(IF(ISNA(VLOOKUP($C56,'Bilan final GPA IE'!$C$29:'Bilan final GPA IE'!$X$43,22,0)), ,VLOOKUP($C56,'Bilan final GPA IE'!$C$29:'Bilan final GPA IE'!$X$43,22,0)),"/"))</f>
        <v/>
      </c>
      <c r="FE56" s="115">
        <f t="shared" si="54"/>
        <v>0</v>
      </c>
      <c r="FF56" s="116" t="s">
        <v>97</v>
      </c>
      <c r="FG56" s="117" t="str">
        <f t="shared" si="52"/>
        <v/>
      </c>
    </row>
    <row r="57" spans="1:163" ht="50.1" customHeight="1" x14ac:dyDescent="0.3">
      <c r="A57" s="1"/>
      <c r="B57" s="1"/>
      <c r="C57" s="15"/>
      <c r="D57" s="41">
        <f>IF(IF(ISNA(('Feuille Saisie'!$B$4-VLOOKUP($C57,Données!$C$19:'Données'!$I$48,4,0)))/365.24*100, ,('Feuille Saisie'!$B$4-VLOOKUP($C57,Données!$C$19:'Données'!$I$48,4,0))/365.24*100)&lt;100,IF(ISNA(('Feuille Saisie'!$B$4-VLOOKUP($C57,Données!$C$19:'Données'!$I$48,4,0)))/365.24*100, ,('Feuille Saisie'!$B$4-VLOOKUP($C57,Données!$C$19:'Données'!$I$48,4,0))/365.24*100),100)</f>
        <v>0</v>
      </c>
      <c r="E57" s="19"/>
      <c r="F57" s="42" t="str">
        <f>IF(ISNA(IF(AND($E57=0,VLOOKUP($C57,Données!$C$19:'Données'!$I$48,6,0)&lt;&gt;""),"0,00",IFERROR(IF(ISNA($E57/VLOOKUP($C57,Données!$C$19:'Données'!$I$48,6,0)), ,$E57/VLOOKUP($C57,Données!$C$19:'Données'!$I$48,6,0)),"/"))),"",IF(AND($E57=0,VLOOKUP($C57,Données!$C$19:'Données'!$I$48,6,0)&lt;&gt;""),"0,00",IFERROR(IF(ISNA($E57/VLOOKUP($C57,Données!$C$19:'Données'!$I$48,6,0)), ,$E57/VLOOKUP($C57,Données!$C$19:'Données'!$I$48,6,0)),"/")))</f>
        <v/>
      </c>
      <c r="G57" s="42" t="str">
        <f>IF(ISNA(IF(AND($E57=0,VLOOKUP($C57,Données!$C$19:'Données'!$I$48,7,0)&lt;&gt;""),"0,00",IFERROR(IF(ISNA($E57/VLOOKUP($C57,Données!$C$19:'Données'!$I$48,7,0)*100),,$E57/VLOOKUP($C57,Données!$C$19:'Données'!$I$48,7,0)*100),"/"))),"",IF(AND($E57=0,VLOOKUP($C57,Données!$C$19:'Données'!$I$48,7,0)&lt;&gt;""),"0,00",IFERROR(IF(ISNA($E57/VLOOKUP($C57,Données!$C$19:'Données'!$I$48,7,0)*100),,$E57/VLOOKUP($C57,Données!$C$19:'Données'!$I$48,7,0)*100),"/")))</f>
        <v/>
      </c>
      <c r="H57" s="33"/>
      <c r="I57" s="43" t="str">
        <f>IF($C57&lt;&gt;"",IF($E57=0,"/",IF(ISNA($H57-VLOOKUP($C57,Données!$C$19:'Données'!$I$48,4,0)), ,$H57-VLOOKUP($C57,Données!$C$19:'Données'!$I$48,4,0))),"")</f>
        <v/>
      </c>
      <c r="J57" s="33"/>
      <c r="K57" s="43" t="str">
        <f>IF($C57&lt;&gt;"",IF(ISNA($J57-VLOOKUP($C57,Données!$C$19:'Données'!$I$48,4,0)), ,$J57-VLOOKUP($C57,Données!$C$19:'Données'!$I$48,4,0)),"")</f>
        <v/>
      </c>
      <c r="L57" s="32"/>
      <c r="M57" s="19"/>
      <c r="N57" s="31"/>
      <c r="O57" s="95"/>
      <c r="P57" s="95"/>
      <c r="Q57" s="33"/>
      <c r="R57" s="43" t="str">
        <f>IF($C57&lt;&gt;"",IF($D57&lt;&gt;100,"/",IF(ISNA($Q57-VLOOKUP($C57,Données!$C$19:'Données'!$I$48,4,0)), ,$Q57-VLOOKUP($C57,Données!$C$19:'Données'!$I$48,4,0))),"")</f>
        <v/>
      </c>
      <c r="S57" s="16"/>
      <c r="T57" s="33"/>
      <c r="U57" s="43" t="str">
        <f>IF($C57&lt;&gt;"",IF($J57="","/",IF(ISNA($T57-VLOOKUP($C57,Données!$C$19:'Données'!$I$48,4,0)), ,$T57-VLOOKUP($C57,Données!$C$19:'Données'!$I$48,4,0))),"")</f>
        <v/>
      </c>
      <c r="V57" s="1"/>
      <c r="W57" s="1"/>
      <c r="X57" s="49"/>
      <c r="Y57" s="46" t="str">
        <f t="shared" si="0"/>
        <v/>
      </c>
      <c r="Z57" s="47" t="s">
        <v>39</v>
      </c>
      <c r="AA57" s="46" t="str">
        <f t="shared" si="1"/>
        <v/>
      </c>
      <c r="AB57" s="48" t="s">
        <v>40</v>
      </c>
      <c r="AC57" s="49">
        <f t="shared" si="2"/>
        <v>1</v>
      </c>
      <c r="AD57" s="49">
        <f t="shared" si="3"/>
        <v>1</v>
      </c>
      <c r="AE57" s="49">
        <f t="shared" si="4"/>
        <v>1</v>
      </c>
      <c r="AF57" s="49">
        <f t="shared" si="5"/>
        <v>1</v>
      </c>
      <c r="AG57" s="50">
        <f t="shared" si="6"/>
        <v>0</v>
      </c>
      <c r="AH57" s="54" t="str">
        <f>IF($C57="","",IFERROR(IF(ISNA(VLOOKUP($C57,Données!$C$19:'Données'!$I$48,6,0)), ,VLOOKUP($C57,Données!$C$19:'Données'!$I$48,6,0)),"/"))</f>
        <v/>
      </c>
      <c r="AI57" s="54" t="str">
        <f>IF($C57="","",IFERROR(IF(ISNA(VLOOKUP($C57,Données!$C$19:'Données'!$I$48,7,0)), ,VLOOKUP($C57,Données!$C$19:'Données'!$I$48,7,0)),"/"))</f>
        <v/>
      </c>
      <c r="AJ57" s="54" t="str">
        <f t="shared" si="7"/>
        <v/>
      </c>
      <c r="AK57" s="54">
        <f t="shared" si="8"/>
        <v>0</v>
      </c>
      <c r="AL57" s="54">
        <f t="shared" si="9"/>
        <v>0</v>
      </c>
      <c r="AM57" s="49" t="str">
        <f t="shared" si="10"/>
        <v/>
      </c>
      <c r="AN57" s="49">
        <f t="shared" si="11"/>
        <v>0</v>
      </c>
      <c r="AO57" s="49" t="str">
        <f t="shared" si="12"/>
        <v/>
      </c>
      <c r="AP57" s="54" t="str">
        <f t="shared" si="13"/>
        <v/>
      </c>
      <c r="AQ57" s="49">
        <f t="shared" si="14"/>
        <v>0</v>
      </c>
      <c r="AR57" s="69">
        <f t="shared" si="15"/>
        <v>0</v>
      </c>
      <c r="AS57" s="49">
        <f t="shared" si="16"/>
        <v>0</v>
      </c>
      <c r="AT57" s="49" t="str">
        <f>IFERROR(VLOOKUP($C57,Données!$C$19:'Données'!$I$48,3,0),"")</f>
        <v/>
      </c>
      <c r="AU57" s="49">
        <f t="shared" si="17"/>
        <v>0</v>
      </c>
      <c r="AV57" s="49">
        <f t="shared" si="18"/>
        <v>0</v>
      </c>
      <c r="AW57" s="49">
        <f t="shared" si="19"/>
        <v>0</v>
      </c>
      <c r="AX57" s="49">
        <f t="shared" si="20"/>
        <v>0</v>
      </c>
      <c r="AY57" s="49">
        <f t="shared" si="21"/>
        <v>0</v>
      </c>
      <c r="AZ57" s="49">
        <f t="shared" si="22"/>
        <v>0</v>
      </c>
      <c r="BA57" s="49">
        <f t="shared" si="23"/>
        <v>0</v>
      </c>
      <c r="BB57" s="49">
        <f t="shared" si="24"/>
        <v>0</v>
      </c>
      <c r="BC57" s="49">
        <f t="shared" si="25"/>
        <v>0</v>
      </c>
      <c r="BD57" s="49">
        <f t="shared" si="26"/>
        <v>0</v>
      </c>
      <c r="BE57" s="49">
        <f t="shared" si="27"/>
        <v>0</v>
      </c>
      <c r="BF57" s="49" t="str">
        <f>TEXT('Feuille Saisie'!$B$4,"aaaa")</f>
        <v>2019</v>
      </c>
      <c r="BG57" s="49" t="str">
        <f>IF($Q57="",TEXT('Feuille Saisie'!$B$4,"aaaa"),TEXT($Q57,"aaaa"))</f>
        <v>2019</v>
      </c>
      <c r="BH57" s="49">
        <f t="shared" si="28"/>
        <v>0</v>
      </c>
      <c r="BI57" s="49">
        <f t="shared" si="29"/>
        <v>1</v>
      </c>
      <c r="BJ57" s="49" t="str">
        <f t="shared" si="30"/>
        <v/>
      </c>
      <c r="BK57" s="49">
        <f t="shared" si="31"/>
        <v>0</v>
      </c>
      <c r="BL57" s="46" t="str">
        <f t="shared" si="32"/>
        <v/>
      </c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  <c r="CV57" s="49"/>
      <c r="CW57" s="49"/>
      <c r="CX57" s="49"/>
      <c r="CY57" s="49" t="str">
        <f t="shared" si="33"/>
        <v/>
      </c>
      <c r="CZ57" s="49">
        <f t="shared" si="34"/>
        <v>0</v>
      </c>
      <c r="DA57" s="49" t="str">
        <f t="shared" si="35"/>
        <v/>
      </c>
      <c r="DB57" s="54">
        <f t="shared" si="36"/>
        <v>0</v>
      </c>
      <c r="DC57" s="49" t="str">
        <f>TEXT('Feuille Saisie'!$B$4,"aaaa")</f>
        <v>2019</v>
      </c>
      <c r="DD57" s="49" t="str">
        <f>IF($J57="",TEXT('Feuille Saisie'!$B$4,"aaaa"),TEXT($J57,"aaaa"))</f>
        <v>2019</v>
      </c>
      <c r="DE57" s="49">
        <f t="shared" si="37"/>
        <v>0</v>
      </c>
      <c r="DF57" s="49">
        <f t="shared" si="38"/>
        <v>0</v>
      </c>
      <c r="DG57" s="97" t="str">
        <f>TEXT(IFERROR(VLOOKUP($C57,Données!$C$19:'Données'!$I$48,4,0),""),"aaaa")</f>
        <v/>
      </c>
      <c r="DH57" s="49">
        <f t="shared" si="39"/>
        <v>0</v>
      </c>
      <c r="DI57" s="49">
        <f t="shared" si="40"/>
        <v>1</v>
      </c>
      <c r="DJ57" s="49">
        <f t="shared" si="41"/>
        <v>0</v>
      </c>
      <c r="DK57" s="49">
        <f t="shared" si="42"/>
        <v>0</v>
      </c>
      <c r="DL57" s="49">
        <f t="shared" si="43"/>
        <v>0</v>
      </c>
      <c r="DM57" s="49" t="str">
        <f>IF($T57="",TEXT('Feuille Saisie'!$B$4,"aaaa"),TEXT($T57,"aaaa"))</f>
        <v>2019</v>
      </c>
      <c r="DN57" s="49">
        <f t="shared" si="44"/>
        <v>0</v>
      </c>
      <c r="DO57" s="49">
        <f t="shared" si="45"/>
        <v>0</v>
      </c>
      <c r="EA57" s="49" t="str">
        <f>IFERROR(VLOOKUP($C57,Données!$C$19:'Données'!$I$48,3,0),"")</f>
        <v/>
      </c>
      <c r="EB57" s="49" t="str">
        <f t="shared" si="46"/>
        <v xml:space="preserve"> </v>
      </c>
      <c r="EC57" s="49" t="str">
        <f t="shared" si="47"/>
        <v xml:space="preserve"> </v>
      </c>
      <c r="ED57" s="49" t="str">
        <f t="shared" si="48"/>
        <v xml:space="preserve"> </v>
      </c>
      <c r="EE57" s="49" t="str">
        <f t="shared" si="49"/>
        <v xml:space="preserve"> </v>
      </c>
      <c r="EF57" s="49">
        <f t="shared" si="50"/>
        <v>0</v>
      </c>
      <c r="FA57" s="54" t="str">
        <f>IF($C57="","",IFERROR(IF(ISNA(VLOOKUP($C57,'Bilan final GPA HN'!$C$29:'Bilan final GPA HN'!$X$43,22,0)), ,VLOOKUP($C57,'Bilan final GPA HN'!$C$29:'Bilan final GPA HN'!$X$43,22,0)),"/"))</f>
        <v/>
      </c>
      <c r="FB57" s="54" t="str">
        <f>IF($C57="","",IFERROR(IF(ISNA(VLOOKUP($C57,'Bilan final GPA HR'!$C$29:'Bilan final GPA HR'!$X$43,22,0)), ,VLOOKUP($C57,'Bilan final GPA HR'!$C$29:'Bilan final GPA HR'!$X$43,22,0)),"/"))</f>
        <v/>
      </c>
      <c r="FC57" s="54" t="str">
        <f>IF($C57="","",IFERROR(IF(ISNA(VLOOKUP($C57,'Bilan final GPA OF'!$C$29:'Bilan final GPA OF'!$X$43,22,0)), ,VLOOKUP($C57,'Bilan final GPA OF'!$C$29:'Bilan final GPA OF'!$X$43,22,0)),"/"))</f>
        <v/>
      </c>
      <c r="FD57" s="54" t="str">
        <f>IF($C57="","",IFERROR(IF(ISNA(VLOOKUP($C57,'Bilan final GPA IE'!$C$29:'Bilan final GPA IE'!$X$43,22,0)), ,VLOOKUP($C57,'Bilan final GPA IE'!$C$29:'Bilan final GPA IE'!$X$43,22,0)),"/"))</f>
        <v/>
      </c>
      <c r="FE57" s="115">
        <f t="shared" si="54"/>
        <v>0</v>
      </c>
      <c r="FF57" s="116" t="s">
        <v>97</v>
      </c>
      <c r="FG57" s="117" t="str">
        <f t="shared" si="52"/>
        <v/>
      </c>
    </row>
    <row r="58" spans="1:163" ht="50.1" customHeight="1" x14ac:dyDescent="0.3">
      <c r="A58" s="1"/>
      <c r="B58" s="1"/>
      <c r="C58" s="15"/>
      <c r="D58" s="41">
        <f>IF(IF(ISNA(('Feuille Saisie'!$B$4-VLOOKUP($C58,Données!$C$19:'Données'!$I$48,4,0)))/365.24*100, ,('Feuille Saisie'!$B$4-VLOOKUP($C58,Données!$C$19:'Données'!$I$48,4,0))/365.24*100)&lt;100,IF(ISNA(('Feuille Saisie'!$B$4-VLOOKUP($C58,Données!$C$19:'Données'!$I$48,4,0)))/365.24*100, ,('Feuille Saisie'!$B$4-VLOOKUP($C58,Données!$C$19:'Données'!$I$48,4,0))/365.24*100),100)</f>
        <v>0</v>
      </c>
      <c r="E58" s="19"/>
      <c r="F58" s="42" t="str">
        <f>IF(ISNA(IF(AND($E58=0,VLOOKUP($C58,Données!$C$19:'Données'!$I$48,6,0)&lt;&gt;""),"0,00",IFERROR(IF(ISNA($E58/VLOOKUP($C58,Données!$C$19:'Données'!$I$48,6,0)), ,$E58/VLOOKUP($C58,Données!$C$19:'Données'!$I$48,6,0)),"/"))),"",IF(AND($E58=0,VLOOKUP($C58,Données!$C$19:'Données'!$I$48,6,0)&lt;&gt;""),"0,00",IFERROR(IF(ISNA($E58/VLOOKUP($C58,Données!$C$19:'Données'!$I$48,6,0)), ,$E58/VLOOKUP($C58,Données!$C$19:'Données'!$I$48,6,0)),"/")))</f>
        <v/>
      </c>
      <c r="G58" s="42" t="str">
        <f>IF(ISNA(IF(AND($E58=0,VLOOKUP($C58,Données!$C$19:'Données'!$I$48,7,0)&lt;&gt;""),"0,00",IFERROR(IF(ISNA($E58/VLOOKUP($C58,Données!$C$19:'Données'!$I$48,7,0)*100),,$E58/VLOOKUP($C58,Données!$C$19:'Données'!$I$48,7,0)*100),"/"))),"",IF(AND($E58=0,VLOOKUP($C58,Données!$C$19:'Données'!$I$48,7,0)&lt;&gt;""),"0,00",IFERROR(IF(ISNA($E58/VLOOKUP($C58,Données!$C$19:'Données'!$I$48,7,0)*100),,$E58/VLOOKUP($C58,Données!$C$19:'Données'!$I$48,7,0)*100),"/")))</f>
        <v/>
      </c>
      <c r="H58" s="33"/>
      <c r="I58" s="43" t="str">
        <f>IF($C58&lt;&gt;"",IF($E58=0,"/",IF(ISNA($H58-VLOOKUP($C58,Données!$C$19:'Données'!$I$48,4,0)), ,$H58-VLOOKUP($C58,Données!$C$19:'Données'!$I$48,4,0))),"")</f>
        <v/>
      </c>
      <c r="J58" s="33"/>
      <c r="K58" s="43" t="str">
        <f>IF($C58&lt;&gt;"",IF(ISNA($J58-VLOOKUP($C58,Données!$C$19:'Données'!$I$48,4,0)), ,$J58-VLOOKUP($C58,Données!$C$19:'Données'!$I$48,4,0)),"")</f>
        <v/>
      </c>
      <c r="L58" s="32"/>
      <c r="M58" s="19"/>
      <c r="N58" s="31"/>
      <c r="O58" s="95"/>
      <c r="P58" s="95"/>
      <c r="Q58" s="33"/>
      <c r="R58" s="43" t="str">
        <f>IF($C58&lt;&gt;"",IF($D58&lt;&gt;100,"/",IF(ISNA($Q58-VLOOKUP($C58,Données!$C$19:'Données'!$I$48,4,0)), ,$Q58-VLOOKUP($C58,Données!$C$19:'Données'!$I$48,4,0))),"")</f>
        <v/>
      </c>
      <c r="S58" s="16"/>
      <c r="T58" s="33"/>
      <c r="U58" s="43" t="str">
        <f>IF($C58&lt;&gt;"",IF($J58="","/",IF(ISNA($T58-VLOOKUP($C58,Données!$C$19:'Données'!$I$48,4,0)), ,$T58-VLOOKUP($C58,Données!$C$19:'Données'!$I$48,4,0))),"")</f>
        <v/>
      </c>
      <c r="V58" s="1"/>
      <c r="W58" s="1"/>
      <c r="X58" s="49"/>
      <c r="Y58" s="46" t="str">
        <f t="shared" si="0"/>
        <v/>
      </c>
      <c r="Z58" s="47" t="s">
        <v>39</v>
      </c>
      <c r="AA58" s="46" t="str">
        <f t="shared" si="1"/>
        <v/>
      </c>
      <c r="AB58" s="48" t="s">
        <v>40</v>
      </c>
      <c r="AC58" s="49">
        <f t="shared" si="2"/>
        <v>1</v>
      </c>
      <c r="AD58" s="49">
        <f t="shared" si="3"/>
        <v>1</v>
      </c>
      <c r="AE58" s="49">
        <f t="shared" si="4"/>
        <v>1</v>
      </c>
      <c r="AF58" s="49">
        <f t="shared" si="5"/>
        <v>1</v>
      </c>
      <c r="AG58" s="50">
        <f t="shared" si="6"/>
        <v>0</v>
      </c>
      <c r="AH58" s="54" t="str">
        <f>IF($C58="","",IFERROR(IF(ISNA(VLOOKUP($C58,Données!$C$19:'Données'!$I$48,6,0)), ,VLOOKUP($C58,Données!$C$19:'Données'!$I$48,6,0)),"/"))</f>
        <v/>
      </c>
      <c r="AI58" s="54" t="str">
        <f>IF($C58="","",IFERROR(IF(ISNA(VLOOKUP($C58,Données!$C$19:'Données'!$I$48,7,0)), ,VLOOKUP($C58,Données!$C$19:'Données'!$I$48,7,0)),"/"))</f>
        <v/>
      </c>
      <c r="AJ58" s="54" t="str">
        <f t="shared" si="7"/>
        <v/>
      </c>
      <c r="AK58" s="54">
        <f t="shared" si="8"/>
        <v>0</v>
      </c>
      <c r="AL58" s="54">
        <f t="shared" si="9"/>
        <v>0</v>
      </c>
      <c r="AM58" s="49" t="str">
        <f t="shared" si="10"/>
        <v/>
      </c>
      <c r="AN58" s="49">
        <f t="shared" si="11"/>
        <v>0</v>
      </c>
      <c r="AO58" s="49" t="str">
        <f t="shared" si="12"/>
        <v/>
      </c>
      <c r="AP58" s="54" t="str">
        <f t="shared" si="13"/>
        <v/>
      </c>
      <c r="AQ58" s="49">
        <f t="shared" si="14"/>
        <v>0</v>
      </c>
      <c r="AR58" s="69">
        <f t="shared" si="15"/>
        <v>0</v>
      </c>
      <c r="AS58" s="49">
        <f t="shared" si="16"/>
        <v>0</v>
      </c>
      <c r="AT58" s="49" t="str">
        <f>IFERROR(VLOOKUP($C58,Données!$C$19:'Données'!$I$48,3,0),"")</f>
        <v/>
      </c>
      <c r="AU58" s="49">
        <f t="shared" si="17"/>
        <v>0</v>
      </c>
      <c r="AV58" s="49">
        <f t="shared" si="18"/>
        <v>0</v>
      </c>
      <c r="AW58" s="49">
        <f t="shared" si="19"/>
        <v>0</v>
      </c>
      <c r="AX58" s="49">
        <f t="shared" si="20"/>
        <v>0</v>
      </c>
      <c r="AY58" s="49">
        <f t="shared" si="21"/>
        <v>0</v>
      </c>
      <c r="AZ58" s="49">
        <f t="shared" si="22"/>
        <v>0</v>
      </c>
      <c r="BA58" s="49">
        <f t="shared" si="23"/>
        <v>0</v>
      </c>
      <c r="BB58" s="49">
        <f t="shared" si="24"/>
        <v>0</v>
      </c>
      <c r="BC58" s="49">
        <f t="shared" si="25"/>
        <v>0</v>
      </c>
      <c r="BD58" s="49">
        <f t="shared" si="26"/>
        <v>0</v>
      </c>
      <c r="BE58" s="49">
        <f t="shared" si="27"/>
        <v>0</v>
      </c>
      <c r="BF58" s="49" t="str">
        <f>TEXT('Feuille Saisie'!$B$4,"aaaa")</f>
        <v>2019</v>
      </c>
      <c r="BG58" s="49" t="str">
        <f>IF($Q58="",TEXT('Feuille Saisie'!$B$4,"aaaa"),TEXT($Q58,"aaaa"))</f>
        <v>2019</v>
      </c>
      <c r="BH58" s="49">
        <f t="shared" si="28"/>
        <v>0</v>
      </c>
      <c r="BI58" s="49">
        <f t="shared" si="29"/>
        <v>1</v>
      </c>
      <c r="BJ58" s="49" t="str">
        <f t="shared" si="30"/>
        <v/>
      </c>
      <c r="BK58" s="49">
        <f t="shared" si="31"/>
        <v>0</v>
      </c>
      <c r="BL58" s="46" t="str">
        <f t="shared" si="32"/>
        <v/>
      </c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 t="str">
        <f t="shared" si="33"/>
        <v/>
      </c>
      <c r="CZ58" s="49">
        <f t="shared" si="34"/>
        <v>0</v>
      </c>
      <c r="DA58" s="49" t="str">
        <f t="shared" si="35"/>
        <v/>
      </c>
      <c r="DB58" s="54">
        <f t="shared" si="36"/>
        <v>0</v>
      </c>
      <c r="DC58" s="49" t="str">
        <f>TEXT('Feuille Saisie'!$B$4,"aaaa")</f>
        <v>2019</v>
      </c>
      <c r="DD58" s="49" t="str">
        <f>IF($J58="",TEXT('Feuille Saisie'!$B$4,"aaaa"),TEXT($J58,"aaaa"))</f>
        <v>2019</v>
      </c>
      <c r="DE58" s="49">
        <f t="shared" si="37"/>
        <v>0</v>
      </c>
      <c r="DF58" s="49">
        <f t="shared" si="38"/>
        <v>0</v>
      </c>
      <c r="DG58" s="97" t="str">
        <f>TEXT(IFERROR(VLOOKUP($C58,Données!$C$19:'Données'!$I$48,4,0),""),"aaaa")</f>
        <v/>
      </c>
      <c r="DH58" s="49">
        <f t="shared" si="39"/>
        <v>0</v>
      </c>
      <c r="DI58" s="49">
        <f t="shared" si="40"/>
        <v>1</v>
      </c>
      <c r="DJ58" s="49">
        <f t="shared" si="41"/>
        <v>0</v>
      </c>
      <c r="DK58" s="49">
        <f t="shared" si="42"/>
        <v>0</v>
      </c>
      <c r="DL58" s="49">
        <f t="shared" si="43"/>
        <v>0</v>
      </c>
      <c r="DM58" s="49" t="str">
        <f>IF($T58="",TEXT('Feuille Saisie'!$B$4,"aaaa"),TEXT($T58,"aaaa"))</f>
        <v>2019</v>
      </c>
      <c r="DN58" s="49">
        <f t="shared" si="44"/>
        <v>0</v>
      </c>
      <c r="DO58" s="49">
        <f t="shared" si="45"/>
        <v>0</v>
      </c>
      <c r="EA58" s="49" t="str">
        <f>IFERROR(VLOOKUP($C58,Données!$C$19:'Données'!$I$48,3,0),"")</f>
        <v/>
      </c>
      <c r="EB58" s="49" t="str">
        <f t="shared" si="46"/>
        <v xml:space="preserve"> </v>
      </c>
      <c r="EC58" s="49" t="str">
        <f t="shared" si="47"/>
        <v xml:space="preserve"> </v>
      </c>
      <c r="ED58" s="49" t="str">
        <f t="shared" si="48"/>
        <v xml:space="preserve"> </v>
      </c>
      <c r="EE58" s="49" t="str">
        <f t="shared" si="49"/>
        <v xml:space="preserve"> </v>
      </c>
      <c r="EF58" s="49">
        <f t="shared" si="50"/>
        <v>0</v>
      </c>
      <c r="FA58" s="54" t="str">
        <f>IF($C58="","",IFERROR(IF(ISNA(VLOOKUP($C58,'Bilan final GPA HN'!$C$29:'Bilan final GPA HN'!$X$43,22,0)), ,VLOOKUP($C58,'Bilan final GPA HN'!$C$29:'Bilan final GPA HN'!$X$43,22,0)),"/"))</f>
        <v/>
      </c>
      <c r="FB58" s="54" t="str">
        <f>IF($C58="","",IFERROR(IF(ISNA(VLOOKUP($C58,'Bilan final GPA HR'!$C$29:'Bilan final GPA HR'!$X$43,22,0)), ,VLOOKUP($C58,'Bilan final GPA HR'!$C$29:'Bilan final GPA HR'!$X$43,22,0)),"/"))</f>
        <v/>
      </c>
      <c r="FC58" s="54" t="str">
        <f>IF($C58="","",IFERROR(IF(ISNA(VLOOKUP($C58,'Bilan final GPA OF'!$C$29:'Bilan final GPA OF'!$X$43,22,0)), ,VLOOKUP($C58,'Bilan final GPA OF'!$C$29:'Bilan final GPA OF'!$X$43,22,0)),"/"))</f>
        <v/>
      </c>
      <c r="FD58" s="54" t="str">
        <f>IF($C58="","",IFERROR(IF(ISNA(VLOOKUP($C58,'Bilan final GPA IE'!$C$29:'Bilan final GPA IE'!$X$43,22,0)), ,VLOOKUP($C58,'Bilan final GPA IE'!$C$29:'Bilan final GPA IE'!$X$43,22,0)),"/"))</f>
        <v/>
      </c>
      <c r="FE58" s="115">
        <f t="shared" si="54"/>
        <v>0</v>
      </c>
      <c r="FF58" s="116" t="s">
        <v>97</v>
      </c>
      <c r="FG58" s="117" t="str">
        <f t="shared" si="52"/>
        <v/>
      </c>
    </row>
    <row r="59" spans="1:163" ht="50.1" customHeight="1" x14ac:dyDescent="0.3">
      <c r="A59" s="1"/>
      <c r="B59" s="1"/>
      <c r="C59" s="56" t="s">
        <v>50</v>
      </c>
      <c r="D59" s="57" t="s">
        <v>49</v>
      </c>
      <c r="E59" s="57">
        <f>SUM(E29:E43)</f>
        <v>0</v>
      </c>
      <c r="F59" s="58" t="str">
        <f>IF(AH59=0,"/",E59/AH59)</f>
        <v>/</v>
      </c>
      <c r="G59" s="58" t="str">
        <f>IF(AI59=0,"/",E59/AI59)</f>
        <v>/</v>
      </c>
      <c r="H59" s="124"/>
      <c r="I59" s="59" t="str">
        <f>IF(DB59=0,"/",DA59/DB59)</f>
        <v>/</v>
      </c>
      <c r="J59" s="124"/>
      <c r="K59" s="59">
        <f>IF(AK59=0,"/",AO59/AK59)</f>
        <v>397</v>
      </c>
      <c r="L59" s="59">
        <f>SUM(L29:L43)</f>
        <v>0</v>
      </c>
      <c r="M59" s="57" t="str">
        <f>IF(AQ59=0,"/",AP59/AQ59)</f>
        <v>/</v>
      </c>
      <c r="N59" s="59">
        <f>SUM(N29:N43)</f>
        <v>0</v>
      </c>
      <c r="O59" s="125"/>
      <c r="P59" s="125"/>
      <c r="Q59" s="124"/>
      <c r="R59" s="60"/>
      <c r="S59" s="126"/>
      <c r="T59" s="124"/>
      <c r="U59" s="59">
        <f>IF(AL59=0,"/",AM59/AL59)</f>
        <v>426</v>
      </c>
      <c r="V59" s="1"/>
      <c r="W59" s="65"/>
      <c r="X59" s="49"/>
      <c r="Y59" s="46"/>
      <c r="Z59" s="47"/>
      <c r="AA59" s="46"/>
      <c r="AB59" s="48"/>
      <c r="AC59" s="49"/>
      <c r="AD59" s="49"/>
      <c r="AE59" s="49"/>
      <c r="AF59" s="49"/>
      <c r="AG59" s="50"/>
      <c r="AH59" s="69">
        <f t="shared" ref="AH59:AQ59" si="55">SUM(AH29:AH43)</f>
        <v>0</v>
      </c>
      <c r="AI59" s="69">
        <f t="shared" si="55"/>
        <v>0</v>
      </c>
      <c r="AJ59" s="49">
        <f t="shared" si="55"/>
        <v>0</v>
      </c>
      <c r="AK59" s="54">
        <f>SUM(AK29:AK43)</f>
        <v>1</v>
      </c>
      <c r="AL59" s="69">
        <f t="shared" si="55"/>
        <v>1</v>
      </c>
      <c r="AM59" s="69">
        <f t="shared" si="55"/>
        <v>426</v>
      </c>
      <c r="AN59" s="69">
        <f t="shared" si="55"/>
        <v>0</v>
      </c>
      <c r="AO59" s="69">
        <f t="shared" si="55"/>
        <v>397</v>
      </c>
      <c r="AP59" s="69">
        <f t="shared" si="55"/>
        <v>0</v>
      </c>
      <c r="AQ59" s="69">
        <f t="shared" si="55"/>
        <v>0</v>
      </c>
      <c r="AR59" s="69">
        <f>SUM(AR29:AR43)</f>
        <v>1</v>
      </c>
      <c r="AS59" s="69">
        <f>SUM(AS29:AS43)</f>
        <v>1</v>
      </c>
      <c r="AT59" s="49"/>
      <c r="AU59" s="69">
        <f t="shared" ref="AU59:BE59" si="56">SUM(AU29:AU43)</f>
        <v>0</v>
      </c>
      <c r="AV59" s="69">
        <f t="shared" si="56"/>
        <v>0</v>
      </c>
      <c r="AW59" s="69">
        <f t="shared" si="56"/>
        <v>1</v>
      </c>
      <c r="AX59" s="69">
        <f t="shared" si="56"/>
        <v>397</v>
      </c>
      <c r="AY59" s="69">
        <f t="shared" si="56"/>
        <v>1</v>
      </c>
      <c r="AZ59" s="69">
        <f t="shared" si="56"/>
        <v>426</v>
      </c>
      <c r="BA59" s="69">
        <f t="shared" si="56"/>
        <v>0</v>
      </c>
      <c r="BB59" s="69">
        <f t="shared" si="56"/>
        <v>1</v>
      </c>
      <c r="BC59" s="69">
        <f t="shared" si="56"/>
        <v>1</v>
      </c>
      <c r="BD59" s="69">
        <f t="shared" si="56"/>
        <v>1</v>
      </c>
      <c r="BE59" s="69">
        <f t="shared" si="56"/>
        <v>1</v>
      </c>
      <c r="BF59" s="49"/>
      <c r="BG59" s="49"/>
      <c r="BH59" s="69">
        <f t="shared" ref="BH59" si="57">SUM(BH29:BH43)</f>
        <v>1</v>
      </c>
      <c r="BI59" s="49">
        <f>SUM(BI29:BI43)</f>
        <v>15</v>
      </c>
      <c r="BJ59" s="49">
        <f>SUM(BJ29:BJ43)</f>
        <v>0</v>
      </c>
      <c r="BK59" s="49">
        <f>SUM(BK29:BK43)</f>
        <v>0</v>
      </c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  <c r="CV59" s="49"/>
      <c r="CW59" s="49"/>
      <c r="CX59" s="49"/>
      <c r="CY59" s="49">
        <f>SUM(CY29:CY43)</f>
        <v>0</v>
      </c>
      <c r="CZ59" s="49">
        <f>SUM(CZ29:CZ43)</f>
        <v>0</v>
      </c>
      <c r="DA59" s="49">
        <f>SUM(DA29:DA43)</f>
        <v>0</v>
      </c>
      <c r="DB59" s="49">
        <f>SUM(DB29:DB43)</f>
        <v>0</v>
      </c>
      <c r="DC59" s="49"/>
      <c r="DD59" s="49"/>
      <c r="DE59" s="49">
        <f>SUM(DE29:DE43)</f>
        <v>1</v>
      </c>
      <c r="DF59" s="49"/>
      <c r="DG59" s="49"/>
      <c r="DH59" s="49">
        <f>SUM(DH29:DH43)</f>
        <v>0</v>
      </c>
      <c r="DI59" s="49"/>
      <c r="DJ59" s="49">
        <f>SUM(DJ29:DJ43)</f>
        <v>0</v>
      </c>
      <c r="DK59" s="49">
        <f>SUM(DK29:DK43)</f>
        <v>397</v>
      </c>
      <c r="DL59" s="49"/>
      <c r="DM59" s="49"/>
      <c r="DN59" s="49">
        <f>SUM(DN29:DN43)</f>
        <v>1</v>
      </c>
      <c r="DO59" s="49">
        <f>SUM(DO29:DO43)</f>
        <v>426</v>
      </c>
    </row>
    <row r="60" spans="1:163" x14ac:dyDescent="0.25">
      <c r="A60" s="1"/>
      <c r="B60" s="1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1"/>
      <c r="W60" s="1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</row>
    <row r="61" spans="1:163" ht="15.75" customHeight="1" x14ac:dyDescent="0.25">
      <c r="A61" s="1"/>
      <c r="B61" s="1"/>
      <c r="C61" s="5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1"/>
      <c r="W61" s="1"/>
    </row>
    <row r="62" spans="1:163" ht="15" customHeight="1" x14ac:dyDescent="0.25">
      <c r="A62" s="1"/>
      <c r="B62" s="1"/>
      <c r="C62" s="5"/>
      <c r="D62" s="5"/>
      <c r="E62" s="5"/>
      <c r="F62" s="5"/>
      <c r="G62" s="5"/>
      <c r="H62" s="5"/>
      <c r="I62" s="5"/>
      <c r="J62" s="5"/>
      <c r="K62" s="5"/>
      <c r="L62" s="4"/>
      <c r="M62" s="4"/>
      <c r="N62" s="4"/>
      <c r="O62" s="4"/>
      <c r="P62" s="4"/>
      <c r="Q62" s="4"/>
      <c r="R62" s="4"/>
      <c r="S62" s="4"/>
      <c r="T62" s="4"/>
      <c r="U62" s="4"/>
      <c r="V62" s="1"/>
      <c r="W62" s="1"/>
    </row>
    <row r="63" spans="1:163" ht="15" customHeight="1" x14ac:dyDescent="0.25">
      <c r="A63" s="1"/>
      <c r="B63" s="1"/>
      <c r="C63" s="5"/>
      <c r="D63" s="5"/>
      <c r="E63" s="5"/>
      <c r="F63" s="5"/>
      <c r="G63" s="5"/>
      <c r="H63" s="5"/>
      <c r="I63" s="5"/>
      <c r="J63" s="5"/>
      <c r="K63" s="5"/>
      <c r="L63" s="4"/>
      <c r="M63" s="4"/>
      <c r="N63" s="4"/>
      <c r="O63" s="4"/>
      <c r="P63" s="4"/>
      <c r="Q63" s="4"/>
      <c r="R63" s="4"/>
      <c r="S63" s="4"/>
      <c r="T63" s="4"/>
      <c r="U63" s="4"/>
      <c r="V63" s="1"/>
      <c r="W63" s="1"/>
    </row>
    <row r="64" spans="1:163" ht="15" customHeight="1" x14ac:dyDescent="0.25">
      <c r="A64" s="1"/>
      <c r="B64" s="1"/>
      <c r="C64" s="6"/>
      <c r="D64" s="6"/>
      <c r="E64" s="6"/>
      <c r="F64" s="6"/>
      <c r="G64" s="6"/>
      <c r="H64" s="6"/>
      <c r="I64" s="6"/>
      <c r="J64" s="6"/>
      <c r="K64" s="6"/>
      <c r="L64" s="4"/>
      <c r="M64" s="4"/>
      <c r="N64" s="4"/>
      <c r="O64" s="4"/>
      <c r="P64" s="4"/>
      <c r="Q64" s="4"/>
      <c r="R64" s="4"/>
      <c r="S64" s="4"/>
      <c r="T64" s="4"/>
      <c r="U64" s="4"/>
      <c r="V64" s="1"/>
      <c r="W64" s="1"/>
    </row>
    <row r="65" spans="1:23" ht="15" customHeight="1" x14ac:dyDescent="0.25">
      <c r="A65" s="1"/>
      <c r="B65" s="1"/>
      <c r="C65" s="6"/>
      <c r="D65" s="6"/>
      <c r="E65" s="6"/>
      <c r="F65" s="6"/>
      <c r="G65" s="6"/>
      <c r="H65" s="6"/>
      <c r="I65" s="6"/>
      <c r="J65" s="6"/>
      <c r="K65" s="6"/>
      <c r="L65" s="4"/>
      <c r="M65" s="4"/>
      <c r="N65" s="4"/>
      <c r="O65" s="4"/>
      <c r="P65" s="4"/>
      <c r="Q65" s="4"/>
      <c r="R65" s="4"/>
      <c r="S65" s="4"/>
      <c r="T65" s="4"/>
      <c r="U65" s="4"/>
      <c r="V65" s="1"/>
      <c r="W65" s="1"/>
    </row>
    <row r="66" spans="1:23" ht="15" customHeight="1" x14ac:dyDescent="0.25">
      <c r="A66" s="1"/>
      <c r="B66" s="1"/>
      <c r="C66" s="138" t="str">
        <f ca="1">Données!$C$55</f>
        <v>CR Point bimestriel PA Version 22.7 XXL MOD VDE</v>
      </c>
      <c r="D66" s="138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"/>
      <c r="W66" s="1"/>
    </row>
    <row r="68" spans="1:23" ht="5.0999999999999996" customHeight="1" x14ac:dyDescent="0.25"/>
  </sheetData>
  <sheetProtection algorithmName="SHA-512" hashValue="7VPse+1RLK6MO0Z5ZwsxtHSNKz4+/ErUN0NMah8daIxG8uprOLmBcq0x9oyYlE+al2VE5nwetf+XVOM7BDCRzA==" saltValue="RGPUfMHci+hGK1Q77u0epg==" spinCount="100000" sheet="1" objects="1" scenarios="1"/>
  <protectedRanges>
    <protectedRange sqref="S29 O29:Q29 Q30:Q58 T29:T58" name="Plage6_1"/>
    <protectedRange sqref="C29:C58" name="Plage1"/>
    <protectedRange sqref="E29:E58" name="Plage2"/>
    <protectedRange sqref="H29:H58" name="Plage3"/>
    <protectedRange sqref="J29:J58" name="Plage4"/>
    <protectedRange sqref="L29:M35 L36:P58" name="Plage5"/>
    <protectedRange sqref="S30:S58" name="Plage6"/>
    <protectedRange sqref="N29:N35" name="Plage5_1"/>
    <protectedRange sqref="O30:P35" name="Plage5_2"/>
  </protectedRanges>
  <mergeCells count="25">
    <mergeCell ref="D25:D28"/>
    <mergeCell ref="P27:P28"/>
    <mergeCell ref="Q27:Q28"/>
    <mergeCell ref="O25:P26"/>
    <mergeCell ref="O27:O28"/>
    <mergeCell ref="L25:L28"/>
    <mergeCell ref="H25:I26"/>
    <mergeCell ref="H27:H28"/>
    <mergeCell ref="I27:I28"/>
    <mergeCell ref="C66:U66"/>
    <mergeCell ref="M25:M28"/>
    <mergeCell ref="N25:N28"/>
    <mergeCell ref="E25:E28"/>
    <mergeCell ref="F25:F28"/>
    <mergeCell ref="G25:G28"/>
    <mergeCell ref="J25:K26"/>
    <mergeCell ref="J27:J28"/>
    <mergeCell ref="K27:K28"/>
    <mergeCell ref="C25:C28"/>
    <mergeCell ref="T25:U26"/>
    <mergeCell ref="T27:T28"/>
    <mergeCell ref="R27:R28"/>
    <mergeCell ref="U27:U28"/>
    <mergeCell ref="Q25:R26"/>
    <mergeCell ref="S25:S28"/>
  </mergeCells>
  <conditionalFormatting sqref="R59">
    <cfRule type="cellIs" dxfId="215" priority="180" operator="lessThanOrEqual">
      <formula>0</formula>
    </cfRule>
  </conditionalFormatting>
  <conditionalFormatting sqref="F29:F43 F59">
    <cfRule type="cellIs" dxfId="214" priority="145" operator="equal">
      <formula>0</formula>
    </cfRule>
  </conditionalFormatting>
  <conditionalFormatting sqref="D29:D43 D59">
    <cfRule type="cellIs" dxfId="213" priority="157" operator="lessThan">
      <formula>0</formula>
    </cfRule>
    <cfRule type="cellIs" dxfId="212" priority="158" operator="equal">
      <formula>0</formula>
    </cfRule>
  </conditionalFormatting>
  <conditionalFormatting sqref="K29:K43 K59">
    <cfRule type="containsText" dxfId="211" priority="82" operator="containsText" text="/">
      <formula>NOT(ISERROR(SEARCH("/",K29)))</formula>
    </cfRule>
    <cfRule type="cellIs" dxfId="210" priority="134" operator="lessThanOrEqual">
      <formula>0</formula>
    </cfRule>
    <cfRule type="cellIs" dxfId="209" priority="135" operator="between">
      <formula>0</formula>
      <formula>90</formula>
    </cfRule>
    <cfRule type="cellIs" dxfId="208" priority="139" operator="greaterThan">
      <formula>90</formula>
    </cfRule>
  </conditionalFormatting>
  <conditionalFormatting sqref="I29:I43 I59">
    <cfRule type="cellIs" dxfId="207" priority="142" operator="lessThanOrEqual">
      <formula>0</formula>
    </cfRule>
  </conditionalFormatting>
  <conditionalFormatting sqref="U29:U43 U59">
    <cfRule type="cellIs" dxfId="206" priority="89" operator="lessThanOrEqual">
      <formula>0</formula>
    </cfRule>
    <cfRule type="cellIs" dxfId="205" priority="90" operator="equal">
      <formula>"/"</formula>
    </cfRule>
    <cfRule type="cellIs" dxfId="204" priority="91" operator="greaterThan">
      <formula>395</formula>
    </cfRule>
    <cfRule type="cellIs" dxfId="203" priority="92" operator="lessThanOrEqual">
      <formula>395</formula>
    </cfRule>
  </conditionalFormatting>
  <conditionalFormatting sqref="G59">
    <cfRule type="cellIs" dxfId="202" priority="88" operator="equal">
      <formula>0</formula>
    </cfRule>
  </conditionalFormatting>
  <conditionalFormatting sqref="H29:H43">
    <cfRule type="expression" dxfId="201" priority="80">
      <formula>AND($C29&lt;&gt;"",$AC29=1)</formula>
    </cfRule>
  </conditionalFormatting>
  <conditionalFormatting sqref="T29:T43">
    <cfRule type="expression" dxfId="200" priority="75">
      <formula>AND($C29&lt;&gt;"",$AE29=1)</formula>
    </cfRule>
  </conditionalFormatting>
  <conditionalFormatting sqref="M29:M43 M59">
    <cfRule type="cellIs" dxfId="199" priority="74" operator="equal">
      <formula>"/"</formula>
    </cfRule>
    <cfRule type="expression" dxfId="198" priority="77">
      <formula>AND($C29&lt;&gt;"",$AD29=1)</formula>
    </cfRule>
    <cfRule type="cellIs" dxfId="197" priority="78" operator="lessThanOrEqual">
      <formula>15</formula>
    </cfRule>
    <cfRule type="cellIs" dxfId="196" priority="79" operator="greaterThan">
      <formula>15</formula>
    </cfRule>
  </conditionalFormatting>
  <conditionalFormatting sqref="S29:S43">
    <cfRule type="expression" dxfId="195" priority="73">
      <formula>AND($C29&lt;&gt;"",OR($L29="",$L29=0))</formula>
    </cfRule>
  </conditionalFormatting>
  <conditionalFormatting sqref="O29:O43">
    <cfRule type="expression" dxfId="194" priority="72">
      <formula>AND($C29&lt;&gt;"",OR($L29="",$L29=0))</formula>
    </cfRule>
  </conditionalFormatting>
  <conditionalFormatting sqref="P29:P43">
    <cfRule type="expression" dxfId="193" priority="71">
      <formula>AND($C29&lt;&gt;"",OR($L29="",$L29=0))</formula>
    </cfRule>
  </conditionalFormatting>
  <conditionalFormatting sqref="Q29:Q43">
    <cfRule type="expression" dxfId="192" priority="68">
      <formula>AND($C29&lt;&gt;"",$D29&lt;&gt;100)</formula>
    </cfRule>
  </conditionalFormatting>
  <conditionalFormatting sqref="R29:R43">
    <cfRule type="cellIs" dxfId="191" priority="65" operator="lessThanOrEqual">
      <formula>0</formula>
    </cfRule>
  </conditionalFormatting>
  <conditionalFormatting sqref="F44:F52">
    <cfRule type="cellIs" dxfId="190" priority="47" operator="equal">
      <formula>0</formula>
    </cfRule>
  </conditionalFormatting>
  <conditionalFormatting sqref="D44:D52">
    <cfRule type="cellIs" dxfId="189" priority="48" operator="lessThan">
      <formula>0</formula>
    </cfRule>
    <cfRule type="cellIs" dxfId="188" priority="49" operator="equal">
      <formula>0</formula>
    </cfRule>
  </conditionalFormatting>
  <conditionalFormatting sqref="K44:K52">
    <cfRule type="containsText" dxfId="187" priority="38" operator="containsText" text="/">
      <formula>NOT(ISERROR(SEARCH("/",K44)))</formula>
    </cfRule>
    <cfRule type="cellIs" dxfId="186" priority="43" operator="lessThanOrEqual">
      <formula>0</formula>
    </cfRule>
    <cfRule type="cellIs" dxfId="185" priority="44" operator="between">
      <formula>0</formula>
      <formula>90</formula>
    </cfRule>
    <cfRule type="cellIs" dxfId="184" priority="45" operator="greaterThan">
      <formula>90</formula>
    </cfRule>
  </conditionalFormatting>
  <conditionalFormatting sqref="I44:I52">
    <cfRule type="cellIs" dxfId="183" priority="46" operator="lessThanOrEqual">
      <formula>0</formula>
    </cfRule>
  </conditionalFormatting>
  <conditionalFormatting sqref="U44:U52">
    <cfRule type="cellIs" dxfId="182" priority="39" operator="lessThanOrEqual">
      <formula>0</formula>
    </cfRule>
    <cfRule type="cellIs" dxfId="181" priority="40" operator="equal">
      <formula>"/"</formula>
    </cfRule>
    <cfRule type="cellIs" dxfId="180" priority="41" operator="greaterThan">
      <formula>395</formula>
    </cfRule>
    <cfRule type="cellIs" dxfId="179" priority="42" operator="lessThanOrEqual">
      <formula>395</formula>
    </cfRule>
  </conditionalFormatting>
  <conditionalFormatting sqref="H44:H52">
    <cfRule type="expression" dxfId="178" priority="37">
      <formula>AND($C44&lt;&gt;"",$AC44=1)</formula>
    </cfRule>
  </conditionalFormatting>
  <conditionalFormatting sqref="M44:M52">
    <cfRule type="cellIs" dxfId="177" priority="32" operator="equal">
      <formula>"/"</formula>
    </cfRule>
    <cfRule type="expression" dxfId="176" priority="34">
      <formula>AND($C44&lt;&gt;"",$AD44=1)</formula>
    </cfRule>
    <cfRule type="cellIs" dxfId="175" priority="35" operator="lessThanOrEqual">
      <formula>15</formula>
    </cfRule>
    <cfRule type="cellIs" dxfId="174" priority="36" operator="greaterThan">
      <formula>15</formula>
    </cfRule>
  </conditionalFormatting>
  <conditionalFormatting sqref="S44:S52">
    <cfRule type="expression" dxfId="173" priority="31">
      <formula>AND($C44&lt;&gt;"",OR($L44="",$L44=0))</formula>
    </cfRule>
  </conditionalFormatting>
  <conditionalFormatting sqref="O44:O52">
    <cfRule type="expression" dxfId="172" priority="30">
      <formula>AND($C44&lt;&gt;"",OR($L44="",$L44=0))</formula>
    </cfRule>
  </conditionalFormatting>
  <conditionalFormatting sqref="P44:P52">
    <cfRule type="expression" dxfId="171" priority="29">
      <formula>AND($C44&lt;&gt;"",OR($L44="",$L44=0))</formula>
    </cfRule>
  </conditionalFormatting>
  <conditionalFormatting sqref="Q44:Q52">
    <cfRule type="expression" dxfId="170" priority="28">
      <formula>AND($C44&lt;&gt;"",$D44&lt;&gt;100)</formula>
    </cfRule>
  </conditionalFormatting>
  <conditionalFormatting sqref="R44:R52">
    <cfRule type="cellIs" dxfId="169" priority="27" operator="lessThanOrEqual">
      <formula>0</formula>
    </cfRule>
  </conditionalFormatting>
  <conditionalFormatting sqref="T44:T52">
    <cfRule type="expression" dxfId="168" priority="24">
      <formula>AND($C44&lt;&gt;"",$AE44=1)</formula>
    </cfRule>
  </conditionalFormatting>
  <conditionalFormatting sqref="F53:F58">
    <cfRule type="cellIs" dxfId="167" priority="21" operator="equal">
      <formula>0</formula>
    </cfRule>
  </conditionalFormatting>
  <conditionalFormatting sqref="D53:D58">
    <cfRule type="cellIs" dxfId="166" priority="22" operator="lessThan">
      <formula>0</formula>
    </cfRule>
    <cfRule type="cellIs" dxfId="165" priority="23" operator="equal">
      <formula>0</formula>
    </cfRule>
  </conditionalFormatting>
  <conditionalFormatting sqref="K53:K58">
    <cfRule type="containsText" dxfId="164" priority="12" operator="containsText" text="/">
      <formula>NOT(ISERROR(SEARCH("/",K53)))</formula>
    </cfRule>
    <cfRule type="cellIs" dxfId="163" priority="17" operator="lessThanOrEqual">
      <formula>0</formula>
    </cfRule>
    <cfRule type="cellIs" dxfId="162" priority="18" operator="between">
      <formula>0</formula>
      <formula>90</formula>
    </cfRule>
    <cfRule type="cellIs" dxfId="161" priority="19" operator="greaterThan">
      <formula>90</formula>
    </cfRule>
  </conditionalFormatting>
  <conditionalFormatting sqref="I53:I58">
    <cfRule type="cellIs" dxfId="160" priority="20" operator="lessThanOrEqual">
      <formula>0</formula>
    </cfRule>
  </conditionalFormatting>
  <conditionalFormatting sqref="U53:U58">
    <cfRule type="cellIs" dxfId="159" priority="13" operator="lessThanOrEqual">
      <formula>0</formula>
    </cfRule>
    <cfRule type="cellIs" dxfId="158" priority="14" operator="equal">
      <formula>"/"</formula>
    </cfRule>
    <cfRule type="cellIs" dxfId="157" priority="15" operator="greaterThan">
      <formula>395</formula>
    </cfRule>
    <cfRule type="cellIs" dxfId="156" priority="16" operator="lessThanOrEqual">
      <formula>395</formula>
    </cfRule>
  </conditionalFormatting>
  <conditionalFormatting sqref="H53:H58">
    <cfRule type="expression" dxfId="155" priority="11">
      <formula>AND($C53&lt;&gt;"",$AC53=1)</formula>
    </cfRule>
  </conditionalFormatting>
  <conditionalFormatting sqref="M53:M58">
    <cfRule type="cellIs" dxfId="154" priority="7" operator="equal">
      <formula>"/"</formula>
    </cfRule>
    <cfRule type="expression" dxfId="153" priority="8">
      <formula>AND($C53&lt;&gt;"",$AD53=1)</formula>
    </cfRule>
    <cfRule type="cellIs" dxfId="152" priority="9" operator="lessThanOrEqual">
      <formula>15</formula>
    </cfRule>
    <cfRule type="cellIs" dxfId="151" priority="10" operator="greaterThan">
      <formula>15</formula>
    </cfRule>
  </conditionalFormatting>
  <conditionalFormatting sqref="S53:S58">
    <cfRule type="expression" dxfId="150" priority="6">
      <formula>AND($C53&lt;&gt;"",OR($L53="",$L53=0))</formula>
    </cfRule>
  </conditionalFormatting>
  <conditionalFormatting sqref="O53:O58">
    <cfRule type="expression" dxfId="149" priority="5">
      <formula>AND($C53&lt;&gt;"",OR($L53="",$L53=0))</formula>
    </cfRule>
  </conditionalFormatting>
  <conditionalFormatting sqref="P53:P58">
    <cfRule type="expression" dxfId="148" priority="4">
      <formula>AND($C53&lt;&gt;"",OR($L53="",$L53=0))</formula>
    </cfRule>
  </conditionalFormatting>
  <conditionalFormatting sqref="Q53:Q58">
    <cfRule type="expression" dxfId="147" priority="3">
      <formula>AND($C53&lt;&gt;"",$D53&lt;&gt;100)</formula>
    </cfRule>
  </conditionalFormatting>
  <conditionalFormatting sqref="R53:R58">
    <cfRule type="cellIs" dxfId="146" priority="2" operator="lessThanOrEqual">
      <formula>0</formula>
    </cfRule>
  </conditionalFormatting>
  <conditionalFormatting sqref="T53:T58">
    <cfRule type="expression" dxfId="145" priority="1">
      <formula>AND($C53&lt;&gt;"",$AE53=1)</formula>
    </cfRule>
  </conditionalFormatting>
  <dataValidations count="8">
    <dataValidation type="custom" allowBlank="1" showInputMessage="1" showErrorMessage="1" error="Pas de réclamation GPA ou date saisie antérieure à la date de réception " sqref="Q59">
      <formula1>AND($R59&gt;0,$AD59&lt;&gt;1)</formula1>
    </dataValidation>
    <dataValidation type="custom" allowBlank="1" showInputMessage="1" showErrorMessage="1" error="Pas de réserve de réception ou date saisie antérieure à la date de réception " sqref="H29:H59">
      <formula1>AND($I29&gt;0,$AC29&lt;&gt;1)</formula1>
    </dataValidation>
    <dataValidation type="custom" allowBlank="1" showInputMessage="1" showErrorMessage="1" error="Date saisie antérieure à la date de réception " sqref="J29:J59">
      <formula1>$K29&gt;0</formula1>
    </dataValidation>
    <dataValidation type="custom" allowBlank="1" showInputMessage="1" showErrorMessage="1" error="Pas de réclamation GPA" sqref="M29:M58 O29:P58">
      <formula1>$AD29&lt;&gt;1</formula1>
    </dataValidation>
    <dataValidation type="custom" allowBlank="1" showInputMessage="1" showErrorMessage="1" error="Pas de date de passation technique renseignée ou date saisie antérieure à la date de passation technique" sqref="T59">
      <formula1>AND($AG59&gt;=0,$AE59&lt;&gt;1)</formula1>
    </dataValidation>
    <dataValidation type="list" allowBlank="1" showInputMessage="1" showErrorMessage="1" sqref="S29:S58">
      <formula1>$Y$25:$Y$26</formula1>
    </dataValidation>
    <dataValidation type="custom" allowBlank="1" showInputMessage="1" showErrorMessage="1" error="Délai de la GPA non expiré ou date saisie antérieure à la date de réception + 1 an " sqref="Q29:Q58">
      <formula1>AND($D29=100,$R29&gt;365.24)</formula1>
    </dataValidation>
    <dataValidation type="custom" allowBlank="1" showInputMessage="1" showErrorMessage="1" error="Date de passation technique non renseignée ou date saisie antérieure à la date de passation technique" sqref="T29:T58">
      <formula1>AND($AG29&gt;=0,$AE29&lt;&gt;1)</formula1>
    </dataValidation>
  </dataValidations>
  <printOptions horizontalCentered="1"/>
  <pageMargins left="0" right="0" top="0" bottom="1.3779527559055118" header="0.31496062992125984" footer="0.31496062992125984"/>
  <pageSetup paperSize="8" scale="58" fitToHeight="2" orientation="landscape" r:id="rId1"/>
  <headerFooter>
    <oddFooter>&amp;C&amp;G</oddFooter>
  </headerFooter>
  <rowBreaks count="1" manualBreakCount="1">
    <brk id="44" max="22" man="1"/>
  </rowBreaks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OFFSET(Données!$C$19:$C$48,0,0,COUNTA(Données!$C$19:$C$48),1)</xm:f>
          </x14:formula1>
          <xm:sqref>C29:C58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E53"/>
  <sheetViews>
    <sheetView showGridLines="0" tabSelected="1" topLeftCell="Q14" zoomScaleNormal="100" workbookViewId="0">
      <selection activeCell="AD29" sqref="AD29"/>
    </sheetView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5" width="15.7109375" customWidth="1"/>
    <col min="6" max="6" width="15.7109375" hidden="1" customWidth="1"/>
    <col min="7" max="10" width="15.7109375" customWidth="1"/>
    <col min="11" max="11" width="15.7109375" hidden="1" customWidth="1"/>
    <col min="12" max="14" width="15.7109375" customWidth="1"/>
    <col min="15" max="15" width="1.7109375" customWidth="1"/>
    <col min="16" max="16" width="13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31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31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31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31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31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31" ht="15" customHeight="1" x14ac:dyDescent="0.25">
      <c r="A25" s="1"/>
      <c r="B25" s="1"/>
      <c r="C25" s="132" t="s">
        <v>7</v>
      </c>
      <c r="D25" s="161" t="s">
        <v>13</v>
      </c>
      <c r="E25" s="161" t="s">
        <v>89</v>
      </c>
      <c r="F25" s="161" t="s">
        <v>67</v>
      </c>
      <c r="G25" s="161" t="s">
        <v>31</v>
      </c>
      <c r="H25" s="161" t="s">
        <v>78</v>
      </c>
      <c r="I25" s="161" t="s">
        <v>20</v>
      </c>
      <c r="J25" s="161" t="s">
        <v>90</v>
      </c>
      <c r="K25" s="161" t="s">
        <v>68</v>
      </c>
      <c r="L25" s="161" t="s">
        <v>79</v>
      </c>
      <c r="M25" s="132" t="s">
        <v>80</v>
      </c>
      <c r="N25" s="132" t="s">
        <v>100</v>
      </c>
      <c r="O25" s="21"/>
      <c r="P25" s="135" t="s">
        <v>43</v>
      </c>
      <c r="Q25" s="1"/>
      <c r="R25" s="1"/>
      <c r="S25" s="49" t="s">
        <v>28</v>
      </c>
    </row>
    <row r="26" spans="1:31" x14ac:dyDescent="0.25">
      <c r="A26" s="1"/>
      <c r="B26" s="1"/>
      <c r="C26" s="133"/>
      <c r="D26" s="162"/>
      <c r="E26" s="162"/>
      <c r="F26" s="162"/>
      <c r="G26" s="162"/>
      <c r="H26" s="162"/>
      <c r="I26" s="162"/>
      <c r="J26" s="162"/>
      <c r="K26" s="162"/>
      <c r="L26" s="162"/>
      <c r="M26" s="133"/>
      <c r="N26" s="133"/>
      <c r="O26" s="21"/>
      <c r="P26" s="136"/>
      <c r="Q26" s="1"/>
      <c r="R26" s="1"/>
      <c r="S26" s="49" t="s">
        <v>29</v>
      </c>
    </row>
    <row r="27" spans="1:31" ht="15" customHeight="1" x14ac:dyDescent="0.25">
      <c r="A27" s="1"/>
      <c r="B27" s="1"/>
      <c r="C27" s="133"/>
      <c r="D27" s="162"/>
      <c r="E27" s="162"/>
      <c r="F27" s="162"/>
      <c r="G27" s="162"/>
      <c r="H27" s="162"/>
      <c r="I27" s="162"/>
      <c r="J27" s="162"/>
      <c r="K27" s="162"/>
      <c r="L27" s="162"/>
      <c r="M27" s="133"/>
      <c r="N27" s="133"/>
      <c r="O27" s="21"/>
      <c r="P27" s="136"/>
      <c r="Q27" s="1"/>
      <c r="R27" s="1"/>
      <c r="S27" s="67"/>
    </row>
    <row r="28" spans="1:31" x14ac:dyDescent="0.25">
      <c r="A28" s="1"/>
      <c r="B28" s="1"/>
      <c r="C28" s="134"/>
      <c r="D28" s="163"/>
      <c r="E28" s="163"/>
      <c r="F28" s="163"/>
      <c r="G28" s="163"/>
      <c r="H28" s="163"/>
      <c r="I28" s="163"/>
      <c r="J28" s="163"/>
      <c r="K28" s="163"/>
      <c r="L28" s="163"/>
      <c r="M28" s="134"/>
      <c r="N28" s="134"/>
      <c r="O28" s="21"/>
      <c r="P28" s="137"/>
      <c r="Q28" s="1"/>
      <c r="R28" s="1"/>
      <c r="S28" s="67"/>
    </row>
    <row r="29" spans="1:31" ht="50.1" customHeight="1" x14ac:dyDescent="0.25">
      <c r="A29" s="1"/>
      <c r="B29" s="1"/>
      <c r="C29" s="15"/>
      <c r="D29" s="41" t="str">
        <f>IF($C29="","",IFERROR(IF(ISNA(VLOOKUP($C29,'Phase GPA'!$C$29:'Phase GPA'!$U$58,10,0)), ,VLOOKUP($C29,'Phase GPA'!$C$29:'Phase GPA'!$U$58,10,0)),0))</f>
        <v/>
      </c>
      <c r="E29" s="42" t="str">
        <f>IF($C29="","",IFERROR(IF(ISNA($D29/S29RECHERCHEV($C29,Données!$C$19:'Données'!$I$48,6,0)), ,$D29/VLOOKUP($C29,Données!$C$19:'Données'!$I$48,6,0)),"/"))</f>
        <v/>
      </c>
      <c r="F29" s="42" t="str">
        <f>IF($C29="","",IFERROR(IF(ISNA($D29/VLOOKUP($C29,Données!$C$19:'Données'!$I$48,7,0)*100), ,$D29/VLOOKUP($C29,Données!$C$19:'Données'!$I$48,7,0)*100),"/"))</f>
        <v/>
      </c>
      <c r="G29" s="41" t="str">
        <f>IF($D29=0,"/",IF($C29="","",IFERROR(IF(ISNA(VLOOKUP($C29,'Phase GPA'!$C$29:'Phase GPA'!$U$58,11,0)), ,VLOOKUP($C29,'Phase GPA'!$C$29:'Phase GPA'!$U$58,11,0)),0)))</f>
        <v/>
      </c>
      <c r="H29" s="43" t="str">
        <f>IF($C29="","",IFERROR(IF(ISNA(VLOOKUP($C29,'Phase GPA'!$C$29:'Phase GPA'!$U$58,12,0)), ,VLOOKUP($C29,'Phase GPA'!$C$29:'Phase GPA'!$U$58,12,0)),0))</f>
        <v/>
      </c>
      <c r="I29" s="44" t="str">
        <f>IF($C29="","",IFERROR(IF(ISNA($H29/VLOOKUP($C29,Données!$C$19:'Données'!$I$48,5,0)), ,$H29/VLOOKUP($C29,Données!$C$19:'Données'!$I$48,5,0))*100,0))</f>
        <v/>
      </c>
      <c r="J29" s="44" t="str">
        <f>IF($C29="","",IFERROR(IF(ISNA($H29/VLOOKUP($C29,Données!$C$19:'Données'!$I$48,6,0)), ,$H29/VLOOKUP($C29,Données!$C$19:'Données'!$I$48,6,0)),"/"))</f>
        <v/>
      </c>
      <c r="K29" s="44" t="str">
        <f>IF($C29="","",IFERROR(IF(ISNA($H29/VLOOKUP($C29,Données!$C$19:'Données'!$I$48,7,0)*100), ,$H29/VLOOKUP($C29,Données!$C$19:'Données'!$I$48,7,0)*100),"/"))</f>
        <v/>
      </c>
      <c r="L29" s="91" t="str">
        <f t="shared" ref="L29:L43" si="0">IF($D29=0,"/",IF($C29="","",IFERROR(($H29/$D29),0)))</f>
        <v/>
      </c>
      <c r="M29" s="13"/>
      <c r="N29" s="38"/>
      <c r="O29" s="127"/>
      <c r="P29" s="128"/>
      <c r="Q29" s="1"/>
      <c r="R29" s="1"/>
      <c r="S29" s="54" t="str">
        <f>IF($C29="","",IFERROR(IF(ISNA(VLOOKUP($C29,Données!$C$19:'Données'!$I$48,6,0)), ,VLOOKUP($C29,Données!$C$19:'Données'!$I$48,6,0)),"/"))</f>
        <v/>
      </c>
      <c r="T29" s="54" t="str">
        <f>IF($C29="","",IFERROR(IF(ISNA(VLOOKUP($C29,Données!$C$19:'Données'!$I$48,7,0)), ,VLOOKUP($C29,Données!$C$19:'Données'!$I$48,7,0)),"/"))</f>
        <v/>
      </c>
      <c r="U29" s="54" t="str">
        <f>IF($C29="","",IFERROR(IF(ISNA(VLOOKUP($C29,Données!$C$19:'Données'!$I$48,5,0)), ,VLOOKUP($C29,Données!$C$19:'Données'!$I$48,5,0)),"/"))</f>
        <v/>
      </c>
      <c r="V29" s="54" t="str">
        <f>IF($C29="","",IFERROR(IF(ISNA($D29*$G29), ,$D29*$G29),"/"))</f>
        <v/>
      </c>
      <c r="W29" s="49">
        <f>IF($C29&lt;&gt;"",1,0)</f>
        <v>0</v>
      </c>
      <c r="X29" s="49">
        <f>IF($M29&lt;&gt;"",1,0)</f>
        <v>0</v>
      </c>
      <c r="Y29" s="116" t="s">
        <v>97</v>
      </c>
      <c r="Z29" s="116" t="str">
        <f>IF($C29="","",IF($X29=1,"µ",""))</f>
        <v/>
      </c>
      <c r="AA29" s="49" t="str">
        <f>TEXT('Feuille Saisie'!$B$4,"aaaa")</f>
        <v>2019</v>
      </c>
      <c r="AB29" s="49" t="str">
        <f>IF($M29&lt;&gt;"",TEXT($M29,"aaaa"),"")</f>
        <v/>
      </c>
      <c r="AC29" s="49">
        <f>IF($AA29=$AB29,1,0)</f>
        <v>0</v>
      </c>
      <c r="AD29" s="67" t="s">
        <v>28</v>
      </c>
      <c r="AE29" s="67"/>
    </row>
    <row r="30" spans="1:31" ht="50.1" customHeight="1" x14ac:dyDescent="0.25">
      <c r="A30" s="1"/>
      <c r="B30" s="1"/>
      <c r="C30" s="15"/>
      <c r="D30" s="41" t="str">
        <f>IF($C30="","",IFERROR(IF(ISNA(VLOOKUP($C30,'Phase GPA'!$C$29:'Phase GPA'!$U$58,10,0)), ,VLOOKUP($C30,'Phase GPA'!$C$29:'Phase GPA'!$U$58,10,0)),0))</f>
        <v/>
      </c>
      <c r="E30" s="42" t="str">
        <f>IF($C30="","",IFERROR(IF(ISNA($D30/S29RECHERCHEV($C30,Données!$C$19:'Données'!$I$48,6,0)), ,$D30/VLOOKUP($C30,Données!$C$19:'Données'!$I$48,6,0)),"/"))</f>
        <v/>
      </c>
      <c r="F30" s="42" t="str">
        <f>IF($C30="","",IFERROR(IF(ISNA($D30/VLOOKUP($C30,Données!$C$19:'Données'!$I$48,7,0)*100), ,$D30/VLOOKUP($C30,Données!$C$19:'Données'!$I$48,7,0)*100),"/"))</f>
        <v/>
      </c>
      <c r="G30" s="41" t="str">
        <f>IF($D30=0,"/",IF($C30="","",IFERROR(IF(ISNA(VLOOKUP($C30,'Phase GPA'!$C$29:'Phase GPA'!$U$58,11,0)), ,VLOOKUP($C30,'Phase GPA'!$C$29:'Phase GPA'!$U$58,11,0)),0)))</f>
        <v/>
      </c>
      <c r="H30" s="43" t="str">
        <f>IF($C30="","",IFERROR(IF(ISNA(VLOOKUP($C30,'Phase GPA'!$C$29:'Phase GPA'!$U$58,12,0)), ,VLOOKUP($C30,'Phase GPA'!$C$29:'Phase GPA'!$U$58,12,0)),0))</f>
        <v/>
      </c>
      <c r="I30" s="44" t="str">
        <f>IF($C30="","",IFERROR(IF(ISNA($H30/VLOOKUP($C30,Données!$C$19:'Données'!$I$48,5,0)), ,$H30/VLOOKUP($C30,Données!$C$19:'Données'!$I$48,5,0))*100,0))</f>
        <v/>
      </c>
      <c r="J30" s="44" t="str">
        <f>IF($C30="","",IFERROR(IF(ISNA($H30/VLOOKUP($C30,Données!$C$19:'Données'!$I$48,6,0)), ,$H30/VLOOKUP($C30,Données!$C$19:'Données'!$I$48,6,0)),"/"))</f>
        <v/>
      </c>
      <c r="K30" s="44" t="str">
        <f>IF($C30="","",IFERROR(IF(ISNA($H30/VLOOKUP($C30,Données!$C$19:'Données'!$I$48,7,0)*100), ,$H30/VLOOKUP($C30,Données!$C$19:'Données'!$I$48,7,0)*100),"/"))</f>
        <v/>
      </c>
      <c r="L30" s="91" t="str">
        <f t="shared" si="0"/>
        <v/>
      </c>
      <c r="M30" s="13"/>
      <c r="N30" s="38"/>
      <c r="O30" s="127"/>
      <c r="P30" s="128"/>
      <c r="Q30" s="1"/>
      <c r="R30" s="1"/>
      <c r="S30" s="54" t="str">
        <f>IF($C30="","",IFERROR(IF(ISNA(VLOOKUP($C30,Données!$C$19:'Données'!$I$48,6,0)), ,VLOOKUP($C30,Données!$C$19:'Données'!$I$48,6,0)),"/"))</f>
        <v/>
      </c>
      <c r="T30" s="54" t="str">
        <f>IF($C30="","",IFERROR(IF(ISNA(VLOOKUP($C30,Données!$C$19:'Données'!$I$48,7,0)), ,VLOOKUP($C30,Données!$C$19:'Données'!$I$48,7,0)),"/"))</f>
        <v/>
      </c>
      <c r="U30" s="54" t="str">
        <f>IF($C30="","",IFERROR(IF(ISNA(VLOOKUP($C30,Données!$C$19:'Données'!$I$48,5,0)), ,VLOOKUP($C30,Données!$C$19:'Données'!$I$48,5,0)),"/"))</f>
        <v/>
      </c>
      <c r="V30" s="54" t="str">
        <f>IF($C30="","",IFERROR(IF(ISNA($D30*$G30), ,$D30*$G30),"/"))</f>
        <v/>
      </c>
      <c r="W30" s="49">
        <f t="shared" ref="W30:W43" si="1">IF($C30&lt;&gt;"",1,0)</f>
        <v>0</v>
      </c>
      <c r="X30" s="49">
        <f t="shared" ref="X30:X43" si="2">IF($M30&lt;&gt;"",1,0)</f>
        <v>0</v>
      </c>
      <c r="Y30" s="116" t="s">
        <v>97</v>
      </c>
      <c r="Z30" s="116" t="str">
        <f t="shared" ref="Z30:Z43" si="3">IF($C30="","",IF($X30=1,"µ",""))</f>
        <v/>
      </c>
      <c r="AA30" s="49" t="str">
        <f>TEXT('Feuille Saisie'!$B$4,"aaaa")</f>
        <v>2019</v>
      </c>
      <c r="AB30" s="49" t="str">
        <f t="shared" ref="AB30:AB43" si="4">IF($M30&lt;&gt;"",TEXT($M30,"aaaa"),"")</f>
        <v/>
      </c>
      <c r="AC30" s="49">
        <f t="shared" ref="AC30:AC43" si="5">IF($AA30=$AB30,1,0)</f>
        <v>0</v>
      </c>
      <c r="AD30" s="67"/>
      <c r="AE30" s="67"/>
    </row>
    <row r="31" spans="1:31" ht="50.1" customHeight="1" x14ac:dyDescent="0.25">
      <c r="A31" s="1"/>
      <c r="B31" s="1"/>
      <c r="C31" s="15"/>
      <c r="D31" s="41" t="str">
        <f>IF($C31="","",IFERROR(IF(ISNA(VLOOKUP($C31,'Phase GPA'!$C$29:'Phase GPA'!$U$58,10,0)), ,VLOOKUP($C31,'Phase GPA'!$C$29:'Phase GPA'!$U$58,10,0)),0))</f>
        <v/>
      </c>
      <c r="E31" s="42" t="str">
        <f>IF($C31="","",IFERROR(IF(ISNA($D31/S29RECHERCHEV($C31,Données!$C$19:'Données'!$I$48,6,0)), ,$D31/VLOOKUP($C31,Données!$C$19:'Données'!$I$48,6,0)),"/"))</f>
        <v/>
      </c>
      <c r="F31" s="42" t="str">
        <f>IF($C31="","",IFERROR(IF(ISNA($D31/VLOOKUP($C31,Données!$C$19:'Données'!$I$48,7,0)*100), ,$D31/VLOOKUP($C31,Données!$C$19:'Données'!$I$48,7,0)*100),"/"))</f>
        <v/>
      </c>
      <c r="G31" s="41" t="str">
        <f>IF($D31=0,"/",IF($C31="","",IFERROR(IF(ISNA(VLOOKUP($C31,'Phase GPA'!$C$29:'Phase GPA'!$U$58,11,0)), ,VLOOKUP($C31,'Phase GPA'!$C$29:'Phase GPA'!$U$58,11,0)),0)))</f>
        <v/>
      </c>
      <c r="H31" s="43" t="str">
        <f>IF($C31="","",IFERROR(IF(ISNA(VLOOKUP($C31,'Phase GPA'!$C$29:'Phase GPA'!$U$58,12,0)), ,VLOOKUP($C31,'Phase GPA'!$C$29:'Phase GPA'!$U$58,12,0)),0))</f>
        <v/>
      </c>
      <c r="I31" s="44" t="str">
        <f>IF($C31="","",IFERROR(IF(ISNA($H31/VLOOKUP($C31,Données!$C$19:'Données'!$I$48,5,0)), ,$H31/VLOOKUP($C31,Données!$C$19:'Données'!$I$48,5,0))*100,0))</f>
        <v/>
      </c>
      <c r="J31" s="44" t="str">
        <f>IF($C31="","",IFERROR(IF(ISNA($H31/VLOOKUP($C31,Données!$C$19:'Données'!$I$48,6,0)), ,$H31/VLOOKUP($C31,Données!$C$19:'Données'!$I$48,6,0)),"/"))</f>
        <v/>
      </c>
      <c r="K31" s="44" t="str">
        <f>IF($C31="","",IFERROR(IF(ISNA($H31/VLOOKUP($C31,Données!$C$19:'Données'!$I$48,7,0)*100), ,$H31/VLOOKUP($C31,Données!$C$19:'Données'!$I$48,7,0)*100),"/"))</f>
        <v/>
      </c>
      <c r="L31" s="91" t="str">
        <f t="shared" si="0"/>
        <v/>
      </c>
      <c r="M31" s="13"/>
      <c r="N31" s="38"/>
      <c r="O31" s="127"/>
      <c r="P31" s="128"/>
      <c r="Q31" s="1"/>
      <c r="R31" s="1"/>
      <c r="S31" s="54" t="str">
        <f>IF($C31="","",IFERROR(IF(ISNA(VLOOKUP($C31,Données!$C$19:'Données'!$I$48,6,0)), ,VLOOKUP($C31,Données!$C$19:'Données'!$I$48,6,0)),"/"))</f>
        <v/>
      </c>
      <c r="T31" s="54" t="str">
        <f>IF($C31="","",IFERROR(IF(ISNA(VLOOKUP($C31,Données!$C$19:'Données'!$I$48,7,0)), ,VLOOKUP($C31,Données!$C$19:'Données'!$I$48,7,0)),"/"))</f>
        <v/>
      </c>
      <c r="U31" s="54" t="str">
        <f>IF($C31="","",IFERROR(IF(ISNA(VLOOKUP($C31,Données!$C$19:'Données'!$I$48,5,0)), ,VLOOKUP($C31,Données!$C$19:'Données'!$I$48,5,0)),"/"))</f>
        <v/>
      </c>
      <c r="V31" s="54" t="str">
        <f t="shared" ref="V31:V43" si="6">IF($C31="","",IFERROR(IF(ISNA($D31*$G31), ,$D31*$G31),"/"))</f>
        <v/>
      </c>
      <c r="W31" s="49">
        <f t="shared" si="1"/>
        <v>0</v>
      </c>
      <c r="X31" s="49">
        <f t="shared" si="2"/>
        <v>0</v>
      </c>
      <c r="Y31" s="116" t="s">
        <v>97</v>
      </c>
      <c r="Z31" s="116" t="str">
        <f t="shared" si="3"/>
        <v/>
      </c>
      <c r="AA31" s="49" t="str">
        <f>TEXT('Feuille Saisie'!$B$4,"aaaa")</f>
        <v>2019</v>
      </c>
      <c r="AB31" s="49" t="str">
        <f t="shared" si="4"/>
        <v/>
      </c>
      <c r="AC31" s="49">
        <f t="shared" si="5"/>
        <v>0</v>
      </c>
      <c r="AD31" s="67"/>
      <c r="AE31" s="67"/>
    </row>
    <row r="32" spans="1:31" ht="50.1" customHeight="1" x14ac:dyDescent="0.25">
      <c r="A32" s="1"/>
      <c r="B32" s="1"/>
      <c r="C32" s="15"/>
      <c r="D32" s="41" t="str">
        <f>IF($C32="","",IFERROR(IF(ISNA(VLOOKUP($C32,'Phase GPA'!$C$29:'Phase GPA'!$U$58,10,0)), ,VLOOKUP($C32,'Phase GPA'!$C$29:'Phase GPA'!$U$58,10,0)),0))</f>
        <v/>
      </c>
      <c r="E32" s="42" t="str">
        <f>IF($C32="","",IFERROR(IF(ISNA($D32/S29RECHERCHEV($C32,Données!$C$19:'Données'!$I$48,6,0)), ,$D32/VLOOKUP($C32,Données!$C$19:'Données'!$I$48,6,0)),"/"))</f>
        <v/>
      </c>
      <c r="F32" s="42" t="str">
        <f>IF($C32="","",IFERROR(IF(ISNA($D32/VLOOKUP($C32,Données!$C$19:'Données'!$I$48,7,0)*100), ,$D32/VLOOKUP($C32,Données!$C$19:'Données'!$I$48,7,0)*100),"/"))</f>
        <v/>
      </c>
      <c r="G32" s="41" t="str">
        <f>IF($D32=0,"/",IF($C32="","",IFERROR(IF(ISNA(VLOOKUP($C32,'Phase GPA'!$C$29:'Phase GPA'!$U$58,11,0)), ,VLOOKUP($C32,'Phase GPA'!$C$29:'Phase GPA'!$U$58,11,0)),0)))</f>
        <v/>
      </c>
      <c r="H32" s="43" t="str">
        <f>IF($C32="","",IFERROR(IF(ISNA(VLOOKUP($C32,'Phase GPA'!$C$29:'Phase GPA'!$U$58,12,0)), ,VLOOKUP($C32,'Phase GPA'!$C$29:'Phase GPA'!$U$58,12,0)),0))</f>
        <v/>
      </c>
      <c r="I32" s="44" t="str">
        <f>IF($C32="","",IFERROR(IF(ISNA($H32/VLOOKUP($C32,Données!$C$19:'Données'!$I$48,5,0)), ,$H32/VLOOKUP($C32,Données!$C$19:'Données'!$I$48,5,0))*100,0))</f>
        <v/>
      </c>
      <c r="J32" s="44" t="str">
        <f>IF($C32="","",IFERROR(IF(ISNA($H32/VLOOKUP($C32,Données!$C$19:'Données'!$I$48,6,0)), ,$H32/VLOOKUP($C32,Données!$C$19:'Données'!$I$48,6,0)),"/"))</f>
        <v/>
      </c>
      <c r="K32" s="44" t="str">
        <f>IF($C32="","",IFERROR(IF(ISNA($H32/VLOOKUP($C32,Données!$C$19:'Données'!$I$48,7,0)*100), ,$H32/VLOOKUP($C32,Données!$C$19:'Données'!$I$48,7,0)*100),"/"))</f>
        <v/>
      </c>
      <c r="L32" s="91" t="str">
        <f t="shared" si="0"/>
        <v/>
      </c>
      <c r="M32" s="13"/>
      <c r="N32" s="38"/>
      <c r="O32" s="127"/>
      <c r="P32" s="128"/>
      <c r="Q32" s="1"/>
      <c r="R32" s="1"/>
      <c r="S32" s="54" t="str">
        <f>IF($C32="","",IFERROR(IF(ISNA(VLOOKUP($C32,Données!$C$19:'Données'!$I$48,6,0)), ,VLOOKUP($C32,Données!$C$19:'Données'!$I$48,6,0)),"/"))</f>
        <v/>
      </c>
      <c r="T32" s="54" t="str">
        <f>IF($C32="","",IFERROR(IF(ISNA(VLOOKUP($C32,Données!$C$19:'Données'!$I$48,7,0)), ,VLOOKUP($C32,Données!$C$19:'Données'!$I$48,7,0)),"/"))</f>
        <v/>
      </c>
      <c r="U32" s="54" t="str">
        <f>IF($C32="","",IFERROR(IF(ISNA(VLOOKUP($C32,Données!$C$19:'Données'!$I$48,5,0)), ,VLOOKUP($C32,Données!$C$19:'Données'!$I$48,5,0)),"/"))</f>
        <v/>
      </c>
      <c r="V32" s="54" t="str">
        <f t="shared" si="6"/>
        <v/>
      </c>
      <c r="W32" s="49">
        <f t="shared" si="1"/>
        <v>0</v>
      </c>
      <c r="X32" s="49">
        <f t="shared" si="2"/>
        <v>0</v>
      </c>
      <c r="Y32" s="116" t="s">
        <v>97</v>
      </c>
      <c r="Z32" s="116" t="str">
        <f t="shared" si="3"/>
        <v/>
      </c>
      <c r="AA32" s="49" t="str">
        <f>TEXT('Feuille Saisie'!$B$4,"aaaa")</f>
        <v>2019</v>
      </c>
      <c r="AB32" s="49" t="str">
        <f t="shared" si="4"/>
        <v/>
      </c>
      <c r="AC32" s="49">
        <f t="shared" si="5"/>
        <v>0</v>
      </c>
      <c r="AD32" s="67"/>
      <c r="AE32" s="67"/>
    </row>
    <row r="33" spans="1:31" ht="50.1" customHeight="1" x14ac:dyDescent="0.25">
      <c r="A33" s="1"/>
      <c r="B33" s="1"/>
      <c r="C33" s="15"/>
      <c r="D33" s="41" t="str">
        <f>IF($C33="","",IFERROR(IF(ISNA(VLOOKUP($C33,'Phase GPA'!$C$29:'Phase GPA'!$U$58,10,0)), ,VLOOKUP($C33,'Phase GPA'!$C$29:'Phase GPA'!$U$58,10,0)),0))</f>
        <v/>
      </c>
      <c r="E33" s="42" t="str">
        <f>IF($C33="","",IFERROR(IF(ISNA($D33/S29RECHERCHEV($C33,Données!$C$19:'Données'!$I$48,6,0)), ,$D33/VLOOKUP($C33,Données!$C$19:'Données'!$I$48,6,0)),"/"))</f>
        <v/>
      </c>
      <c r="F33" s="42" t="str">
        <f>IF($C33="","",IFERROR(IF(ISNA($D33/VLOOKUP($C33,Données!$C$19:'Données'!$I$48,7,0)*100), ,$D33/VLOOKUP($C33,Données!$C$19:'Données'!$I$48,7,0)*100),"/"))</f>
        <v/>
      </c>
      <c r="G33" s="41" t="str">
        <f>IF($D33=0,"/",IF($C33="","",IFERROR(IF(ISNA(VLOOKUP($C33,'Phase GPA'!$C$29:'Phase GPA'!$U$58,11,0)), ,VLOOKUP($C33,'Phase GPA'!$C$29:'Phase GPA'!$U$58,11,0)),0)))</f>
        <v/>
      </c>
      <c r="H33" s="43" t="str">
        <f>IF($C33="","",IFERROR(IF(ISNA(VLOOKUP($C33,'Phase GPA'!$C$29:'Phase GPA'!$U$58,12,0)), ,VLOOKUP($C33,'Phase GPA'!$C$29:'Phase GPA'!$U$58,12,0)),0))</f>
        <v/>
      </c>
      <c r="I33" s="44" t="str">
        <f>IF($C33="","",IFERROR(IF(ISNA($H33/VLOOKUP($C33,Données!$C$19:'Données'!$I$48,5,0)), ,$H33/VLOOKUP($C33,Données!$C$19:'Données'!$I$48,5,0))*100,0))</f>
        <v/>
      </c>
      <c r="J33" s="44" t="str">
        <f>IF($C33="","",IFERROR(IF(ISNA($H33/VLOOKUP($C33,Données!$C$19:'Données'!$I$48,6,0)), ,$H33/VLOOKUP($C33,Données!$C$19:'Données'!$I$48,6,0)),"/"))</f>
        <v/>
      </c>
      <c r="K33" s="44" t="str">
        <f>IF($C33="","",IFERROR(IF(ISNA($H33/VLOOKUP($C33,Données!$C$19:'Données'!$I$48,7,0)*100), ,$H33/VLOOKUP($C33,Données!$C$19:'Données'!$I$48,7,0)*100),"/"))</f>
        <v/>
      </c>
      <c r="L33" s="91" t="str">
        <f t="shared" si="0"/>
        <v/>
      </c>
      <c r="M33" s="13"/>
      <c r="N33" s="38"/>
      <c r="O33" s="127"/>
      <c r="P33" s="128"/>
      <c r="Q33" s="1"/>
      <c r="R33" s="1"/>
      <c r="S33" s="54" t="str">
        <f>IF($C33="","",IFERROR(IF(ISNA(VLOOKUP($C33,Données!$C$19:'Données'!$I$48,6,0)), ,VLOOKUP($C33,Données!$C$19:'Données'!$I$48,6,0)),"/"))</f>
        <v/>
      </c>
      <c r="T33" s="54" t="str">
        <f>IF($C33="","",IFERROR(IF(ISNA(VLOOKUP($C33,Données!$C$19:'Données'!$I$48,7,0)), ,VLOOKUP($C33,Données!$C$19:'Données'!$I$48,7,0)),"/"))</f>
        <v/>
      </c>
      <c r="U33" s="54" t="str">
        <f>IF($C33="","",IFERROR(IF(ISNA(VLOOKUP($C33,Données!$C$19:'Données'!$I$48,5,0)), ,VLOOKUP($C33,Données!$C$19:'Données'!$I$48,5,0)),"/"))</f>
        <v/>
      </c>
      <c r="V33" s="54" t="str">
        <f t="shared" si="6"/>
        <v/>
      </c>
      <c r="W33" s="49">
        <f t="shared" si="1"/>
        <v>0</v>
      </c>
      <c r="X33" s="49">
        <f t="shared" si="2"/>
        <v>0</v>
      </c>
      <c r="Y33" s="116" t="s">
        <v>97</v>
      </c>
      <c r="Z33" s="116" t="str">
        <f t="shared" si="3"/>
        <v/>
      </c>
      <c r="AA33" s="49" t="str">
        <f>TEXT('Feuille Saisie'!$B$4,"aaaa")</f>
        <v>2019</v>
      </c>
      <c r="AB33" s="49" t="str">
        <f t="shared" si="4"/>
        <v/>
      </c>
      <c r="AC33" s="49">
        <f t="shared" si="5"/>
        <v>0</v>
      </c>
      <c r="AD33" s="67"/>
      <c r="AE33" s="67"/>
    </row>
    <row r="34" spans="1:31" ht="50.1" customHeight="1" x14ac:dyDescent="0.25">
      <c r="A34" s="1"/>
      <c r="B34" s="1"/>
      <c r="C34" s="15"/>
      <c r="D34" s="41" t="str">
        <f>IF($C34="","",IFERROR(IF(ISNA(VLOOKUP($C34,'Phase GPA'!$C$29:'Phase GPA'!$U$58,10,0)), ,VLOOKUP($C34,'Phase GPA'!$C$29:'Phase GPA'!$U$58,10,0)),0))</f>
        <v/>
      </c>
      <c r="E34" s="42" t="str">
        <f>IF($C34="","",IFERROR(IF(ISNA($D34/S29RECHERCHEV($C34,Données!$C$19:'Données'!$I$48,6,0)), ,$D34/VLOOKUP($C34,Données!$C$19:'Données'!$I$48,6,0)),"/"))</f>
        <v/>
      </c>
      <c r="F34" s="42" t="str">
        <f>IF($C34="","",IFERROR(IF(ISNA($D34/VLOOKUP($C34,Données!$C$19:'Données'!$I$48,7,0)*100), ,$D34/VLOOKUP($C34,Données!$C$19:'Données'!$I$48,7,0)*100),"/"))</f>
        <v/>
      </c>
      <c r="G34" s="41" t="str">
        <f>IF($D34=0,"/",IF($C34="","",IFERROR(IF(ISNA(VLOOKUP($C34,'Phase GPA'!$C$29:'Phase GPA'!$U$58,11,0)), ,VLOOKUP($C34,'Phase GPA'!$C$29:'Phase GPA'!$U$58,11,0)),0)))</f>
        <v/>
      </c>
      <c r="H34" s="43" t="str">
        <f>IF($C34="","",IFERROR(IF(ISNA(VLOOKUP($C34,'Phase GPA'!$C$29:'Phase GPA'!$U$58,12,0)), ,VLOOKUP($C34,'Phase GPA'!$C$29:'Phase GPA'!$U$58,12,0)),0))</f>
        <v/>
      </c>
      <c r="I34" s="44" t="str">
        <f>IF($C34="","",IFERROR(IF(ISNA($H34/VLOOKUP($C34,Données!$C$19:'Données'!$I$48,5,0)), ,$H34/VLOOKUP($C34,Données!$C$19:'Données'!$I$48,5,0))*100,0))</f>
        <v/>
      </c>
      <c r="J34" s="44" t="str">
        <f>IF($C34="","",IFERROR(IF(ISNA($H34/VLOOKUP($C34,Données!$C$19:'Données'!$I$48,6,0)), ,$H34/VLOOKUP($C34,Données!$C$19:'Données'!$I$48,6,0)),"/"))</f>
        <v/>
      </c>
      <c r="K34" s="44" t="str">
        <f>IF($C34="","",IFERROR(IF(ISNA($H34/VLOOKUP($C34,Données!$C$19:'Données'!$I$48,7,0)*100), ,$H34/VLOOKUP($C34,Données!$C$19:'Données'!$I$48,7,0)*100),"/"))</f>
        <v/>
      </c>
      <c r="L34" s="91" t="str">
        <f t="shared" si="0"/>
        <v/>
      </c>
      <c r="M34" s="13"/>
      <c r="N34" s="38"/>
      <c r="O34" s="127"/>
      <c r="P34" s="128"/>
      <c r="Q34" s="1"/>
      <c r="R34" s="1"/>
      <c r="S34" s="54" t="str">
        <f>IF($C34="","",IFERROR(IF(ISNA(VLOOKUP($C34,Données!$C$19:'Données'!$I$48,6,0)), ,VLOOKUP($C34,Données!$C$19:'Données'!$I$48,6,0)),"/"))</f>
        <v/>
      </c>
      <c r="T34" s="54" t="str">
        <f>IF($C34="","",IFERROR(IF(ISNA(VLOOKUP($C34,Données!$C$19:'Données'!$I$48,7,0)), ,VLOOKUP($C34,Données!$C$19:'Données'!$I$48,7,0)),"/"))</f>
        <v/>
      </c>
      <c r="U34" s="54" t="str">
        <f>IF($C34="","",IFERROR(IF(ISNA(VLOOKUP($C34,Données!$C$19:'Données'!$I$48,5,0)), ,VLOOKUP($C34,Données!$C$19:'Données'!$I$48,5,0)),"/"))</f>
        <v/>
      </c>
      <c r="V34" s="54" t="str">
        <f t="shared" si="6"/>
        <v/>
      </c>
      <c r="W34" s="49">
        <f t="shared" si="1"/>
        <v>0</v>
      </c>
      <c r="X34" s="49">
        <f t="shared" si="2"/>
        <v>0</v>
      </c>
      <c r="Y34" s="116" t="s">
        <v>97</v>
      </c>
      <c r="Z34" s="116" t="str">
        <f t="shared" si="3"/>
        <v/>
      </c>
      <c r="AA34" s="49" t="str">
        <f>TEXT('Feuille Saisie'!$B$4,"aaaa")</f>
        <v>2019</v>
      </c>
      <c r="AB34" s="49" t="str">
        <f t="shared" si="4"/>
        <v/>
      </c>
      <c r="AC34" s="49">
        <f t="shared" si="5"/>
        <v>0</v>
      </c>
      <c r="AD34" s="67"/>
      <c r="AE34" s="67"/>
    </row>
    <row r="35" spans="1:31" ht="50.1" customHeight="1" x14ac:dyDescent="0.25">
      <c r="A35" s="1"/>
      <c r="B35" s="1"/>
      <c r="C35" s="15"/>
      <c r="D35" s="41" t="str">
        <f>IF($C35="","",IFERROR(IF(ISNA(VLOOKUP($C35,'Phase GPA'!$C$29:'Phase GPA'!$U$58,10,0)), ,VLOOKUP($C35,'Phase GPA'!$C$29:'Phase GPA'!$U$58,10,0)),0))</f>
        <v/>
      </c>
      <c r="E35" s="42" t="str">
        <f>IF($C35="","",IFERROR(IF(ISNA($D35/S29RECHERCHEV($C35,Données!$C$19:'Données'!$I$48,6,0)), ,$D35/VLOOKUP($C35,Données!$C$19:'Données'!$I$48,6,0)),"/"))</f>
        <v/>
      </c>
      <c r="F35" s="42" t="str">
        <f>IF($C35="","",IFERROR(IF(ISNA($D35/VLOOKUP($C35,Données!$C$19:'Données'!$I$48,7,0)*100), ,$D35/VLOOKUP($C35,Données!$C$19:'Données'!$I$48,7,0)*100),"/"))</f>
        <v/>
      </c>
      <c r="G35" s="41" t="str">
        <f>IF($D35=0,"/",IF($C35="","",IFERROR(IF(ISNA(VLOOKUP($C35,'Phase GPA'!$C$29:'Phase GPA'!$U$58,11,0)), ,VLOOKUP($C35,'Phase GPA'!$C$29:'Phase GPA'!$U$58,11,0)),0)))</f>
        <v/>
      </c>
      <c r="H35" s="43" t="str">
        <f>IF($C35="","",IFERROR(IF(ISNA(VLOOKUP($C35,'Phase GPA'!$C$29:'Phase GPA'!$U$58,12,0)), ,VLOOKUP($C35,'Phase GPA'!$C$29:'Phase GPA'!$U$58,12,0)),0))</f>
        <v/>
      </c>
      <c r="I35" s="44" t="str">
        <f>IF($C35="","",IFERROR(IF(ISNA($H35/VLOOKUP($C35,Données!$C$19:'Données'!$I$48,5,0)), ,$H35/VLOOKUP($C35,Données!$C$19:'Données'!$I$48,5,0))*100,0))</f>
        <v/>
      </c>
      <c r="J35" s="44" t="str">
        <f>IF($C35="","",IFERROR(IF(ISNA($H35/VLOOKUP($C35,Données!$C$19:'Données'!$I$48,6,0)), ,$H35/VLOOKUP($C35,Données!$C$19:'Données'!$I$48,6,0)),"/"))</f>
        <v/>
      </c>
      <c r="K35" s="44" t="str">
        <f>IF($C35="","",IFERROR(IF(ISNA($H35/VLOOKUP($C35,Données!$C$19:'Données'!$I$48,7,0)*100), ,$H35/VLOOKUP($C35,Données!$C$19:'Données'!$I$48,7,0)*100),"/"))</f>
        <v/>
      </c>
      <c r="L35" s="91" t="str">
        <f t="shared" si="0"/>
        <v/>
      </c>
      <c r="M35" s="13"/>
      <c r="N35" s="38"/>
      <c r="O35" s="127"/>
      <c r="P35" s="128"/>
      <c r="Q35" s="1"/>
      <c r="R35" s="1"/>
      <c r="S35" s="54" t="str">
        <f>IF($C35="","",IFERROR(IF(ISNA(VLOOKUP($C35,Données!$C$19:'Données'!$I$48,6,0)), ,VLOOKUP($C35,Données!$C$19:'Données'!$I$48,6,0)),"/"))</f>
        <v/>
      </c>
      <c r="T35" s="54" t="str">
        <f>IF($C35="","",IFERROR(IF(ISNA(VLOOKUP($C35,Données!$C$19:'Données'!$I$48,7,0)), ,VLOOKUP($C35,Données!$C$19:'Données'!$I$48,7,0)),"/"))</f>
        <v/>
      </c>
      <c r="U35" s="54" t="str">
        <f>IF($C35="","",IFERROR(IF(ISNA(VLOOKUP($C35,Données!$C$19:'Données'!$I$48,5,0)), ,VLOOKUP($C35,Données!$C$19:'Données'!$I$48,5,0)),"/"))</f>
        <v/>
      </c>
      <c r="V35" s="54" t="str">
        <f t="shared" si="6"/>
        <v/>
      </c>
      <c r="W35" s="49">
        <f t="shared" si="1"/>
        <v>0</v>
      </c>
      <c r="X35" s="49">
        <f t="shared" si="2"/>
        <v>0</v>
      </c>
      <c r="Y35" s="116" t="s">
        <v>97</v>
      </c>
      <c r="Z35" s="116" t="str">
        <f t="shared" si="3"/>
        <v/>
      </c>
      <c r="AA35" s="49" t="str">
        <f>TEXT('Feuille Saisie'!$B$4,"aaaa")</f>
        <v>2019</v>
      </c>
      <c r="AB35" s="49" t="str">
        <f t="shared" si="4"/>
        <v/>
      </c>
      <c r="AC35" s="49">
        <f t="shared" si="5"/>
        <v>0</v>
      </c>
      <c r="AD35" s="67"/>
      <c r="AE35" s="67"/>
    </row>
    <row r="36" spans="1:31" ht="50.1" customHeight="1" x14ac:dyDescent="0.25">
      <c r="A36" s="1"/>
      <c r="B36" s="1"/>
      <c r="C36" s="15"/>
      <c r="D36" s="41" t="str">
        <f>IF($C36="","",IFERROR(IF(ISNA(VLOOKUP($C36,'Phase GPA'!$C$29:'Phase GPA'!$U$58,10,0)), ,VLOOKUP($C36,'Phase GPA'!$C$29:'Phase GPA'!$U$58,10,0)),0))</f>
        <v/>
      </c>
      <c r="E36" s="42" t="str">
        <f>IF($C36="","",IFERROR(IF(ISNA($D36/S29RECHERCHEV($C36,Données!$C$19:'Données'!$I$48,6,0)), ,$D36/VLOOKUP($C36,Données!$C$19:'Données'!$I$48,6,0)),"/"))</f>
        <v/>
      </c>
      <c r="F36" s="42" t="str">
        <f>IF($C36="","",IFERROR(IF(ISNA($D36/VLOOKUP($C36,Données!$C$19:'Données'!$I$48,7,0)*100), ,$D36/VLOOKUP($C36,Données!$C$19:'Données'!$I$48,7,0)*100),"/"))</f>
        <v/>
      </c>
      <c r="G36" s="41" t="str">
        <f>IF($D36=0,"/",IF($C36="","",IFERROR(IF(ISNA(VLOOKUP($C36,'Phase GPA'!$C$29:'Phase GPA'!$U$58,11,0)), ,VLOOKUP($C36,'Phase GPA'!$C$29:'Phase GPA'!$U$58,11,0)),0)))</f>
        <v/>
      </c>
      <c r="H36" s="43" t="str">
        <f>IF($C36="","",IFERROR(IF(ISNA(VLOOKUP($C36,'Phase GPA'!$C$29:'Phase GPA'!$U$58,12,0)), ,VLOOKUP($C36,'Phase GPA'!$C$29:'Phase GPA'!$U$58,12,0)),0))</f>
        <v/>
      </c>
      <c r="I36" s="44" t="str">
        <f>IF($C36="","",IFERROR(IF(ISNA($H36/VLOOKUP($C36,Données!$C$19:'Données'!$I$48,5,0)), ,$H36/VLOOKUP($C36,Données!$C$19:'Données'!$I$48,5,0))*100,0))</f>
        <v/>
      </c>
      <c r="J36" s="44" t="str">
        <f>IF($C36="","",IFERROR(IF(ISNA($H36/VLOOKUP($C36,Données!$C$19:'Données'!$I$48,6,0)), ,$H36/VLOOKUP($C36,Données!$C$19:'Données'!$I$48,6,0)),"/"))</f>
        <v/>
      </c>
      <c r="K36" s="44" t="str">
        <f>IF($C36="","",IFERROR(IF(ISNA($H36/VLOOKUP($C36,Données!$C$19:'Données'!$I$48,7,0)*100), ,$H36/VLOOKUP($C36,Données!$C$19:'Données'!$I$48,7,0)*100),"/"))</f>
        <v/>
      </c>
      <c r="L36" s="91" t="str">
        <f t="shared" si="0"/>
        <v/>
      </c>
      <c r="M36" s="13"/>
      <c r="N36" s="38"/>
      <c r="O36" s="127"/>
      <c r="P36" s="128"/>
      <c r="Q36" s="1"/>
      <c r="R36" s="1"/>
      <c r="S36" s="54" t="str">
        <f>IF($C36="","",IFERROR(IF(ISNA(VLOOKUP($C36,Données!$C$19:'Données'!$I$48,6,0)), ,VLOOKUP($C36,Données!$C$19:'Données'!$I$48,6,0)),"/"))</f>
        <v/>
      </c>
      <c r="T36" s="54" t="str">
        <f>IF($C36="","",IFERROR(IF(ISNA(VLOOKUP($C36,Données!$C$19:'Données'!$I$48,7,0)), ,VLOOKUP($C36,Données!$C$19:'Données'!$I$48,7,0)),"/"))</f>
        <v/>
      </c>
      <c r="U36" s="54" t="str">
        <f>IF($C36="","",IFERROR(IF(ISNA(VLOOKUP($C36,Données!$C$19:'Données'!$I$48,5,0)), ,VLOOKUP($C36,Données!$C$19:'Données'!$I$48,5,0)),"/"))</f>
        <v/>
      </c>
      <c r="V36" s="54" t="str">
        <f t="shared" si="6"/>
        <v/>
      </c>
      <c r="W36" s="49">
        <f t="shared" si="1"/>
        <v>0</v>
      </c>
      <c r="X36" s="49">
        <f t="shared" si="2"/>
        <v>0</v>
      </c>
      <c r="Y36" s="116" t="s">
        <v>97</v>
      </c>
      <c r="Z36" s="116" t="str">
        <f t="shared" si="3"/>
        <v/>
      </c>
      <c r="AA36" s="49" t="str">
        <f>TEXT('Feuille Saisie'!$B$4,"aaaa")</f>
        <v>2019</v>
      </c>
      <c r="AB36" s="49" t="str">
        <f t="shared" si="4"/>
        <v/>
      </c>
      <c r="AC36" s="49">
        <f t="shared" si="5"/>
        <v>0</v>
      </c>
      <c r="AD36" s="67"/>
      <c r="AE36" s="67"/>
    </row>
    <row r="37" spans="1:31" ht="50.1" customHeight="1" x14ac:dyDescent="0.25">
      <c r="A37" s="1"/>
      <c r="B37" s="1"/>
      <c r="C37" s="15"/>
      <c r="D37" s="41" t="str">
        <f>IF($C37="","",IFERROR(IF(ISNA(VLOOKUP($C37,'Phase GPA'!$C$29:'Phase GPA'!$U$58,10,0)), ,VLOOKUP($C37,'Phase GPA'!$C$29:'Phase GPA'!$U$58,10,0)),0))</f>
        <v/>
      </c>
      <c r="E37" s="42" t="str">
        <f>IF($C37="","",IFERROR(IF(ISNA($D37/S29RECHERCHEV($C37,Données!$C$19:'Données'!$I$48,6,0)), ,$D37/VLOOKUP($C37,Données!$C$19:'Données'!$I$48,6,0)),"/"))</f>
        <v/>
      </c>
      <c r="F37" s="42" t="str">
        <f>IF($C37="","",IFERROR(IF(ISNA($D37/VLOOKUP($C37,Données!$C$19:'Données'!$I$48,7,0)*100), ,$D37/VLOOKUP($C37,Données!$C$19:'Données'!$I$48,7,0)*100),"/"))</f>
        <v/>
      </c>
      <c r="G37" s="41" t="str">
        <f>IF($D37=0,"/",IF($C37="","",IFERROR(IF(ISNA(VLOOKUP($C37,'Phase GPA'!$C$29:'Phase GPA'!$U$58,11,0)), ,VLOOKUP($C37,'Phase GPA'!$C$29:'Phase GPA'!$U$58,11,0)),0)))</f>
        <v/>
      </c>
      <c r="H37" s="43" t="str">
        <f>IF($C37="","",IFERROR(IF(ISNA(VLOOKUP($C37,'Phase GPA'!$C$29:'Phase GPA'!$U$58,12,0)), ,VLOOKUP($C37,'Phase GPA'!$C$29:'Phase GPA'!$U$58,12,0)),0))</f>
        <v/>
      </c>
      <c r="I37" s="44" t="str">
        <f>IF($C37="","",IFERROR(IF(ISNA($H37/VLOOKUP($C37,Données!$C$19:'Données'!$I$48,5,0)), ,$H37/VLOOKUP($C37,Données!$C$19:'Données'!$I$48,5,0))*100,0))</f>
        <v/>
      </c>
      <c r="J37" s="44" t="str">
        <f>IF($C37="","",IFERROR(IF(ISNA($H37/VLOOKUP($C37,Données!$C$19:'Données'!$I$48,6,0)), ,$H37/VLOOKUP($C37,Données!$C$19:'Données'!$I$48,6,0)),"/"))</f>
        <v/>
      </c>
      <c r="K37" s="44" t="str">
        <f>IF($C37="","",IFERROR(IF(ISNA($H37/VLOOKUP($C37,Données!$C$19:'Données'!$I$48,7,0)*100), ,$H37/VLOOKUP($C37,Données!$C$19:'Données'!$I$48,7,0)*100),"/"))</f>
        <v/>
      </c>
      <c r="L37" s="91" t="str">
        <f t="shared" si="0"/>
        <v/>
      </c>
      <c r="M37" s="13"/>
      <c r="N37" s="38"/>
      <c r="O37" s="127"/>
      <c r="P37" s="128"/>
      <c r="Q37" s="1"/>
      <c r="R37" s="1"/>
      <c r="S37" s="54" t="str">
        <f>IF($C37="","",IFERROR(IF(ISNA(VLOOKUP($C37,Données!$C$19:'Données'!$I$48,6,0)), ,VLOOKUP($C37,Données!$C$19:'Données'!$I$48,6,0)),"/"))</f>
        <v/>
      </c>
      <c r="T37" s="54" t="str">
        <f>IF($C37="","",IFERROR(IF(ISNA(VLOOKUP($C37,Données!$C$19:'Données'!$I$48,7,0)), ,VLOOKUP($C37,Données!$C$19:'Données'!$I$48,7,0)),"/"))</f>
        <v/>
      </c>
      <c r="U37" s="54" t="str">
        <f>IF($C37="","",IFERROR(IF(ISNA(VLOOKUP($C37,Données!$C$19:'Données'!$I$48,5,0)), ,VLOOKUP($C37,Données!$C$19:'Données'!$I$48,5,0)),"/"))</f>
        <v/>
      </c>
      <c r="V37" s="54" t="str">
        <f t="shared" si="6"/>
        <v/>
      </c>
      <c r="W37" s="49">
        <f t="shared" si="1"/>
        <v>0</v>
      </c>
      <c r="X37" s="49">
        <f t="shared" si="2"/>
        <v>0</v>
      </c>
      <c r="Y37" s="116" t="s">
        <v>97</v>
      </c>
      <c r="Z37" s="116" t="str">
        <f t="shared" si="3"/>
        <v/>
      </c>
      <c r="AA37" s="49" t="str">
        <f>TEXT('Feuille Saisie'!$B$4,"aaaa")</f>
        <v>2019</v>
      </c>
      <c r="AB37" s="49" t="str">
        <f t="shared" si="4"/>
        <v/>
      </c>
      <c r="AC37" s="49">
        <f t="shared" si="5"/>
        <v>0</v>
      </c>
      <c r="AD37" s="67"/>
      <c r="AE37" s="67"/>
    </row>
    <row r="38" spans="1:31" ht="50.1" customHeight="1" x14ac:dyDescent="0.25">
      <c r="A38" s="1"/>
      <c r="B38" s="1"/>
      <c r="C38" s="15"/>
      <c r="D38" s="41" t="str">
        <f>IF($C38="","",IFERROR(IF(ISNA(VLOOKUP($C38,'Phase GPA'!$C$29:'Phase GPA'!$U$58,10,0)), ,VLOOKUP($C38,'Phase GPA'!$C$29:'Phase GPA'!$U$58,10,0)),0))</f>
        <v/>
      </c>
      <c r="E38" s="42" t="str">
        <f>IF($C38="","",IFERROR(IF(ISNA($D38/S29RECHERCHEV($C38,Données!$C$19:'Données'!$I$48,6,0)), ,$D38/VLOOKUP($C38,Données!$C$19:'Données'!$I$48,6,0)),"/"))</f>
        <v/>
      </c>
      <c r="F38" s="42" t="str">
        <f>IF($C38="","",IFERROR(IF(ISNA($D38/VLOOKUP($C38,Données!$C$19:'Données'!$I$48,7,0)*100), ,$D38/VLOOKUP($C38,Données!$C$19:'Données'!$I$48,7,0)*100),"/"))</f>
        <v/>
      </c>
      <c r="G38" s="41" t="str">
        <f>IF($D38=0,"/",IF($C38="","",IFERROR(IF(ISNA(VLOOKUP($C38,'Phase GPA'!$C$29:'Phase GPA'!$U$58,11,0)), ,VLOOKUP($C38,'Phase GPA'!$C$29:'Phase GPA'!$U$58,11,0)),0)))</f>
        <v/>
      </c>
      <c r="H38" s="43" t="str">
        <f>IF($C38="","",IFERROR(IF(ISNA(VLOOKUP($C38,'Phase GPA'!$C$29:'Phase GPA'!$U$58,12,0)), ,VLOOKUP($C38,'Phase GPA'!$C$29:'Phase GPA'!$U$58,12,0)),0))</f>
        <v/>
      </c>
      <c r="I38" s="44" t="str">
        <f>IF($C38="","",IFERROR(IF(ISNA($H38/VLOOKUP($C38,Données!$C$19:'Données'!$I$48,5,0)), ,$H38/VLOOKUP($C38,Données!$C$19:'Données'!$I$48,5,0))*100,0))</f>
        <v/>
      </c>
      <c r="J38" s="44" t="str">
        <f>IF($C38="","",IFERROR(IF(ISNA($H38/VLOOKUP($C38,Données!$C$19:'Données'!$I$48,6,0)), ,$H38/VLOOKUP($C38,Données!$C$19:'Données'!$I$48,6,0)),"/"))</f>
        <v/>
      </c>
      <c r="K38" s="44" t="str">
        <f>IF($C38="","",IFERROR(IF(ISNA($H38/VLOOKUP($C38,Données!$C$19:'Données'!$I$48,7,0)*100), ,$H38/VLOOKUP($C38,Données!$C$19:'Données'!$I$48,7,0)*100),"/"))</f>
        <v/>
      </c>
      <c r="L38" s="91" t="str">
        <f t="shared" si="0"/>
        <v/>
      </c>
      <c r="M38" s="13"/>
      <c r="N38" s="38"/>
      <c r="O38" s="127"/>
      <c r="P38" s="128"/>
      <c r="Q38" s="1"/>
      <c r="R38" s="1"/>
      <c r="S38" s="54" t="str">
        <f>IF($C38="","",IFERROR(IF(ISNA(VLOOKUP($C38,Données!$C$19:'Données'!$I$48,6,0)), ,VLOOKUP($C38,Données!$C$19:'Données'!$I$48,6,0)),"/"))</f>
        <v/>
      </c>
      <c r="T38" s="54" t="str">
        <f>IF($C38="","",IFERROR(IF(ISNA(VLOOKUP($C38,Données!$C$19:'Données'!$I$48,7,0)), ,VLOOKUP($C38,Données!$C$19:'Données'!$I$48,7,0)),"/"))</f>
        <v/>
      </c>
      <c r="U38" s="54" t="str">
        <f>IF($C38="","",IFERROR(IF(ISNA(VLOOKUP($C38,Données!$C$19:'Données'!$I$48,5,0)), ,VLOOKUP($C38,Données!$C$19:'Données'!$I$48,5,0)),"/"))</f>
        <v/>
      </c>
      <c r="V38" s="54" t="str">
        <f t="shared" si="6"/>
        <v/>
      </c>
      <c r="W38" s="49">
        <f t="shared" si="1"/>
        <v>0</v>
      </c>
      <c r="X38" s="49">
        <f t="shared" si="2"/>
        <v>0</v>
      </c>
      <c r="Y38" s="116" t="s">
        <v>97</v>
      </c>
      <c r="Z38" s="116" t="str">
        <f t="shared" si="3"/>
        <v/>
      </c>
      <c r="AA38" s="49" t="str">
        <f>TEXT('Feuille Saisie'!$B$4,"aaaa")</f>
        <v>2019</v>
      </c>
      <c r="AB38" s="49" t="str">
        <f t="shared" si="4"/>
        <v/>
      </c>
      <c r="AC38" s="49">
        <f t="shared" si="5"/>
        <v>0</v>
      </c>
      <c r="AD38" s="67"/>
      <c r="AE38" s="67"/>
    </row>
    <row r="39" spans="1:31" ht="50.1" customHeight="1" x14ac:dyDescent="0.25">
      <c r="A39" s="1"/>
      <c r="B39" s="1"/>
      <c r="C39" s="15"/>
      <c r="D39" s="41" t="str">
        <f>IF($C39="","",IFERROR(IF(ISNA(VLOOKUP($C39,'Phase GPA'!$C$29:'Phase GPA'!$U$58,10,0)), ,VLOOKUP($C39,'Phase GPA'!$C$29:'Phase GPA'!$U$58,10,0)),0))</f>
        <v/>
      </c>
      <c r="E39" s="42" t="str">
        <f>IF($C39="","",IFERROR(IF(ISNA($D39/S29RECHERCHEV($C39,Données!$C$19:'Données'!$I$48,6,0)), ,$D39/VLOOKUP($C39,Données!$C$19:'Données'!$I$48,6,0)),"/"))</f>
        <v/>
      </c>
      <c r="F39" s="42" t="str">
        <f>IF($C39="","",IFERROR(IF(ISNA($D39/VLOOKUP($C39,Données!$C$19:'Données'!$I$48,7,0)*100), ,$D39/VLOOKUP($C39,Données!$C$19:'Données'!$I$48,7,0)*100),"/"))</f>
        <v/>
      </c>
      <c r="G39" s="41" t="str">
        <f>IF($D39=0,"/",IF($C39="","",IFERROR(IF(ISNA(VLOOKUP($C39,'Phase GPA'!$C$29:'Phase GPA'!$U$58,11,0)), ,VLOOKUP($C39,'Phase GPA'!$C$29:'Phase GPA'!$U$58,11,0)),0)))</f>
        <v/>
      </c>
      <c r="H39" s="43" t="str">
        <f>IF($C39="","",IFERROR(IF(ISNA(VLOOKUP($C39,'Phase GPA'!$C$29:'Phase GPA'!$U$58,12,0)), ,VLOOKUP($C39,'Phase GPA'!$C$29:'Phase GPA'!$U$58,12,0)),0))</f>
        <v/>
      </c>
      <c r="I39" s="44" t="str">
        <f>IF($C39="","",IFERROR(IF(ISNA($H39/VLOOKUP($C39,Données!$C$19:'Données'!$I$48,5,0)), ,$H39/VLOOKUP($C39,Données!$C$19:'Données'!$I$48,5,0))*100,0))</f>
        <v/>
      </c>
      <c r="J39" s="44" t="str">
        <f>IF($C39="","",IFERROR(IF(ISNA($H39/VLOOKUP($C39,Données!$C$19:'Données'!$I$48,6,0)), ,$H39/VLOOKUP($C39,Données!$C$19:'Données'!$I$48,6,0)),"/"))</f>
        <v/>
      </c>
      <c r="K39" s="44" t="str">
        <f>IF($C39="","",IFERROR(IF(ISNA($H39/VLOOKUP($C39,Données!$C$19:'Données'!$I$48,7,0)*100), ,$H39/VLOOKUP($C39,Données!$C$19:'Données'!$I$48,7,0)*100),"/"))</f>
        <v/>
      </c>
      <c r="L39" s="91" t="str">
        <f t="shared" si="0"/>
        <v/>
      </c>
      <c r="M39" s="13"/>
      <c r="N39" s="38"/>
      <c r="O39" s="127"/>
      <c r="P39" s="128"/>
      <c r="Q39" s="1"/>
      <c r="R39" s="1"/>
      <c r="S39" s="54" t="str">
        <f>IF($C39="","",IFERROR(IF(ISNA(VLOOKUP($C39,Données!$C$19:'Données'!$I$48,6,0)), ,VLOOKUP($C39,Données!$C$19:'Données'!$I$48,6,0)),"/"))</f>
        <v/>
      </c>
      <c r="T39" s="54" t="str">
        <f>IF($C39="","",IFERROR(IF(ISNA(VLOOKUP($C39,Données!$C$19:'Données'!$I$48,7,0)), ,VLOOKUP($C39,Données!$C$19:'Données'!$I$48,7,0)),"/"))</f>
        <v/>
      </c>
      <c r="U39" s="54" t="str">
        <f>IF($C39="","",IFERROR(IF(ISNA(VLOOKUP($C39,Données!$C$19:'Données'!$I$48,5,0)), ,VLOOKUP($C39,Données!$C$19:'Données'!$I$48,5,0)),"/"))</f>
        <v/>
      </c>
      <c r="V39" s="54" t="str">
        <f t="shared" si="6"/>
        <v/>
      </c>
      <c r="W39" s="49">
        <f t="shared" si="1"/>
        <v>0</v>
      </c>
      <c r="X39" s="49">
        <f t="shared" si="2"/>
        <v>0</v>
      </c>
      <c r="Y39" s="116" t="s">
        <v>97</v>
      </c>
      <c r="Z39" s="116" t="str">
        <f t="shared" si="3"/>
        <v/>
      </c>
      <c r="AA39" s="49" t="str">
        <f>TEXT('Feuille Saisie'!$B$4,"aaaa")</f>
        <v>2019</v>
      </c>
      <c r="AB39" s="49" t="str">
        <f t="shared" si="4"/>
        <v/>
      </c>
      <c r="AC39" s="49">
        <f t="shared" si="5"/>
        <v>0</v>
      </c>
      <c r="AD39" s="67"/>
      <c r="AE39" s="67"/>
    </row>
    <row r="40" spans="1:31" ht="50.1" customHeight="1" x14ac:dyDescent="0.25">
      <c r="A40" s="1"/>
      <c r="B40" s="1"/>
      <c r="C40" s="15"/>
      <c r="D40" s="41" t="str">
        <f>IF($C40="","",IFERROR(IF(ISNA(VLOOKUP($C40,'Phase GPA'!$C$29:'Phase GPA'!$U$58,10,0)), ,VLOOKUP($C40,'Phase GPA'!$C$29:'Phase GPA'!$U$58,10,0)),0))</f>
        <v/>
      </c>
      <c r="E40" s="42" t="str">
        <f>IF($C40="","",IFERROR(IF(ISNA($D40/S29RECHERCHEV($C40,Données!$C$19:'Données'!$I$48,6,0)), ,$D40/VLOOKUP($C40,Données!$C$19:'Données'!$I$48,6,0)),"/"))</f>
        <v/>
      </c>
      <c r="F40" s="42" t="str">
        <f>IF($C40="","",IFERROR(IF(ISNA($D40/VLOOKUP($C40,Données!$C$19:'Données'!$I$48,7,0)*100), ,$D40/VLOOKUP($C40,Données!$C$19:'Données'!$I$48,7,0)*100),"/"))</f>
        <v/>
      </c>
      <c r="G40" s="41" t="str">
        <f>IF($D40=0,"/",IF($C40="","",IFERROR(IF(ISNA(VLOOKUP($C40,'Phase GPA'!$C$29:'Phase GPA'!$U$58,11,0)), ,VLOOKUP($C40,'Phase GPA'!$C$29:'Phase GPA'!$U$58,11,0)),0)))</f>
        <v/>
      </c>
      <c r="H40" s="43" t="str">
        <f>IF($C40="","",IFERROR(IF(ISNA(VLOOKUP($C40,'Phase GPA'!$C$29:'Phase GPA'!$U$58,12,0)), ,VLOOKUP($C40,'Phase GPA'!$C$29:'Phase GPA'!$U$58,12,0)),0))</f>
        <v/>
      </c>
      <c r="I40" s="44" t="str">
        <f>IF($C40="","",IFERROR(IF(ISNA($H40/VLOOKUP($C40,Données!$C$19:'Données'!$I$48,5,0)), ,$H40/VLOOKUP($C40,Données!$C$19:'Données'!$I$48,5,0))*100,0))</f>
        <v/>
      </c>
      <c r="J40" s="44" t="str">
        <f>IF($C40="","",IFERROR(IF(ISNA($H40/VLOOKUP($C40,Données!$C$19:'Données'!$I$48,6,0)), ,$H40/VLOOKUP($C40,Données!$C$19:'Données'!$I$48,6,0)),"/"))</f>
        <v/>
      </c>
      <c r="K40" s="44" t="str">
        <f>IF($C40="","",IFERROR(IF(ISNA($H40/VLOOKUP($C40,Données!$C$19:'Données'!$I$48,7,0)*100), ,$H40/VLOOKUP($C40,Données!$C$19:'Données'!$I$48,7,0)*100),"/"))</f>
        <v/>
      </c>
      <c r="L40" s="91" t="str">
        <f t="shared" si="0"/>
        <v/>
      </c>
      <c r="M40" s="13"/>
      <c r="N40" s="38"/>
      <c r="O40" s="127"/>
      <c r="P40" s="128"/>
      <c r="Q40" s="1"/>
      <c r="R40" s="1"/>
      <c r="S40" s="54" t="str">
        <f>IF($C40="","",IFERROR(IF(ISNA(VLOOKUP($C40,Données!$C$19:'Données'!$I$48,6,0)), ,VLOOKUP($C40,Données!$C$19:'Données'!$I$48,6,0)),"/"))</f>
        <v/>
      </c>
      <c r="T40" s="54" t="str">
        <f>IF($C40="","",IFERROR(IF(ISNA(VLOOKUP($C40,Données!$C$19:'Données'!$I$48,7,0)), ,VLOOKUP($C40,Données!$C$19:'Données'!$I$48,7,0)),"/"))</f>
        <v/>
      </c>
      <c r="U40" s="54" t="str">
        <f>IF($C40="","",IFERROR(IF(ISNA(VLOOKUP($C40,Données!$C$19:'Données'!$I$48,5,0)), ,VLOOKUP($C40,Données!$C$19:'Données'!$I$48,5,0)),"/"))</f>
        <v/>
      </c>
      <c r="V40" s="54" t="str">
        <f t="shared" si="6"/>
        <v/>
      </c>
      <c r="W40" s="49">
        <f t="shared" si="1"/>
        <v>0</v>
      </c>
      <c r="X40" s="49">
        <f t="shared" si="2"/>
        <v>0</v>
      </c>
      <c r="Y40" s="116" t="s">
        <v>97</v>
      </c>
      <c r="Z40" s="116" t="str">
        <f t="shared" si="3"/>
        <v/>
      </c>
      <c r="AA40" s="49" t="str">
        <f>TEXT('Feuille Saisie'!$B$4,"aaaa")</f>
        <v>2019</v>
      </c>
      <c r="AB40" s="49" t="str">
        <f t="shared" si="4"/>
        <v/>
      </c>
      <c r="AC40" s="49">
        <f t="shared" si="5"/>
        <v>0</v>
      </c>
      <c r="AD40" s="67"/>
      <c r="AE40" s="67"/>
    </row>
    <row r="41" spans="1:31" ht="50.1" customHeight="1" x14ac:dyDescent="0.25">
      <c r="A41" s="1"/>
      <c r="B41" s="1"/>
      <c r="C41" s="15"/>
      <c r="D41" s="41" t="str">
        <f>IF($C41="","",IFERROR(IF(ISNA(VLOOKUP($C41,'Phase GPA'!$C$29:'Phase GPA'!$U$58,10,0)), ,VLOOKUP($C41,'Phase GPA'!$C$29:'Phase GPA'!$U$58,10,0)),0))</f>
        <v/>
      </c>
      <c r="E41" s="42" t="str">
        <f>IF($C41="","",IFERROR(IF(ISNA($D41/S29RECHERCHEV($C41,Données!$C$19:'Données'!$I$48,6,0)), ,$D41/VLOOKUP($C41,Données!$C$19:'Données'!$I$48,6,0)),"/"))</f>
        <v/>
      </c>
      <c r="F41" s="42" t="str">
        <f>IF($C41="","",IFERROR(IF(ISNA($D41/VLOOKUP($C41,Données!$C$19:'Données'!$I$48,7,0)*100), ,$D41/VLOOKUP($C41,Données!$C$19:'Données'!$I$48,7,0)*100),"/"))</f>
        <v/>
      </c>
      <c r="G41" s="41" t="str">
        <f>IF($D41=0,"/",IF($C41="","",IFERROR(IF(ISNA(VLOOKUP($C41,'Phase GPA'!$C$29:'Phase GPA'!$U$58,11,0)), ,VLOOKUP($C41,'Phase GPA'!$C$29:'Phase GPA'!$U$58,11,0)),0)))</f>
        <v/>
      </c>
      <c r="H41" s="43" t="str">
        <f>IF($C41="","",IFERROR(IF(ISNA(VLOOKUP($C41,'Phase GPA'!$C$29:'Phase GPA'!$U$58,12,0)), ,VLOOKUP($C41,'Phase GPA'!$C$29:'Phase GPA'!$U$58,12,0)),0))</f>
        <v/>
      </c>
      <c r="I41" s="44" t="str">
        <f>IF($C41="","",IFERROR(IF(ISNA($H41/VLOOKUP($C41,Données!$C$19:'Données'!$I$48,5,0)), ,$H41/VLOOKUP($C41,Données!$C$19:'Données'!$I$48,5,0))*100,0))</f>
        <v/>
      </c>
      <c r="J41" s="44" t="str">
        <f>IF($C41="","",IFERROR(IF(ISNA($H41/VLOOKUP($C41,Données!$C$19:'Données'!$I$48,6,0)), ,$H41/VLOOKUP($C41,Données!$C$19:'Données'!$I$48,6,0)),"/"))</f>
        <v/>
      </c>
      <c r="K41" s="44" t="str">
        <f>IF($C41="","",IFERROR(IF(ISNA($H41/VLOOKUP($C41,Données!$C$19:'Données'!$I$48,7,0)*100), ,$H41/VLOOKUP($C41,Données!$C$19:'Données'!$I$48,7,0)*100),"/"))</f>
        <v/>
      </c>
      <c r="L41" s="91" t="str">
        <f t="shared" si="0"/>
        <v/>
      </c>
      <c r="M41" s="13"/>
      <c r="N41" s="38"/>
      <c r="O41" s="127"/>
      <c r="P41" s="128"/>
      <c r="Q41" s="1"/>
      <c r="R41" s="1"/>
      <c r="S41" s="54" t="str">
        <f>IF($C41="","",IFERROR(IF(ISNA(VLOOKUP($C41,Données!$C$19:'Données'!$I$48,6,0)), ,VLOOKUP($C41,Données!$C$19:'Données'!$I$48,6,0)),"/"))</f>
        <v/>
      </c>
      <c r="T41" s="54" t="str">
        <f>IF($C41="","",IFERROR(IF(ISNA(VLOOKUP($C41,Données!$C$19:'Données'!$I$48,7,0)), ,VLOOKUP($C41,Données!$C$19:'Données'!$I$48,7,0)),"/"))</f>
        <v/>
      </c>
      <c r="U41" s="54" t="str">
        <f>IF($C41="","",IFERROR(IF(ISNA(VLOOKUP($C41,Données!$C$19:'Données'!$I$48,5,0)), ,VLOOKUP($C41,Données!$C$19:'Données'!$I$48,5,0)),"/"))</f>
        <v/>
      </c>
      <c r="V41" s="54" t="str">
        <f t="shared" si="6"/>
        <v/>
      </c>
      <c r="W41" s="49">
        <f t="shared" si="1"/>
        <v>0</v>
      </c>
      <c r="X41" s="49">
        <f t="shared" si="2"/>
        <v>0</v>
      </c>
      <c r="Y41" s="116" t="s">
        <v>97</v>
      </c>
      <c r="Z41" s="116" t="str">
        <f t="shared" si="3"/>
        <v/>
      </c>
      <c r="AA41" s="49" t="str">
        <f>TEXT('Feuille Saisie'!$B$4,"aaaa")</f>
        <v>2019</v>
      </c>
      <c r="AB41" s="49" t="str">
        <f t="shared" si="4"/>
        <v/>
      </c>
      <c r="AC41" s="49">
        <f t="shared" si="5"/>
        <v>0</v>
      </c>
      <c r="AD41" s="67"/>
      <c r="AE41" s="67"/>
    </row>
    <row r="42" spans="1:31" ht="50.1" customHeight="1" x14ac:dyDescent="0.25">
      <c r="A42" s="1"/>
      <c r="B42" s="1"/>
      <c r="C42" s="15"/>
      <c r="D42" s="41" t="str">
        <f>IF($C42="","",IFERROR(IF(ISNA(VLOOKUP($C42,'Phase GPA'!$C$29:'Phase GPA'!$U$58,10,0)), ,VLOOKUP($C42,'Phase GPA'!$C$29:'Phase GPA'!$U$58,10,0)),0))</f>
        <v/>
      </c>
      <c r="E42" s="42" t="str">
        <f>IF($C42="","",IFERROR(IF(ISNA($D42/S29RECHERCHEV($C42,Données!$C$19:'Données'!$I$48,6,0)), ,$D42/VLOOKUP($C42,Données!$C$19:'Données'!$I$48,6,0)),"/"))</f>
        <v/>
      </c>
      <c r="F42" s="42" t="str">
        <f>IF($C42="","",IFERROR(IF(ISNA($D42/VLOOKUP($C42,Données!$C$19:'Données'!$I$48,7,0)*100), ,$D42/VLOOKUP($C42,Données!$C$19:'Données'!$I$48,7,0)*100),"/"))</f>
        <v/>
      </c>
      <c r="G42" s="41" t="str">
        <f>IF($D42=0,"/",IF($C42="","",IFERROR(IF(ISNA(VLOOKUP($C42,'Phase GPA'!$C$29:'Phase GPA'!$U$58,11,0)), ,VLOOKUP($C42,'Phase GPA'!$C$29:'Phase GPA'!$U$58,11,0)),0)))</f>
        <v/>
      </c>
      <c r="H42" s="43" t="str">
        <f>IF($C42="","",IFERROR(IF(ISNA(VLOOKUP($C42,'Phase GPA'!$C$29:'Phase GPA'!$U$58,12,0)), ,VLOOKUP($C42,'Phase GPA'!$C$29:'Phase GPA'!$U$58,12,0)),0))</f>
        <v/>
      </c>
      <c r="I42" s="44" t="str">
        <f>IF($C42="","",IFERROR(IF(ISNA($H42/VLOOKUP($C42,Données!$C$19:'Données'!$I$48,5,0)), ,$H42/VLOOKUP($C42,Données!$C$19:'Données'!$I$48,5,0))*100,0))</f>
        <v/>
      </c>
      <c r="J42" s="44" t="str">
        <f>IF($C42="","",IFERROR(IF(ISNA($H42/VLOOKUP($C42,Données!$C$19:'Données'!$I$48,6,0)), ,$H42/VLOOKUP($C42,Données!$C$19:'Données'!$I$48,6,0)),"/"))</f>
        <v/>
      </c>
      <c r="K42" s="44" t="str">
        <f>IF($C42="","",IFERROR(IF(ISNA($H42/VLOOKUP($C42,Données!$C$19:'Données'!$I$48,7,0)*100), ,$H42/VLOOKUP($C42,Données!$C$19:'Données'!$I$48,7,0)*100),"/"))</f>
        <v/>
      </c>
      <c r="L42" s="91" t="str">
        <f t="shared" si="0"/>
        <v/>
      </c>
      <c r="M42" s="13"/>
      <c r="N42" s="38"/>
      <c r="O42" s="127"/>
      <c r="P42" s="128"/>
      <c r="Q42" s="1"/>
      <c r="R42" s="1"/>
      <c r="S42" s="54" t="str">
        <f>IF($C42="","",IFERROR(IF(ISNA(VLOOKUP($C42,Données!$C$19:'Données'!$I$48,6,0)), ,VLOOKUP($C42,Données!$C$19:'Données'!$I$48,6,0)),"/"))</f>
        <v/>
      </c>
      <c r="T42" s="54" t="str">
        <f>IF($C42="","",IFERROR(IF(ISNA(VLOOKUP($C42,Données!$C$19:'Données'!$I$48,7,0)), ,VLOOKUP($C42,Données!$C$19:'Données'!$I$48,7,0)),"/"))</f>
        <v/>
      </c>
      <c r="U42" s="54" t="str">
        <f>IF($C42="","",IFERROR(IF(ISNA(VLOOKUP($C42,Données!$C$19:'Données'!$I$48,5,0)), ,VLOOKUP($C42,Données!$C$19:'Données'!$I$48,5,0)),"/"))</f>
        <v/>
      </c>
      <c r="V42" s="54" t="str">
        <f t="shared" si="6"/>
        <v/>
      </c>
      <c r="W42" s="49">
        <f t="shared" si="1"/>
        <v>0</v>
      </c>
      <c r="X42" s="49">
        <f t="shared" si="2"/>
        <v>0</v>
      </c>
      <c r="Y42" s="116" t="s">
        <v>97</v>
      </c>
      <c r="Z42" s="116" t="str">
        <f t="shared" si="3"/>
        <v/>
      </c>
      <c r="AA42" s="49" t="str">
        <f>TEXT('Feuille Saisie'!$B$4,"aaaa")</f>
        <v>2019</v>
      </c>
      <c r="AB42" s="49" t="str">
        <f t="shared" si="4"/>
        <v/>
      </c>
      <c r="AC42" s="49">
        <f t="shared" si="5"/>
        <v>0</v>
      </c>
      <c r="AD42" s="67"/>
      <c r="AE42" s="67"/>
    </row>
    <row r="43" spans="1:31" ht="50.1" customHeight="1" x14ac:dyDescent="0.25">
      <c r="A43" s="1"/>
      <c r="B43" s="1"/>
      <c r="C43" s="15"/>
      <c r="D43" s="41" t="str">
        <f>IF($C43="","",IFERROR(IF(ISNA(VLOOKUP($C43,'Phase GPA'!$C$29:'Phase GPA'!$U$58,10,0)), ,VLOOKUP($C43,'Phase GPA'!$C$29:'Phase GPA'!$U$58,10,0)),0))</f>
        <v/>
      </c>
      <c r="E43" s="42" t="str">
        <f>IF($C43="","",IFERROR(IF(ISNA($D43/S29RECHERCHEV($C43,Données!$C$19:'Données'!$I$48,6,0)), ,$D43/VLOOKUP($C43,Données!$C$19:'Données'!$I$48,6,0)),"/"))</f>
        <v/>
      </c>
      <c r="F43" s="42" t="str">
        <f>IF($C43="","",IFERROR(IF(ISNA($D43/VLOOKUP($C43,Données!$C$19:'Données'!$I$48,7,0)*100), ,$D43/VLOOKUP($C43,Données!$C$19:'Données'!$I$48,7,0)*100),"/"))</f>
        <v/>
      </c>
      <c r="G43" s="41" t="str">
        <f>IF($D43=0,"/",IF($C43="","",IFERROR(IF(ISNA(VLOOKUP($C43,'Phase GPA'!$C$29:'Phase GPA'!$U$58,11,0)), ,VLOOKUP($C43,'Phase GPA'!$C$29:'Phase GPA'!$U$58,11,0)),0)))</f>
        <v/>
      </c>
      <c r="H43" s="43" t="str">
        <f>IF($C43="","",IFERROR(IF(ISNA(VLOOKUP($C43,'Phase GPA'!$C$29:'Phase GPA'!$U$58,12,0)), ,VLOOKUP($C43,'Phase GPA'!$C$29:'Phase GPA'!$U$58,12,0)),0))</f>
        <v/>
      </c>
      <c r="I43" s="44" t="str">
        <f>IF($C43="","",IFERROR(IF(ISNA($H43/VLOOKUP($C43,Données!$C$19:'Données'!$I$48,5,0)), ,$H43/VLOOKUP($C43,Données!$C$19:'Données'!$I$48,5,0))*100,0))</f>
        <v/>
      </c>
      <c r="J43" s="44" t="str">
        <f>IF($C43="","",IFERROR(IF(ISNA($H43/VLOOKUP($C43,Données!$C$19:'Données'!$I$48,6,0)), ,$H43/VLOOKUP($C43,Données!$C$19:'Données'!$I$48,6,0)),"/"))</f>
        <v/>
      </c>
      <c r="K43" s="44" t="str">
        <f>IF($C43="","",IFERROR(IF(ISNA($H43/VLOOKUP($C43,Données!$C$19:'Données'!$I$48,7,0)*100), ,$H43/VLOOKUP($C43,Données!$C$19:'Données'!$I$48,7,0)*100),"/"))</f>
        <v/>
      </c>
      <c r="L43" s="91" t="str">
        <f t="shared" si="0"/>
        <v/>
      </c>
      <c r="M43" s="13"/>
      <c r="N43" s="38"/>
      <c r="O43" s="127"/>
      <c r="P43" s="128"/>
      <c r="Q43" s="1"/>
      <c r="R43" s="1"/>
      <c r="S43" s="54" t="str">
        <f>IF($C43="","",IFERROR(IF(ISNA(VLOOKUP($C43,Données!$C$19:'Données'!$I$48,6,0)), ,VLOOKUP($C43,Données!$C$19:'Données'!$I$48,6,0)),"/"))</f>
        <v/>
      </c>
      <c r="T43" s="54" t="str">
        <f>IF($C43="","",IFERROR(IF(ISNA(VLOOKUP($C43,Données!$C$19:'Données'!$I$48,7,0)), ,VLOOKUP($C43,Données!$C$19:'Données'!$I$48,7,0)),"/"))</f>
        <v/>
      </c>
      <c r="U43" s="54" t="str">
        <f>IF($C43="","",IFERROR(IF(ISNA(VLOOKUP($C43,Données!$C$19:'Données'!$I$48,5,0)), ,VLOOKUP($C43,Données!$C$19:'Données'!$I$48,5,0)),"/"))</f>
        <v/>
      </c>
      <c r="V43" s="54" t="str">
        <f t="shared" si="6"/>
        <v/>
      </c>
      <c r="W43" s="49">
        <f t="shared" si="1"/>
        <v>0</v>
      </c>
      <c r="X43" s="49">
        <f t="shared" si="2"/>
        <v>0</v>
      </c>
      <c r="Y43" s="116" t="s">
        <v>97</v>
      </c>
      <c r="Z43" s="116" t="str">
        <f t="shared" si="3"/>
        <v/>
      </c>
      <c r="AA43" s="49" t="str">
        <f>TEXT('Feuille Saisie'!$B$4,"aaaa")</f>
        <v>2019</v>
      </c>
      <c r="AB43" s="49" t="str">
        <f t="shared" si="4"/>
        <v/>
      </c>
      <c r="AC43" s="49">
        <f t="shared" si="5"/>
        <v>0</v>
      </c>
      <c r="AD43" s="67"/>
      <c r="AE43" s="67"/>
    </row>
    <row r="44" spans="1:31" ht="50.1" customHeight="1" x14ac:dyDescent="0.25">
      <c r="A44" s="1"/>
      <c r="B44" s="1"/>
      <c r="C44" s="56" t="s">
        <v>50</v>
      </c>
      <c r="D44" s="57">
        <f>SUM(D29:D43)</f>
        <v>0</v>
      </c>
      <c r="E44" s="58" t="str">
        <f>IF(S44=0,"/",D44/S44)</f>
        <v>/</v>
      </c>
      <c r="F44" s="58" t="str">
        <f>IF(T44=0,"/",D44/T44*100)</f>
        <v>/</v>
      </c>
      <c r="G44" s="57" t="str">
        <f>IFERROR(V44/D44,"/")</f>
        <v>/</v>
      </c>
      <c r="H44" s="59">
        <f>SUM(H29:H43)</f>
        <v>0</v>
      </c>
      <c r="I44" s="61" t="str">
        <f>IFERROR(H44/U44*100,"/")</f>
        <v>/</v>
      </c>
      <c r="J44" s="61" t="str">
        <f>IF(S44=0,"/",H44/S44)</f>
        <v>/</v>
      </c>
      <c r="K44" s="58" t="str">
        <f>IF(T44=0,"/",H44/T44*100)</f>
        <v>/</v>
      </c>
      <c r="L44" s="92" t="str">
        <f>IFERROR(H44/D44,"/")</f>
        <v>/</v>
      </c>
      <c r="M44" s="63"/>
      <c r="N44" s="63"/>
      <c r="O44" s="127"/>
      <c r="P44" s="128"/>
      <c r="Q44" s="1"/>
      <c r="R44" s="1"/>
      <c r="S44" s="69">
        <f t="shared" ref="S44:X44" si="7">SUM(S29:S43)</f>
        <v>0</v>
      </c>
      <c r="T44" s="69">
        <f t="shared" si="7"/>
        <v>0</v>
      </c>
      <c r="U44" s="69">
        <f t="shared" si="7"/>
        <v>0</v>
      </c>
      <c r="V44" s="49">
        <f t="shared" si="7"/>
        <v>0</v>
      </c>
      <c r="W44" s="69">
        <f t="shared" si="7"/>
        <v>0</v>
      </c>
      <c r="X44" s="69">
        <f t="shared" si="7"/>
        <v>0</v>
      </c>
      <c r="Y44" s="49"/>
      <c r="Z44" s="49"/>
      <c r="AA44" s="49"/>
      <c r="AB44" s="49"/>
      <c r="AC44" s="49">
        <f>SUM(AC29:AC43)</f>
        <v>0</v>
      </c>
      <c r="AD44" s="67"/>
      <c r="AE44" s="67"/>
    </row>
    <row r="45" spans="1:31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4"/>
      <c r="Q45" s="1"/>
      <c r="R45" s="1"/>
    </row>
    <row r="46" spans="1:31" ht="15" customHeight="1" x14ac:dyDescent="0.25">
      <c r="A46" s="1"/>
      <c r="B46" s="1"/>
      <c r="C46" s="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0"/>
      <c r="Q46" s="1"/>
      <c r="R46" s="1"/>
    </row>
    <row r="47" spans="1:31" ht="15" customHeight="1" x14ac:dyDescent="0.25">
      <c r="A47" s="1"/>
      <c r="B47" s="1"/>
      <c r="C47" s="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9"/>
      <c r="Q47" s="1"/>
      <c r="R47" s="1"/>
    </row>
    <row r="48" spans="1:31" ht="15" customHeight="1" x14ac:dyDescent="0.25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9"/>
      <c r="Q48" s="1"/>
      <c r="R48" s="1"/>
    </row>
    <row r="49" spans="1:19" ht="15" customHeight="1" x14ac:dyDescent="0.25">
      <c r="A49" s="1"/>
      <c r="B49" s="1"/>
      <c r="C49" s="6"/>
      <c r="D49" s="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9"/>
      <c r="Q49" s="1"/>
      <c r="R49" s="1"/>
    </row>
    <row r="50" spans="1:19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/>
      <c r="B51" s="1"/>
      <c r="C51" s="138" t="str">
        <f ca="1">Données!$C$55</f>
        <v>CR Point bimestriel PA Version 22.7 XXL MOD VDE</v>
      </c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"/>
      <c r="S51" s="1"/>
    </row>
    <row r="53" spans="1:19" ht="5.0999999999999996" customHeight="1" x14ac:dyDescent="0.25"/>
  </sheetData>
  <protectedRanges>
    <protectedRange sqref="M29:M43" name="Plage2"/>
    <protectedRange sqref="C29:C43" name="Plage1"/>
    <protectedRange sqref="O29:P44" name="Plage3"/>
    <protectedRange sqref="N29:N43" name="Plage3_1"/>
  </protectedRanges>
  <mergeCells count="14">
    <mergeCell ref="C51:Q51"/>
    <mergeCell ref="J25:J28"/>
    <mergeCell ref="K25:K28"/>
    <mergeCell ref="L25:L28"/>
    <mergeCell ref="N25:N28"/>
    <mergeCell ref="M25:M28"/>
    <mergeCell ref="C25:C28"/>
    <mergeCell ref="D25:D28"/>
    <mergeCell ref="I25:I28"/>
    <mergeCell ref="E25:E28"/>
    <mergeCell ref="F25:F28"/>
    <mergeCell ref="G25:G28"/>
    <mergeCell ref="H25:H28"/>
    <mergeCell ref="P25:P28"/>
  </mergeCells>
  <conditionalFormatting sqref="G44">
    <cfRule type="containsText" dxfId="144" priority="36" operator="containsText" text="/">
      <formula>NOT(ISERROR(SEARCH("/",G44)))</formula>
    </cfRule>
    <cfRule type="cellIs" dxfId="143" priority="46" operator="lessThanOrEqual">
      <formula>15</formula>
    </cfRule>
    <cfRule type="cellIs" dxfId="142" priority="48" operator="greaterThan">
      <formula>15</formula>
    </cfRule>
  </conditionalFormatting>
  <conditionalFormatting sqref="E44">
    <cfRule type="cellIs" dxfId="141" priority="47" operator="lessThanOrEqual">
      <formula>1</formula>
    </cfRule>
    <cfRule type="containsText" dxfId="140" priority="54" operator="containsText" text="/">
      <formula>NOT(ISERROR(SEARCH("/",E44)))</formula>
    </cfRule>
    <cfRule type="cellIs" dxfId="139" priority="57" operator="greaterThan">
      <formula>1</formula>
    </cfRule>
  </conditionalFormatting>
  <conditionalFormatting sqref="G30:G43">
    <cfRule type="containsText" dxfId="138" priority="15" operator="containsText" text="/">
      <formula>NOT(ISERROR(SEARCH("/",G30)))</formula>
    </cfRule>
    <cfRule type="cellIs" dxfId="137" priority="16" operator="lessThanOrEqual">
      <formula>15</formula>
    </cfRule>
    <cfRule type="cellIs" dxfId="136" priority="18" operator="greaterThan">
      <formula>15</formula>
    </cfRule>
  </conditionalFormatting>
  <conditionalFormatting sqref="E30:E43">
    <cfRule type="cellIs" dxfId="135" priority="17" operator="lessThanOrEqual">
      <formula>1</formula>
    </cfRule>
    <cfRule type="containsText" dxfId="134" priority="19" operator="containsText" text="/">
      <formula>NOT(ISERROR(SEARCH("/",E30)))</formula>
    </cfRule>
    <cfRule type="cellIs" dxfId="133" priority="20" operator="greaterThan">
      <formula>1</formula>
    </cfRule>
  </conditionalFormatting>
  <conditionalFormatting sqref="N29">
    <cfRule type="expression" dxfId="132" priority="10">
      <formula>AND($C29&lt;&gt;"",$M29="")</formula>
    </cfRule>
  </conditionalFormatting>
  <conditionalFormatting sqref="N30:N43">
    <cfRule type="expression" dxfId="131" priority="7">
      <formula>AND($C30&lt;&gt;"",$M30="")</formula>
    </cfRule>
  </conditionalFormatting>
  <conditionalFormatting sqref="G29">
    <cfRule type="containsText" dxfId="130" priority="1" operator="containsText" text="/">
      <formula>NOT(ISERROR(SEARCH("/",G29)))</formula>
    </cfRule>
    <cfRule type="cellIs" dxfId="129" priority="2" operator="lessThanOrEqual">
      <formula>15</formula>
    </cfRule>
    <cfRule type="cellIs" dxfId="128" priority="4" operator="greaterThan">
      <formula>15</formula>
    </cfRule>
  </conditionalFormatting>
  <conditionalFormatting sqref="E29">
    <cfRule type="cellIs" dxfId="127" priority="3" operator="lessThanOrEqual">
      <formula>1</formula>
    </cfRule>
    <cfRule type="containsText" dxfId="126" priority="5" operator="containsText" text="/">
      <formula>NOT(ISERROR(SEARCH("/",E29)))</formula>
    </cfRule>
    <cfRule type="cellIs" dxfId="125" priority="6" operator="greaterThan">
      <formula>1</formula>
    </cfRule>
  </conditionalFormatting>
  <dataValidations count="2">
    <dataValidation type="list" allowBlank="1" showInputMessage="1" showErrorMessage="1" sqref="C45">
      <formula1>#REF!</formula1>
    </dataValidation>
    <dataValidation type="list" allowBlank="1" showInputMessage="1" showErrorMessage="1" sqref="N29:N43">
      <formula1>$S$25:$S$26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6" orientation="landscape" r:id="rId1"/>
  <headerFoot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OFFSET('Phase GPA'!$EB$29:$EB$58,0,0,COUNTA('Phase GPA'!$EB$29:$EB$58),1)</xm:f>
          </x14:formula1>
          <xm:sqref>C29:C43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C53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5" width="15.7109375" customWidth="1"/>
    <col min="6" max="6" width="15.7109375" hidden="1" customWidth="1"/>
    <col min="7" max="10" width="15.7109375" customWidth="1"/>
    <col min="11" max="11" width="15.7109375" hidden="1" customWidth="1"/>
    <col min="12" max="13" width="15.7109375" customWidth="1"/>
    <col min="14" max="14" width="1.7109375" customWidth="1"/>
    <col min="15" max="15" width="45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9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9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9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9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9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9" ht="15" customHeight="1" x14ac:dyDescent="0.25">
      <c r="A25" s="1"/>
      <c r="B25" s="1"/>
      <c r="C25" s="132" t="s">
        <v>7</v>
      </c>
      <c r="D25" s="161" t="s">
        <v>13</v>
      </c>
      <c r="E25" s="161" t="s">
        <v>89</v>
      </c>
      <c r="F25" s="161" t="s">
        <v>67</v>
      </c>
      <c r="G25" s="161" t="s">
        <v>31</v>
      </c>
      <c r="H25" s="161" t="s">
        <v>78</v>
      </c>
      <c r="I25" s="161" t="s">
        <v>20</v>
      </c>
      <c r="J25" s="161" t="s">
        <v>90</v>
      </c>
      <c r="K25" s="161" t="s">
        <v>68</v>
      </c>
      <c r="L25" s="161" t="s">
        <v>79</v>
      </c>
      <c r="M25" s="132" t="s">
        <v>80</v>
      </c>
      <c r="N25" s="166"/>
      <c r="O25" s="145" t="s">
        <v>43</v>
      </c>
      <c r="P25" s="146"/>
      <c r="Q25" s="1"/>
      <c r="R25" s="1"/>
    </row>
    <row r="26" spans="1:29" x14ac:dyDescent="0.25">
      <c r="A26" s="1"/>
      <c r="B26" s="1"/>
      <c r="C26" s="133"/>
      <c r="D26" s="162"/>
      <c r="E26" s="162"/>
      <c r="F26" s="162"/>
      <c r="G26" s="162"/>
      <c r="H26" s="162"/>
      <c r="I26" s="162"/>
      <c r="J26" s="162"/>
      <c r="K26" s="162"/>
      <c r="L26" s="162"/>
      <c r="M26" s="133"/>
      <c r="N26" s="166"/>
      <c r="O26" s="167"/>
      <c r="P26" s="158"/>
      <c r="Q26" s="1"/>
      <c r="R26" s="1"/>
    </row>
    <row r="27" spans="1:29" ht="15" customHeight="1" x14ac:dyDescent="0.25">
      <c r="A27" s="1"/>
      <c r="B27" s="1"/>
      <c r="C27" s="133"/>
      <c r="D27" s="162"/>
      <c r="E27" s="162"/>
      <c r="F27" s="162"/>
      <c r="G27" s="162"/>
      <c r="H27" s="162"/>
      <c r="I27" s="162"/>
      <c r="J27" s="162"/>
      <c r="K27" s="162"/>
      <c r="L27" s="162"/>
      <c r="M27" s="133"/>
      <c r="N27" s="166"/>
      <c r="O27" s="167"/>
      <c r="P27" s="158"/>
      <c r="Q27" s="1"/>
      <c r="R27" s="1"/>
    </row>
    <row r="28" spans="1:29" x14ac:dyDescent="0.25">
      <c r="A28" s="1"/>
      <c r="B28" s="1"/>
      <c r="C28" s="134"/>
      <c r="D28" s="163"/>
      <c r="E28" s="163"/>
      <c r="F28" s="163"/>
      <c r="G28" s="163"/>
      <c r="H28" s="163"/>
      <c r="I28" s="163"/>
      <c r="J28" s="163"/>
      <c r="K28" s="163"/>
      <c r="L28" s="163"/>
      <c r="M28" s="134"/>
      <c r="N28" s="166"/>
      <c r="O28" s="147"/>
      <c r="P28" s="148"/>
      <c r="Q28" s="1"/>
      <c r="R28" s="1"/>
    </row>
    <row r="29" spans="1:29" ht="50.1" customHeight="1" x14ac:dyDescent="0.25">
      <c r="A29" s="1"/>
      <c r="B29" s="1"/>
      <c r="C29" s="15"/>
      <c r="D29" s="41" t="str">
        <f>IF($C29="","",IFERROR(IF(ISNA(VLOOKUP($C29,'Phase GPA'!$C$29:'Phase GPA'!$U$58,10,0)), ,VLOOKUP($C29,'Phase GPA'!$C$29:'Phase GPA'!$U$58,10,0)),0))</f>
        <v/>
      </c>
      <c r="E29" s="42" t="str">
        <f>IF($C29="","",IFERROR(IF(ISNA($D29/VLOOKUP($C29,Données!$C$19:'Données'!$I$48,6,0)), ,$D29/VLOOKUP($C29,Données!$C$19:'Données'!$I$48,6,0)),"/"))</f>
        <v/>
      </c>
      <c r="F29" s="42" t="str">
        <f>IF($C29="","",IFERROR(IF(ISNA($D29/VLOOKUP($C29,Données!$C$19:'Données'!$I$48,7,0)*100), ,$D29/VLOOKUP($C29,Données!$C$19:'Données'!$I$48,7,0)*100),"/"))</f>
        <v/>
      </c>
      <c r="G29" s="41" t="str">
        <f>IF($D29=0,"/",IF($C29="","",IFERROR(IF(ISNA(VLOOKUP($C29,'Phase GPA'!$C$29:'Phase GPA'!$U$58,11,0)), ,VLOOKUP($C29,'Phase GPA'!$C$29:'Phase GPA'!$U$58,11,0)),0)))</f>
        <v/>
      </c>
      <c r="H29" s="43" t="str">
        <f>IF($C29="","",IFERROR(IF(ISNA(VLOOKUP($C29,'Phase GPA'!$C$29:'Phase GPA'!$U$58,12,0)), ,VLOOKUP($C29,'Phase GPA'!$C$29:'Phase GPA'!$U$58,12,0)),0))</f>
        <v/>
      </c>
      <c r="I29" s="44" t="str">
        <f>IF($C29="","",IFERROR(IF(ISNA($H29/VLOOKUP($C29,Données!$C$19:'Données'!$I$48,5,0)), ,$H29/VLOOKUP($C29,Données!$C$19:'Données'!$I$48,5,0))*100,0))</f>
        <v/>
      </c>
      <c r="J29" s="44" t="str">
        <f>IF($C29="","",IFERROR(IF(ISNA($H29/VLOOKUP($C29,Données!$C$19:'Données'!$I$48,6,0)), ,$H29/VLOOKUP($C29,Données!$C$19:'Données'!$I$48,6,0)),"/"))</f>
        <v/>
      </c>
      <c r="K29" s="44" t="str">
        <f>IF($C29="","",IFERROR(IF(ISNA($H29/VLOOKUP($C29,Données!$C$19:'Données'!$I$48,7,0)*100), ,$H29/VLOOKUP($C29,Données!$C$19:'Données'!$I$48,7,0)*100),"/"))</f>
        <v/>
      </c>
      <c r="L29" s="91" t="str">
        <f t="shared" ref="L29:L43" si="0">IF($D29=0,"/",IF($C29="","",IFERROR(($H29/$D29),0)))</f>
        <v/>
      </c>
      <c r="M29" s="13"/>
      <c r="N29" s="112"/>
      <c r="O29" s="164"/>
      <c r="P29" s="165"/>
      <c r="Q29" s="1"/>
      <c r="R29" s="1"/>
      <c r="S29" s="54" t="str">
        <f>IF($C29="","",IFERROR(IF(ISNA(VLOOKUP($C29,Données!$C$19:'Données'!$I$48,6,0)), ,VLOOKUP($C29,Données!$C$19:'Données'!$I$48,6,0)),"/"))</f>
        <v/>
      </c>
      <c r="T29" s="54" t="str">
        <f>IF($C29="","",IFERROR(IF(ISNA(VLOOKUP($C29,Données!$C$19:'Données'!$I$48,7,0)), ,VLOOKUP($C29,Données!$C$19:'Données'!$I$48,7,0)),"/"))</f>
        <v/>
      </c>
      <c r="U29" s="54" t="str">
        <f>IF($C29="","",IFERROR(IF(ISNA(VLOOKUP($C29,Données!$C$19:'Données'!$I$48,5,0)), ,VLOOKUP($C29,Données!$C$19:'Données'!$I$48,5,0)),"/"))</f>
        <v/>
      </c>
      <c r="V29" s="54" t="str">
        <f>IF($C29="","",IFERROR(IF(ISNA($D29*$G29), ,$D29*$G29),"/"))</f>
        <v/>
      </c>
      <c r="W29" s="49">
        <f>IF($C29&lt;&gt;"",1,0)</f>
        <v>0</v>
      </c>
      <c r="X29" s="49">
        <f>IF($M29&lt;&gt;"",1,0)</f>
        <v>0</v>
      </c>
      <c r="Y29" s="114" t="s">
        <v>97</v>
      </c>
      <c r="Z29" s="116" t="str">
        <f>IF($C29="","",IF($X29=1,"µ",""))</f>
        <v/>
      </c>
      <c r="AA29" s="49" t="str">
        <f>TEXT('Feuille Saisie'!$B$4,"aaaa")</f>
        <v>2019</v>
      </c>
      <c r="AB29" s="49" t="str">
        <f>IF($M29&lt;&gt;"",TEXT($M29,"aaaa"),"")</f>
        <v/>
      </c>
      <c r="AC29" s="49">
        <f>IF($AA29=$AB29,1,0)</f>
        <v>0</v>
      </c>
    </row>
    <row r="30" spans="1:29" ht="50.1" customHeight="1" x14ac:dyDescent="0.25">
      <c r="A30" s="1"/>
      <c r="B30" s="1"/>
      <c r="C30" s="15"/>
      <c r="D30" s="41" t="str">
        <f>IF($C30="","",IFERROR(IF(ISNA(VLOOKUP($C30,'Phase GPA'!$C$29:'Phase GPA'!$U$58,10,0)), ,VLOOKUP($C30,'Phase GPA'!$C$29:'Phase GPA'!$U$58,10,0)),0))</f>
        <v/>
      </c>
      <c r="E30" s="42" t="str">
        <f>IF($C30="","",IFERROR(IF(ISNA($D30/VLOOKUP($C30,Données!$C$19:'Données'!$I$48,6,0)), ,$D30/VLOOKUP($C30,Données!$C$19:'Données'!$I$48,6,0)),"/"))</f>
        <v/>
      </c>
      <c r="F30" s="42" t="str">
        <f>IF($C30="","",IFERROR(IF(ISNA($D30/VLOOKUP($C30,Données!$C$19:'Données'!$I$48,7,0)*100), ,$D30/VLOOKUP($C30,Données!$C$19:'Données'!$I$48,7,0)*100),"/"))</f>
        <v/>
      </c>
      <c r="G30" s="41" t="str">
        <f>IF($D30=0,"/",IF($C30="","",IFERROR(IF(ISNA(VLOOKUP($C30,'Phase GPA'!$C$29:'Phase GPA'!$U$58,11,0)), ,VLOOKUP($C30,'Phase GPA'!$C$29:'Phase GPA'!$U$58,11,0)),0)))</f>
        <v/>
      </c>
      <c r="H30" s="43" t="str">
        <f>IF($C30="","",IFERROR(IF(ISNA(VLOOKUP($C30,'Phase GPA'!$C$29:'Phase GPA'!$U$58,12,0)), ,VLOOKUP($C30,'Phase GPA'!$C$29:'Phase GPA'!$U$58,12,0)),0))</f>
        <v/>
      </c>
      <c r="I30" s="44" t="str">
        <f>IF($C30="","",IFERROR(IF(ISNA($H30/VLOOKUP($C30,Données!$C$19:'Données'!$I$48,5,0)), ,$H30/VLOOKUP($C30,Données!$C$19:'Données'!$I$48,5,0))*100,0))</f>
        <v/>
      </c>
      <c r="J30" s="44" t="str">
        <f>IF($C30="","",IFERROR(IF(ISNA($H30/VLOOKUP($C30,Données!$C$19:'Données'!$I$48,6,0)), ,$H30/VLOOKUP($C30,Données!$C$19:'Données'!$I$48,6,0)),"/"))</f>
        <v/>
      </c>
      <c r="K30" s="44" t="str">
        <f>IF($C30="","",IFERROR(IF(ISNA($H30/VLOOKUP($C30,Données!$C$19:'Données'!$I$48,7,0)*100), ,$H30/VLOOKUP($C30,Données!$C$19:'Données'!$I$48,7,0)*100),"/"))</f>
        <v/>
      </c>
      <c r="L30" s="91" t="str">
        <f t="shared" si="0"/>
        <v/>
      </c>
      <c r="M30" s="13"/>
      <c r="N30" s="112"/>
      <c r="O30" s="164"/>
      <c r="P30" s="165"/>
      <c r="Q30" s="1"/>
      <c r="R30" s="1"/>
      <c r="S30" s="54" t="str">
        <f>IF($C30="","",IFERROR(IF(ISNA(VLOOKUP($C30,Données!$C$19:'Données'!$I$48,6,0)), ,VLOOKUP($C30,Données!$C$19:'Données'!$I$48,6,0)),"/"))</f>
        <v/>
      </c>
      <c r="T30" s="54" t="str">
        <f>IF($C30="","",IFERROR(IF(ISNA(VLOOKUP($C30,Données!$C$19:'Données'!$I$48,7,0)), ,VLOOKUP($C30,Données!$C$19:'Données'!$I$48,7,0)),"/"))</f>
        <v/>
      </c>
      <c r="U30" s="54" t="str">
        <f>IF($C30="","",IFERROR(IF(ISNA(VLOOKUP($C30,Données!$C$19:'Données'!$I$48,5,0)), ,VLOOKUP($C30,Données!$C$19:'Données'!$I$48,5,0)),"/"))</f>
        <v/>
      </c>
      <c r="V30" s="54" t="str">
        <f>IF($C30="","",IFERROR(IF(ISNA($D30*$G30), ,$D30*$G30),"/"))</f>
        <v/>
      </c>
      <c r="W30" s="49">
        <f t="shared" ref="W30:W43" si="1">IF($C30&lt;&gt;"",1,0)</f>
        <v>0</v>
      </c>
      <c r="X30" s="49">
        <f t="shared" ref="X30:X43" si="2">IF($M30&lt;&gt;"",1,0)</f>
        <v>0</v>
      </c>
      <c r="Y30" s="114" t="s">
        <v>97</v>
      </c>
      <c r="Z30" s="116" t="str">
        <f t="shared" ref="Z30:Z43" si="3">IF($C30="","",IF($X30=1,"µ",""))</f>
        <v/>
      </c>
      <c r="AA30" s="49" t="str">
        <f>TEXT('Feuille Saisie'!$B$4,"aaaa")</f>
        <v>2019</v>
      </c>
      <c r="AB30" s="49" t="str">
        <f t="shared" ref="AB30:AB43" si="4">IF($M30&lt;&gt;"",TEXT($M30,"aaaa"),"")</f>
        <v/>
      </c>
      <c r="AC30" s="49">
        <f t="shared" ref="AC30:AC43" si="5">IF($AA30=$AB30,1,0)</f>
        <v>0</v>
      </c>
    </row>
    <row r="31" spans="1:29" ht="50.1" customHeight="1" x14ac:dyDescent="0.25">
      <c r="A31" s="1"/>
      <c r="B31" s="1"/>
      <c r="C31" s="15"/>
      <c r="D31" s="41" t="str">
        <f>IF($C31="","",IFERROR(IF(ISNA(VLOOKUP($C31,'Phase GPA'!$C$29:'Phase GPA'!$U$58,10,0)), ,VLOOKUP($C31,'Phase GPA'!$C$29:'Phase GPA'!$U$58,10,0)),0))</f>
        <v/>
      </c>
      <c r="E31" s="42" t="str">
        <f>IF($C31="","",IFERROR(IF(ISNA($D31/VLOOKUP($C31,Données!$C$19:'Données'!$I$48,6,0)), ,$D31/VLOOKUP($C31,Données!$C$19:'Données'!$I$48,6,0)),"/"))</f>
        <v/>
      </c>
      <c r="F31" s="42" t="str">
        <f>IF($C31="","",IFERROR(IF(ISNA($D31/VLOOKUP($C31,Données!$C$19:'Données'!$I$48,7,0)*100), ,$D31/VLOOKUP($C31,Données!$C$19:'Données'!$I$48,7,0)*100),"/"))</f>
        <v/>
      </c>
      <c r="G31" s="41" t="str">
        <f>IF($D31=0,"/",IF($C31="","",IFERROR(IF(ISNA(VLOOKUP($C31,'Phase GPA'!$C$29:'Phase GPA'!$U$58,11,0)), ,VLOOKUP($C31,'Phase GPA'!$C$29:'Phase GPA'!$U$58,11,0)),0)))</f>
        <v/>
      </c>
      <c r="H31" s="43" t="str">
        <f>IF($C31="","",IFERROR(IF(ISNA(VLOOKUP($C31,'Phase GPA'!$C$29:'Phase GPA'!$U$58,12,0)), ,VLOOKUP($C31,'Phase GPA'!$C$29:'Phase GPA'!$U$58,12,0)),0))</f>
        <v/>
      </c>
      <c r="I31" s="44" t="str">
        <f>IF($C31="","",IFERROR(IF(ISNA($H31/VLOOKUP($C31,Données!$C$19:'Données'!$I$48,5,0)), ,$H31/VLOOKUP($C31,Données!$C$19:'Données'!$I$48,5,0))*100,0))</f>
        <v/>
      </c>
      <c r="J31" s="44" t="str">
        <f>IF($C31="","",IFERROR(IF(ISNA($H31/VLOOKUP($C31,Données!$C$19:'Données'!$I$48,6,0)), ,$H31/VLOOKUP($C31,Données!$C$19:'Données'!$I$48,6,0)),"/"))</f>
        <v/>
      </c>
      <c r="K31" s="44" t="str">
        <f>IF($C31="","",IFERROR(IF(ISNA($H31/VLOOKUP($C31,Données!$C$19:'Données'!$I$48,7,0)*100), ,$H31/VLOOKUP($C31,Données!$C$19:'Données'!$I$48,7,0)*100),"/"))</f>
        <v/>
      </c>
      <c r="L31" s="91" t="str">
        <f t="shared" si="0"/>
        <v/>
      </c>
      <c r="M31" s="13"/>
      <c r="N31" s="112"/>
      <c r="O31" s="164"/>
      <c r="P31" s="165"/>
      <c r="Q31" s="1"/>
      <c r="R31" s="1"/>
      <c r="S31" s="54" t="str">
        <f>IF($C31="","",IFERROR(IF(ISNA(VLOOKUP($C31,Données!$C$19:'Données'!$I$48,6,0)), ,VLOOKUP($C31,Données!$C$19:'Données'!$I$48,6,0)),"/"))</f>
        <v/>
      </c>
      <c r="T31" s="54" t="str">
        <f>IF($C31="","",IFERROR(IF(ISNA(VLOOKUP($C31,Données!$C$19:'Données'!$I$48,7,0)), ,VLOOKUP($C31,Données!$C$19:'Données'!$I$48,7,0)),"/"))</f>
        <v/>
      </c>
      <c r="U31" s="54" t="str">
        <f>IF($C31="","",IFERROR(IF(ISNA(VLOOKUP($C31,Données!$C$19:'Données'!$I$48,5,0)), ,VLOOKUP($C31,Données!$C$19:'Données'!$I$48,5,0)),"/"))</f>
        <v/>
      </c>
      <c r="V31" s="54" t="str">
        <f t="shared" ref="V31:V43" si="6">IF($C31="","",IFERROR(IF(ISNA($D31*$G31), ,$D31*$G31),"/"))</f>
        <v/>
      </c>
      <c r="W31" s="49">
        <f t="shared" si="1"/>
        <v>0</v>
      </c>
      <c r="X31" s="49">
        <f t="shared" si="2"/>
        <v>0</v>
      </c>
      <c r="Y31" s="114" t="s">
        <v>97</v>
      </c>
      <c r="Z31" s="116" t="str">
        <f t="shared" si="3"/>
        <v/>
      </c>
      <c r="AA31" s="49" t="str">
        <f>TEXT('Feuille Saisie'!$B$4,"aaaa")</f>
        <v>2019</v>
      </c>
      <c r="AB31" s="49" t="str">
        <f t="shared" si="4"/>
        <v/>
      </c>
      <c r="AC31" s="49">
        <f t="shared" si="5"/>
        <v>0</v>
      </c>
    </row>
    <row r="32" spans="1:29" ht="50.1" customHeight="1" x14ac:dyDescent="0.25">
      <c r="A32" s="1"/>
      <c r="B32" s="1"/>
      <c r="C32" s="15"/>
      <c r="D32" s="41" t="str">
        <f>IF($C32="","",IFERROR(IF(ISNA(VLOOKUP($C32,'Phase GPA'!$C$29:'Phase GPA'!$U$58,10,0)), ,VLOOKUP($C32,'Phase GPA'!$C$29:'Phase GPA'!$U$58,10,0)),0))</f>
        <v/>
      </c>
      <c r="E32" s="42" t="str">
        <f>IF($C32="","",IFERROR(IF(ISNA($D32/VLOOKUP($C32,Données!$C$19:'Données'!$I$48,6,0)), ,$D32/VLOOKUP($C32,Données!$C$19:'Données'!$I$48,6,0)),"/"))</f>
        <v/>
      </c>
      <c r="F32" s="42" t="str">
        <f>IF($C32="","",IFERROR(IF(ISNA($D32/VLOOKUP($C32,Données!$C$19:'Données'!$I$48,7,0)*100), ,$D32/VLOOKUP($C32,Données!$C$19:'Données'!$I$48,7,0)*100),"/"))</f>
        <v/>
      </c>
      <c r="G32" s="41" t="str">
        <f>IF($D32=0,"/",IF($C32="","",IFERROR(IF(ISNA(VLOOKUP($C32,'Phase GPA'!$C$29:'Phase GPA'!$U$58,11,0)), ,VLOOKUP($C32,'Phase GPA'!$C$29:'Phase GPA'!$U$58,11,0)),0)))</f>
        <v/>
      </c>
      <c r="H32" s="43" t="str">
        <f>IF($C32="","",IFERROR(IF(ISNA(VLOOKUP($C32,'Phase GPA'!$C$29:'Phase GPA'!$U$58,12,0)), ,VLOOKUP($C32,'Phase GPA'!$C$29:'Phase GPA'!$U$58,12,0)),0))</f>
        <v/>
      </c>
      <c r="I32" s="44" t="str">
        <f>IF($C32="","",IFERROR(IF(ISNA($H32/VLOOKUP($C32,Données!$C$19:'Données'!$I$48,5,0)), ,$H32/VLOOKUP($C32,Données!$C$19:'Données'!$I$48,5,0))*100,0))</f>
        <v/>
      </c>
      <c r="J32" s="44" t="str">
        <f>IF($C32="","",IFERROR(IF(ISNA($H32/VLOOKUP($C32,Données!$C$19:'Données'!$I$48,6,0)), ,$H32/VLOOKUP($C32,Données!$C$19:'Données'!$I$48,6,0)),"/"))</f>
        <v/>
      </c>
      <c r="K32" s="44" t="str">
        <f>IF($C32="","",IFERROR(IF(ISNA($H32/VLOOKUP($C32,Données!$C$19:'Données'!$I$48,7,0)*100), ,$H32/VLOOKUP($C32,Données!$C$19:'Données'!$I$48,7,0)*100),"/"))</f>
        <v/>
      </c>
      <c r="L32" s="91" t="str">
        <f t="shared" si="0"/>
        <v/>
      </c>
      <c r="M32" s="13"/>
      <c r="N32" s="112"/>
      <c r="O32" s="164"/>
      <c r="P32" s="165"/>
      <c r="Q32" s="1"/>
      <c r="R32" s="1"/>
      <c r="S32" s="54" t="str">
        <f>IF($C32="","",IFERROR(IF(ISNA(VLOOKUP($C32,Données!$C$19:'Données'!$I$48,6,0)), ,VLOOKUP($C32,Données!$C$19:'Données'!$I$48,6,0)),"/"))</f>
        <v/>
      </c>
      <c r="T32" s="54" t="str">
        <f>IF($C32="","",IFERROR(IF(ISNA(VLOOKUP($C32,Données!$C$19:'Données'!$I$48,7,0)), ,VLOOKUP($C32,Données!$C$19:'Données'!$I$48,7,0)),"/"))</f>
        <v/>
      </c>
      <c r="U32" s="54" t="str">
        <f>IF($C32="","",IFERROR(IF(ISNA(VLOOKUP($C32,Données!$C$19:'Données'!$I$48,5,0)), ,VLOOKUP($C32,Données!$C$19:'Données'!$I$48,5,0)),"/"))</f>
        <v/>
      </c>
      <c r="V32" s="54" t="str">
        <f t="shared" si="6"/>
        <v/>
      </c>
      <c r="W32" s="49">
        <f t="shared" si="1"/>
        <v>0</v>
      </c>
      <c r="X32" s="49">
        <f t="shared" si="2"/>
        <v>0</v>
      </c>
      <c r="Y32" s="114" t="s">
        <v>97</v>
      </c>
      <c r="Z32" s="116" t="str">
        <f t="shared" si="3"/>
        <v/>
      </c>
      <c r="AA32" s="49" t="str">
        <f>TEXT('Feuille Saisie'!$B$4,"aaaa")</f>
        <v>2019</v>
      </c>
      <c r="AB32" s="49" t="str">
        <f t="shared" si="4"/>
        <v/>
      </c>
      <c r="AC32" s="49">
        <f t="shared" si="5"/>
        <v>0</v>
      </c>
    </row>
    <row r="33" spans="1:29" ht="50.1" customHeight="1" x14ac:dyDescent="0.25">
      <c r="A33" s="1"/>
      <c r="B33" s="1"/>
      <c r="C33" s="15"/>
      <c r="D33" s="41" t="str">
        <f>IF($C33="","",IFERROR(IF(ISNA(VLOOKUP($C33,'Phase GPA'!$C$29:'Phase GPA'!$U$58,10,0)), ,VLOOKUP($C33,'Phase GPA'!$C$29:'Phase GPA'!$U$58,10,0)),0))</f>
        <v/>
      </c>
      <c r="E33" s="42" t="str">
        <f>IF($C33="","",IFERROR(IF(ISNA($D33/VLOOKUP($C33,Données!$C$19:'Données'!$I$48,6,0)), ,$D33/VLOOKUP($C33,Données!$C$19:'Données'!$I$48,6,0)),"/"))</f>
        <v/>
      </c>
      <c r="F33" s="42" t="str">
        <f>IF($C33="","",IFERROR(IF(ISNA($D33/VLOOKUP($C33,Données!$C$19:'Données'!$I$48,7,0)*100), ,$D33/VLOOKUP($C33,Données!$C$19:'Données'!$I$48,7,0)*100),"/"))</f>
        <v/>
      </c>
      <c r="G33" s="41" t="str">
        <f>IF($D33=0,"/",IF($C33="","",IFERROR(IF(ISNA(VLOOKUP($C33,'Phase GPA'!$C$29:'Phase GPA'!$U$58,11,0)), ,VLOOKUP($C33,'Phase GPA'!$C$29:'Phase GPA'!$U$58,11,0)),0)))</f>
        <v/>
      </c>
      <c r="H33" s="43" t="str">
        <f>IF($C33="","",IFERROR(IF(ISNA(VLOOKUP($C33,'Phase GPA'!$C$29:'Phase GPA'!$U$58,12,0)), ,VLOOKUP($C33,'Phase GPA'!$C$29:'Phase GPA'!$U$58,12,0)),0))</f>
        <v/>
      </c>
      <c r="I33" s="44" t="str">
        <f>IF($C33="","",IFERROR(IF(ISNA($H33/VLOOKUP($C33,Données!$C$19:'Données'!$I$48,5,0)), ,$H33/VLOOKUP($C33,Données!$C$19:'Données'!$I$48,5,0))*100,0))</f>
        <v/>
      </c>
      <c r="J33" s="44" t="str">
        <f>IF($C33="","",IFERROR(IF(ISNA($H33/VLOOKUP($C33,Données!$C$19:'Données'!$I$48,6,0)), ,$H33/VLOOKUP($C33,Données!$C$19:'Données'!$I$48,6,0)),"/"))</f>
        <v/>
      </c>
      <c r="K33" s="44" t="str">
        <f>IF($C33="","",IFERROR(IF(ISNA($H33/VLOOKUP($C33,Données!$C$19:'Données'!$I$48,7,0)*100), ,$H33/VLOOKUP($C33,Données!$C$19:'Données'!$I$48,7,0)*100),"/"))</f>
        <v/>
      </c>
      <c r="L33" s="91" t="str">
        <f t="shared" si="0"/>
        <v/>
      </c>
      <c r="M33" s="13"/>
      <c r="N33" s="112"/>
      <c r="O33" s="164"/>
      <c r="P33" s="165"/>
      <c r="Q33" s="1"/>
      <c r="R33" s="1"/>
      <c r="S33" s="54" t="str">
        <f>IF($C33="","",IFERROR(IF(ISNA(VLOOKUP($C33,Données!$C$19:'Données'!$I$48,6,0)), ,VLOOKUP($C33,Données!$C$19:'Données'!$I$48,6,0)),"/"))</f>
        <v/>
      </c>
      <c r="T33" s="54" t="str">
        <f>IF($C33="","",IFERROR(IF(ISNA(VLOOKUP($C33,Données!$C$19:'Données'!$I$48,7,0)), ,VLOOKUP($C33,Données!$C$19:'Données'!$I$48,7,0)),"/"))</f>
        <v/>
      </c>
      <c r="U33" s="54" t="str">
        <f>IF($C33="","",IFERROR(IF(ISNA(VLOOKUP($C33,Données!$C$19:'Données'!$I$48,5,0)), ,VLOOKUP($C33,Données!$C$19:'Données'!$I$48,5,0)),"/"))</f>
        <v/>
      </c>
      <c r="V33" s="54" t="str">
        <f t="shared" si="6"/>
        <v/>
      </c>
      <c r="W33" s="49">
        <f t="shared" si="1"/>
        <v>0</v>
      </c>
      <c r="X33" s="49">
        <f t="shared" si="2"/>
        <v>0</v>
      </c>
      <c r="Y33" s="114" t="s">
        <v>97</v>
      </c>
      <c r="Z33" s="116" t="str">
        <f t="shared" si="3"/>
        <v/>
      </c>
      <c r="AA33" s="49" t="str">
        <f>TEXT('Feuille Saisie'!$B$4,"aaaa")</f>
        <v>2019</v>
      </c>
      <c r="AB33" s="49" t="str">
        <f t="shared" si="4"/>
        <v/>
      </c>
      <c r="AC33" s="49">
        <f t="shared" si="5"/>
        <v>0</v>
      </c>
    </row>
    <row r="34" spans="1:29" ht="50.1" customHeight="1" x14ac:dyDescent="0.25">
      <c r="A34" s="1"/>
      <c r="B34" s="1"/>
      <c r="C34" s="15"/>
      <c r="D34" s="41" t="str">
        <f>IF($C34="","",IFERROR(IF(ISNA(VLOOKUP($C34,'Phase GPA'!$C$29:'Phase GPA'!$U$58,10,0)), ,VLOOKUP($C34,'Phase GPA'!$C$29:'Phase GPA'!$U$58,10,0)),0))</f>
        <v/>
      </c>
      <c r="E34" s="42" t="str">
        <f>IF($C34="","",IFERROR(IF(ISNA($D34/VLOOKUP($C34,Données!$C$19:'Données'!$I$48,6,0)), ,$D34/VLOOKUP($C34,Données!$C$19:'Données'!$I$48,6,0)),"/"))</f>
        <v/>
      </c>
      <c r="F34" s="42" t="str">
        <f>IF($C34="","",IFERROR(IF(ISNA($D34/VLOOKUP($C34,Données!$C$19:'Données'!$I$48,7,0)*100), ,$D34/VLOOKUP($C34,Données!$C$19:'Données'!$I$48,7,0)*100),"/"))</f>
        <v/>
      </c>
      <c r="G34" s="41" t="str">
        <f>IF($D34=0,"/",IF($C34="","",IFERROR(IF(ISNA(VLOOKUP($C34,'Phase GPA'!$C$29:'Phase GPA'!$U$58,11,0)), ,VLOOKUP($C34,'Phase GPA'!$C$29:'Phase GPA'!$U$58,11,0)),0)))</f>
        <v/>
      </c>
      <c r="H34" s="43" t="str">
        <f>IF($C34="","",IFERROR(IF(ISNA(VLOOKUP($C34,'Phase GPA'!$C$29:'Phase GPA'!$U$58,12,0)), ,VLOOKUP($C34,'Phase GPA'!$C$29:'Phase GPA'!$U$58,12,0)),0))</f>
        <v/>
      </c>
      <c r="I34" s="44" t="str">
        <f>IF($C34="","",IFERROR(IF(ISNA($H34/VLOOKUP($C34,Données!$C$19:'Données'!$I$48,5,0)), ,$H34/VLOOKUP($C34,Données!$C$19:'Données'!$I$48,5,0))*100,0))</f>
        <v/>
      </c>
      <c r="J34" s="44" t="str">
        <f>IF($C34="","",IFERROR(IF(ISNA($H34/VLOOKUP($C34,Données!$C$19:'Données'!$I$48,6,0)), ,$H34/VLOOKUP($C34,Données!$C$19:'Données'!$I$48,6,0)),"/"))</f>
        <v/>
      </c>
      <c r="K34" s="44" t="str">
        <f>IF($C34="","",IFERROR(IF(ISNA($H34/VLOOKUP($C34,Données!$C$19:'Données'!$I$48,7,0)*100), ,$H34/VLOOKUP($C34,Données!$C$19:'Données'!$I$48,7,0)*100),"/"))</f>
        <v/>
      </c>
      <c r="L34" s="91" t="str">
        <f t="shared" si="0"/>
        <v/>
      </c>
      <c r="M34" s="13"/>
      <c r="N34" s="112"/>
      <c r="O34" s="164"/>
      <c r="P34" s="165"/>
      <c r="Q34" s="1"/>
      <c r="R34" s="1"/>
      <c r="S34" s="54" t="str">
        <f>IF($C34="","",IFERROR(IF(ISNA(VLOOKUP($C34,Données!$C$19:'Données'!$I$48,6,0)), ,VLOOKUP($C34,Données!$C$19:'Données'!$I$48,6,0)),"/"))</f>
        <v/>
      </c>
      <c r="T34" s="54" t="str">
        <f>IF($C34="","",IFERROR(IF(ISNA(VLOOKUP($C34,Données!$C$19:'Données'!$I$48,7,0)), ,VLOOKUP($C34,Données!$C$19:'Données'!$I$48,7,0)),"/"))</f>
        <v/>
      </c>
      <c r="U34" s="54" t="str">
        <f>IF($C34="","",IFERROR(IF(ISNA(VLOOKUP($C34,Données!$C$19:'Données'!$I$48,5,0)), ,VLOOKUP($C34,Données!$C$19:'Données'!$I$48,5,0)),"/"))</f>
        <v/>
      </c>
      <c r="V34" s="54" t="str">
        <f t="shared" si="6"/>
        <v/>
      </c>
      <c r="W34" s="49">
        <f t="shared" si="1"/>
        <v>0</v>
      </c>
      <c r="X34" s="49">
        <f t="shared" si="2"/>
        <v>0</v>
      </c>
      <c r="Y34" s="114" t="s">
        <v>97</v>
      </c>
      <c r="Z34" s="116" t="str">
        <f t="shared" si="3"/>
        <v/>
      </c>
      <c r="AA34" s="49" t="str">
        <f>TEXT('Feuille Saisie'!$B$4,"aaaa")</f>
        <v>2019</v>
      </c>
      <c r="AB34" s="49" t="str">
        <f t="shared" si="4"/>
        <v/>
      </c>
      <c r="AC34" s="49">
        <f t="shared" si="5"/>
        <v>0</v>
      </c>
    </row>
    <row r="35" spans="1:29" ht="50.1" customHeight="1" x14ac:dyDescent="0.25">
      <c r="A35" s="1"/>
      <c r="B35" s="1"/>
      <c r="C35" s="15"/>
      <c r="D35" s="41" t="str">
        <f>IF($C35="","",IFERROR(IF(ISNA(VLOOKUP($C35,'Phase GPA'!$C$29:'Phase GPA'!$U$58,10,0)), ,VLOOKUP($C35,'Phase GPA'!$C$29:'Phase GPA'!$U$58,10,0)),0))</f>
        <v/>
      </c>
      <c r="E35" s="42" t="str">
        <f>IF($C35="","",IFERROR(IF(ISNA($D35/VLOOKUP($C35,Données!$C$19:'Données'!$I$48,6,0)), ,$D35/VLOOKUP($C35,Données!$C$19:'Données'!$I$48,6,0)),"/"))</f>
        <v/>
      </c>
      <c r="F35" s="42" t="str">
        <f>IF($C35="","",IFERROR(IF(ISNA($D35/VLOOKUP($C35,Données!$C$19:'Données'!$I$48,7,0)*100), ,$D35/VLOOKUP($C35,Données!$C$19:'Données'!$I$48,7,0)*100),"/"))</f>
        <v/>
      </c>
      <c r="G35" s="41" t="str">
        <f>IF($D35=0,"/",IF($C35="","",IFERROR(IF(ISNA(VLOOKUP($C35,'Phase GPA'!$C$29:'Phase GPA'!$U$58,11,0)), ,VLOOKUP($C35,'Phase GPA'!$C$29:'Phase GPA'!$U$58,11,0)),0)))</f>
        <v/>
      </c>
      <c r="H35" s="43" t="str">
        <f>IF($C35="","",IFERROR(IF(ISNA(VLOOKUP($C35,'Phase GPA'!$C$29:'Phase GPA'!$U$58,12,0)), ,VLOOKUP($C35,'Phase GPA'!$C$29:'Phase GPA'!$U$58,12,0)),0))</f>
        <v/>
      </c>
      <c r="I35" s="44" t="str">
        <f>IF($C35="","",IFERROR(IF(ISNA($H35/VLOOKUP($C35,Données!$C$19:'Données'!$I$48,5,0)), ,$H35/VLOOKUP($C35,Données!$C$19:'Données'!$I$48,5,0))*100,0))</f>
        <v/>
      </c>
      <c r="J35" s="44" t="str">
        <f>IF($C35="","",IFERROR(IF(ISNA($H35/VLOOKUP($C35,Données!$C$19:'Données'!$I$48,6,0)), ,$H35/VLOOKUP($C35,Données!$C$19:'Données'!$I$48,6,0)),"/"))</f>
        <v/>
      </c>
      <c r="K35" s="44" t="str">
        <f>IF($C35="","",IFERROR(IF(ISNA($H35/VLOOKUP($C35,Données!$C$19:'Données'!$I$48,7,0)*100), ,$H35/VLOOKUP($C35,Données!$C$19:'Données'!$I$48,7,0)*100),"/"))</f>
        <v/>
      </c>
      <c r="L35" s="91" t="str">
        <f t="shared" si="0"/>
        <v/>
      </c>
      <c r="M35" s="13"/>
      <c r="N35" s="112"/>
      <c r="O35" s="164"/>
      <c r="P35" s="165"/>
      <c r="Q35" s="1"/>
      <c r="R35" s="1"/>
      <c r="S35" s="54" t="str">
        <f>IF($C35="","",IFERROR(IF(ISNA(VLOOKUP($C35,Données!$C$19:'Données'!$I$48,6,0)), ,VLOOKUP($C35,Données!$C$19:'Données'!$I$48,6,0)),"/"))</f>
        <v/>
      </c>
      <c r="T35" s="54" t="str">
        <f>IF($C35="","",IFERROR(IF(ISNA(VLOOKUP($C35,Données!$C$19:'Données'!$I$48,7,0)), ,VLOOKUP($C35,Données!$C$19:'Données'!$I$48,7,0)),"/"))</f>
        <v/>
      </c>
      <c r="U35" s="54" t="str">
        <f>IF($C35="","",IFERROR(IF(ISNA(VLOOKUP($C35,Données!$C$19:'Données'!$I$48,5,0)), ,VLOOKUP($C35,Données!$C$19:'Données'!$I$48,5,0)),"/"))</f>
        <v/>
      </c>
      <c r="V35" s="54" t="str">
        <f t="shared" si="6"/>
        <v/>
      </c>
      <c r="W35" s="49">
        <f t="shared" si="1"/>
        <v>0</v>
      </c>
      <c r="X35" s="49">
        <f t="shared" si="2"/>
        <v>0</v>
      </c>
      <c r="Y35" s="114" t="s">
        <v>97</v>
      </c>
      <c r="Z35" s="116" t="str">
        <f t="shared" si="3"/>
        <v/>
      </c>
      <c r="AA35" s="49" t="str">
        <f>TEXT('Feuille Saisie'!$B$4,"aaaa")</f>
        <v>2019</v>
      </c>
      <c r="AB35" s="49" t="str">
        <f t="shared" si="4"/>
        <v/>
      </c>
      <c r="AC35" s="49">
        <f t="shared" si="5"/>
        <v>0</v>
      </c>
    </row>
    <row r="36" spans="1:29" ht="50.1" customHeight="1" x14ac:dyDescent="0.25">
      <c r="A36" s="1"/>
      <c r="B36" s="1"/>
      <c r="C36" s="15"/>
      <c r="D36" s="41" t="str">
        <f>IF($C36="","",IFERROR(IF(ISNA(VLOOKUP($C36,'Phase GPA'!$C$29:'Phase GPA'!$U$58,10,0)), ,VLOOKUP($C36,'Phase GPA'!$C$29:'Phase GPA'!$U$58,10,0)),0))</f>
        <v/>
      </c>
      <c r="E36" s="42" t="str">
        <f>IF($C36="","",IFERROR(IF(ISNA($D36/VLOOKUP($C36,Données!$C$19:'Données'!$I$48,6,0)), ,$D36/VLOOKUP($C36,Données!$C$19:'Données'!$I$48,6,0)),"/"))</f>
        <v/>
      </c>
      <c r="F36" s="42" t="str">
        <f>IF($C36="","",IFERROR(IF(ISNA($D36/VLOOKUP($C36,Données!$C$19:'Données'!$I$48,7,0)*100), ,$D36/VLOOKUP($C36,Données!$C$19:'Données'!$I$48,7,0)*100),"/"))</f>
        <v/>
      </c>
      <c r="G36" s="41" t="str">
        <f>IF($D36=0,"/",IF($C36="","",IFERROR(IF(ISNA(VLOOKUP($C36,'Phase GPA'!$C$29:'Phase GPA'!$U$58,11,0)), ,VLOOKUP($C36,'Phase GPA'!$C$29:'Phase GPA'!$U$58,11,0)),0)))</f>
        <v/>
      </c>
      <c r="H36" s="43" t="str">
        <f>IF($C36="","",IFERROR(IF(ISNA(VLOOKUP($C36,'Phase GPA'!$C$29:'Phase GPA'!$U$58,12,0)), ,VLOOKUP($C36,'Phase GPA'!$C$29:'Phase GPA'!$U$58,12,0)),0))</f>
        <v/>
      </c>
      <c r="I36" s="44" t="str">
        <f>IF($C36="","",IFERROR(IF(ISNA($H36/VLOOKUP($C36,Données!$C$19:'Données'!$I$48,5,0)), ,$H36/VLOOKUP($C36,Données!$C$19:'Données'!$I$48,5,0))*100,0))</f>
        <v/>
      </c>
      <c r="J36" s="44" t="str">
        <f>IF($C36="","",IFERROR(IF(ISNA($H36/VLOOKUP($C36,Données!$C$19:'Données'!$I$48,6,0)), ,$H36/VLOOKUP($C36,Données!$C$19:'Données'!$I$48,6,0)),"/"))</f>
        <v/>
      </c>
      <c r="K36" s="44" t="str">
        <f>IF($C36="","",IFERROR(IF(ISNA($H36/VLOOKUP($C36,Données!$C$19:'Données'!$I$48,7,0)*100), ,$H36/VLOOKUP($C36,Données!$C$19:'Données'!$I$48,7,0)*100),"/"))</f>
        <v/>
      </c>
      <c r="L36" s="91" t="str">
        <f t="shared" si="0"/>
        <v/>
      </c>
      <c r="M36" s="13"/>
      <c r="N36" s="112"/>
      <c r="O36" s="164"/>
      <c r="P36" s="165"/>
      <c r="Q36" s="1"/>
      <c r="R36" s="1"/>
      <c r="S36" s="54" t="str">
        <f>IF($C36="","",IFERROR(IF(ISNA(VLOOKUP($C36,Données!$C$19:'Données'!$I$48,6,0)), ,VLOOKUP($C36,Données!$C$19:'Données'!$I$48,6,0)),"/"))</f>
        <v/>
      </c>
      <c r="T36" s="54" t="str">
        <f>IF($C36="","",IFERROR(IF(ISNA(VLOOKUP($C36,Données!$C$19:'Données'!$I$48,7,0)), ,VLOOKUP($C36,Données!$C$19:'Données'!$I$48,7,0)),"/"))</f>
        <v/>
      </c>
      <c r="U36" s="54" t="str">
        <f>IF($C36="","",IFERROR(IF(ISNA(VLOOKUP($C36,Données!$C$19:'Données'!$I$48,5,0)), ,VLOOKUP($C36,Données!$C$19:'Données'!$I$48,5,0)),"/"))</f>
        <v/>
      </c>
      <c r="V36" s="54" t="str">
        <f t="shared" si="6"/>
        <v/>
      </c>
      <c r="W36" s="49">
        <f t="shared" si="1"/>
        <v>0</v>
      </c>
      <c r="X36" s="49">
        <f t="shared" si="2"/>
        <v>0</v>
      </c>
      <c r="Y36" s="114" t="s">
        <v>97</v>
      </c>
      <c r="Z36" s="116" t="str">
        <f t="shared" si="3"/>
        <v/>
      </c>
      <c r="AA36" s="49" t="str">
        <f>TEXT('Feuille Saisie'!$B$4,"aaaa")</f>
        <v>2019</v>
      </c>
      <c r="AB36" s="49" t="str">
        <f t="shared" si="4"/>
        <v/>
      </c>
      <c r="AC36" s="49">
        <f t="shared" si="5"/>
        <v>0</v>
      </c>
    </row>
    <row r="37" spans="1:29" ht="50.1" customHeight="1" x14ac:dyDescent="0.25">
      <c r="A37" s="1"/>
      <c r="B37" s="1"/>
      <c r="C37" s="15"/>
      <c r="D37" s="41" t="str">
        <f>IF($C37="","",IFERROR(IF(ISNA(VLOOKUP($C37,'Phase GPA'!$C$29:'Phase GPA'!$U$58,10,0)), ,VLOOKUP($C37,'Phase GPA'!$C$29:'Phase GPA'!$U$58,10,0)),0))</f>
        <v/>
      </c>
      <c r="E37" s="42" t="str">
        <f>IF($C37="","",IFERROR(IF(ISNA($D37/VLOOKUP($C37,Données!$C$19:'Données'!$I$48,6,0)), ,$D37/VLOOKUP($C37,Données!$C$19:'Données'!$I$48,6,0)),"/"))</f>
        <v/>
      </c>
      <c r="F37" s="42" t="str">
        <f>IF($C37="","",IFERROR(IF(ISNA($D37/VLOOKUP($C37,Données!$C$19:'Données'!$I$48,7,0)*100), ,$D37/VLOOKUP($C37,Données!$C$19:'Données'!$I$48,7,0)*100),"/"))</f>
        <v/>
      </c>
      <c r="G37" s="41" t="str">
        <f>IF($D37=0,"/",IF($C37="","",IFERROR(IF(ISNA(VLOOKUP($C37,'Phase GPA'!$C$29:'Phase GPA'!$U$58,11,0)), ,VLOOKUP($C37,'Phase GPA'!$C$29:'Phase GPA'!$U$58,11,0)),0)))</f>
        <v/>
      </c>
      <c r="H37" s="43" t="str">
        <f>IF($C37="","",IFERROR(IF(ISNA(VLOOKUP($C37,'Phase GPA'!$C$29:'Phase GPA'!$U$58,12,0)), ,VLOOKUP($C37,'Phase GPA'!$C$29:'Phase GPA'!$U$58,12,0)),0))</f>
        <v/>
      </c>
      <c r="I37" s="44" t="str">
        <f>IF($C37="","",IFERROR(IF(ISNA($H37/VLOOKUP($C37,Données!$C$19:'Données'!$I$48,5,0)), ,$H37/VLOOKUP($C37,Données!$C$19:'Données'!$I$48,5,0))*100,0))</f>
        <v/>
      </c>
      <c r="J37" s="44" t="str">
        <f>IF($C37="","",IFERROR(IF(ISNA($H37/VLOOKUP($C37,Données!$C$19:'Données'!$I$48,6,0)), ,$H37/VLOOKUP($C37,Données!$C$19:'Données'!$I$48,6,0)),"/"))</f>
        <v/>
      </c>
      <c r="K37" s="44" t="str">
        <f>IF($C37="","",IFERROR(IF(ISNA($H37/VLOOKUP($C37,Données!$C$19:'Données'!$I$48,7,0)*100), ,$H37/VLOOKUP($C37,Données!$C$19:'Données'!$I$48,7,0)*100),"/"))</f>
        <v/>
      </c>
      <c r="L37" s="91" t="str">
        <f t="shared" si="0"/>
        <v/>
      </c>
      <c r="M37" s="13"/>
      <c r="N37" s="112"/>
      <c r="O37" s="164"/>
      <c r="P37" s="165"/>
      <c r="Q37" s="1"/>
      <c r="R37" s="1"/>
      <c r="S37" s="54" t="str">
        <f>IF($C37="","",IFERROR(IF(ISNA(VLOOKUP($C37,Données!$C$19:'Données'!$I$48,6,0)), ,VLOOKUP($C37,Données!$C$19:'Données'!$I$48,6,0)),"/"))</f>
        <v/>
      </c>
      <c r="T37" s="54" t="str">
        <f>IF($C37="","",IFERROR(IF(ISNA(VLOOKUP($C37,Données!$C$19:'Données'!$I$48,7,0)), ,VLOOKUP($C37,Données!$C$19:'Données'!$I$48,7,0)),"/"))</f>
        <v/>
      </c>
      <c r="U37" s="54" t="str">
        <f>IF($C37="","",IFERROR(IF(ISNA(VLOOKUP($C37,Données!$C$19:'Données'!$I$48,5,0)), ,VLOOKUP($C37,Données!$C$19:'Données'!$I$48,5,0)),"/"))</f>
        <v/>
      </c>
      <c r="V37" s="54" t="str">
        <f t="shared" si="6"/>
        <v/>
      </c>
      <c r="W37" s="49">
        <f t="shared" si="1"/>
        <v>0</v>
      </c>
      <c r="X37" s="49">
        <f t="shared" si="2"/>
        <v>0</v>
      </c>
      <c r="Y37" s="114" t="s">
        <v>97</v>
      </c>
      <c r="Z37" s="116" t="str">
        <f t="shared" si="3"/>
        <v/>
      </c>
      <c r="AA37" s="49" t="str">
        <f>TEXT('Feuille Saisie'!$B$4,"aaaa")</f>
        <v>2019</v>
      </c>
      <c r="AB37" s="49" t="str">
        <f t="shared" si="4"/>
        <v/>
      </c>
      <c r="AC37" s="49">
        <f t="shared" si="5"/>
        <v>0</v>
      </c>
    </row>
    <row r="38" spans="1:29" ht="50.1" customHeight="1" x14ac:dyDescent="0.25">
      <c r="A38" s="1"/>
      <c r="B38" s="1"/>
      <c r="C38" s="15"/>
      <c r="D38" s="41" t="str">
        <f>IF($C38="","",IFERROR(IF(ISNA(VLOOKUP($C38,'Phase GPA'!$C$29:'Phase GPA'!$U$58,10,0)), ,VLOOKUP($C38,'Phase GPA'!$C$29:'Phase GPA'!$U$58,10,0)),0))</f>
        <v/>
      </c>
      <c r="E38" s="42" t="str">
        <f>IF($C38="","",IFERROR(IF(ISNA($D38/VLOOKUP($C38,Données!$C$19:'Données'!$I$48,6,0)), ,$D38/VLOOKUP($C38,Données!$C$19:'Données'!$I$48,6,0)),"/"))</f>
        <v/>
      </c>
      <c r="F38" s="42" t="str">
        <f>IF($C38="","",IFERROR(IF(ISNA($D38/VLOOKUP($C38,Données!$C$19:'Données'!$I$48,7,0)*100), ,$D38/VLOOKUP($C38,Données!$C$19:'Données'!$I$48,7,0)*100),"/"))</f>
        <v/>
      </c>
      <c r="G38" s="41" t="str">
        <f>IF($D38=0,"/",IF($C38="","",IFERROR(IF(ISNA(VLOOKUP($C38,'Phase GPA'!$C$29:'Phase GPA'!$U$58,11,0)), ,VLOOKUP($C38,'Phase GPA'!$C$29:'Phase GPA'!$U$58,11,0)),0)))</f>
        <v/>
      </c>
      <c r="H38" s="43" t="str">
        <f>IF($C38="","",IFERROR(IF(ISNA(VLOOKUP($C38,'Phase GPA'!$C$29:'Phase GPA'!$U$58,12,0)), ,VLOOKUP($C38,'Phase GPA'!$C$29:'Phase GPA'!$U$58,12,0)),0))</f>
        <v/>
      </c>
      <c r="I38" s="44" t="str">
        <f>IF($C38="","",IFERROR(IF(ISNA($H38/VLOOKUP($C38,Données!$C$19:'Données'!$I$48,5,0)), ,$H38/VLOOKUP($C38,Données!$C$19:'Données'!$I$48,5,0))*100,0))</f>
        <v/>
      </c>
      <c r="J38" s="44" t="str">
        <f>IF($C38="","",IFERROR(IF(ISNA($H38/VLOOKUP($C38,Données!$C$19:'Données'!$I$48,6,0)), ,$H38/VLOOKUP($C38,Données!$C$19:'Données'!$I$48,6,0)),"/"))</f>
        <v/>
      </c>
      <c r="K38" s="44" t="str">
        <f>IF($C38="","",IFERROR(IF(ISNA($H38/VLOOKUP($C38,Données!$C$19:'Données'!$I$48,7,0)*100), ,$H38/VLOOKUP($C38,Données!$C$19:'Données'!$I$48,7,0)*100),"/"))</f>
        <v/>
      </c>
      <c r="L38" s="91" t="str">
        <f t="shared" si="0"/>
        <v/>
      </c>
      <c r="M38" s="13"/>
      <c r="N38" s="112"/>
      <c r="O38" s="164"/>
      <c r="P38" s="165"/>
      <c r="Q38" s="1"/>
      <c r="R38" s="1"/>
      <c r="S38" s="54" t="str">
        <f>IF($C38="","",IFERROR(IF(ISNA(VLOOKUP($C38,Données!$C$19:'Données'!$I$48,6,0)), ,VLOOKUP($C38,Données!$C$19:'Données'!$I$48,6,0)),"/"))</f>
        <v/>
      </c>
      <c r="T38" s="54" t="str">
        <f>IF($C38="","",IFERROR(IF(ISNA(VLOOKUP($C38,Données!$C$19:'Données'!$I$48,7,0)), ,VLOOKUP($C38,Données!$C$19:'Données'!$I$48,7,0)),"/"))</f>
        <v/>
      </c>
      <c r="U38" s="54" t="str">
        <f>IF($C38="","",IFERROR(IF(ISNA(VLOOKUP($C38,Données!$C$19:'Données'!$I$48,5,0)), ,VLOOKUP($C38,Données!$C$19:'Données'!$I$48,5,0)),"/"))</f>
        <v/>
      </c>
      <c r="V38" s="54" t="str">
        <f t="shared" si="6"/>
        <v/>
      </c>
      <c r="W38" s="49">
        <f t="shared" si="1"/>
        <v>0</v>
      </c>
      <c r="X38" s="49">
        <f t="shared" si="2"/>
        <v>0</v>
      </c>
      <c r="Y38" s="114" t="s">
        <v>97</v>
      </c>
      <c r="Z38" s="116" t="str">
        <f t="shared" si="3"/>
        <v/>
      </c>
      <c r="AA38" s="49" t="str">
        <f>TEXT('Feuille Saisie'!$B$4,"aaaa")</f>
        <v>2019</v>
      </c>
      <c r="AB38" s="49" t="str">
        <f t="shared" si="4"/>
        <v/>
      </c>
      <c r="AC38" s="49">
        <f t="shared" si="5"/>
        <v>0</v>
      </c>
    </row>
    <row r="39" spans="1:29" ht="50.1" customHeight="1" x14ac:dyDescent="0.25">
      <c r="A39" s="1"/>
      <c r="B39" s="1"/>
      <c r="C39" s="15"/>
      <c r="D39" s="41" t="str">
        <f>IF($C39="","",IFERROR(IF(ISNA(VLOOKUP($C39,'Phase GPA'!$C$29:'Phase GPA'!$U$58,10,0)), ,VLOOKUP($C39,'Phase GPA'!$C$29:'Phase GPA'!$U$58,10,0)),0))</f>
        <v/>
      </c>
      <c r="E39" s="42" t="str">
        <f>IF($C39="","",IFERROR(IF(ISNA($D39/VLOOKUP($C39,Données!$C$19:'Données'!$I$48,6,0)), ,$D39/VLOOKUP($C39,Données!$C$19:'Données'!$I$48,6,0)),"/"))</f>
        <v/>
      </c>
      <c r="F39" s="42" t="str">
        <f>IF($C39="","",IFERROR(IF(ISNA($D39/VLOOKUP($C39,Données!$C$19:'Données'!$I$48,7,0)*100), ,$D39/VLOOKUP($C39,Données!$C$19:'Données'!$I$48,7,0)*100),"/"))</f>
        <v/>
      </c>
      <c r="G39" s="41" t="str">
        <f>IF($D39=0,"/",IF($C39="","",IFERROR(IF(ISNA(VLOOKUP($C39,'Phase GPA'!$C$29:'Phase GPA'!$U$58,11,0)), ,VLOOKUP($C39,'Phase GPA'!$C$29:'Phase GPA'!$U$58,11,0)),0)))</f>
        <v/>
      </c>
      <c r="H39" s="43" t="str">
        <f>IF($C39="","",IFERROR(IF(ISNA(VLOOKUP($C39,'Phase GPA'!$C$29:'Phase GPA'!$U$58,12,0)), ,VLOOKUP($C39,'Phase GPA'!$C$29:'Phase GPA'!$U$58,12,0)),0))</f>
        <v/>
      </c>
      <c r="I39" s="44" t="str">
        <f>IF($C39="","",IFERROR(IF(ISNA($H39/VLOOKUP($C39,Données!$C$19:'Données'!$I$48,5,0)), ,$H39/VLOOKUP($C39,Données!$C$19:'Données'!$I$48,5,0))*100,0))</f>
        <v/>
      </c>
      <c r="J39" s="44" t="str">
        <f>IF($C39="","",IFERROR(IF(ISNA($H39/VLOOKUP($C39,Données!$C$19:'Données'!$I$48,6,0)), ,$H39/VLOOKUP($C39,Données!$C$19:'Données'!$I$48,6,0)),"/"))</f>
        <v/>
      </c>
      <c r="K39" s="44" t="str">
        <f>IF($C39="","",IFERROR(IF(ISNA($H39/VLOOKUP($C39,Données!$C$19:'Données'!$I$48,7,0)*100), ,$H39/VLOOKUP($C39,Données!$C$19:'Données'!$I$48,7,0)*100),"/"))</f>
        <v/>
      </c>
      <c r="L39" s="91" t="str">
        <f t="shared" si="0"/>
        <v/>
      </c>
      <c r="M39" s="13"/>
      <c r="N39" s="112"/>
      <c r="O39" s="164"/>
      <c r="P39" s="165"/>
      <c r="Q39" s="1"/>
      <c r="R39" s="1"/>
      <c r="S39" s="54" t="str">
        <f>IF($C39="","",IFERROR(IF(ISNA(VLOOKUP($C39,Données!$C$19:'Données'!$I$48,6,0)), ,VLOOKUP($C39,Données!$C$19:'Données'!$I$48,6,0)),"/"))</f>
        <v/>
      </c>
      <c r="T39" s="54" t="str">
        <f>IF($C39="","",IFERROR(IF(ISNA(VLOOKUP($C39,Données!$C$19:'Données'!$I$48,7,0)), ,VLOOKUP($C39,Données!$C$19:'Données'!$I$48,7,0)),"/"))</f>
        <v/>
      </c>
      <c r="U39" s="54" t="str">
        <f>IF($C39="","",IFERROR(IF(ISNA(VLOOKUP($C39,Données!$C$19:'Données'!$I$48,5,0)), ,VLOOKUP($C39,Données!$C$19:'Données'!$I$48,5,0)),"/"))</f>
        <v/>
      </c>
      <c r="V39" s="54" t="str">
        <f t="shared" si="6"/>
        <v/>
      </c>
      <c r="W39" s="49">
        <f t="shared" si="1"/>
        <v>0</v>
      </c>
      <c r="X39" s="49">
        <f t="shared" si="2"/>
        <v>0</v>
      </c>
      <c r="Y39" s="114" t="s">
        <v>97</v>
      </c>
      <c r="Z39" s="116" t="str">
        <f t="shared" si="3"/>
        <v/>
      </c>
      <c r="AA39" s="49" t="str">
        <f>TEXT('Feuille Saisie'!$B$4,"aaaa")</f>
        <v>2019</v>
      </c>
      <c r="AB39" s="49" t="str">
        <f t="shared" si="4"/>
        <v/>
      </c>
      <c r="AC39" s="49">
        <f t="shared" si="5"/>
        <v>0</v>
      </c>
    </row>
    <row r="40" spans="1:29" ht="50.1" customHeight="1" x14ac:dyDescent="0.25">
      <c r="A40" s="1"/>
      <c r="B40" s="1"/>
      <c r="C40" s="15"/>
      <c r="D40" s="41" t="str">
        <f>IF($C40="","",IFERROR(IF(ISNA(VLOOKUP($C40,'Phase GPA'!$C$29:'Phase GPA'!$U$58,10,0)), ,VLOOKUP($C40,'Phase GPA'!$C$29:'Phase GPA'!$U$58,10,0)),0))</f>
        <v/>
      </c>
      <c r="E40" s="42" t="str">
        <f>IF($C40="","",IFERROR(IF(ISNA($D40/VLOOKUP($C40,Données!$C$19:'Données'!$I$48,6,0)), ,$D40/VLOOKUP($C40,Données!$C$19:'Données'!$I$48,6,0)),"/"))</f>
        <v/>
      </c>
      <c r="F40" s="42" t="str">
        <f>IF($C40="","",IFERROR(IF(ISNA($D40/VLOOKUP($C40,Données!$C$19:'Données'!$I$48,7,0)*100), ,$D40/VLOOKUP($C40,Données!$C$19:'Données'!$I$48,7,0)*100),"/"))</f>
        <v/>
      </c>
      <c r="G40" s="41" t="str">
        <f>IF($D40=0,"/",IF($C40="","",IFERROR(IF(ISNA(VLOOKUP($C40,'Phase GPA'!$C$29:'Phase GPA'!$U$58,11,0)), ,VLOOKUP($C40,'Phase GPA'!$C$29:'Phase GPA'!$U$58,11,0)),0)))</f>
        <v/>
      </c>
      <c r="H40" s="43" t="str">
        <f>IF($C40="","",IFERROR(IF(ISNA(VLOOKUP($C40,'Phase GPA'!$C$29:'Phase GPA'!$U$58,12,0)), ,VLOOKUP($C40,'Phase GPA'!$C$29:'Phase GPA'!$U$58,12,0)),0))</f>
        <v/>
      </c>
      <c r="I40" s="44" t="str">
        <f>IF($C40="","",IFERROR(IF(ISNA($H40/VLOOKUP($C40,Données!$C$19:'Données'!$I$48,5,0)), ,$H40/VLOOKUP($C40,Données!$C$19:'Données'!$I$48,5,0))*100,0))</f>
        <v/>
      </c>
      <c r="J40" s="44" t="str">
        <f>IF($C40="","",IFERROR(IF(ISNA($H40/VLOOKUP($C40,Données!$C$19:'Données'!$I$48,6,0)), ,$H40/VLOOKUP($C40,Données!$C$19:'Données'!$I$48,6,0)),"/"))</f>
        <v/>
      </c>
      <c r="K40" s="44" t="str">
        <f>IF($C40="","",IFERROR(IF(ISNA($H40/VLOOKUP($C40,Données!$C$19:'Données'!$I$48,7,0)*100), ,$H40/VLOOKUP($C40,Données!$C$19:'Données'!$I$48,7,0)*100),"/"))</f>
        <v/>
      </c>
      <c r="L40" s="91" t="str">
        <f t="shared" si="0"/>
        <v/>
      </c>
      <c r="M40" s="13"/>
      <c r="N40" s="112"/>
      <c r="O40" s="164"/>
      <c r="P40" s="165"/>
      <c r="Q40" s="1"/>
      <c r="R40" s="1"/>
      <c r="S40" s="54" t="str">
        <f>IF($C40="","",IFERROR(IF(ISNA(VLOOKUP($C40,Données!$C$19:'Données'!$I$48,6,0)), ,VLOOKUP($C40,Données!$C$19:'Données'!$I$48,6,0)),"/"))</f>
        <v/>
      </c>
      <c r="T40" s="54" t="str">
        <f>IF($C40="","",IFERROR(IF(ISNA(VLOOKUP($C40,Données!$C$19:'Données'!$I$48,7,0)), ,VLOOKUP($C40,Données!$C$19:'Données'!$I$48,7,0)),"/"))</f>
        <v/>
      </c>
      <c r="U40" s="54" t="str">
        <f>IF($C40="","",IFERROR(IF(ISNA(VLOOKUP($C40,Données!$C$19:'Données'!$I$48,5,0)), ,VLOOKUP($C40,Données!$C$19:'Données'!$I$48,5,0)),"/"))</f>
        <v/>
      </c>
      <c r="V40" s="54" t="str">
        <f t="shared" si="6"/>
        <v/>
      </c>
      <c r="W40" s="49">
        <f t="shared" si="1"/>
        <v>0</v>
      </c>
      <c r="X40" s="49">
        <f t="shared" si="2"/>
        <v>0</v>
      </c>
      <c r="Y40" s="114" t="s">
        <v>97</v>
      </c>
      <c r="Z40" s="116" t="str">
        <f t="shared" si="3"/>
        <v/>
      </c>
      <c r="AA40" s="49" t="str">
        <f>TEXT('Feuille Saisie'!$B$4,"aaaa")</f>
        <v>2019</v>
      </c>
      <c r="AB40" s="49" t="str">
        <f t="shared" si="4"/>
        <v/>
      </c>
      <c r="AC40" s="49">
        <f t="shared" si="5"/>
        <v>0</v>
      </c>
    </row>
    <row r="41" spans="1:29" ht="50.1" customHeight="1" x14ac:dyDescent="0.25">
      <c r="A41" s="1"/>
      <c r="B41" s="1"/>
      <c r="C41" s="15"/>
      <c r="D41" s="41" t="str">
        <f>IF($C41="","",IFERROR(IF(ISNA(VLOOKUP($C41,'Phase GPA'!$C$29:'Phase GPA'!$U$58,10,0)), ,VLOOKUP($C41,'Phase GPA'!$C$29:'Phase GPA'!$U$58,10,0)),0))</f>
        <v/>
      </c>
      <c r="E41" s="42" t="str">
        <f>IF($C41="","",IFERROR(IF(ISNA($D41/VLOOKUP($C41,Données!$C$19:'Données'!$I$48,6,0)), ,$D41/VLOOKUP($C41,Données!$C$19:'Données'!$I$48,6,0)),"/"))</f>
        <v/>
      </c>
      <c r="F41" s="42" t="str">
        <f>IF($C41="","",IFERROR(IF(ISNA($D41/VLOOKUP($C41,Données!$C$19:'Données'!$I$48,7,0)*100), ,$D41/VLOOKUP($C41,Données!$C$19:'Données'!$I$48,7,0)*100),"/"))</f>
        <v/>
      </c>
      <c r="G41" s="41" t="str">
        <f>IF($D41=0,"/",IF($C41="","",IFERROR(IF(ISNA(VLOOKUP($C41,'Phase GPA'!$C$29:'Phase GPA'!$U$58,11,0)), ,VLOOKUP($C41,'Phase GPA'!$C$29:'Phase GPA'!$U$58,11,0)),0)))</f>
        <v/>
      </c>
      <c r="H41" s="43" t="str">
        <f>IF($C41="","",IFERROR(IF(ISNA(VLOOKUP($C41,'Phase GPA'!$C$29:'Phase GPA'!$U$58,12,0)), ,VLOOKUP($C41,'Phase GPA'!$C$29:'Phase GPA'!$U$58,12,0)),0))</f>
        <v/>
      </c>
      <c r="I41" s="44" t="str">
        <f>IF($C41="","",IFERROR(IF(ISNA($H41/VLOOKUP($C41,Données!$C$19:'Données'!$I$48,5,0)), ,$H41/VLOOKUP($C41,Données!$C$19:'Données'!$I$48,5,0))*100,0))</f>
        <v/>
      </c>
      <c r="J41" s="44" t="str">
        <f>IF($C41="","",IFERROR(IF(ISNA($H41/VLOOKUP($C41,Données!$C$19:'Données'!$I$48,6,0)), ,$H41/VLOOKUP($C41,Données!$C$19:'Données'!$I$48,6,0)),"/"))</f>
        <v/>
      </c>
      <c r="K41" s="44" t="str">
        <f>IF($C41="","",IFERROR(IF(ISNA($H41/VLOOKUP($C41,Données!$C$19:'Données'!$I$48,7,0)*100), ,$H41/VLOOKUP($C41,Données!$C$19:'Données'!$I$48,7,0)*100),"/"))</f>
        <v/>
      </c>
      <c r="L41" s="91" t="str">
        <f t="shared" si="0"/>
        <v/>
      </c>
      <c r="M41" s="13"/>
      <c r="N41" s="112"/>
      <c r="O41" s="164"/>
      <c r="P41" s="165"/>
      <c r="Q41" s="1"/>
      <c r="R41" s="1"/>
      <c r="S41" s="54" t="str">
        <f>IF($C41="","",IFERROR(IF(ISNA(VLOOKUP($C41,Données!$C$19:'Données'!$I$48,6,0)), ,VLOOKUP($C41,Données!$C$19:'Données'!$I$48,6,0)),"/"))</f>
        <v/>
      </c>
      <c r="T41" s="54" t="str">
        <f>IF($C41="","",IFERROR(IF(ISNA(VLOOKUP($C41,Données!$C$19:'Données'!$I$48,7,0)), ,VLOOKUP($C41,Données!$C$19:'Données'!$I$48,7,0)),"/"))</f>
        <v/>
      </c>
      <c r="U41" s="54" t="str">
        <f>IF($C41="","",IFERROR(IF(ISNA(VLOOKUP($C41,Données!$C$19:'Données'!$I$48,5,0)), ,VLOOKUP($C41,Données!$C$19:'Données'!$I$48,5,0)),"/"))</f>
        <v/>
      </c>
      <c r="V41" s="54" t="str">
        <f t="shared" si="6"/>
        <v/>
      </c>
      <c r="W41" s="49">
        <f t="shared" si="1"/>
        <v>0</v>
      </c>
      <c r="X41" s="49">
        <f t="shared" si="2"/>
        <v>0</v>
      </c>
      <c r="Y41" s="114" t="s">
        <v>97</v>
      </c>
      <c r="Z41" s="116" t="str">
        <f t="shared" si="3"/>
        <v/>
      </c>
      <c r="AA41" s="49" t="str">
        <f>TEXT('Feuille Saisie'!$B$4,"aaaa")</f>
        <v>2019</v>
      </c>
      <c r="AB41" s="49" t="str">
        <f t="shared" si="4"/>
        <v/>
      </c>
      <c r="AC41" s="49">
        <f t="shared" si="5"/>
        <v>0</v>
      </c>
    </row>
    <row r="42" spans="1:29" ht="50.1" customHeight="1" x14ac:dyDescent="0.25">
      <c r="A42" s="1"/>
      <c r="B42" s="1"/>
      <c r="C42" s="15"/>
      <c r="D42" s="41" t="str">
        <f>IF($C42="","",IFERROR(IF(ISNA(VLOOKUP($C42,'Phase GPA'!$C$29:'Phase GPA'!$U$58,10,0)), ,VLOOKUP($C42,'Phase GPA'!$C$29:'Phase GPA'!$U$58,10,0)),0))</f>
        <v/>
      </c>
      <c r="E42" s="42" t="str">
        <f>IF($C42="","",IFERROR(IF(ISNA($D42/VLOOKUP($C42,Données!$C$19:'Données'!$I$48,6,0)), ,$D42/VLOOKUP($C42,Données!$C$19:'Données'!$I$48,6,0)),"/"))</f>
        <v/>
      </c>
      <c r="F42" s="42" t="str">
        <f>IF($C42="","",IFERROR(IF(ISNA($D42/VLOOKUP($C42,Données!$C$19:'Données'!$I$48,7,0)*100), ,$D42/VLOOKUP($C42,Données!$C$19:'Données'!$I$48,7,0)*100),"/"))</f>
        <v/>
      </c>
      <c r="G42" s="41" t="str">
        <f>IF($D42=0,"/",IF($C42="","",IFERROR(IF(ISNA(VLOOKUP($C42,'Phase GPA'!$C$29:'Phase GPA'!$U$58,11,0)), ,VLOOKUP($C42,'Phase GPA'!$C$29:'Phase GPA'!$U$58,11,0)),0)))</f>
        <v/>
      </c>
      <c r="H42" s="43" t="str">
        <f>IF($C42="","",IFERROR(IF(ISNA(VLOOKUP($C42,'Phase GPA'!$C$29:'Phase GPA'!$U$58,12,0)), ,VLOOKUP($C42,'Phase GPA'!$C$29:'Phase GPA'!$U$58,12,0)),0))</f>
        <v/>
      </c>
      <c r="I42" s="44" t="str">
        <f>IF($C42="","",IFERROR(IF(ISNA($H42/VLOOKUP($C42,Données!$C$19:'Données'!$I$48,5,0)), ,$H42/VLOOKUP($C42,Données!$C$19:'Données'!$I$48,5,0))*100,0))</f>
        <v/>
      </c>
      <c r="J42" s="44" t="str">
        <f>IF($C42="","",IFERROR(IF(ISNA($H42/VLOOKUP($C42,Données!$C$19:'Données'!$I$48,6,0)), ,$H42/VLOOKUP($C42,Données!$C$19:'Données'!$I$48,6,0)),"/"))</f>
        <v/>
      </c>
      <c r="K42" s="44" t="str">
        <f>IF($C42="","",IFERROR(IF(ISNA($H42/VLOOKUP($C42,Données!$C$19:'Données'!$I$48,7,0)*100), ,$H42/VLOOKUP($C42,Données!$C$19:'Données'!$I$48,7,0)*100),"/"))</f>
        <v/>
      </c>
      <c r="L42" s="91" t="str">
        <f t="shared" si="0"/>
        <v/>
      </c>
      <c r="M42" s="13"/>
      <c r="N42" s="112"/>
      <c r="O42" s="164"/>
      <c r="P42" s="165"/>
      <c r="Q42" s="1"/>
      <c r="R42" s="1"/>
      <c r="S42" s="54" t="str">
        <f>IF($C42="","",IFERROR(IF(ISNA(VLOOKUP($C42,Données!$C$19:'Données'!$I$48,6,0)), ,VLOOKUP($C42,Données!$C$19:'Données'!$I$48,6,0)),"/"))</f>
        <v/>
      </c>
      <c r="T42" s="54" t="str">
        <f>IF($C42="","",IFERROR(IF(ISNA(VLOOKUP($C42,Données!$C$19:'Données'!$I$48,7,0)), ,VLOOKUP($C42,Données!$C$19:'Données'!$I$48,7,0)),"/"))</f>
        <v/>
      </c>
      <c r="U42" s="54" t="str">
        <f>IF($C42="","",IFERROR(IF(ISNA(VLOOKUP($C42,Données!$C$19:'Données'!$I$48,5,0)), ,VLOOKUP($C42,Données!$C$19:'Données'!$I$48,5,0)),"/"))</f>
        <v/>
      </c>
      <c r="V42" s="54" t="str">
        <f t="shared" si="6"/>
        <v/>
      </c>
      <c r="W42" s="49">
        <f t="shared" si="1"/>
        <v>0</v>
      </c>
      <c r="X42" s="49">
        <f t="shared" si="2"/>
        <v>0</v>
      </c>
      <c r="Y42" s="114" t="s">
        <v>97</v>
      </c>
      <c r="Z42" s="116" t="str">
        <f t="shared" si="3"/>
        <v/>
      </c>
      <c r="AA42" s="49" t="str">
        <f>TEXT('Feuille Saisie'!$B$4,"aaaa")</f>
        <v>2019</v>
      </c>
      <c r="AB42" s="49" t="str">
        <f t="shared" si="4"/>
        <v/>
      </c>
      <c r="AC42" s="49">
        <f t="shared" si="5"/>
        <v>0</v>
      </c>
    </row>
    <row r="43" spans="1:29" ht="50.1" customHeight="1" x14ac:dyDescent="0.25">
      <c r="A43" s="1"/>
      <c r="B43" s="1"/>
      <c r="C43" s="15"/>
      <c r="D43" s="41" t="str">
        <f>IF($C43="","",IFERROR(IF(ISNA(VLOOKUP($C43,'Phase GPA'!$C$29:'Phase GPA'!$U$58,10,0)), ,VLOOKUP($C43,'Phase GPA'!$C$29:'Phase GPA'!$U$58,10,0)),0))</f>
        <v/>
      </c>
      <c r="E43" s="42" t="str">
        <f>IF($C43="","",IFERROR(IF(ISNA($D43/VLOOKUP($C43,Données!$C$19:'Données'!$I$48,6,0)), ,$D43/VLOOKUP($C43,Données!$C$19:'Données'!$I$48,6,0)),"/"))</f>
        <v/>
      </c>
      <c r="F43" s="42" t="str">
        <f>IF($C43="","",IFERROR(IF(ISNA($D43/VLOOKUP($C43,Données!$C$19:'Données'!$I$48,7,0)*100), ,$D43/VLOOKUP($C43,Données!$C$19:'Données'!$I$48,7,0)*100),"/"))</f>
        <v/>
      </c>
      <c r="G43" s="41" t="str">
        <f>IF($D43=0,"/",IF($C43="","",IFERROR(IF(ISNA(VLOOKUP($C43,'Phase GPA'!$C$29:'Phase GPA'!$U$58,11,0)), ,VLOOKUP($C43,'Phase GPA'!$C$29:'Phase GPA'!$U$58,11,0)),0)))</f>
        <v/>
      </c>
      <c r="H43" s="43" t="str">
        <f>IF($C43="","",IFERROR(IF(ISNA(VLOOKUP($C43,'Phase GPA'!$C$29:'Phase GPA'!$U$58,12,0)), ,VLOOKUP($C43,'Phase GPA'!$C$29:'Phase GPA'!$U$58,12,0)),0))</f>
        <v/>
      </c>
      <c r="I43" s="44" t="str">
        <f>IF($C43="","",IFERROR(IF(ISNA($H43/VLOOKUP($C43,Données!$C$19:'Données'!$I$48,5,0)), ,$H43/VLOOKUP($C43,Données!$C$19:'Données'!$I$48,5,0))*100,0))</f>
        <v/>
      </c>
      <c r="J43" s="44" t="str">
        <f>IF($C43="","",IFERROR(IF(ISNA($H43/VLOOKUP($C43,Données!$C$19:'Données'!$I$48,6,0)), ,$H43/VLOOKUP($C43,Données!$C$19:'Données'!$I$48,6,0)),"/"))</f>
        <v/>
      </c>
      <c r="K43" s="44" t="str">
        <f>IF($C43="","",IFERROR(IF(ISNA($H43/VLOOKUP($C43,Données!$C$19:'Données'!$I$48,7,0)*100), ,$H43/VLOOKUP($C43,Données!$C$19:'Données'!$I$48,7,0)*100),"/"))</f>
        <v/>
      </c>
      <c r="L43" s="91" t="str">
        <f t="shared" si="0"/>
        <v/>
      </c>
      <c r="M43" s="13"/>
      <c r="N43" s="112"/>
      <c r="O43" s="164"/>
      <c r="P43" s="165"/>
      <c r="Q43" s="1"/>
      <c r="R43" s="1"/>
      <c r="S43" s="54" t="str">
        <f>IF($C43="","",IFERROR(IF(ISNA(VLOOKUP($C43,Données!$C$19:'Données'!$I$48,6,0)), ,VLOOKUP($C43,Données!$C$19:'Données'!$I$48,6,0)),"/"))</f>
        <v/>
      </c>
      <c r="T43" s="54" t="str">
        <f>IF($C43="","",IFERROR(IF(ISNA(VLOOKUP($C43,Données!$C$19:'Données'!$I$48,7,0)), ,VLOOKUP($C43,Données!$C$19:'Données'!$I$48,7,0)),"/"))</f>
        <v/>
      </c>
      <c r="U43" s="54" t="str">
        <f>IF($C43="","",IFERROR(IF(ISNA(VLOOKUP($C43,Données!$C$19:'Données'!$I$48,5,0)), ,VLOOKUP($C43,Données!$C$19:'Données'!$I$48,5,0)),"/"))</f>
        <v/>
      </c>
      <c r="V43" s="54" t="str">
        <f t="shared" si="6"/>
        <v/>
      </c>
      <c r="W43" s="49">
        <f t="shared" si="1"/>
        <v>0</v>
      </c>
      <c r="X43" s="49">
        <f t="shared" si="2"/>
        <v>0</v>
      </c>
      <c r="Y43" s="114" t="s">
        <v>97</v>
      </c>
      <c r="Z43" s="116" t="str">
        <f t="shared" si="3"/>
        <v/>
      </c>
      <c r="AA43" s="49" t="str">
        <f>TEXT('Feuille Saisie'!$B$4,"aaaa")</f>
        <v>2019</v>
      </c>
      <c r="AB43" s="49" t="str">
        <f t="shared" si="4"/>
        <v/>
      </c>
      <c r="AC43" s="49">
        <f t="shared" si="5"/>
        <v>0</v>
      </c>
    </row>
    <row r="44" spans="1:29" ht="50.1" customHeight="1" x14ac:dyDescent="0.25">
      <c r="A44" s="1"/>
      <c r="B44" s="1"/>
      <c r="C44" s="56" t="s">
        <v>50</v>
      </c>
      <c r="D44" s="57">
        <f>SUM(D29:D43)</f>
        <v>0</v>
      </c>
      <c r="E44" s="58" t="str">
        <f>IF(S44=0,"/",D44/S44)</f>
        <v>/</v>
      </c>
      <c r="F44" s="58" t="str">
        <f>IF(T44=0,"/",D44/T44*100)</f>
        <v>/</v>
      </c>
      <c r="G44" s="57" t="str">
        <f>IFERROR(V44/D44,"/")</f>
        <v>/</v>
      </c>
      <c r="H44" s="59">
        <f>SUM(H29:H43)</f>
        <v>0</v>
      </c>
      <c r="I44" s="61" t="str">
        <f>IFERROR(H44/U44*100,"/")</f>
        <v>/</v>
      </c>
      <c r="J44" s="61" t="str">
        <f>IF(S44=0,"/",H44/S44)</f>
        <v>/</v>
      </c>
      <c r="K44" s="58" t="str">
        <f>IF(T44=0,"/",H44/T44*100)</f>
        <v>/</v>
      </c>
      <c r="L44" s="92">
        <f>IFERROR(H44/D44,0)</f>
        <v>0</v>
      </c>
      <c r="M44" s="63"/>
      <c r="N44" s="113"/>
      <c r="O44" s="164"/>
      <c r="P44" s="165"/>
      <c r="Q44" s="1"/>
      <c r="R44" s="1"/>
      <c r="S44" s="69">
        <f t="shared" ref="S44:X44" si="7">SUM(S29:S43)</f>
        <v>0</v>
      </c>
      <c r="T44" s="69">
        <f t="shared" si="7"/>
        <v>0</v>
      </c>
      <c r="U44" s="69">
        <f t="shared" si="7"/>
        <v>0</v>
      </c>
      <c r="V44" s="49">
        <f t="shared" si="7"/>
        <v>0</v>
      </c>
      <c r="W44" s="69">
        <f t="shared" si="7"/>
        <v>0</v>
      </c>
      <c r="X44" s="69">
        <f t="shared" si="7"/>
        <v>0</v>
      </c>
      <c r="Y44" s="67"/>
      <c r="Z44" s="67"/>
      <c r="AA44" s="49"/>
      <c r="AB44" s="49"/>
      <c r="AC44" s="49">
        <f>SUM(AC29:AC43)</f>
        <v>0</v>
      </c>
    </row>
    <row r="45" spans="1:29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4"/>
      <c r="Q45" s="1"/>
      <c r="R45" s="1"/>
    </row>
    <row r="46" spans="1:29" ht="15" customHeight="1" x14ac:dyDescent="0.25">
      <c r="A46" s="1"/>
      <c r="B46" s="1"/>
      <c r="C46" s="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0"/>
      <c r="Q46" s="1"/>
      <c r="R46" s="1"/>
    </row>
    <row r="47" spans="1:29" ht="15" customHeight="1" x14ac:dyDescent="0.25">
      <c r="A47" s="1"/>
      <c r="B47" s="1"/>
      <c r="C47" s="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9"/>
      <c r="Q47" s="1"/>
      <c r="R47" s="1"/>
    </row>
    <row r="48" spans="1:29" ht="15" customHeight="1" x14ac:dyDescent="0.25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9"/>
      <c r="Q48" s="1"/>
      <c r="R48" s="1"/>
    </row>
    <row r="49" spans="1:19" ht="15" customHeight="1" x14ac:dyDescent="0.25">
      <c r="A49" s="1"/>
      <c r="B49" s="1"/>
      <c r="C49" s="6"/>
      <c r="D49" s="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9"/>
      <c r="Q49" s="1"/>
      <c r="R49" s="1"/>
    </row>
    <row r="50" spans="1:19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/>
      <c r="B51" s="1"/>
      <c r="C51" s="138" t="str">
        <f ca="1">Données!$C$55</f>
        <v>CR Point bimestriel PA Version 22.7 XXL MOD VDE</v>
      </c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"/>
      <c r="S51" s="1"/>
    </row>
    <row r="53" spans="1:19" ht="5.0999999999999996" customHeight="1" x14ac:dyDescent="0.25"/>
  </sheetData>
  <sheetProtection algorithmName="SHA-512" hashValue="e6CjcgZFlg3whbzvRp8+CitKugp/NTAW4Q88o6Sz6CeSAKwwzPk41oa/5EyVwwZ6l8aoCF64BM6C+bXn9OhHJw==" saltValue="bB5/lOGW8AGfmT2hQkv40w==" spinCount="100000" sheet="1" objects="1" scenarios="1"/>
  <protectedRanges>
    <protectedRange sqref="M29:M43" name="Plage2"/>
    <protectedRange sqref="C29:C43" name="Plage1"/>
    <protectedRange sqref="O29:P44" name="Plage3"/>
  </protectedRanges>
  <mergeCells count="30">
    <mergeCell ref="C51:Q51"/>
    <mergeCell ref="I25:I28"/>
    <mergeCell ref="J25:J28"/>
    <mergeCell ref="K25:K28"/>
    <mergeCell ref="L25:L28"/>
    <mergeCell ref="M25:M28"/>
    <mergeCell ref="N25:N28"/>
    <mergeCell ref="H25:H28"/>
    <mergeCell ref="C25:C28"/>
    <mergeCell ref="D25:D28"/>
    <mergeCell ref="E25:E28"/>
    <mergeCell ref="F25:F28"/>
    <mergeCell ref="G25:G28"/>
    <mergeCell ref="O25:P28"/>
    <mergeCell ref="O29:P29"/>
    <mergeCell ref="O30:P30"/>
    <mergeCell ref="O31:P31"/>
    <mergeCell ref="O32:P32"/>
    <mergeCell ref="O33:P33"/>
    <mergeCell ref="O34:P34"/>
    <mergeCell ref="O35:P35"/>
    <mergeCell ref="O41:P41"/>
    <mergeCell ref="O42:P42"/>
    <mergeCell ref="O43:P43"/>
    <mergeCell ref="O44:P44"/>
    <mergeCell ref="O36:P36"/>
    <mergeCell ref="O37:P37"/>
    <mergeCell ref="O38:P38"/>
    <mergeCell ref="O39:P39"/>
    <mergeCell ref="O40:P40"/>
  </mergeCells>
  <conditionalFormatting sqref="E44">
    <cfRule type="cellIs" dxfId="124" priority="35" operator="lessThanOrEqual">
      <formula>1</formula>
    </cfRule>
    <cfRule type="containsText" dxfId="123" priority="37" operator="containsText" text="/">
      <formula>NOT(ISERROR(SEARCH("/",E44)))</formula>
    </cfRule>
    <cfRule type="cellIs" dxfId="122" priority="38" operator="greaterThan">
      <formula>1</formula>
    </cfRule>
  </conditionalFormatting>
  <conditionalFormatting sqref="E29">
    <cfRule type="cellIs" dxfId="121" priority="28" operator="lessThanOrEqual">
      <formula>1</formula>
    </cfRule>
    <cfRule type="containsText" dxfId="120" priority="29" operator="containsText" text="/">
      <formula>NOT(ISERROR(SEARCH("/",E29)))</formula>
    </cfRule>
    <cfRule type="cellIs" dxfId="119" priority="30" operator="greaterThan">
      <formula>1</formula>
    </cfRule>
  </conditionalFormatting>
  <conditionalFormatting sqref="G29 G44">
    <cfRule type="containsText" dxfId="118" priority="7" operator="containsText" text="/">
      <formula>NOT(ISERROR(SEARCH("/",G29)))</formula>
    </cfRule>
    <cfRule type="cellIs" dxfId="117" priority="8" operator="lessThanOrEqual">
      <formula>15</formula>
    </cfRule>
    <cfRule type="cellIs" dxfId="116" priority="9" operator="greaterThan">
      <formula>15</formula>
    </cfRule>
  </conditionalFormatting>
  <conditionalFormatting sqref="E30:E43">
    <cfRule type="cellIs" dxfId="115" priority="4" operator="lessThanOrEqual">
      <formula>1</formula>
    </cfRule>
    <cfRule type="containsText" dxfId="114" priority="5" operator="containsText" text="/">
      <formula>NOT(ISERROR(SEARCH("/",E30)))</formula>
    </cfRule>
    <cfRule type="cellIs" dxfId="113" priority="6" operator="greaterThan">
      <formula>1</formula>
    </cfRule>
  </conditionalFormatting>
  <conditionalFormatting sqref="G30:G43">
    <cfRule type="containsText" dxfId="112" priority="1" operator="containsText" text="/">
      <formula>NOT(ISERROR(SEARCH("/",G30)))</formula>
    </cfRule>
    <cfRule type="cellIs" dxfId="111" priority="2" operator="lessThanOrEqual">
      <formula>15</formula>
    </cfRule>
    <cfRule type="cellIs" dxfId="110" priority="3" operator="greaterThan">
      <formula>15</formula>
    </cfRule>
  </conditionalFormatting>
  <dataValidations count="1">
    <dataValidation type="list" allowBlank="1" showInputMessage="1" showErrorMessage="1" sqref="C4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6" orientation="landscape" r:id="rId1"/>
  <headerFoot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OFFSET('Phase GPA'!$EC$29:$EC$58,0,0,COUNTA('Phase GPA'!$EC$29:$EC$58),1)</xm:f>
          </x14:formula1>
          <xm:sqref>C29:C43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C53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4" width="15.7109375" customWidth="1"/>
    <col min="5" max="5" width="15.7109375" hidden="1" customWidth="1"/>
    <col min="6" max="9" width="15.7109375" customWidth="1"/>
    <col min="10" max="10" width="15.7109375" hidden="1" customWidth="1"/>
    <col min="11" max="13" width="15.7109375" customWidth="1"/>
    <col min="14" max="14" width="1.7109375" customWidth="1"/>
    <col min="15" max="15" width="45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9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9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9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9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9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9" ht="15" customHeight="1" x14ac:dyDescent="0.25">
      <c r="A25" s="1"/>
      <c r="B25" s="1"/>
      <c r="C25" s="132" t="s">
        <v>7</v>
      </c>
      <c r="D25" s="161" t="s">
        <v>13</v>
      </c>
      <c r="E25" s="161" t="s">
        <v>87</v>
      </c>
      <c r="F25" s="161" t="s">
        <v>91</v>
      </c>
      <c r="G25" s="161" t="s">
        <v>31</v>
      </c>
      <c r="H25" s="161" t="s">
        <v>78</v>
      </c>
      <c r="I25" s="161" t="s">
        <v>20</v>
      </c>
      <c r="J25" s="161" t="s">
        <v>88</v>
      </c>
      <c r="K25" s="161" t="s">
        <v>92</v>
      </c>
      <c r="L25" s="161" t="s">
        <v>79</v>
      </c>
      <c r="M25" s="132" t="s">
        <v>80</v>
      </c>
      <c r="N25" s="166"/>
      <c r="O25" s="145" t="s">
        <v>43</v>
      </c>
      <c r="P25" s="146"/>
      <c r="Q25" s="1"/>
      <c r="R25" s="1"/>
    </row>
    <row r="26" spans="1:29" x14ac:dyDescent="0.25">
      <c r="A26" s="1"/>
      <c r="B26" s="1"/>
      <c r="C26" s="133"/>
      <c r="D26" s="162"/>
      <c r="E26" s="162"/>
      <c r="F26" s="162"/>
      <c r="G26" s="162"/>
      <c r="H26" s="162"/>
      <c r="I26" s="162"/>
      <c r="J26" s="162"/>
      <c r="K26" s="162"/>
      <c r="L26" s="162"/>
      <c r="M26" s="133"/>
      <c r="N26" s="166"/>
      <c r="O26" s="167"/>
      <c r="P26" s="158"/>
      <c r="Q26" s="1"/>
      <c r="R26" s="1"/>
    </row>
    <row r="27" spans="1:29" ht="15" customHeight="1" x14ac:dyDescent="0.25">
      <c r="A27" s="1"/>
      <c r="B27" s="1"/>
      <c r="C27" s="133"/>
      <c r="D27" s="162"/>
      <c r="E27" s="162"/>
      <c r="F27" s="162"/>
      <c r="G27" s="162"/>
      <c r="H27" s="162"/>
      <c r="I27" s="162"/>
      <c r="J27" s="162"/>
      <c r="K27" s="162"/>
      <c r="L27" s="162"/>
      <c r="M27" s="133"/>
      <c r="N27" s="166"/>
      <c r="O27" s="167"/>
      <c r="P27" s="158"/>
      <c r="Q27" s="1"/>
      <c r="R27" s="1"/>
    </row>
    <row r="28" spans="1:29" x14ac:dyDescent="0.25">
      <c r="A28" s="1"/>
      <c r="B28" s="1"/>
      <c r="C28" s="134"/>
      <c r="D28" s="163"/>
      <c r="E28" s="163"/>
      <c r="F28" s="163"/>
      <c r="G28" s="163"/>
      <c r="H28" s="163"/>
      <c r="I28" s="163"/>
      <c r="J28" s="163"/>
      <c r="K28" s="163"/>
      <c r="L28" s="163"/>
      <c r="M28" s="134"/>
      <c r="N28" s="166"/>
      <c r="O28" s="147"/>
      <c r="P28" s="148"/>
      <c r="Q28" s="1"/>
      <c r="R28" s="1"/>
      <c r="X28" s="39"/>
    </row>
    <row r="29" spans="1:29" ht="50.1" customHeight="1" x14ac:dyDescent="0.25">
      <c r="A29" s="1"/>
      <c r="B29" s="1"/>
      <c r="C29" s="15"/>
      <c r="D29" s="41" t="str">
        <f>IF($C29="","",IFERROR(IF(ISNA(VLOOKUP($C29,'Phase GPA'!$C$29:'Phase GPA'!$U$58,10,0)), ,VLOOKUP($C29,'Phase GPA'!$C$29:'Phase GPA'!$U$58,10,0)),0))</f>
        <v/>
      </c>
      <c r="E29" s="42" t="str">
        <f>IF($C29="","",IFERROR(IF(ISNA($D29/S29RECHERCHEV($C29,Données!$C$19:'Données'!$I$48,6,0)), ,$D29/VLOOKUP($C29,Données!$C$19:'Données'!$I$48,6,0)),"/"))</f>
        <v/>
      </c>
      <c r="F29" s="42" t="str">
        <f>IF($C29="","",IFERROR(IF(ISNA($D29/VLOOKUP($C29,Données!$C$19:'Données'!$I$48,7,0)*100), ,$D29/VLOOKUP($C29,Données!$C$19:'Données'!$I$48,7,0)*100),"/"))</f>
        <v/>
      </c>
      <c r="G29" s="41" t="str">
        <f>IF($D29=0,"/",IF($C29="","",IFERROR(IF(ISNA(VLOOKUP($C29,'Phase GPA'!$C$29:'Phase GPA'!$U$58,11,0)), ,VLOOKUP($C29,'Phase GPA'!$C$29:'Phase GPA'!$U$58,11,0)),0)))</f>
        <v/>
      </c>
      <c r="H29" s="43" t="str">
        <f>IF($C29="","",IFERROR(IF(ISNA(VLOOKUP($C29,'Phase GPA'!$C$29:'Phase GPA'!$U$58,12,0)), ,VLOOKUP($C29,'Phase GPA'!$C$29:'Phase GPA'!$U$58,12,0)),0))</f>
        <v/>
      </c>
      <c r="I29" s="44" t="str">
        <f>IF($C29="","",IFERROR(IF(ISNA($H29/VLOOKUP($C29,Données!$C$19:'Données'!$I$48,5,0)), ,$H29/VLOOKUP($C29,Données!$C$19:'Données'!$I$48,5,0))*100,0))</f>
        <v/>
      </c>
      <c r="J29" s="44" t="str">
        <f>IF($C29="","",IFERROR(IF(ISNA($H29/VLOOKUP($C29,Données!$C$19:'Données'!$I$48,6,0)), ,$H29/VLOOKUP($C29,Données!$C$19:'Données'!$I$48,6,0)),"/"))</f>
        <v/>
      </c>
      <c r="K29" s="44" t="str">
        <f>IF($C29="","",IFERROR(IF(ISNA($H29/VLOOKUP($C29,Données!$C$19:'Données'!$I$48,7,0)*100), ,$H29/VLOOKUP($C29,Données!$C$19:'Données'!$I$48,7,0)*100),"/"))</f>
        <v/>
      </c>
      <c r="L29" s="91" t="str">
        <f>IF($D29=0,"/",IF($C29="","",IFERROR(($H29/$D29),0)))</f>
        <v/>
      </c>
      <c r="M29" s="13"/>
      <c r="N29" s="112"/>
      <c r="O29" s="164"/>
      <c r="P29" s="165"/>
      <c r="Q29" s="1"/>
      <c r="R29" s="1"/>
      <c r="S29" s="54" t="str">
        <f>IF($C29="","",IFERROR(IF(ISNA(VLOOKUP($C29,Données!$C$19:'Données'!$I$48,6,0)), ,VLOOKUP($C29,Données!$C$19:'Données'!$I$48,6,0)),"/"))</f>
        <v/>
      </c>
      <c r="T29" s="54" t="str">
        <f>IF($C29="","",IFERROR(IF(ISNA(VLOOKUP($C29,Données!$C$19:'Données'!$I$48,7,0)), ,VLOOKUP($C29,Données!$C$19:'Données'!$I$48,7,0)),"/"))</f>
        <v/>
      </c>
      <c r="U29" s="54" t="str">
        <f>IF($C29="","",IFERROR(IF(ISNA(VLOOKUP($C29,Données!$C$19:'Données'!$I$48,5,0)), ,VLOOKUP($C29,Données!$C$19:'Données'!$I$48,5,0)),"/"))</f>
        <v/>
      </c>
      <c r="V29" s="54" t="str">
        <f>IF($C29="","",IFERROR(IF(ISNA($D29*$G29), ,$D29*$G29),"/"))</f>
        <v/>
      </c>
      <c r="W29" s="49">
        <f>IF($C29&lt;&gt;"",1,0)</f>
        <v>0</v>
      </c>
      <c r="X29" s="49">
        <f>IF($M29&lt;&gt;"",1,0)</f>
        <v>0</v>
      </c>
      <c r="Y29" s="114" t="s">
        <v>97</v>
      </c>
      <c r="Z29" s="116" t="str">
        <f>IF($C29="","",IF($X29=1,"µ",""))</f>
        <v/>
      </c>
      <c r="AA29" s="49" t="str">
        <f>TEXT('Feuille Saisie'!$B$4,"aaaa")</f>
        <v>2019</v>
      </c>
      <c r="AB29" s="49" t="str">
        <f>IF($M29&lt;&gt;"",TEXT($M29,"aaaa"),"")</f>
        <v/>
      </c>
      <c r="AC29" s="49">
        <f>IF($AA29=$AB29,1,0)</f>
        <v>0</v>
      </c>
    </row>
    <row r="30" spans="1:29" ht="50.1" customHeight="1" x14ac:dyDescent="0.25">
      <c r="A30" s="1"/>
      <c r="B30" s="1"/>
      <c r="C30" s="15"/>
      <c r="D30" s="41" t="str">
        <f>IF($C30="","",IFERROR(IF(ISNA(VLOOKUP($C30,'Phase GPA'!$C$29:'Phase GPA'!$U$58,10,0)), ,VLOOKUP($C30,'Phase GPA'!$C$29:'Phase GPA'!$U$58,10,0)),0))</f>
        <v/>
      </c>
      <c r="E30" s="42" t="str">
        <f>IF($C30="","",IFERROR(IF(ISNA($D30/S29RECHERCHEV($C30,Données!$C$19:'Données'!$I$48,6,0)), ,$D30/VLOOKUP($C30,Données!$C$19:'Données'!$I$48,6,0)),"/"))</f>
        <v/>
      </c>
      <c r="F30" s="42" t="str">
        <f>IF($C30="","",IFERROR(IF(ISNA($D30/VLOOKUP($C30,Données!$C$19:'Données'!$I$48,7,0)*100), ,$D30/VLOOKUP($C30,Données!$C$19:'Données'!$I$48,7,0)*100),"/"))</f>
        <v/>
      </c>
      <c r="G30" s="41" t="str">
        <f>IF($D30=0,"/",IF($C30="","",IFERROR(IF(ISNA(VLOOKUP($C30,'Phase GPA'!$C$29:'Phase GPA'!$U$58,11,0)), ,VLOOKUP($C30,'Phase GPA'!$C$29:'Phase GPA'!$U$58,11,0)),0)))</f>
        <v/>
      </c>
      <c r="H30" s="43" t="str">
        <f>IF($C30="","",IFERROR(IF(ISNA(VLOOKUP($C30,'Phase GPA'!$C$29:'Phase GPA'!$U$58,12,0)), ,VLOOKUP($C30,'Phase GPA'!$C$29:'Phase GPA'!$U$58,12,0)),0))</f>
        <v/>
      </c>
      <c r="I30" s="44" t="str">
        <f>IF($C30="","",IFERROR(IF(ISNA($H30/VLOOKUP($C30,Données!$C$19:'Données'!$I$48,5,0)), ,$H30/VLOOKUP($C30,Données!$C$19:'Données'!$I$48,5,0))*100,0))</f>
        <v/>
      </c>
      <c r="J30" s="44" t="str">
        <f>IF($C30="","",IFERROR(IF(ISNA($H30/VLOOKUP($C30,Données!$C$19:'Données'!$I$48,6,0)), ,$H30/VLOOKUP($C30,Données!$C$19:'Données'!$I$48,6,0)),"/"))</f>
        <v/>
      </c>
      <c r="K30" s="44" t="str">
        <f>IF($C30="","",IFERROR(IF(ISNA($H30/VLOOKUP($C30,Données!$C$19:'Données'!$I$48,7,0)*100), ,$H30/VLOOKUP($C30,Données!$C$19:'Données'!$I$48,7,0)*100),"/"))</f>
        <v/>
      </c>
      <c r="L30" s="91" t="str">
        <f t="shared" ref="L30:L43" si="0">IF($D30=0,"/",IF($C30="","",IFERROR(($H30/$D30),0)))</f>
        <v/>
      </c>
      <c r="M30" s="13"/>
      <c r="N30" s="112"/>
      <c r="O30" s="164"/>
      <c r="P30" s="165"/>
      <c r="Q30" s="1"/>
      <c r="R30" s="1"/>
      <c r="S30" s="54" t="str">
        <f>IF($C30="","",IFERROR(IF(ISNA(VLOOKUP($C30,Données!$C$19:'Données'!$I$48,6,0)), ,VLOOKUP($C30,Données!$C$19:'Données'!$I$48,6,0)),"/"))</f>
        <v/>
      </c>
      <c r="T30" s="54" t="str">
        <f>IF($C30="","",IFERROR(IF(ISNA(VLOOKUP($C30,Données!$C$19:'Données'!$I$48,7,0)), ,VLOOKUP($C30,Données!$C$19:'Données'!$I$48,7,0)),"/"))</f>
        <v/>
      </c>
      <c r="U30" s="54" t="str">
        <f>IF($C30="","",IFERROR(IF(ISNA(VLOOKUP($C30,Données!$C$19:'Données'!$I$48,5,0)), ,VLOOKUP($C30,Données!$C$19:'Données'!$I$48,5,0)),"/"))</f>
        <v/>
      </c>
      <c r="V30" s="54" t="str">
        <f>IF($C30="","",IFERROR(IF(ISNA($D30*$G30), ,$D30*$G30),"/"))</f>
        <v/>
      </c>
      <c r="W30" s="49">
        <f t="shared" ref="W30:W43" si="1">IF($C30&lt;&gt;"",1,0)</f>
        <v>0</v>
      </c>
      <c r="X30" s="49">
        <f t="shared" ref="X30:X43" si="2">IF($M30&lt;&gt;"",1,0)</f>
        <v>0</v>
      </c>
      <c r="Y30" s="114" t="s">
        <v>97</v>
      </c>
      <c r="Z30" s="116" t="str">
        <f t="shared" ref="Z30:Z43" si="3">IF($C30="","",IF($X30=1,"µ",""))</f>
        <v/>
      </c>
      <c r="AA30" s="49" t="str">
        <f>TEXT('Feuille Saisie'!$B$4,"aaaa")</f>
        <v>2019</v>
      </c>
      <c r="AB30" s="49" t="str">
        <f t="shared" ref="AB30:AB43" si="4">IF($M30&lt;&gt;"",TEXT($M30,"aaaa"),"")</f>
        <v/>
      </c>
      <c r="AC30" s="49">
        <f t="shared" ref="AC30:AC43" si="5">IF($AA30=$AB30,1,0)</f>
        <v>0</v>
      </c>
    </row>
    <row r="31" spans="1:29" ht="50.1" customHeight="1" x14ac:dyDescent="0.25">
      <c r="A31" s="1"/>
      <c r="B31" s="1"/>
      <c r="C31" s="15"/>
      <c r="D31" s="41" t="str">
        <f>IF($C31="","",IFERROR(IF(ISNA(VLOOKUP($C31,'Phase GPA'!$C$29:'Phase GPA'!$U$58,10,0)), ,VLOOKUP($C31,'Phase GPA'!$C$29:'Phase GPA'!$U$58,10,0)),0))</f>
        <v/>
      </c>
      <c r="E31" s="42" t="str">
        <f>IF($C31="","",IFERROR(IF(ISNA($D31/S29RECHERCHEV($C31,Données!$C$19:'Données'!$I$48,6,0)), ,$D31/VLOOKUP($C31,Données!$C$19:'Données'!$I$48,6,0)),"/"))</f>
        <v/>
      </c>
      <c r="F31" s="42" t="str">
        <f>IF($C31="","",IFERROR(IF(ISNA($D31/VLOOKUP($C31,Données!$C$19:'Données'!$I$48,7,0)*100), ,$D31/VLOOKUP($C31,Données!$C$19:'Données'!$I$48,7,0)*100),"/"))</f>
        <v/>
      </c>
      <c r="G31" s="41" t="str">
        <f>IF($D31=0,"/",IF($C31="","",IFERROR(IF(ISNA(VLOOKUP($C31,'Phase GPA'!$C$29:'Phase GPA'!$U$58,11,0)), ,VLOOKUP($C31,'Phase GPA'!$C$29:'Phase GPA'!$U$58,11,0)),0)))</f>
        <v/>
      </c>
      <c r="H31" s="43" t="str">
        <f>IF($C31="","",IFERROR(IF(ISNA(VLOOKUP($C31,'Phase GPA'!$C$29:'Phase GPA'!$U$58,12,0)), ,VLOOKUP($C31,'Phase GPA'!$C$29:'Phase GPA'!$U$58,12,0)),0))</f>
        <v/>
      </c>
      <c r="I31" s="44" t="str">
        <f>IF($C31="","",IFERROR(IF(ISNA($H31/VLOOKUP($C31,Données!$C$19:'Données'!$I$48,5,0)), ,$H31/VLOOKUP($C31,Données!$C$19:'Données'!$I$48,5,0))*100,0))</f>
        <v/>
      </c>
      <c r="J31" s="44" t="str">
        <f>IF($C31="","",IFERROR(IF(ISNA($H31/VLOOKUP($C31,Données!$C$19:'Données'!$I$48,6,0)), ,$H31/VLOOKUP($C31,Données!$C$19:'Données'!$I$48,6,0)),"/"))</f>
        <v/>
      </c>
      <c r="K31" s="44" t="str">
        <f>IF($C31="","",IFERROR(IF(ISNA($H31/VLOOKUP($C31,Données!$C$19:'Données'!$I$48,7,0)*100), ,$H31/VLOOKUP($C31,Données!$C$19:'Données'!$I$48,7,0)*100),"/"))</f>
        <v/>
      </c>
      <c r="L31" s="91" t="str">
        <f t="shared" si="0"/>
        <v/>
      </c>
      <c r="M31" s="13"/>
      <c r="N31" s="112"/>
      <c r="O31" s="164"/>
      <c r="P31" s="165"/>
      <c r="Q31" s="1"/>
      <c r="R31" s="1"/>
      <c r="S31" s="54" t="str">
        <f>IF($C31="","",IFERROR(IF(ISNA(VLOOKUP($C31,Données!$C$19:'Données'!$I$48,6,0)), ,VLOOKUP($C31,Données!$C$19:'Données'!$I$48,6,0)),"/"))</f>
        <v/>
      </c>
      <c r="T31" s="54" t="str">
        <f>IF($C31="","",IFERROR(IF(ISNA(VLOOKUP($C31,Données!$C$19:'Données'!$I$48,7,0)), ,VLOOKUP($C31,Données!$C$19:'Données'!$I$48,7,0)),"/"))</f>
        <v/>
      </c>
      <c r="U31" s="54" t="str">
        <f>IF($C31="","",IFERROR(IF(ISNA(VLOOKUP($C31,Données!$C$19:'Données'!$I$48,5,0)), ,VLOOKUP($C31,Données!$C$19:'Données'!$I$48,5,0)),"/"))</f>
        <v/>
      </c>
      <c r="V31" s="54" t="str">
        <f t="shared" ref="V31:V43" si="6">IF($C31="","",IFERROR(IF(ISNA($D31*$G31), ,$D31*$G31),"/"))</f>
        <v/>
      </c>
      <c r="W31" s="49">
        <f t="shared" si="1"/>
        <v>0</v>
      </c>
      <c r="X31" s="49">
        <f t="shared" si="2"/>
        <v>0</v>
      </c>
      <c r="Y31" s="114" t="s">
        <v>97</v>
      </c>
      <c r="Z31" s="116" t="str">
        <f t="shared" si="3"/>
        <v/>
      </c>
      <c r="AA31" s="49" t="str">
        <f>TEXT('Feuille Saisie'!$B$4,"aaaa")</f>
        <v>2019</v>
      </c>
      <c r="AB31" s="49" t="str">
        <f t="shared" si="4"/>
        <v/>
      </c>
      <c r="AC31" s="49">
        <f t="shared" si="5"/>
        <v>0</v>
      </c>
    </row>
    <row r="32" spans="1:29" ht="50.1" customHeight="1" x14ac:dyDescent="0.25">
      <c r="A32" s="1"/>
      <c r="B32" s="1"/>
      <c r="C32" s="15"/>
      <c r="D32" s="41" t="str">
        <f>IF($C32="","",IFERROR(IF(ISNA(VLOOKUP($C32,'Phase GPA'!$C$29:'Phase GPA'!$U$58,10,0)), ,VLOOKUP($C32,'Phase GPA'!$C$29:'Phase GPA'!$U$58,10,0)),0))</f>
        <v/>
      </c>
      <c r="E32" s="42" t="str">
        <f>IF($C32="","",IFERROR(IF(ISNA($D32/S29RECHERCHEV($C32,Données!$C$19:'Données'!$I$48,6,0)), ,$D32/VLOOKUP($C32,Données!$C$19:'Données'!$I$48,6,0)),"/"))</f>
        <v/>
      </c>
      <c r="F32" s="42" t="str">
        <f>IF($C32="","",IFERROR(IF(ISNA($D32/VLOOKUP($C32,Données!$C$19:'Données'!$I$48,7,0)*100), ,$D32/VLOOKUP($C32,Données!$C$19:'Données'!$I$48,7,0)*100),"/"))</f>
        <v/>
      </c>
      <c r="G32" s="41" t="str">
        <f>IF($D32=0,"/",IF($C32="","",IFERROR(IF(ISNA(VLOOKUP($C32,'Phase GPA'!$C$29:'Phase GPA'!$U$58,11,0)), ,VLOOKUP($C32,'Phase GPA'!$C$29:'Phase GPA'!$U$58,11,0)),0)))</f>
        <v/>
      </c>
      <c r="H32" s="43" t="str">
        <f>IF($C32="","",IFERROR(IF(ISNA(VLOOKUP($C32,'Phase GPA'!$C$29:'Phase GPA'!$U$58,12,0)), ,VLOOKUP($C32,'Phase GPA'!$C$29:'Phase GPA'!$U$58,12,0)),0))</f>
        <v/>
      </c>
      <c r="I32" s="44" t="str">
        <f>IF($C32="","",IFERROR(IF(ISNA($H32/VLOOKUP($C32,Données!$C$19:'Données'!$I$48,5,0)), ,$H32/VLOOKUP($C32,Données!$C$19:'Données'!$I$48,5,0))*100,0))</f>
        <v/>
      </c>
      <c r="J32" s="44" t="str">
        <f>IF($C32="","",IFERROR(IF(ISNA($H32/VLOOKUP($C32,Données!$C$19:'Données'!$I$48,6,0)), ,$H32/VLOOKUP($C32,Données!$C$19:'Données'!$I$48,6,0)),"/"))</f>
        <v/>
      </c>
      <c r="K32" s="44" t="str">
        <f>IF($C32="","",IFERROR(IF(ISNA($H32/VLOOKUP($C32,Données!$C$19:'Données'!$I$48,7,0)*100), ,$H32/VLOOKUP($C32,Données!$C$19:'Données'!$I$48,7,0)*100),"/"))</f>
        <v/>
      </c>
      <c r="L32" s="91" t="str">
        <f t="shared" si="0"/>
        <v/>
      </c>
      <c r="M32" s="13"/>
      <c r="N32" s="112"/>
      <c r="O32" s="164"/>
      <c r="P32" s="165"/>
      <c r="Q32" s="1"/>
      <c r="R32" s="1"/>
      <c r="S32" s="54" t="str">
        <f>IF($C32="","",IFERROR(IF(ISNA(VLOOKUP($C32,Données!$C$19:'Données'!$I$48,6,0)), ,VLOOKUP($C32,Données!$C$19:'Données'!$I$48,6,0)),"/"))</f>
        <v/>
      </c>
      <c r="T32" s="54" t="str">
        <f>IF($C32="","",IFERROR(IF(ISNA(VLOOKUP($C32,Données!$C$19:'Données'!$I$48,7,0)), ,VLOOKUP($C32,Données!$C$19:'Données'!$I$48,7,0)),"/"))</f>
        <v/>
      </c>
      <c r="U32" s="54" t="str">
        <f>IF($C32="","",IFERROR(IF(ISNA(VLOOKUP($C32,Données!$C$19:'Données'!$I$48,5,0)), ,VLOOKUP($C32,Données!$C$19:'Données'!$I$48,5,0)),"/"))</f>
        <v/>
      </c>
      <c r="V32" s="54" t="str">
        <f t="shared" si="6"/>
        <v/>
      </c>
      <c r="W32" s="49">
        <f t="shared" si="1"/>
        <v>0</v>
      </c>
      <c r="X32" s="49">
        <f t="shared" si="2"/>
        <v>0</v>
      </c>
      <c r="Y32" s="114" t="s">
        <v>97</v>
      </c>
      <c r="Z32" s="116" t="str">
        <f t="shared" si="3"/>
        <v/>
      </c>
      <c r="AA32" s="49" t="str">
        <f>TEXT('Feuille Saisie'!$B$4,"aaaa")</f>
        <v>2019</v>
      </c>
      <c r="AB32" s="49" t="str">
        <f t="shared" si="4"/>
        <v/>
      </c>
      <c r="AC32" s="49">
        <f t="shared" si="5"/>
        <v>0</v>
      </c>
    </row>
    <row r="33" spans="1:29" ht="50.1" customHeight="1" x14ac:dyDescent="0.25">
      <c r="A33" s="1"/>
      <c r="B33" s="1"/>
      <c r="C33" s="15"/>
      <c r="D33" s="41" t="str">
        <f>IF($C33="","",IFERROR(IF(ISNA(VLOOKUP($C33,'Phase GPA'!$C$29:'Phase GPA'!$U$58,10,0)), ,VLOOKUP($C33,'Phase GPA'!$C$29:'Phase GPA'!$U$58,10,0)),0))</f>
        <v/>
      </c>
      <c r="E33" s="42" t="str">
        <f>IF($C33="","",IFERROR(IF(ISNA($D33/S29RECHERCHEV($C33,Données!$C$19:'Données'!$I$48,6,0)), ,$D33/VLOOKUP($C33,Données!$C$19:'Données'!$I$48,6,0)),"/"))</f>
        <v/>
      </c>
      <c r="F33" s="42" t="str">
        <f>IF($C33="","",IFERROR(IF(ISNA($D33/VLOOKUP($C33,Données!$C$19:'Données'!$I$48,7,0)*100), ,$D33/VLOOKUP($C33,Données!$C$19:'Données'!$I$48,7,0)*100),"/"))</f>
        <v/>
      </c>
      <c r="G33" s="41" t="str">
        <f>IF($D33=0,"/",IF($C33="","",IFERROR(IF(ISNA(VLOOKUP($C33,'Phase GPA'!$C$29:'Phase GPA'!$U$58,11,0)), ,VLOOKUP($C33,'Phase GPA'!$C$29:'Phase GPA'!$U$58,11,0)),0)))</f>
        <v/>
      </c>
      <c r="H33" s="43" t="str">
        <f>IF($C33="","",IFERROR(IF(ISNA(VLOOKUP($C33,'Phase GPA'!$C$29:'Phase GPA'!$U$58,12,0)), ,VLOOKUP($C33,'Phase GPA'!$C$29:'Phase GPA'!$U$58,12,0)),0))</f>
        <v/>
      </c>
      <c r="I33" s="44" t="str">
        <f>IF($C33="","",IFERROR(IF(ISNA($H33/VLOOKUP($C33,Données!$C$19:'Données'!$I$48,5,0)), ,$H33/VLOOKUP($C33,Données!$C$19:'Données'!$I$48,5,0))*100,0))</f>
        <v/>
      </c>
      <c r="J33" s="44" t="str">
        <f>IF($C33="","",IFERROR(IF(ISNA($H33/VLOOKUP($C33,Données!$C$19:'Données'!$I$48,6,0)), ,$H33/VLOOKUP($C33,Données!$C$19:'Données'!$I$48,6,0)),"/"))</f>
        <v/>
      </c>
      <c r="K33" s="44" t="str">
        <f>IF($C33="","",IFERROR(IF(ISNA($H33/VLOOKUP($C33,Données!$C$19:'Données'!$I$48,7,0)*100), ,$H33/VLOOKUP($C33,Données!$C$19:'Données'!$I$48,7,0)*100),"/"))</f>
        <v/>
      </c>
      <c r="L33" s="91" t="str">
        <f t="shared" si="0"/>
        <v/>
      </c>
      <c r="M33" s="13"/>
      <c r="N33" s="112"/>
      <c r="O33" s="164"/>
      <c r="P33" s="165"/>
      <c r="Q33" s="1"/>
      <c r="R33" s="1"/>
      <c r="S33" s="54" t="str">
        <f>IF($C33="","",IFERROR(IF(ISNA(VLOOKUP($C33,Données!$C$19:'Données'!$I$48,6,0)), ,VLOOKUP($C33,Données!$C$19:'Données'!$I$48,6,0)),"/"))</f>
        <v/>
      </c>
      <c r="T33" s="54" t="str">
        <f>IF($C33="","",IFERROR(IF(ISNA(VLOOKUP($C33,Données!$C$19:'Données'!$I$48,7,0)), ,VLOOKUP($C33,Données!$C$19:'Données'!$I$48,7,0)),"/"))</f>
        <v/>
      </c>
      <c r="U33" s="54" t="str">
        <f>IF($C33="","",IFERROR(IF(ISNA(VLOOKUP($C33,Données!$C$19:'Données'!$I$48,5,0)), ,VLOOKUP($C33,Données!$C$19:'Données'!$I$48,5,0)),"/"))</f>
        <v/>
      </c>
      <c r="V33" s="54" t="str">
        <f t="shared" si="6"/>
        <v/>
      </c>
      <c r="W33" s="49">
        <f t="shared" si="1"/>
        <v>0</v>
      </c>
      <c r="X33" s="49">
        <f t="shared" si="2"/>
        <v>0</v>
      </c>
      <c r="Y33" s="114" t="s">
        <v>97</v>
      </c>
      <c r="Z33" s="116" t="str">
        <f t="shared" si="3"/>
        <v/>
      </c>
      <c r="AA33" s="49" t="str">
        <f>TEXT('Feuille Saisie'!$B$4,"aaaa")</f>
        <v>2019</v>
      </c>
      <c r="AB33" s="49" t="str">
        <f t="shared" si="4"/>
        <v/>
      </c>
      <c r="AC33" s="49">
        <f t="shared" si="5"/>
        <v>0</v>
      </c>
    </row>
    <row r="34" spans="1:29" ht="50.1" customHeight="1" x14ac:dyDescent="0.25">
      <c r="A34" s="1"/>
      <c r="B34" s="1"/>
      <c r="C34" s="15"/>
      <c r="D34" s="41" t="str">
        <f>IF($C34="","",IFERROR(IF(ISNA(VLOOKUP($C34,'Phase GPA'!$C$29:'Phase GPA'!$U$58,10,0)), ,VLOOKUP($C34,'Phase GPA'!$C$29:'Phase GPA'!$U$58,10,0)),0))</f>
        <v/>
      </c>
      <c r="E34" s="42" t="str">
        <f>IF($C34="","",IFERROR(IF(ISNA($D34/S29RECHERCHEV($C34,Données!$C$19:'Données'!$I$48,6,0)), ,$D34/VLOOKUP($C34,Données!$C$19:'Données'!$I$48,6,0)),"/"))</f>
        <v/>
      </c>
      <c r="F34" s="42" t="str">
        <f>IF($C34="","",IFERROR(IF(ISNA($D34/VLOOKUP($C34,Données!$C$19:'Données'!$I$48,7,0)*100), ,$D34/VLOOKUP($C34,Données!$C$19:'Données'!$I$48,7,0)*100),"/"))</f>
        <v/>
      </c>
      <c r="G34" s="41" t="str">
        <f>IF($D34=0,"/",IF($C34="","",IFERROR(IF(ISNA(VLOOKUP($C34,'Phase GPA'!$C$29:'Phase GPA'!$U$58,11,0)), ,VLOOKUP($C34,'Phase GPA'!$C$29:'Phase GPA'!$U$58,11,0)),0)))</f>
        <v/>
      </c>
      <c r="H34" s="43" t="str">
        <f>IF($C34="","",IFERROR(IF(ISNA(VLOOKUP($C34,'Phase GPA'!$C$29:'Phase GPA'!$U$58,12,0)), ,VLOOKUP($C34,'Phase GPA'!$C$29:'Phase GPA'!$U$58,12,0)),0))</f>
        <v/>
      </c>
      <c r="I34" s="44" t="str">
        <f>IF($C34="","",IFERROR(IF(ISNA($H34/VLOOKUP($C34,Données!$C$19:'Données'!$I$48,5,0)), ,$H34/VLOOKUP($C34,Données!$C$19:'Données'!$I$48,5,0))*100,0))</f>
        <v/>
      </c>
      <c r="J34" s="44" t="str">
        <f>IF($C34="","",IFERROR(IF(ISNA($H34/VLOOKUP($C34,Données!$C$19:'Données'!$I$48,6,0)), ,$H34/VLOOKUP($C34,Données!$C$19:'Données'!$I$48,6,0)),"/"))</f>
        <v/>
      </c>
      <c r="K34" s="44" t="str">
        <f>IF($C34="","",IFERROR(IF(ISNA($H34/VLOOKUP($C34,Données!$C$19:'Données'!$I$48,7,0)*100), ,$H34/VLOOKUP($C34,Données!$C$19:'Données'!$I$48,7,0)*100),"/"))</f>
        <v/>
      </c>
      <c r="L34" s="91" t="str">
        <f t="shared" si="0"/>
        <v/>
      </c>
      <c r="M34" s="13"/>
      <c r="N34" s="112"/>
      <c r="O34" s="164"/>
      <c r="P34" s="165"/>
      <c r="Q34" s="1"/>
      <c r="R34" s="1"/>
      <c r="S34" s="54" t="str">
        <f>IF($C34="","",IFERROR(IF(ISNA(VLOOKUP($C34,Données!$C$19:'Données'!$I$48,6,0)), ,VLOOKUP($C34,Données!$C$19:'Données'!$I$48,6,0)),"/"))</f>
        <v/>
      </c>
      <c r="T34" s="54" t="str">
        <f>IF($C34="","",IFERROR(IF(ISNA(VLOOKUP($C34,Données!$C$19:'Données'!$I$48,7,0)), ,VLOOKUP($C34,Données!$C$19:'Données'!$I$48,7,0)),"/"))</f>
        <v/>
      </c>
      <c r="U34" s="54" t="str">
        <f>IF($C34="","",IFERROR(IF(ISNA(VLOOKUP($C34,Données!$C$19:'Données'!$I$48,5,0)), ,VLOOKUP($C34,Données!$C$19:'Données'!$I$48,5,0)),"/"))</f>
        <v/>
      </c>
      <c r="V34" s="54" t="str">
        <f t="shared" si="6"/>
        <v/>
      </c>
      <c r="W34" s="49">
        <f t="shared" si="1"/>
        <v>0</v>
      </c>
      <c r="X34" s="49">
        <f t="shared" si="2"/>
        <v>0</v>
      </c>
      <c r="Y34" s="114" t="s">
        <v>97</v>
      </c>
      <c r="Z34" s="116" t="str">
        <f t="shared" si="3"/>
        <v/>
      </c>
      <c r="AA34" s="49" t="str">
        <f>TEXT('Feuille Saisie'!$B$4,"aaaa")</f>
        <v>2019</v>
      </c>
      <c r="AB34" s="49" t="str">
        <f t="shared" si="4"/>
        <v/>
      </c>
      <c r="AC34" s="49">
        <f t="shared" si="5"/>
        <v>0</v>
      </c>
    </row>
    <row r="35" spans="1:29" ht="50.1" customHeight="1" x14ac:dyDescent="0.25">
      <c r="A35" s="1"/>
      <c r="B35" s="1"/>
      <c r="C35" s="15"/>
      <c r="D35" s="41" t="str">
        <f>IF($C35="","",IFERROR(IF(ISNA(VLOOKUP($C35,'Phase GPA'!$C$29:'Phase GPA'!$U$58,10,0)), ,VLOOKUP($C35,'Phase GPA'!$C$29:'Phase GPA'!$U$58,10,0)),0))</f>
        <v/>
      </c>
      <c r="E35" s="42" t="str">
        <f>IF($C35="","",IFERROR(IF(ISNA($D35/S29RECHERCHEV($C35,Données!$C$19:'Données'!$I$48,6,0)), ,$D35/VLOOKUP($C35,Données!$C$19:'Données'!$I$48,6,0)),"/"))</f>
        <v/>
      </c>
      <c r="F35" s="42" t="str">
        <f>IF($C35="","",IFERROR(IF(ISNA($D35/VLOOKUP($C35,Données!$C$19:'Données'!$I$48,7,0)*100), ,$D35/VLOOKUP($C35,Données!$C$19:'Données'!$I$48,7,0)*100),"/"))</f>
        <v/>
      </c>
      <c r="G35" s="41" t="str">
        <f>IF($D35=0,"/",IF($C35="","",IFERROR(IF(ISNA(VLOOKUP($C35,'Phase GPA'!$C$29:'Phase GPA'!$U$58,11,0)), ,VLOOKUP($C35,'Phase GPA'!$C$29:'Phase GPA'!$U$58,11,0)),0)))</f>
        <v/>
      </c>
      <c r="H35" s="43" t="str">
        <f>IF($C35="","",IFERROR(IF(ISNA(VLOOKUP($C35,'Phase GPA'!$C$29:'Phase GPA'!$U$58,12,0)), ,VLOOKUP($C35,'Phase GPA'!$C$29:'Phase GPA'!$U$58,12,0)),0))</f>
        <v/>
      </c>
      <c r="I35" s="44" t="str">
        <f>IF($C35="","",IFERROR(IF(ISNA($H35/VLOOKUP($C35,Données!$C$19:'Données'!$I$48,5,0)), ,$H35/VLOOKUP($C35,Données!$C$19:'Données'!$I$48,5,0))*100,0))</f>
        <v/>
      </c>
      <c r="J35" s="44" t="str">
        <f>IF($C35="","",IFERROR(IF(ISNA($H35/VLOOKUP($C35,Données!$C$19:'Données'!$I$48,6,0)), ,$H35/VLOOKUP($C35,Données!$C$19:'Données'!$I$48,6,0)),"/"))</f>
        <v/>
      </c>
      <c r="K35" s="44" t="str">
        <f>IF($C35="","",IFERROR(IF(ISNA($H35/VLOOKUP($C35,Données!$C$19:'Données'!$I$48,7,0)*100), ,$H35/VLOOKUP($C35,Données!$C$19:'Données'!$I$48,7,0)*100),"/"))</f>
        <v/>
      </c>
      <c r="L35" s="91" t="str">
        <f t="shared" si="0"/>
        <v/>
      </c>
      <c r="M35" s="13"/>
      <c r="N35" s="112"/>
      <c r="O35" s="164"/>
      <c r="P35" s="165"/>
      <c r="Q35" s="1"/>
      <c r="R35" s="1"/>
      <c r="S35" s="54" t="str">
        <f>IF($C35="","",IFERROR(IF(ISNA(VLOOKUP($C35,Données!$C$19:'Données'!$I$48,6,0)), ,VLOOKUP($C35,Données!$C$19:'Données'!$I$48,6,0)),"/"))</f>
        <v/>
      </c>
      <c r="T35" s="54" t="str">
        <f>IF($C35="","",IFERROR(IF(ISNA(VLOOKUP($C35,Données!$C$19:'Données'!$I$48,7,0)), ,VLOOKUP($C35,Données!$C$19:'Données'!$I$48,7,0)),"/"))</f>
        <v/>
      </c>
      <c r="U35" s="54" t="str">
        <f>IF($C35="","",IFERROR(IF(ISNA(VLOOKUP($C35,Données!$C$19:'Données'!$I$48,5,0)), ,VLOOKUP($C35,Données!$C$19:'Données'!$I$48,5,0)),"/"))</f>
        <v/>
      </c>
      <c r="V35" s="54" t="str">
        <f t="shared" si="6"/>
        <v/>
      </c>
      <c r="W35" s="49">
        <f t="shared" si="1"/>
        <v>0</v>
      </c>
      <c r="X35" s="49">
        <f t="shared" si="2"/>
        <v>0</v>
      </c>
      <c r="Y35" s="114" t="s">
        <v>97</v>
      </c>
      <c r="Z35" s="116" t="str">
        <f t="shared" si="3"/>
        <v/>
      </c>
      <c r="AA35" s="49" t="str">
        <f>TEXT('Feuille Saisie'!$B$4,"aaaa")</f>
        <v>2019</v>
      </c>
      <c r="AB35" s="49" t="str">
        <f t="shared" si="4"/>
        <v/>
      </c>
      <c r="AC35" s="49">
        <f t="shared" si="5"/>
        <v>0</v>
      </c>
    </row>
    <row r="36" spans="1:29" ht="50.1" customHeight="1" x14ac:dyDescent="0.25">
      <c r="A36" s="1"/>
      <c r="B36" s="1"/>
      <c r="C36" s="15"/>
      <c r="D36" s="41" t="str">
        <f>IF($C36="","",IFERROR(IF(ISNA(VLOOKUP($C36,'Phase GPA'!$C$29:'Phase GPA'!$U$58,10,0)), ,VLOOKUP($C36,'Phase GPA'!$C$29:'Phase GPA'!$U$58,10,0)),0))</f>
        <v/>
      </c>
      <c r="E36" s="42" t="str">
        <f>IF($C36="","",IFERROR(IF(ISNA($D36/S29RECHERCHEV($C36,Données!$C$19:'Données'!$I$48,6,0)), ,$D36/VLOOKUP($C36,Données!$C$19:'Données'!$I$48,6,0)),"/"))</f>
        <v/>
      </c>
      <c r="F36" s="42" t="str">
        <f>IF($C36="","",IFERROR(IF(ISNA($D36/VLOOKUP($C36,Données!$C$19:'Données'!$I$48,7,0)*100), ,$D36/VLOOKUP($C36,Données!$C$19:'Données'!$I$48,7,0)*100),"/"))</f>
        <v/>
      </c>
      <c r="G36" s="41" t="str">
        <f>IF($D36=0,"/",IF($C36="","",IFERROR(IF(ISNA(VLOOKUP($C36,'Phase GPA'!$C$29:'Phase GPA'!$U$58,11,0)), ,VLOOKUP($C36,'Phase GPA'!$C$29:'Phase GPA'!$U$58,11,0)),0)))</f>
        <v/>
      </c>
      <c r="H36" s="43" t="str">
        <f>IF($C36="","",IFERROR(IF(ISNA(VLOOKUP($C36,'Phase GPA'!$C$29:'Phase GPA'!$U$58,12,0)), ,VLOOKUP($C36,'Phase GPA'!$C$29:'Phase GPA'!$U$58,12,0)),0))</f>
        <v/>
      </c>
      <c r="I36" s="44" t="str">
        <f>IF($C36="","",IFERROR(IF(ISNA($H36/VLOOKUP($C36,Données!$C$19:'Données'!$I$48,5,0)), ,$H36/VLOOKUP($C36,Données!$C$19:'Données'!$I$48,5,0))*100,0))</f>
        <v/>
      </c>
      <c r="J36" s="44" t="str">
        <f>IF($C36="","",IFERROR(IF(ISNA($H36/VLOOKUP($C36,Données!$C$19:'Données'!$I$48,6,0)), ,$H36/VLOOKUP($C36,Données!$C$19:'Données'!$I$48,6,0)),"/"))</f>
        <v/>
      </c>
      <c r="K36" s="44" t="str">
        <f>IF($C36="","",IFERROR(IF(ISNA($H36/VLOOKUP($C36,Données!$C$19:'Données'!$I$48,7,0)*100), ,$H36/VLOOKUP($C36,Données!$C$19:'Données'!$I$48,7,0)*100),"/"))</f>
        <v/>
      </c>
      <c r="L36" s="91" t="str">
        <f t="shared" si="0"/>
        <v/>
      </c>
      <c r="M36" s="13"/>
      <c r="N36" s="112"/>
      <c r="O36" s="164"/>
      <c r="P36" s="165"/>
      <c r="Q36" s="1"/>
      <c r="R36" s="1"/>
      <c r="S36" s="54" t="str">
        <f>IF($C36="","",IFERROR(IF(ISNA(VLOOKUP($C36,Données!$C$19:'Données'!$I$48,6,0)), ,VLOOKUP($C36,Données!$C$19:'Données'!$I$48,6,0)),"/"))</f>
        <v/>
      </c>
      <c r="T36" s="54" t="str">
        <f>IF($C36="","",IFERROR(IF(ISNA(VLOOKUP($C36,Données!$C$19:'Données'!$I$48,7,0)), ,VLOOKUP($C36,Données!$C$19:'Données'!$I$48,7,0)),"/"))</f>
        <v/>
      </c>
      <c r="U36" s="54" t="str">
        <f>IF($C36="","",IFERROR(IF(ISNA(VLOOKUP($C36,Données!$C$19:'Données'!$I$48,5,0)), ,VLOOKUP($C36,Données!$C$19:'Données'!$I$48,5,0)),"/"))</f>
        <v/>
      </c>
      <c r="V36" s="54" t="str">
        <f t="shared" si="6"/>
        <v/>
      </c>
      <c r="W36" s="49">
        <f t="shared" si="1"/>
        <v>0</v>
      </c>
      <c r="X36" s="49">
        <f t="shared" si="2"/>
        <v>0</v>
      </c>
      <c r="Y36" s="114" t="s">
        <v>97</v>
      </c>
      <c r="Z36" s="116" t="str">
        <f t="shared" si="3"/>
        <v/>
      </c>
      <c r="AA36" s="49" t="str">
        <f>TEXT('Feuille Saisie'!$B$4,"aaaa")</f>
        <v>2019</v>
      </c>
      <c r="AB36" s="49" t="str">
        <f t="shared" si="4"/>
        <v/>
      </c>
      <c r="AC36" s="49">
        <f t="shared" si="5"/>
        <v>0</v>
      </c>
    </row>
    <row r="37" spans="1:29" ht="50.1" customHeight="1" x14ac:dyDescent="0.25">
      <c r="A37" s="1"/>
      <c r="B37" s="1"/>
      <c r="C37" s="15"/>
      <c r="D37" s="41" t="str">
        <f>IF($C37="","",IFERROR(IF(ISNA(VLOOKUP($C37,'Phase GPA'!$C$29:'Phase GPA'!$U$58,10,0)), ,VLOOKUP($C37,'Phase GPA'!$C$29:'Phase GPA'!$U$58,10,0)),0))</f>
        <v/>
      </c>
      <c r="E37" s="42" t="str">
        <f>IF($C37="","",IFERROR(IF(ISNA($D37/S29RECHERCHEV($C37,Données!$C$19:'Données'!$I$48,6,0)), ,$D37/VLOOKUP($C37,Données!$C$19:'Données'!$I$48,6,0)),"/"))</f>
        <v/>
      </c>
      <c r="F37" s="42" t="str">
        <f>IF($C37="","",IFERROR(IF(ISNA($D37/VLOOKUP($C37,Données!$C$19:'Données'!$I$48,7,0)*100), ,$D37/VLOOKUP($C37,Données!$C$19:'Données'!$I$48,7,0)*100),"/"))</f>
        <v/>
      </c>
      <c r="G37" s="41" t="str">
        <f>IF($D37=0,"/",IF($C37="","",IFERROR(IF(ISNA(VLOOKUP($C37,'Phase GPA'!$C$29:'Phase GPA'!$U$58,11,0)), ,VLOOKUP($C37,'Phase GPA'!$C$29:'Phase GPA'!$U$58,11,0)),0)))</f>
        <v/>
      </c>
      <c r="H37" s="43" t="str">
        <f>IF($C37="","",IFERROR(IF(ISNA(VLOOKUP($C37,'Phase GPA'!$C$29:'Phase GPA'!$U$58,12,0)), ,VLOOKUP($C37,'Phase GPA'!$C$29:'Phase GPA'!$U$58,12,0)),0))</f>
        <v/>
      </c>
      <c r="I37" s="44" t="str">
        <f>IF($C37="","",IFERROR(IF(ISNA($H37/VLOOKUP($C37,Données!$C$19:'Données'!$I$48,5,0)), ,$H37/VLOOKUP($C37,Données!$C$19:'Données'!$I$48,5,0))*100,0))</f>
        <v/>
      </c>
      <c r="J37" s="44" t="str">
        <f>IF($C37="","",IFERROR(IF(ISNA($H37/VLOOKUP($C37,Données!$C$19:'Données'!$I$48,6,0)), ,$H37/VLOOKUP($C37,Données!$C$19:'Données'!$I$48,6,0)),"/"))</f>
        <v/>
      </c>
      <c r="K37" s="44" t="str">
        <f>IF($C37="","",IFERROR(IF(ISNA($H37/VLOOKUP($C37,Données!$C$19:'Données'!$I$48,7,0)*100), ,$H37/VLOOKUP($C37,Données!$C$19:'Données'!$I$48,7,0)*100),"/"))</f>
        <v/>
      </c>
      <c r="L37" s="91" t="str">
        <f t="shared" si="0"/>
        <v/>
      </c>
      <c r="M37" s="13"/>
      <c r="N37" s="112"/>
      <c r="O37" s="164"/>
      <c r="P37" s="165"/>
      <c r="Q37" s="1"/>
      <c r="R37" s="1"/>
      <c r="S37" s="54" t="str">
        <f>IF($C37="","",IFERROR(IF(ISNA(VLOOKUP($C37,Données!$C$19:'Données'!$I$48,6,0)), ,VLOOKUP($C37,Données!$C$19:'Données'!$I$48,6,0)),"/"))</f>
        <v/>
      </c>
      <c r="T37" s="54" t="str">
        <f>IF($C37="","",IFERROR(IF(ISNA(VLOOKUP($C37,Données!$C$19:'Données'!$I$48,7,0)), ,VLOOKUP($C37,Données!$C$19:'Données'!$I$48,7,0)),"/"))</f>
        <v/>
      </c>
      <c r="U37" s="54" t="str">
        <f>IF($C37="","",IFERROR(IF(ISNA(VLOOKUP($C37,Données!$C$19:'Données'!$I$48,5,0)), ,VLOOKUP($C37,Données!$C$19:'Données'!$I$48,5,0)),"/"))</f>
        <v/>
      </c>
      <c r="V37" s="54" t="str">
        <f t="shared" si="6"/>
        <v/>
      </c>
      <c r="W37" s="49">
        <f t="shared" si="1"/>
        <v>0</v>
      </c>
      <c r="X37" s="49">
        <f t="shared" si="2"/>
        <v>0</v>
      </c>
      <c r="Y37" s="114" t="s">
        <v>97</v>
      </c>
      <c r="Z37" s="116" t="str">
        <f t="shared" si="3"/>
        <v/>
      </c>
      <c r="AA37" s="49" t="str">
        <f>TEXT('Feuille Saisie'!$B$4,"aaaa")</f>
        <v>2019</v>
      </c>
      <c r="AB37" s="49" t="str">
        <f t="shared" si="4"/>
        <v/>
      </c>
      <c r="AC37" s="49">
        <f t="shared" si="5"/>
        <v>0</v>
      </c>
    </row>
    <row r="38" spans="1:29" ht="50.1" customHeight="1" x14ac:dyDescent="0.25">
      <c r="A38" s="1"/>
      <c r="B38" s="1"/>
      <c r="C38" s="15"/>
      <c r="D38" s="41" t="str">
        <f>IF($C38="","",IFERROR(IF(ISNA(VLOOKUP($C38,'Phase GPA'!$C$29:'Phase GPA'!$U$58,10,0)), ,VLOOKUP($C38,'Phase GPA'!$C$29:'Phase GPA'!$U$58,10,0)),0))</f>
        <v/>
      </c>
      <c r="E38" s="42" t="str">
        <f>IF($C38="","",IFERROR(IF(ISNA($D38/S29RECHERCHEV($C38,Données!$C$19:'Données'!$I$48,6,0)), ,$D38/VLOOKUP($C38,Données!$C$19:'Données'!$I$48,6,0)),"/"))</f>
        <v/>
      </c>
      <c r="F38" s="42" t="str">
        <f>IF($C38="","",IFERROR(IF(ISNA($D38/VLOOKUP($C38,Données!$C$19:'Données'!$I$48,7,0)*100), ,$D38/VLOOKUP($C38,Données!$C$19:'Données'!$I$48,7,0)*100),"/"))</f>
        <v/>
      </c>
      <c r="G38" s="41" t="str">
        <f>IF($D38=0,"/",IF($C38="","",IFERROR(IF(ISNA(VLOOKUP($C38,'Phase GPA'!$C$29:'Phase GPA'!$U$58,11,0)), ,VLOOKUP($C38,'Phase GPA'!$C$29:'Phase GPA'!$U$58,11,0)),0)))</f>
        <v/>
      </c>
      <c r="H38" s="43" t="str">
        <f>IF($C38="","",IFERROR(IF(ISNA(VLOOKUP($C38,'Phase GPA'!$C$29:'Phase GPA'!$U$58,12,0)), ,VLOOKUP($C38,'Phase GPA'!$C$29:'Phase GPA'!$U$58,12,0)),0))</f>
        <v/>
      </c>
      <c r="I38" s="44" t="str">
        <f>IF($C38="","",IFERROR(IF(ISNA($H38/VLOOKUP($C38,Données!$C$19:'Données'!$I$48,5,0)), ,$H38/VLOOKUP($C38,Données!$C$19:'Données'!$I$48,5,0))*100,0))</f>
        <v/>
      </c>
      <c r="J38" s="44" t="str">
        <f>IF($C38="","",IFERROR(IF(ISNA($H38/VLOOKUP($C38,Données!$C$19:'Données'!$I$48,6,0)), ,$H38/VLOOKUP($C38,Données!$C$19:'Données'!$I$48,6,0)),"/"))</f>
        <v/>
      </c>
      <c r="K38" s="44" t="str">
        <f>IF($C38="","",IFERROR(IF(ISNA($H38/VLOOKUP($C38,Données!$C$19:'Données'!$I$48,7,0)*100), ,$H38/VLOOKUP($C38,Données!$C$19:'Données'!$I$48,7,0)*100),"/"))</f>
        <v/>
      </c>
      <c r="L38" s="91" t="str">
        <f t="shared" si="0"/>
        <v/>
      </c>
      <c r="M38" s="13"/>
      <c r="N38" s="112"/>
      <c r="O38" s="164"/>
      <c r="P38" s="165"/>
      <c r="Q38" s="1"/>
      <c r="R38" s="1"/>
      <c r="S38" s="54" t="str">
        <f>IF($C38="","",IFERROR(IF(ISNA(VLOOKUP($C38,Données!$C$19:'Données'!$I$48,6,0)), ,VLOOKUP($C38,Données!$C$19:'Données'!$I$48,6,0)),"/"))</f>
        <v/>
      </c>
      <c r="T38" s="54" t="str">
        <f>IF($C38="","",IFERROR(IF(ISNA(VLOOKUP($C38,Données!$C$19:'Données'!$I$48,7,0)), ,VLOOKUP($C38,Données!$C$19:'Données'!$I$48,7,0)),"/"))</f>
        <v/>
      </c>
      <c r="U38" s="54" t="str">
        <f>IF($C38="","",IFERROR(IF(ISNA(VLOOKUP($C38,Données!$C$19:'Données'!$I$48,5,0)), ,VLOOKUP($C38,Données!$C$19:'Données'!$I$48,5,0)),"/"))</f>
        <v/>
      </c>
      <c r="V38" s="54" t="str">
        <f t="shared" si="6"/>
        <v/>
      </c>
      <c r="W38" s="49">
        <f t="shared" si="1"/>
        <v>0</v>
      </c>
      <c r="X38" s="49">
        <f t="shared" si="2"/>
        <v>0</v>
      </c>
      <c r="Y38" s="114" t="s">
        <v>97</v>
      </c>
      <c r="Z38" s="116" t="str">
        <f t="shared" si="3"/>
        <v/>
      </c>
      <c r="AA38" s="49" t="str">
        <f>TEXT('Feuille Saisie'!$B$4,"aaaa")</f>
        <v>2019</v>
      </c>
      <c r="AB38" s="49" t="str">
        <f t="shared" si="4"/>
        <v/>
      </c>
      <c r="AC38" s="49">
        <f t="shared" si="5"/>
        <v>0</v>
      </c>
    </row>
    <row r="39" spans="1:29" ht="50.1" customHeight="1" x14ac:dyDescent="0.25">
      <c r="A39" s="1"/>
      <c r="B39" s="1"/>
      <c r="C39" s="15"/>
      <c r="D39" s="41" t="str">
        <f>IF($C39="","",IFERROR(IF(ISNA(VLOOKUP($C39,'Phase GPA'!$C$29:'Phase GPA'!$U$58,10,0)), ,VLOOKUP($C39,'Phase GPA'!$C$29:'Phase GPA'!$U$58,10,0)),0))</f>
        <v/>
      </c>
      <c r="E39" s="42" t="str">
        <f>IF($C39="","",IFERROR(IF(ISNA($D39/S29RECHERCHEV($C39,Données!$C$19:'Données'!$I$48,6,0)), ,$D39/VLOOKUP($C39,Données!$C$19:'Données'!$I$48,6,0)),"/"))</f>
        <v/>
      </c>
      <c r="F39" s="42" t="str">
        <f>IF($C39="","",IFERROR(IF(ISNA($D39/VLOOKUP($C39,Données!$C$19:'Données'!$I$48,7,0)*100), ,$D39/VLOOKUP($C39,Données!$C$19:'Données'!$I$48,7,0)*100),"/"))</f>
        <v/>
      </c>
      <c r="G39" s="41" t="str">
        <f>IF($D39=0,"/",IF($C39="","",IFERROR(IF(ISNA(VLOOKUP($C39,'Phase GPA'!$C$29:'Phase GPA'!$U$58,11,0)), ,VLOOKUP($C39,'Phase GPA'!$C$29:'Phase GPA'!$U$58,11,0)),0)))</f>
        <v/>
      </c>
      <c r="H39" s="43" t="str">
        <f>IF($C39="","",IFERROR(IF(ISNA(VLOOKUP($C39,'Phase GPA'!$C$29:'Phase GPA'!$U$58,12,0)), ,VLOOKUP($C39,'Phase GPA'!$C$29:'Phase GPA'!$U$58,12,0)),0))</f>
        <v/>
      </c>
      <c r="I39" s="44" t="str">
        <f>IF($C39="","",IFERROR(IF(ISNA($H39/VLOOKUP($C39,Données!$C$19:'Données'!$I$48,5,0)), ,$H39/VLOOKUP($C39,Données!$C$19:'Données'!$I$48,5,0))*100,0))</f>
        <v/>
      </c>
      <c r="J39" s="44" t="str">
        <f>IF($C39="","",IFERROR(IF(ISNA($H39/VLOOKUP($C39,Données!$C$19:'Données'!$I$48,6,0)), ,$H39/VLOOKUP($C39,Données!$C$19:'Données'!$I$48,6,0)),"/"))</f>
        <v/>
      </c>
      <c r="K39" s="44" t="str">
        <f>IF($C39="","",IFERROR(IF(ISNA($H39/VLOOKUP($C39,Données!$C$19:'Données'!$I$48,7,0)*100), ,$H39/VLOOKUP($C39,Données!$C$19:'Données'!$I$48,7,0)*100),"/"))</f>
        <v/>
      </c>
      <c r="L39" s="91" t="str">
        <f t="shared" si="0"/>
        <v/>
      </c>
      <c r="M39" s="13"/>
      <c r="N39" s="112"/>
      <c r="O39" s="164"/>
      <c r="P39" s="165"/>
      <c r="Q39" s="1"/>
      <c r="R39" s="1"/>
      <c r="S39" s="54" t="str">
        <f>IF($C39="","",IFERROR(IF(ISNA(VLOOKUP($C39,Données!$C$19:'Données'!$I$48,6,0)), ,VLOOKUP($C39,Données!$C$19:'Données'!$I$48,6,0)),"/"))</f>
        <v/>
      </c>
      <c r="T39" s="54" t="str">
        <f>IF($C39="","",IFERROR(IF(ISNA(VLOOKUP($C39,Données!$C$19:'Données'!$I$48,7,0)), ,VLOOKUP($C39,Données!$C$19:'Données'!$I$48,7,0)),"/"))</f>
        <v/>
      </c>
      <c r="U39" s="54" t="str">
        <f>IF($C39="","",IFERROR(IF(ISNA(VLOOKUP($C39,Données!$C$19:'Données'!$I$48,5,0)), ,VLOOKUP($C39,Données!$C$19:'Données'!$I$48,5,0)),"/"))</f>
        <v/>
      </c>
      <c r="V39" s="54" t="str">
        <f t="shared" si="6"/>
        <v/>
      </c>
      <c r="W39" s="49">
        <f t="shared" si="1"/>
        <v>0</v>
      </c>
      <c r="X39" s="49">
        <f t="shared" si="2"/>
        <v>0</v>
      </c>
      <c r="Y39" s="114" t="s">
        <v>97</v>
      </c>
      <c r="Z39" s="116" t="str">
        <f t="shared" si="3"/>
        <v/>
      </c>
      <c r="AA39" s="49" t="str">
        <f>TEXT('Feuille Saisie'!$B$4,"aaaa")</f>
        <v>2019</v>
      </c>
      <c r="AB39" s="49" t="str">
        <f t="shared" si="4"/>
        <v/>
      </c>
      <c r="AC39" s="49">
        <f t="shared" si="5"/>
        <v>0</v>
      </c>
    </row>
    <row r="40" spans="1:29" ht="50.1" customHeight="1" x14ac:dyDescent="0.25">
      <c r="A40" s="1"/>
      <c r="B40" s="1"/>
      <c r="C40" s="15"/>
      <c r="D40" s="41" t="str">
        <f>IF($C40="","",IFERROR(IF(ISNA(VLOOKUP($C40,'Phase GPA'!$C$29:'Phase GPA'!$U$58,10,0)), ,VLOOKUP($C40,'Phase GPA'!$C$29:'Phase GPA'!$U$58,10,0)),0))</f>
        <v/>
      </c>
      <c r="E40" s="42" t="str">
        <f>IF($C40="","",IFERROR(IF(ISNA($D40/S29RECHERCHEV($C40,Données!$C$19:'Données'!$I$48,6,0)), ,$D40/VLOOKUP($C40,Données!$C$19:'Données'!$I$48,6,0)),"/"))</f>
        <v/>
      </c>
      <c r="F40" s="42" t="str">
        <f>IF($C40="","",IFERROR(IF(ISNA($D40/VLOOKUP($C40,Données!$C$19:'Données'!$I$48,7,0)*100), ,$D40/VLOOKUP($C40,Données!$C$19:'Données'!$I$48,7,0)*100),"/"))</f>
        <v/>
      </c>
      <c r="G40" s="41" t="str">
        <f>IF($D40=0,"/",IF($C40="","",IFERROR(IF(ISNA(VLOOKUP($C40,'Phase GPA'!$C$29:'Phase GPA'!$U$58,11,0)), ,VLOOKUP($C40,'Phase GPA'!$C$29:'Phase GPA'!$U$58,11,0)),0)))</f>
        <v/>
      </c>
      <c r="H40" s="43" t="str">
        <f>IF($C40="","",IFERROR(IF(ISNA(VLOOKUP($C40,'Phase GPA'!$C$29:'Phase GPA'!$U$58,12,0)), ,VLOOKUP($C40,'Phase GPA'!$C$29:'Phase GPA'!$U$58,12,0)),0))</f>
        <v/>
      </c>
      <c r="I40" s="44" t="str">
        <f>IF($C40="","",IFERROR(IF(ISNA($H40/VLOOKUP($C40,Données!$C$19:'Données'!$I$48,5,0)), ,$H40/VLOOKUP($C40,Données!$C$19:'Données'!$I$48,5,0))*100,0))</f>
        <v/>
      </c>
      <c r="J40" s="44" t="str">
        <f>IF($C40="","",IFERROR(IF(ISNA($H40/VLOOKUP($C40,Données!$C$19:'Données'!$I$48,6,0)), ,$H40/VLOOKUP($C40,Données!$C$19:'Données'!$I$48,6,0)),"/"))</f>
        <v/>
      </c>
      <c r="K40" s="44" t="str">
        <f>IF($C40="","",IFERROR(IF(ISNA($H40/VLOOKUP($C40,Données!$C$19:'Données'!$I$48,7,0)*100), ,$H40/VLOOKUP($C40,Données!$C$19:'Données'!$I$48,7,0)*100),"/"))</f>
        <v/>
      </c>
      <c r="L40" s="91" t="str">
        <f t="shared" si="0"/>
        <v/>
      </c>
      <c r="M40" s="13"/>
      <c r="N40" s="112"/>
      <c r="O40" s="164"/>
      <c r="P40" s="165"/>
      <c r="Q40" s="1"/>
      <c r="R40" s="1"/>
      <c r="S40" s="54" t="str">
        <f>IF($C40="","",IFERROR(IF(ISNA(VLOOKUP($C40,Données!$C$19:'Données'!$I$48,6,0)), ,VLOOKUP($C40,Données!$C$19:'Données'!$I$48,6,0)),"/"))</f>
        <v/>
      </c>
      <c r="T40" s="54" t="str">
        <f>IF($C40="","",IFERROR(IF(ISNA(VLOOKUP($C40,Données!$C$19:'Données'!$I$48,7,0)), ,VLOOKUP($C40,Données!$C$19:'Données'!$I$48,7,0)),"/"))</f>
        <v/>
      </c>
      <c r="U40" s="54" t="str">
        <f>IF($C40="","",IFERROR(IF(ISNA(VLOOKUP($C40,Données!$C$19:'Données'!$I$48,5,0)), ,VLOOKUP($C40,Données!$C$19:'Données'!$I$48,5,0)),"/"))</f>
        <v/>
      </c>
      <c r="V40" s="54" t="str">
        <f t="shared" si="6"/>
        <v/>
      </c>
      <c r="W40" s="49">
        <f t="shared" si="1"/>
        <v>0</v>
      </c>
      <c r="X40" s="49">
        <f t="shared" si="2"/>
        <v>0</v>
      </c>
      <c r="Y40" s="114" t="s">
        <v>97</v>
      </c>
      <c r="Z40" s="116" t="str">
        <f t="shared" si="3"/>
        <v/>
      </c>
      <c r="AA40" s="49" t="str">
        <f>TEXT('Feuille Saisie'!$B$4,"aaaa")</f>
        <v>2019</v>
      </c>
      <c r="AB40" s="49" t="str">
        <f t="shared" si="4"/>
        <v/>
      </c>
      <c r="AC40" s="49">
        <f t="shared" si="5"/>
        <v>0</v>
      </c>
    </row>
    <row r="41" spans="1:29" ht="50.1" customHeight="1" x14ac:dyDescent="0.25">
      <c r="A41" s="1"/>
      <c r="B41" s="1"/>
      <c r="C41" s="15"/>
      <c r="D41" s="41" t="str">
        <f>IF($C41="","",IFERROR(IF(ISNA(VLOOKUP($C41,'Phase GPA'!$C$29:'Phase GPA'!$U$58,10,0)), ,VLOOKUP($C41,'Phase GPA'!$C$29:'Phase GPA'!$U$58,10,0)),0))</f>
        <v/>
      </c>
      <c r="E41" s="42" t="str">
        <f>IF($C41="","",IFERROR(IF(ISNA($D41/S29RECHERCHEV($C41,Données!$C$19:'Données'!$I$48,6,0)), ,$D41/VLOOKUP($C41,Données!$C$19:'Données'!$I$48,6,0)),"/"))</f>
        <v/>
      </c>
      <c r="F41" s="42" t="str">
        <f>IF($C41="","",IFERROR(IF(ISNA($D41/VLOOKUP($C41,Données!$C$19:'Données'!$I$48,7,0)*100), ,$D41/VLOOKUP($C41,Données!$C$19:'Données'!$I$48,7,0)*100),"/"))</f>
        <v/>
      </c>
      <c r="G41" s="41" t="str">
        <f>IF($D41=0,"/",IF($C41="","",IFERROR(IF(ISNA(VLOOKUP($C41,'Phase GPA'!$C$29:'Phase GPA'!$U$58,11,0)), ,VLOOKUP($C41,'Phase GPA'!$C$29:'Phase GPA'!$U$58,11,0)),0)))</f>
        <v/>
      </c>
      <c r="H41" s="43" t="str">
        <f>IF($C41="","",IFERROR(IF(ISNA(VLOOKUP($C41,'Phase GPA'!$C$29:'Phase GPA'!$U$58,12,0)), ,VLOOKUP($C41,'Phase GPA'!$C$29:'Phase GPA'!$U$58,12,0)),0))</f>
        <v/>
      </c>
      <c r="I41" s="44" t="str">
        <f>IF($C41="","",IFERROR(IF(ISNA($H41/VLOOKUP($C41,Données!$C$19:'Données'!$I$48,5,0)), ,$H41/VLOOKUP($C41,Données!$C$19:'Données'!$I$48,5,0))*100,0))</f>
        <v/>
      </c>
      <c r="J41" s="44" t="str">
        <f>IF($C41="","",IFERROR(IF(ISNA($H41/VLOOKUP($C41,Données!$C$19:'Données'!$I$48,6,0)), ,$H41/VLOOKUP($C41,Données!$C$19:'Données'!$I$48,6,0)),"/"))</f>
        <v/>
      </c>
      <c r="K41" s="44" t="str">
        <f>IF($C41="","",IFERROR(IF(ISNA($H41/VLOOKUP($C41,Données!$C$19:'Données'!$I$48,7,0)*100), ,$H41/VLOOKUP($C41,Données!$C$19:'Données'!$I$48,7,0)*100),"/"))</f>
        <v/>
      </c>
      <c r="L41" s="91" t="str">
        <f t="shared" si="0"/>
        <v/>
      </c>
      <c r="M41" s="13"/>
      <c r="N41" s="112"/>
      <c r="O41" s="164"/>
      <c r="P41" s="165"/>
      <c r="Q41" s="1"/>
      <c r="R41" s="1"/>
      <c r="S41" s="54" t="str">
        <f>IF($C41="","",IFERROR(IF(ISNA(VLOOKUP($C41,Données!$C$19:'Données'!$I$48,6,0)), ,VLOOKUP($C41,Données!$C$19:'Données'!$I$48,6,0)),"/"))</f>
        <v/>
      </c>
      <c r="T41" s="54" t="str">
        <f>IF($C41="","",IFERROR(IF(ISNA(VLOOKUP($C41,Données!$C$19:'Données'!$I$48,7,0)), ,VLOOKUP($C41,Données!$C$19:'Données'!$I$48,7,0)),"/"))</f>
        <v/>
      </c>
      <c r="U41" s="54" t="str">
        <f>IF($C41="","",IFERROR(IF(ISNA(VLOOKUP($C41,Données!$C$19:'Données'!$I$48,5,0)), ,VLOOKUP($C41,Données!$C$19:'Données'!$I$48,5,0)),"/"))</f>
        <v/>
      </c>
      <c r="V41" s="54" t="str">
        <f t="shared" si="6"/>
        <v/>
      </c>
      <c r="W41" s="49">
        <f t="shared" si="1"/>
        <v>0</v>
      </c>
      <c r="X41" s="49">
        <f t="shared" si="2"/>
        <v>0</v>
      </c>
      <c r="Y41" s="114" t="s">
        <v>97</v>
      </c>
      <c r="Z41" s="116" t="str">
        <f t="shared" si="3"/>
        <v/>
      </c>
      <c r="AA41" s="49" t="str">
        <f>TEXT('Feuille Saisie'!$B$4,"aaaa")</f>
        <v>2019</v>
      </c>
      <c r="AB41" s="49" t="str">
        <f t="shared" si="4"/>
        <v/>
      </c>
      <c r="AC41" s="49">
        <f t="shared" si="5"/>
        <v>0</v>
      </c>
    </row>
    <row r="42" spans="1:29" ht="50.1" customHeight="1" x14ac:dyDescent="0.25">
      <c r="A42" s="1"/>
      <c r="B42" s="1"/>
      <c r="C42" s="15"/>
      <c r="D42" s="41" t="str">
        <f>IF($C42="","",IFERROR(IF(ISNA(VLOOKUP($C42,'Phase GPA'!$C$29:'Phase GPA'!$U$58,10,0)), ,VLOOKUP($C42,'Phase GPA'!$C$29:'Phase GPA'!$U$58,10,0)),0))</f>
        <v/>
      </c>
      <c r="E42" s="42" t="str">
        <f>IF($C42="","",IFERROR(IF(ISNA($D42/S29RECHERCHEV($C42,Données!$C$19:'Données'!$I$48,6,0)), ,$D42/VLOOKUP($C42,Données!$C$19:'Données'!$I$48,6,0)),"/"))</f>
        <v/>
      </c>
      <c r="F42" s="42" t="str">
        <f>IF($C42="","",IFERROR(IF(ISNA($D42/VLOOKUP($C42,Données!$C$19:'Données'!$I$48,7,0)*100), ,$D42/VLOOKUP($C42,Données!$C$19:'Données'!$I$48,7,0)*100),"/"))</f>
        <v/>
      </c>
      <c r="G42" s="41" t="str">
        <f>IF($D42=0,"/",IF($C42="","",IFERROR(IF(ISNA(VLOOKUP($C42,'Phase GPA'!$C$29:'Phase GPA'!$U$58,11,0)), ,VLOOKUP($C42,'Phase GPA'!$C$29:'Phase GPA'!$U$58,11,0)),0)))</f>
        <v/>
      </c>
      <c r="H42" s="43" t="str">
        <f>IF($C42="","",IFERROR(IF(ISNA(VLOOKUP($C42,'Phase GPA'!$C$29:'Phase GPA'!$U$58,12,0)), ,VLOOKUP($C42,'Phase GPA'!$C$29:'Phase GPA'!$U$58,12,0)),0))</f>
        <v/>
      </c>
      <c r="I42" s="44" t="str">
        <f>IF($C42="","",IFERROR(IF(ISNA($H42/VLOOKUP($C42,Données!$C$19:'Données'!$I$48,5,0)), ,$H42/VLOOKUP($C42,Données!$C$19:'Données'!$I$48,5,0))*100,0))</f>
        <v/>
      </c>
      <c r="J42" s="44" t="str">
        <f>IF($C42="","",IFERROR(IF(ISNA($H42/VLOOKUP($C42,Données!$C$19:'Données'!$I$48,6,0)), ,$H42/VLOOKUP($C42,Données!$C$19:'Données'!$I$48,6,0)),"/"))</f>
        <v/>
      </c>
      <c r="K42" s="44" t="str">
        <f>IF($C42="","",IFERROR(IF(ISNA($H42/VLOOKUP($C42,Données!$C$19:'Données'!$I$48,7,0)*100), ,$H42/VLOOKUP($C42,Données!$C$19:'Données'!$I$48,7,0)*100),"/"))</f>
        <v/>
      </c>
      <c r="L42" s="91" t="str">
        <f t="shared" si="0"/>
        <v/>
      </c>
      <c r="M42" s="13"/>
      <c r="N42" s="112"/>
      <c r="O42" s="164"/>
      <c r="P42" s="165"/>
      <c r="Q42" s="1"/>
      <c r="R42" s="1"/>
      <c r="S42" s="54" t="str">
        <f>IF($C42="","",IFERROR(IF(ISNA(VLOOKUP($C42,Données!$C$19:'Données'!$I$48,6,0)), ,VLOOKUP($C42,Données!$C$19:'Données'!$I$48,6,0)),"/"))</f>
        <v/>
      </c>
      <c r="T42" s="54" t="str">
        <f>IF($C42="","",IFERROR(IF(ISNA(VLOOKUP($C42,Données!$C$19:'Données'!$I$48,7,0)), ,VLOOKUP($C42,Données!$C$19:'Données'!$I$48,7,0)),"/"))</f>
        <v/>
      </c>
      <c r="U42" s="54" t="str">
        <f>IF($C42="","",IFERROR(IF(ISNA(VLOOKUP($C42,Données!$C$19:'Données'!$I$48,5,0)), ,VLOOKUP($C42,Données!$C$19:'Données'!$I$48,5,0)),"/"))</f>
        <v/>
      </c>
      <c r="V42" s="54" t="str">
        <f t="shared" si="6"/>
        <v/>
      </c>
      <c r="W42" s="49">
        <f t="shared" si="1"/>
        <v>0</v>
      </c>
      <c r="X42" s="49">
        <f t="shared" si="2"/>
        <v>0</v>
      </c>
      <c r="Y42" s="114" t="s">
        <v>97</v>
      </c>
      <c r="Z42" s="116" t="str">
        <f t="shared" si="3"/>
        <v/>
      </c>
      <c r="AA42" s="49" t="str">
        <f>TEXT('Feuille Saisie'!$B$4,"aaaa")</f>
        <v>2019</v>
      </c>
      <c r="AB42" s="49" t="str">
        <f t="shared" si="4"/>
        <v/>
      </c>
      <c r="AC42" s="49">
        <f t="shared" si="5"/>
        <v>0</v>
      </c>
    </row>
    <row r="43" spans="1:29" ht="50.1" customHeight="1" x14ac:dyDescent="0.25">
      <c r="A43" s="1"/>
      <c r="B43" s="1"/>
      <c r="C43" s="15"/>
      <c r="D43" s="41" t="str">
        <f>IF($C43="","",IFERROR(IF(ISNA(VLOOKUP($C43,'Phase GPA'!$C$29:'Phase GPA'!$U$58,10,0)), ,VLOOKUP($C43,'Phase GPA'!$C$29:'Phase GPA'!$U$58,10,0)),0))</f>
        <v/>
      </c>
      <c r="E43" s="42" t="str">
        <f>IF($C43="","",IFERROR(IF(ISNA($D43/S29RECHERCHEV($C43,Données!$C$19:'Données'!$I$48,6,0)), ,$D43/VLOOKUP($C43,Données!$C$19:'Données'!$I$48,6,0)),"/"))</f>
        <v/>
      </c>
      <c r="F43" s="42" t="str">
        <f>IF($C43="","",IFERROR(IF(ISNA($D43/VLOOKUP($C43,Données!$C$19:'Données'!$I$48,7,0)*100), ,$D43/VLOOKUP($C43,Données!$C$19:'Données'!$I$48,7,0)*100),"/"))</f>
        <v/>
      </c>
      <c r="G43" s="41" t="str">
        <f>IF($D43=0,"/",IF($C43="","",IFERROR(IF(ISNA(VLOOKUP($C43,'Phase GPA'!$C$29:'Phase GPA'!$U$58,11,0)), ,VLOOKUP($C43,'Phase GPA'!$C$29:'Phase GPA'!$U$58,11,0)),0)))</f>
        <v/>
      </c>
      <c r="H43" s="43" t="str">
        <f>IF($C43="","",IFERROR(IF(ISNA(VLOOKUP($C43,'Phase GPA'!$C$29:'Phase GPA'!$U$58,12,0)), ,VLOOKUP($C43,'Phase GPA'!$C$29:'Phase GPA'!$U$58,12,0)),0))</f>
        <v/>
      </c>
      <c r="I43" s="44" t="str">
        <f>IF($C43="","",IFERROR(IF(ISNA($H43/VLOOKUP($C43,Données!$C$19:'Données'!$I$48,5,0)), ,$H43/VLOOKUP($C43,Données!$C$19:'Données'!$I$48,5,0))*100,0))</f>
        <v/>
      </c>
      <c r="J43" s="44" t="str">
        <f>IF($C43="","",IFERROR(IF(ISNA($H43/VLOOKUP($C43,Données!$C$19:'Données'!$I$48,6,0)), ,$H43/VLOOKUP($C43,Données!$C$19:'Données'!$I$48,6,0)),"/"))</f>
        <v/>
      </c>
      <c r="K43" s="44" t="str">
        <f>IF($C43="","",IFERROR(IF(ISNA($H43/VLOOKUP($C43,Données!$C$19:'Données'!$I$48,7,0)*100), ,$H43/VLOOKUP($C43,Données!$C$19:'Données'!$I$48,7,0)*100),"/"))</f>
        <v/>
      </c>
      <c r="L43" s="91" t="str">
        <f t="shared" si="0"/>
        <v/>
      </c>
      <c r="M43" s="13"/>
      <c r="N43" s="112"/>
      <c r="O43" s="164"/>
      <c r="P43" s="165"/>
      <c r="Q43" s="1"/>
      <c r="R43" s="1"/>
      <c r="S43" s="54" t="str">
        <f>IF($C43="","",IFERROR(IF(ISNA(VLOOKUP($C43,Données!$C$19:'Données'!$I$48,6,0)), ,VLOOKUP($C43,Données!$C$19:'Données'!$I$48,6,0)),"/"))</f>
        <v/>
      </c>
      <c r="T43" s="54" t="str">
        <f>IF($C43="","",IFERROR(IF(ISNA(VLOOKUP($C43,Données!$C$19:'Données'!$I$48,7,0)), ,VLOOKUP($C43,Données!$C$19:'Données'!$I$48,7,0)),"/"))</f>
        <v/>
      </c>
      <c r="U43" s="54" t="str">
        <f>IF($C43="","",IFERROR(IF(ISNA(VLOOKUP($C43,Données!$C$19:'Données'!$I$48,5,0)), ,VLOOKUP($C43,Données!$C$19:'Données'!$I$48,5,0)),"/"))</f>
        <v/>
      </c>
      <c r="V43" s="54" t="str">
        <f t="shared" si="6"/>
        <v/>
      </c>
      <c r="W43" s="49">
        <f t="shared" si="1"/>
        <v>0</v>
      </c>
      <c r="X43" s="49">
        <f t="shared" si="2"/>
        <v>0</v>
      </c>
      <c r="Y43" s="114" t="s">
        <v>97</v>
      </c>
      <c r="Z43" s="116" t="str">
        <f t="shared" si="3"/>
        <v/>
      </c>
      <c r="AA43" s="49" t="str">
        <f>TEXT('Feuille Saisie'!$B$4,"aaaa")</f>
        <v>2019</v>
      </c>
      <c r="AB43" s="49" t="str">
        <f t="shared" si="4"/>
        <v/>
      </c>
      <c r="AC43" s="49">
        <f t="shared" si="5"/>
        <v>0</v>
      </c>
    </row>
    <row r="44" spans="1:29" ht="50.1" customHeight="1" x14ac:dyDescent="0.25">
      <c r="A44" s="1"/>
      <c r="B44" s="1"/>
      <c r="C44" s="56" t="s">
        <v>50</v>
      </c>
      <c r="D44" s="57">
        <f>SUM(D29:D43)</f>
        <v>0</v>
      </c>
      <c r="E44" s="58" t="str">
        <f>IF(S44=0,"/",D44/S44)</f>
        <v>/</v>
      </c>
      <c r="F44" s="58" t="str">
        <f>IF(T44=0,"/",D44/T44*100)</f>
        <v>/</v>
      </c>
      <c r="G44" s="57" t="str">
        <f>IFERROR(V44/D44,"/")</f>
        <v>/</v>
      </c>
      <c r="H44" s="59">
        <f>SUM(H29:H43)</f>
        <v>0</v>
      </c>
      <c r="I44" s="61" t="str">
        <f>IFERROR(H44/U44*100,"/")</f>
        <v>/</v>
      </c>
      <c r="J44" s="61" t="str">
        <f>IF(S44=0,"/",H44/S44)</f>
        <v>/</v>
      </c>
      <c r="K44" s="58" t="str">
        <f>IF(T44=0,"/",H44/T44*100)</f>
        <v>/</v>
      </c>
      <c r="L44" s="92">
        <f>IFERROR(H44/D44,0)</f>
        <v>0</v>
      </c>
      <c r="M44" s="63"/>
      <c r="N44" s="113"/>
      <c r="O44" s="164"/>
      <c r="P44" s="165"/>
      <c r="Q44" s="1"/>
      <c r="R44" s="1"/>
      <c r="S44" s="69">
        <f t="shared" ref="S44:W44" si="7">SUM(S29:S43)</f>
        <v>0</v>
      </c>
      <c r="T44" s="69">
        <f t="shared" si="7"/>
        <v>0</v>
      </c>
      <c r="U44" s="69">
        <f t="shared" si="7"/>
        <v>0</v>
      </c>
      <c r="V44" s="49">
        <f t="shared" si="7"/>
        <v>0</v>
      </c>
      <c r="W44" s="69">
        <f t="shared" si="7"/>
        <v>0</v>
      </c>
      <c r="X44" s="49">
        <f>SUM(X29:X43)</f>
        <v>0</v>
      </c>
      <c r="Y44" s="114" t="s">
        <v>97</v>
      </c>
      <c r="Z44" s="114" t="str">
        <f t="shared" ref="Z44" si="8">IF($X44=1,"µ","")</f>
        <v/>
      </c>
      <c r="AA44" s="49"/>
      <c r="AB44" s="49"/>
      <c r="AC44" s="49">
        <f>SUM(AC29:AC43)</f>
        <v>0</v>
      </c>
    </row>
    <row r="45" spans="1:29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4"/>
      <c r="Q45" s="1"/>
      <c r="R45" s="1"/>
    </row>
    <row r="46" spans="1:29" ht="15" customHeight="1" x14ac:dyDescent="0.25">
      <c r="A46" s="1"/>
      <c r="B46" s="1"/>
      <c r="C46" s="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0"/>
      <c r="Q46" s="1"/>
      <c r="R46" s="1"/>
    </row>
    <row r="47" spans="1:29" ht="15" customHeight="1" x14ac:dyDescent="0.25">
      <c r="A47" s="1"/>
      <c r="B47" s="1"/>
      <c r="C47" s="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9"/>
      <c r="Q47" s="1"/>
      <c r="R47" s="1"/>
    </row>
    <row r="48" spans="1:29" ht="15" customHeight="1" x14ac:dyDescent="0.25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9"/>
      <c r="Q48" s="1"/>
      <c r="R48" s="1"/>
    </row>
    <row r="49" spans="1:19" ht="15" customHeight="1" x14ac:dyDescent="0.25">
      <c r="A49" s="1"/>
      <c r="B49" s="1"/>
      <c r="C49" s="6"/>
      <c r="D49" s="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9"/>
      <c r="Q49" s="1"/>
      <c r="R49" s="1"/>
    </row>
    <row r="50" spans="1:19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/>
      <c r="B51" s="1"/>
      <c r="C51" s="138" t="str">
        <f ca="1">Données!$C$55</f>
        <v>CR Point bimestriel PA Version 22.7 XXL MOD VDE</v>
      </c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"/>
      <c r="S51" s="1"/>
    </row>
    <row r="53" spans="1:19" ht="5.0999999999999996" customHeight="1" x14ac:dyDescent="0.25"/>
  </sheetData>
  <sheetProtection algorithmName="SHA-512" hashValue="MTEKRmRRiALDmUEKYfoLGUdfm95VRaAlix1SG/LAdhLtPgJVbzE9v7VJC/JSelvSdzejDvFCaHcfLj3JZdmhXQ==" saltValue="YQMvbzr7sgxrG3oKpKj7og==" spinCount="100000" sheet="1" objects="1" scenarios="1"/>
  <protectedRanges>
    <protectedRange sqref="M29:M43" name="Plage2"/>
    <protectedRange sqref="C29:C43" name="Plage1"/>
    <protectedRange sqref="O29:P44" name="Plage3"/>
  </protectedRanges>
  <mergeCells count="30">
    <mergeCell ref="C51:Q51"/>
    <mergeCell ref="I25:I28"/>
    <mergeCell ref="J25:J28"/>
    <mergeCell ref="K25:K28"/>
    <mergeCell ref="L25:L28"/>
    <mergeCell ref="M25:M28"/>
    <mergeCell ref="N25:N28"/>
    <mergeCell ref="H25:H28"/>
    <mergeCell ref="C25:C28"/>
    <mergeCell ref="D25:D28"/>
    <mergeCell ref="E25:E28"/>
    <mergeCell ref="F25:F28"/>
    <mergeCell ref="G25:G28"/>
    <mergeCell ref="O25:P28"/>
    <mergeCell ref="O29:P29"/>
    <mergeCell ref="O30:P30"/>
    <mergeCell ref="O31:P31"/>
    <mergeCell ref="O32:P32"/>
    <mergeCell ref="O33:P33"/>
    <mergeCell ref="O34:P34"/>
    <mergeCell ref="O35:P35"/>
    <mergeCell ref="O41:P41"/>
    <mergeCell ref="O42:P42"/>
    <mergeCell ref="O43:P43"/>
    <mergeCell ref="O44:P44"/>
    <mergeCell ref="O36:P36"/>
    <mergeCell ref="O37:P37"/>
    <mergeCell ref="O38:P38"/>
    <mergeCell ref="O39:P39"/>
    <mergeCell ref="O40:P40"/>
  </mergeCells>
  <conditionalFormatting sqref="E29">
    <cfRule type="cellIs" dxfId="109" priority="31" operator="lessThanOrEqual">
      <formula>1</formula>
    </cfRule>
    <cfRule type="containsText" dxfId="108" priority="33" operator="containsText" text="/">
      <formula>NOT(ISERROR(SEARCH("/",E29)))</formula>
    </cfRule>
    <cfRule type="cellIs" dxfId="107" priority="34" operator="greaterThan">
      <formula>1</formula>
    </cfRule>
  </conditionalFormatting>
  <conditionalFormatting sqref="E44">
    <cfRule type="cellIs" dxfId="106" priority="26" operator="lessThanOrEqual">
      <formula>1</formula>
    </cfRule>
    <cfRule type="containsText" dxfId="105" priority="28" operator="containsText" text="/">
      <formula>NOT(ISERROR(SEARCH("/",E44)))</formula>
    </cfRule>
    <cfRule type="cellIs" dxfId="104" priority="29" operator="greaterThan">
      <formula>1</formula>
    </cfRule>
  </conditionalFormatting>
  <conditionalFormatting sqref="G29 G44">
    <cfRule type="containsText" dxfId="103" priority="22" operator="containsText" text="/">
      <formula>NOT(ISERROR(SEARCH("/",G29)))</formula>
    </cfRule>
    <cfRule type="cellIs" dxfId="102" priority="23" operator="lessThanOrEqual">
      <formula>15</formula>
    </cfRule>
    <cfRule type="cellIs" dxfId="101" priority="24" operator="greaterThan">
      <formula>15</formula>
    </cfRule>
  </conditionalFormatting>
  <conditionalFormatting sqref="E30:E43">
    <cfRule type="cellIs" dxfId="100" priority="4" operator="lessThanOrEqual">
      <formula>1</formula>
    </cfRule>
    <cfRule type="containsText" dxfId="99" priority="5" operator="containsText" text="/">
      <formula>NOT(ISERROR(SEARCH("/",E30)))</formula>
    </cfRule>
    <cfRule type="cellIs" dxfId="98" priority="6" operator="greaterThan">
      <formula>1</formula>
    </cfRule>
  </conditionalFormatting>
  <conditionalFormatting sqref="G30:G43">
    <cfRule type="containsText" dxfId="97" priority="1" operator="containsText" text="/">
      <formula>NOT(ISERROR(SEARCH("/",G30)))</formula>
    </cfRule>
    <cfRule type="cellIs" dxfId="96" priority="2" operator="lessThanOrEqual">
      <formula>15</formula>
    </cfRule>
    <cfRule type="cellIs" dxfId="95" priority="3" operator="greaterThan">
      <formula>15</formula>
    </cfRule>
  </conditionalFormatting>
  <dataValidations count="1">
    <dataValidation type="list" allowBlank="1" showInputMessage="1" showErrorMessage="1" sqref="C4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6" orientation="landscape" r:id="rId1"/>
  <headerFoot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OFFSET('Phase GPA'!$ED$29:$ED$58,0,0,COUNTA('Phase GPA'!$ED$29:$ED$58),1)</xm:f>
          </x14:formula1>
          <xm:sqref>C29:C43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AC53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4" width="15.7109375" customWidth="1"/>
    <col min="5" max="5" width="15.7109375" hidden="1" customWidth="1"/>
    <col min="6" max="9" width="15.7109375" customWidth="1"/>
    <col min="10" max="10" width="15.7109375" hidden="1" customWidth="1"/>
    <col min="11" max="13" width="15.7109375" customWidth="1"/>
    <col min="14" max="14" width="1.7109375" customWidth="1"/>
    <col min="15" max="15" width="45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9" x14ac:dyDescent="0.25">
      <c r="A20" s="1"/>
      <c r="B20" s="1"/>
      <c r="C20" s="4"/>
      <c r="D20" s="4"/>
      <c r="E20" s="4"/>
      <c r="F20" s="4"/>
      <c r="G20" s="4" t="s">
        <v>98</v>
      </c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9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9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9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9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9" ht="15" customHeight="1" x14ac:dyDescent="0.25">
      <c r="A25" s="1"/>
      <c r="B25" s="1"/>
      <c r="C25" s="132" t="s">
        <v>7</v>
      </c>
      <c r="D25" s="161" t="s">
        <v>13</v>
      </c>
      <c r="E25" s="161" t="s">
        <v>87</v>
      </c>
      <c r="F25" s="161" t="s">
        <v>91</v>
      </c>
      <c r="G25" s="161" t="s">
        <v>31</v>
      </c>
      <c r="H25" s="161" t="s">
        <v>78</v>
      </c>
      <c r="I25" s="161" t="s">
        <v>20</v>
      </c>
      <c r="J25" s="161" t="s">
        <v>88</v>
      </c>
      <c r="K25" s="161" t="s">
        <v>92</v>
      </c>
      <c r="L25" s="161" t="s">
        <v>79</v>
      </c>
      <c r="M25" s="132" t="s">
        <v>80</v>
      </c>
      <c r="N25" s="166"/>
      <c r="O25" s="145" t="s">
        <v>43</v>
      </c>
      <c r="P25" s="146"/>
      <c r="Q25" s="1"/>
      <c r="R25" s="1"/>
    </row>
    <row r="26" spans="1:29" x14ac:dyDescent="0.25">
      <c r="A26" s="1"/>
      <c r="B26" s="1"/>
      <c r="C26" s="133"/>
      <c r="D26" s="162"/>
      <c r="E26" s="162"/>
      <c r="F26" s="162"/>
      <c r="G26" s="162"/>
      <c r="H26" s="162"/>
      <c r="I26" s="162"/>
      <c r="J26" s="162"/>
      <c r="K26" s="162"/>
      <c r="L26" s="162"/>
      <c r="M26" s="133"/>
      <c r="N26" s="166"/>
      <c r="O26" s="167"/>
      <c r="P26" s="158"/>
      <c r="Q26" s="1"/>
      <c r="R26" s="1"/>
    </row>
    <row r="27" spans="1:29" ht="15" customHeight="1" x14ac:dyDescent="0.25">
      <c r="A27" s="1"/>
      <c r="B27" s="1"/>
      <c r="C27" s="133"/>
      <c r="D27" s="162"/>
      <c r="E27" s="162"/>
      <c r="F27" s="162"/>
      <c r="G27" s="162"/>
      <c r="H27" s="162"/>
      <c r="I27" s="162"/>
      <c r="J27" s="162"/>
      <c r="K27" s="162"/>
      <c r="L27" s="162"/>
      <c r="M27" s="133"/>
      <c r="N27" s="166"/>
      <c r="O27" s="167"/>
      <c r="P27" s="158"/>
      <c r="Q27" s="1"/>
      <c r="R27" s="1"/>
    </row>
    <row r="28" spans="1:29" x14ac:dyDescent="0.25">
      <c r="A28" s="1"/>
      <c r="B28" s="1"/>
      <c r="C28" s="134"/>
      <c r="D28" s="163"/>
      <c r="E28" s="163"/>
      <c r="F28" s="163"/>
      <c r="G28" s="163"/>
      <c r="H28" s="163"/>
      <c r="I28" s="163"/>
      <c r="J28" s="163"/>
      <c r="K28" s="163"/>
      <c r="L28" s="163"/>
      <c r="M28" s="134"/>
      <c r="N28" s="166"/>
      <c r="O28" s="147"/>
      <c r="P28" s="148"/>
      <c r="Q28" s="1"/>
      <c r="R28" s="1"/>
    </row>
    <row r="29" spans="1:29" ht="50.1" customHeight="1" x14ac:dyDescent="0.25">
      <c r="A29" s="1"/>
      <c r="B29" s="1"/>
      <c r="C29" s="15"/>
      <c r="D29" s="41" t="str">
        <f>IF($C29="","",IFERROR(IF(ISNA(VLOOKUP($C29,'Phase GPA'!$C$29:'Phase GPA'!$U$58,10,0)), ,VLOOKUP($C29,'Phase GPA'!$C$29:'Phase GPA'!$U$58,10,0)),0))</f>
        <v/>
      </c>
      <c r="E29" s="42" t="str">
        <f>IF($C29="","",IFERROR(IF(ISNA($D29/S29RECHERCHEV($C29,Données!$C$19:'Données'!$I$48,6,0)), ,$D29/VLOOKUP($C29,Données!$C$19:'Données'!$I$48,6,0)),"/"))</f>
        <v/>
      </c>
      <c r="F29" s="42" t="str">
        <f>IF($C29="","",IFERROR(IF(ISNA($D29/VLOOKUP($C29,Données!$C$19:'Données'!$I$48,7,0)*100), ,$D29/VLOOKUP($C29,Données!$C$19:'Données'!$I$48,7,0)*100),"/"))</f>
        <v/>
      </c>
      <c r="G29" s="41" t="str">
        <f>IF($D29=0,"/",IF($C29="","",IFERROR(IF(ISNA(VLOOKUP($C29,'Phase GPA'!$C$29:'Phase GPA'!$U$58,11,0)), ,VLOOKUP($C29,'Phase GPA'!$C$29:'Phase GPA'!$U$58,11,0)),0)))</f>
        <v/>
      </c>
      <c r="H29" s="43" t="str">
        <f>IF($C29="","",IFERROR(IF(ISNA(VLOOKUP($C29,'Phase GPA'!$C$29:'Phase GPA'!$U$58,12,0)), ,VLOOKUP($C29,'Phase GPA'!$C$29:'Phase GPA'!$U$58,12,0)),0))</f>
        <v/>
      </c>
      <c r="I29" s="44" t="str">
        <f>IF($C29="","",IFERROR(IF(ISNA($H29/VLOOKUP($C29,Données!$C$19:'Données'!$I$48,5,0)), ,$H29/VLOOKUP($C29,Données!$C$19:'Données'!$I$48,5,0))*100,0))</f>
        <v/>
      </c>
      <c r="J29" s="44" t="str">
        <f>IF($C29="","",IFERROR(IF(ISNA($H29/VLOOKUP($C29,Données!$C$19:'Données'!$I$48,6,0)), ,$H29/VLOOKUP($C29,Données!$C$19:'Données'!$I$48,6,0)),"/"))</f>
        <v/>
      </c>
      <c r="K29" s="44" t="str">
        <f>IF($C29="","",IFERROR(IF(ISNA($H29/VLOOKUP($C29,Données!$C$19:'Données'!$I$48,7,0)*100), ,$H29/VLOOKUP($C29,Données!$C$19:'Données'!$I$48,7,0)*100),"/"))</f>
        <v/>
      </c>
      <c r="L29" s="91" t="str">
        <f>IF($D29=0,"/",IF($C29="","",IFERROR(($H29/$D29),0)))</f>
        <v/>
      </c>
      <c r="M29" s="13"/>
      <c r="N29" s="112"/>
      <c r="O29" s="164"/>
      <c r="P29" s="165"/>
      <c r="Q29" s="1"/>
      <c r="R29" s="1"/>
      <c r="S29" s="54" t="str">
        <f>IF($C29="","",IFERROR(IF(ISNA(VLOOKUP($C29,Données!$C$19:'Données'!$I$48,6,0)), ,VLOOKUP($C29,Données!$C$19:'Données'!$I$48,6,0)),"/"))</f>
        <v/>
      </c>
      <c r="T29" s="54" t="str">
        <f>IF($C29="","",IFERROR(IF(ISNA(VLOOKUP($C29,Données!$C$19:'Données'!$I$48,7,0)), ,VLOOKUP($C29,Données!$C$19:'Données'!$I$48,7,0)),"/"))</f>
        <v/>
      </c>
      <c r="U29" s="54" t="str">
        <f>IF($C29="","",IFERROR(IF(ISNA(VLOOKUP($C29,Données!$C$19:'Données'!$I$48,5,0)), ,VLOOKUP($C29,Données!$C$19:'Données'!$I$48,5,0)),"/"))</f>
        <v/>
      </c>
      <c r="V29" s="54" t="str">
        <f>IF($C29="","",IFERROR(IF(ISNA($D29*$G29), ,$D29*$G29),"/"))</f>
        <v/>
      </c>
      <c r="W29" s="49">
        <f>IF($C29&lt;&gt;"",1,0)</f>
        <v>0</v>
      </c>
      <c r="X29" s="49">
        <f>IF($M29&lt;&gt;"",1,0)</f>
        <v>0</v>
      </c>
      <c r="Y29" s="114" t="s">
        <v>97</v>
      </c>
      <c r="Z29" s="116" t="str">
        <f>IF($C29="","",IF($X29=1,"µ",""))</f>
        <v/>
      </c>
      <c r="AA29" s="49" t="str">
        <f>TEXT('Feuille Saisie'!$B$4,"aaaa")</f>
        <v>2019</v>
      </c>
      <c r="AB29" s="49" t="str">
        <f>IF($M29&lt;&gt;"",TEXT($M29,"aaaa"),"")</f>
        <v/>
      </c>
      <c r="AC29" s="49">
        <f>IF($AA29=$AB29,1,0)</f>
        <v>0</v>
      </c>
    </row>
    <row r="30" spans="1:29" ht="50.1" customHeight="1" x14ac:dyDescent="0.25">
      <c r="A30" s="1"/>
      <c r="B30" s="1"/>
      <c r="C30" s="15"/>
      <c r="D30" s="41" t="str">
        <f>IF($C30="","",IFERROR(IF(ISNA(VLOOKUP($C30,'Phase GPA'!$C$29:'Phase GPA'!$U$58,10,0)), ,VLOOKUP($C30,'Phase GPA'!$C$29:'Phase GPA'!$U$58,10,0)),0))</f>
        <v/>
      </c>
      <c r="E30" s="42" t="str">
        <f>IF($C30="","",IFERROR(IF(ISNA($D30/S29RECHERCHEV($C30,Données!$C$19:'Données'!$I$48,6,0)), ,$D30/VLOOKUP($C30,Données!$C$19:'Données'!$I$48,6,0)),"/"))</f>
        <v/>
      </c>
      <c r="F30" s="42" t="str">
        <f>IF($C30="","",IFERROR(IF(ISNA($D30/VLOOKUP($C30,Données!$C$19:'Données'!$I$48,7,0)*100), ,$D30/VLOOKUP($C30,Données!$C$19:'Données'!$I$48,7,0)*100),"/"))</f>
        <v/>
      </c>
      <c r="G30" s="41" t="str">
        <f>IF($D30=0,"/",IF($C30="","",IFERROR(IF(ISNA(VLOOKUP($C30,'Phase GPA'!$C$29:'Phase GPA'!$U$58,11,0)), ,VLOOKUP($C30,'Phase GPA'!$C$29:'Phase GPA'!$U$58,11,0)),0)))</f>
        <v/>
      </c>
      <c r="H30" s="43" t="str">
        <f>IF($C30="","",IFERROR(IF(ISNA(VLOOKUP($C30,'Phase GPA'!$C$29:'Phase GPA'!$U$58,12,0)), ,VLOOKUP($C30,'Phase GPA'!$C$29:'Phase GPA'!$U$58,12,0)),0))</f>
        <v/>
      </c>
      <c r="I30" s="44" t="str">
        <f>IF($C30="","",IFERROR(IF(ISNA($H30/VLOOKUP($C30,Données!$C$19:'Données'!$I$48,5,0)), ,$H30/VLOOKUP($C30,Données!$C$19:'Données'!$I$48,5,0))*100,0))</f>
        <v/>
      </c>
      <c r="J30" s="44" t="str">
        <f>IF($C30="","",IFERROR(IF(ISNA($H30/VLOOKUP($C30,Données!$C$19:'Données'!$I$48,6,0)), ,$H30/VLOOKUP($C30,Données!$C$19:'Données'!$I$48,6,0)),"/"))</f>
        <v/>
      </c>
      <c r="K30" s="44" t="str">
        <f>IF($C30="","",IFERROR(IF(ISNA($H30/VLOOKUP($C30,Données!$C$19:'Données'!$I$48,7,0)*100), ,$H30/VLOOKUP($C30,Données!$C$19:'Données'!$I$48,7,0)*100),"/"))</f>
        <v/>
      </c>
      <c r="L30" s="91" t="str">
        <f t="shared" ref="L30:L43" si="0">IF($D30=0,"/",IF($C30="","",IFERROR(($H30/$D30),0)))</f>
        <v/>
      </c>
      <c r="M30" s="13"/>
      <c r="N30" s="112"/>
      <c r="O30" s="164"/>
      <c r="P30" s="165"/>
      <c r="Q30" s="1"/>
      <c r="R30" s="1"/>
      <c r="S30" s="54" t="str">
        <f>IF($C30="","",IFERROR(IF(ISNA(VLOOKUP($C30,Données!$C$19:'Données'!$I$48,6,0)), ,VLOOKUP($C30,Données!$C$19:'Données'!$I$48,6,0)),"/"))</f>
        <v/>
      </c>
      <c r="T30" s="54" t="str">
        <f>IF($C30="","",IFERROR(IF(ISNA(VLOOKUP($C30,Données!$C$19:'Données'!$I$48,7,0)), ,VLOOKUP($C30,Données!$C$19:'Données'!$I$48,7,0)),"/"))</f>
        <v/>
      </c>
      <c r="U30" s="54" t="str">
        <f>IF($C30="","",IFERROR(IF(ISNA(VLOOKUP($C30,Données!$C$19:'Données'!$I$48,5,0)), ,VLOOKUP($C30,Données!$C$19:'Données'!$I$48,5,0)),"/"))</f>
        <v/>
      </c>
      <c r="V30" s="54" t="str">
        <f>IF($C30="","",IFERROR(IF(ISNA($D30*$G30), ,$D30*$G30),"/"))</f>
        <v/>
      </c>
      <c r="W30" s="49">
        <f t="shared" ref="W30:W43" si="1">IF($C30&lt;&gt;"",1,0)</f>
        <v>0</v>
      </c>
      <c r="X30" s="49">
        <f t="shared" ref="X30:X43" si="2">IF($M30&lt;&gt;"",1,0)</f>
        <v>0</v>
      </c>
      <c r="Y30" s="114" t="s">
        <v>97</v>
      </c>
      <c r="Z30" s="116" t="str">
        <f t="shared" ref="Z30:Z43" si="3">IF($C30="","",IF($X30=1,"µ",""))</f>
        <v/>
      </c>
      <c r="AA30" s="49" t="str">
        <f>TEXT('Feuille Saisie'!$B$4,"aaaa")</f>
        <v>2019</v>
      </c>
      <c r="AB30" s="49" t="str">
        <f t="shared" ref="AB30:AB43" si="4">IF($M30&lt;&gt;"",TEXT($M30,"aaaa"),"")</f>
        <v/>
      </c>
      <c r="AC30" s="49">
        <f t="shared" ref="AC30:AC43" si="5">IF($AA30=$AB30,1,0)</f>
        <v>0</v>
      </c>
    </row>
    <row r="31" spans="1:29" ht="50.1" customHeight="1" x14ac:dyDescent="0.25">
      <c r="A31" s="1"/>
      <c r="B31" s="1"/>
      <c r="C31" s="15"/>
      <c r="D31" s="41" t="str">
        <f>IF($C31="","",IFERROR(IF(ISNA(VLOOKUP($C31,'Phase GPA'!$C$29:'Phase GPA'!$U$58,10,0)), ,VLOOKUP($C31,'Phase GPA'!$C$29:'Phase GPA'!$U$58,10,0)),0))</f>
        <v/>
      </c>
      <c r="E31" s="42" t="str">
        <f>IF($C31="","",IFERROR(IF(ISNA($D31/S29RECHERCHEV($C31,Données!$C$19:'Données'!$I$48,6,0)), ,$D31/VLOOKUP($C31,Données!$C$19:'Données'!$I$48,6,0)),"/"))</f>
        <v/>
      </c>
      <c r="F31" s="42" t="str">
        <f>IF($C31="","",IFERROR(IF(ISNA($D31/VLOOKUP($C31,Données!$C$19:'Données'!$I$48,7,0)*100), ,$D31/VLOOKUP($C31,Données!$C$19:'Données'!$I$48,7,0)*100),"/"))</f>
        <v/>
      </c>
      <c r="G31" s="41" t="str">
        <f>IF($D31=0,"/",IF($C31="","",IFERROR(IF(ISNA(VLOOKUP($C31,'Phase GPA'!$C$29:'Phase GPA'!$U$58,11,0)), ,VLOOKUP($C31,'Phase GPA'!$C$29:'Phase GPA'!$U$58,11,0)),0)))</f>
        <v/>
      </c>
      <c r="H31" s="43" t="str">
        <f>IF($C31="","",IFERROR(IF(ISNA(VLOOKUP($C31,'Phase GPA'!$C$29:'Phase GPA'!$U$58,12,0)), ,VLOOKUP($C31,'Phase GPA'!$C$29:'Phase GPA'!$U$58,12,0)),0))</f>
        <v/>
      </c>
      <c r="I31" s="44" t="str">
        <f>IF($C31="","",IFERROR(IF(ISNA($H31/VLOOKUP($C31,Données!$C$19:'Données'!$I$48,5,0)), ,$H31/VLOOKUP($C31,Données!$C$19:'Données'!$I$48,5,0))*100,0))</f>
        <v/>
      </c>
      <c r="J31" s="44" t="str">
        <f>IF($C31="","",IFERROR(IF(ISNA($H31/VLOOKUP($C31,Données!$C$19:'Données'!$I$48,6,0)), ,$H31/VLOOKUP($C31,Données!$C$19:'Données'!$I$48,6,0)),"/"))</f>
        <v/>
      </c>
      <c r="K31" s="44" t="str">
        <f>IF($C31="","",IFERROR(IF(ISNA($H31/VLOOKUP($C31,Données!$C$19:'Données'!$I$48,7,0)*100), ,$H31/VLOOKUP($C31,Données!$C$19:'Données'!$I$48,7,0)*100),"/"))</f>
        <v/>
      </c>
      <c r="L31" s="91" t="str">
        <f t="shared" si="0"/>
        <v/>
      </c>
      <c r="M31" s="13"/>
      <c r="N31" s="112"/>
      <c r="O31" s="164"/>
      <c r="P31" s="165"/>
      <c r="Q31" s="1"/>
      <c r="R31" s="1"/>
      <c r="S31" s="54" t="str">
        <f>IF($C31="","",IFERROR(IF(ISNA(VLOOKUP($C31,Données!$C$19:'Données'!$I$48,6,0)), ,VLOOKUP($C31,Données!$C$19:'Données'!$I$48,6,0)),"/"))</f>
        <v/>
      </c>
      <c r="T31" s="54" t="str">
        <f>IF($C31="","",IFERROR(IF(ISNA(VLOOKUP($C31,Données!$C$19:'Données'!$I$48,7,0)), ,VLOOKUP($C31,Données!$C$19:'Données'!$I$48,7,0)),"/"))</f>
        <v/>
      </c>
      <c r="U31" s="54" t="str">
        <f>IF($C31="","",IFERROR(IF(ISNA(VLOOKUP($C31,Données!$C$19:'Données'!$I$48,5,0)), ,VLOOKUP($C31,Données!$C$19:'Données'!$I$48,5,0)),"/"))</f>
        <v/>
      </c>
      <c r="V31" s="54" t="str">
        <f t="shared" ref="V31:V43" si="6">IF($C31="","",IFERROR(IF(ISNA($D31*$G31), ,$D31*$G31),"/"))</f>
        <v/>
      </c>
      <c r="W31" s="49">
        <f t="shared" si="1"/>
        <v>0</v>
      </c>
      <c r="X31" s="49">
        <f t="shared" si="2"/>
        <v>0</v>
      </c>
      <c r="Y31" s="114" t="s">
        <v>97</v>
      </c>
      <c r="Z31" s="116" t="str">
        <f t="shared" si="3"/>
        <v/>
      </c>
      <c r="AA31" s="49" t="str">
        <f>TEXT('Feuille Saisie'!$B$4,"aaaa")</f>
        <v>2019</v>
      </c>
      <c r="AB31" s="49" t="str">
        <f t="shared" si="4"/>
        <v/>
      </c>
      <c r="AC31" s="49">
        <f t="shared" si="5"/>
        <v>0</v>
      </c>
    </row>
    <row r="32" spans="1:29" ht="50.1" customHeight="1" x14ac:dyDescent="0.25">
      <c r="A32" s="1"/>
      <c r="B32" s="1"/>
      <c r="C32" s="15"/>
      <c r="D32" s="41" t="str">
        <f>IF($C32="","",IFERROR(IF(ISNA(VLOOKUP($C32,'Phase GPA'!$C$29:'Phase GPA'!$U$58,10,0)), ,VLOOKUP($C32,'Phase GPA'!$C$29:'Phase GPA'!$U$58,10,0)),0))</f>
        <v/>
      </c>
      <c r="E32" s="42" t="str">
        <f>IF($C32="","",IFERROR(IF(ISNA($D32/S29RECHERCHEV($C32,Données!$C$19:'Données'!$I$48,6,0)), ,$D32/VLOOKUP($C32,Données!$C$19:'Données'!$I$48,6,0)),"/"))</f>
        <v/>
      </c>
      <c r="F32" s="42" t="str">
        <f>IF($C32="","",IFERROR(IF(ISNA($D32/VLOOKUP($C32,Données!$C$19:'Données'!$I$48,7,0)*100), ,$D32/VLOOKUP($C32,Données!$C$19:'Données'!$I$48,7,0)*100),"/"))</f>
        <v/>
      </c>
      <c r="G32" s="41" t="str">
        <f>IF($D32=0,"/",IF($C32="","",IFERROR(IF(ISNA(VLOOKUP($C32,'Phase GPA'!$C$29:'Phase GPA'!$U$58,11,0)), ,VLOOKUP($C32,'Phase GPA'!$C$29:'Phase GPA'!$U$58,11,0)),0)))</f>
        <v/>
      </c>
      <c r="H32" s="43" t="str">
        <f>IF($C32="","",IFERROR(IF(ISNA(VLOOKUP($C32,'Phase GPA'!$C$29:'Phase GPA'!$U$58,12,0)), ,VLOOKUP($C32,'Phase GPA'!$C$29:'Phase GPA'!$U$58,12,0)),0))</f>
        <v/>
      </c>
      <c r="I32" s="44" t="str">
        <f>IF($C32="","",IFERROR(IF(ISNA($H32/VLOOKUP($C32,Données!$C$19:'Données'!$I$48,5,0)), ,$H32/VLOOKUP($C32,Données!$C$19:'Données'!$I$48,5,0))*100,0))</f>
        <v/>
      </c>
      <c r="J32" s="44" t="str">
        <f>IF($C32="","",IFERROR(IF(ISNA($H32/VLOOKUP($C32,Données!$C$19:'Données'!$I$48,6,0)), ,$H32/VLOOKUP($C32,Données!$C$19:'Données'!$I$48,6,0)),"/"))</f>
        <v/>
      </c>
      <c r="K32" s="44" t="str">
        <f>IF($C32="","",IFERROR(IF(ISNA($H32/VLOOKUP($C32,Données!$C$19:'Données'!$I$48,7,0)*100), ,$H32/VLOOKUP($C32,Données!$C$19:'Données'!$I$48,7,0)*100),"/"))</f>
        <v/>
      </c>
      <c r="L32" s="91" t="str">
        <f t="shared" si="0"/>
        <v/>
      </c>
      <c r="M32" s="13"/>
      <c r="N32" s="112"/>
      <c r="O32" s="164"/>
      <c r="P32" s="165"/>
      <c r="Q32" s="1"/>
      <c r="R32" s="1"/>
      <c r="S32" s="54" t="str">
        <f>IF($C32="","",IFERROR(IF(ISNA(VLOOKUP($C32,Données!$C$19:'Données'!$I$48,6,0)), ,VLOOKUP($C32,Données!$C$19:'Données'!$I$48,6,0)),"/"))</f>
        <v/>
      </c>
      <c r="T32" s="54" t="str">
        <f>IF($C32="","",IFERROR(IF(ISNA(VLOOKUP($C32,Données!$C$19:'Données'!$I$48,7,0)), ,VLOOKUP($C32,Données!$C$19:'Données'!$I$48,7,0)),"/"))</f>
        <v/>
      </c>
      <c r="U32" s="54" t="str">
        <f>IF($C32="","",IFERROR(IF(ISNA(VLOOKUP($C32,Données!$C$19:'Données'!$I$48,5,0)), ,VLOOKUP($C32,Données!$C$19:'Données'!$I$48,5,0)),"/"))</f>
        <v/>
      </c>
      <c r="V32" s="54" t="str">
        <f t="shared" si="6"/>
        <v/>
      </c>
      <c r="W32" s="49">
        <f t="shared" si="1"/>
        <v>0</v>
      </c>
      <c r="X32" s="49">
        <f t="shared" si="2"/>
        <v>0</v>
      </c>
      <c r="Y32" s="114" t="s">
        <v>97</v>
      </c>
      <c r="Z32" s="116" t="str">
        <f t="shared" si="3"/>
        <v/>
      </c>
      <c r="AA32" s="49" t="str">
        <f>TEXT('Feuille Saisie'!$B$4,"aaaa")</f>
        <v>2019</v>
      </c>
      <c r="AB32" s="49" t="str">
        <f t="shared" si="4"/>
        <v/>
      </c>
      <c r="AC32" s="49">
        <f t="shared" si="5"/>
        <v>0</v>
      </c>
    </row>
    <row r="33" spans="1:29" ht="50.1" customHeight="1" x14ac:dyDescent="0.25">
      <c r="A33" s="1"/>
      <c r="B33" s="1"/>
      <c r="C33" s="15"/>
      <c r="D33" s="41" t="str">
        <f>IF($C33="","",IFERROR(IF(ISNA(VLOOKUP($C33,'Phase GPA'!$C$29:'Phase GPA'!$U$58,10,0)), ,VLOOKUP($C33,'Phase GPA'!$C$29:'Phase GPA'!$U$58,10,0)),0))</f>
        <v/>
      </c>
      <c r="E33" s="42" t="str">
        <f>IF($C33="","",IFERROR(IF(ISNA($D33/S29RECHERCHEV($C33,Données!$C$19:'Données'!$I$48,6,0)), ,$D33/VLOOKUP($C33,Données!$C$19:'Données'!$I$48,6,0)),"/"))</f>
        <v/>
      </c>
      <c r="F33" s="42" t="str">
        <f>IF($C33="","",IFERROR(IF(ISNA($D33/VLOOKUP($C33,Données!$C$19:'Données'!$I$48,7,0)*100), ,$D33/VLOOKUP($C33,Données!$C$19:'Données'!$I$48,7,0)*100),"/"))</f>
        <v/>
      </c>
      <c r="G33" s="41" t="str">
        <f>IF($D33=0,"/",IF($C33="","",IFERROR(IF(ISNA(VLOOKUP($C33,'Phase GPA'!$C$29:'Phase GPA'!$U$58,11,0)), ,VLOOKUP($C33,'Phase GPA'!$C$29:'Phase GPA'!$U$58,11,0)),0)))</f>
        <v/>
      </c>
      <c r="H33" s="43" t="str">
        <f>IF($C33="","",IFERROR(IF(ISNA(VLOOKUP($C33,'Phase GPA'!$C$29:'Phase GPA'!$U$58,12,0)), ,VLOOKUP($C33,'Phase GPA'!$C$29:'Phase GPA'!$U$58,12,0)),0))</f>
        <v/>
      </c>
      <c r="I33" s="44" t="str">
        <f>IF($C33="","",IFERROR(IF(ISNA($H33/VLOOKUP($C33,Données!$C$19:'Données'!$I$48,5,0)), ,$H33/VLOOKUP($C33,Données!$C$19:'Données'!$I$48,5,0))*100,0))</f>
        <v/>
      </c>
      <c r="J33" s="44" t="str">
        <f>IF($C33="","",IFERROR(IF(ISNA($H33/VLOOKUP($C33,Données!$C$19:'Données'!$I$48,6,0)), ,$H33/VLOOKUP($C33,Données!$C$19:'Données'!$I$48,6,0)),"/"))</f>
        <v/>
      </c>
      <c r="K33" s="44" t="str">
        <f>IF($C33="","",IFERROR(IF(ISNA($H33/VLOOKUP($C33,Données!$C$19:'Données'!$I$48,7,0)*100), ,$H33/VLOOKUP($C33,Données!$C$19:'Données'!$I$48,7,0)*100),"/"))</f>
        <v/>
      </c>
      <c r="L33" s="91" t="str">
        <f t="shared" si="0"/>
        <v/>
      </c>
      <c r="M33" s="13"/>
      <c r="N33" s="112"/>
      <c r="O33" s="164"/>
      <c r="P33" s="165"/>
      <c r="Q33" s="1"/>
      <c r="R33" s="1"/>
      <c r="S33" s="54" t="str">
        <f>IF($C33="","",IFERROR(IF(ISNA(VLOOKUP($C33,Données!$C$19:'Données'!$I$48,6,0)), ,VLOOKUP($C33,Données!$C$19:'Données'!$I$48,6,0)),"/"))</f>
        <v/>
      </c>
      <c r="T33" s="54" t="str">
        <f>IF($C33="","",IFERROR(IF(ISNA(VLOOKUP($C33,Données!$C$19:'Données'!$I$48,7,0)), ,VLOOKUP($C33,Données!$C$19:'Données'!$I$48,7,0)),"/"))</f>
        <v/>
      </c>
      <c r="U33" s="54" t="str">
        <f>IF($C33="","",IFERROR(IF(ISNA(VLOOKUP($C33,Données!$C$19:'Données'!$I$48,5,0)), ,VLOOKUP($C33,Données!$C$19:'Données'!$I$48,5,0)),"/"))</f>
        <v/>
      </c>
      <c r="V33" s="54" t="str">
        <f t="shared" si="6"/>
        <v/>
      </c>
      <c r="W33" s="49">
        <f t="shared" si="1"/>
        <v>0</v>
      </c>
      <c r="X33" s="49">
        <f t="shared" si="2"/>
        <v>0</v>
      </c>
      <c r="Y33" s="114" t="s">
        <v>97</v>
      </c>
      <c r="Z33" s="116" t="str">
        <f t="shared" si="3"/>
        <v/>
      </c>
      <c r="AA33" s="49" t="str">
        <f>TEXT('Feuille Saisie'!$B$4,"aaaa")</f>
        <v>2019</v>
      </c>
      <c r="AB33" s="49" t="str">
        <f t="shared" si="4"/>
        <v/>
      </c>
      <c r="AC33" s="49">
        <f t="shared" si="5"/>
        <v>0</v>
      </c>
    </row>
    <row r="34" spans="1:29" ht="50.1" customHeight="1" x14ac:dyDescent="0.25">
      <c r="A34" s="1"/>
      <c r="B34" s="1"/>
      <c r="C34" s="15"/>
      <c r="D34" s="41" t="str">
        <f>IF($C34="","",IFERROR(IF(ISNA(VLOOKUP($C34,'Phase GPA'!$C$29:'Phase GPA'!$U$58,10,0)), ,VLOOKUP($C34,'Phase GPA'!$C$29:'Phase GPA'!$U$58,10,0)),0))</f>
        <v/>
      </c>
      <c r="E34" s="42" t="str">
        <f>IF($C34="","",IFERROR(IF(ISNA($D34/S29RECHERCHEV($C34,Données!$C$19:'Données'!$I$48,6,0)), ,$D34/VLOOKUP($C34,Données!$C$19:'Données'!$I$48,6,0)),"/"))</f>
        <v/>
      </c>
      <c r="F34" s="42" t="str">
        <f>IF($C34="","",IFERROR(IF(ISNA($D34/VLOOKUP($C34,Données!$C$19:'Données'!$I$48,7,0)*100), ,$D34/VLOOKUP($C34,Données!$C$19:'Données'!$I$48,7,0)*100),"/"))</f>
        <v/>
      </c>
      <c r="G34" s="41" t="str">
        <f>IF($D34=0,"/",IF($C34="","",IFERROR(IF(ISNA(VLOOKUP($C34,'Phase GPA'!$C$29:'Phase GPA'!$U$58,11,0)), ,VLOOKUP($C34,'Phase GPA'!$C$29:'Phase GPA'!$U$58,11,0)),0)))</f>
        <v/>
      </c>
      <c r="H34" s="43" t="str">
        <f>IF($C34="","",IFERROR(IF(ISNA(VLOOKUP($C34,'Phase GPA'!$C$29:'Phase GPA'!$U$58,12,0)), ,VLOOKUP($C34,'Phase GPA'!$C$29:'Phase GPA'!$U$58,12,0)),0))</f>
        <v/>
      </c>
      <c r="I34" s="44" t="str">
        <f>IF($C34="","",IFERROR(IF(ISNA($H34/VLOOKUP($C34,Données!$C$19:'Données'!$I$48,5,0)), ,$H34/VLOOKUP($C34,Données!$C$19:'Données'!$I$48,5,0))*100,0))</f>
        <v/>
      </c>
      <c r="J34" s="44" t="str">
        <f>IF($C34="","",IFERROR(IF(ISNA($H34/VLOOKUP($C34,Données!$C$19:'Données'!$I$48,6,0)), ,$H34/VLOOKUP($C34,Données!$C$19:'Données'!$I$48,6,0)),"/"))</f>
        <v/>
      </c>
      <c r="K34" s="44" t="str">
        <f>IF($C34="","",IFERROR(IF(ISNA($H34/VLOOKUP($C34,Données!$C$19:'Données'!$I$48,7,0)*100), ,$H34/VLOOKUP($C34,Données!$C$19:'Données'!$I$48,7,0)*100),"/"))</f>
        <v/>
      </c>
      <c r="L34" s="91" t="str">
        <f t="shared" si="0"/>
        <v/>
      </c>
      <c r="M34" s="13"/>
      <c r="N34" s="112"/>
      <c r="O34" s="164"/>
      <c r="P34" s="165"/>
      <c r="Q34" s="1"/>
      <c r="R34" s="1"/>
      <c r="S34" s="54" t="str">
        <f>IF($C34="","",IFERROR(IF(ISNA(VLOOKUP($C34,Données!$C$19:'Données'!$I$48,6,0)), ,VLOOKUP($C34,Données!$C$19:'Données'!$I$48,6,0)),"/"))</f>
        <v/>
      </c>
      <c r="T34" s="54" t="str">
        <f>IF($C34="","",IFERROR(IF(ISNA(VLOOKUP($C34,Données!$C$19:'Données'!$I$48,7,0)), ,VLOOKUP($C34,Données!$C$19:'Données'!$I$48,7,0)),"/"))</f>
        <v/>
      </c>
      <c r="U34" s="54" t="str">
        <f>IF($C34="","",IFERROR(IF(ISNA(VLOOKUP($C34,Données!$C$19:'Données'!$I$48,5,0)), ,VLOOKUP($C34,Données!$C$19:'Données'!$I$48,5,0)),"/"))</f>
        <v/>
      </c>
      <c r="V34" s="54" t="str">
        <f t="shared" si="6"/>
        <v/>
      </c>
      <c r="W34" s="49">
        <f t="shared" si="1"/>
        <v>0</v>
      </c>
      <c r="X34" s="49">
        <f t="shared" si="2"/>
        <v>0</v>
      </c>
      <c r="Y34" s="114" t="s">
        <v>97</v>
      </c>
      <c r="Z34" s="116" t="str">
        <f t="shared" si="3"/>
        <v/>
      </c>
      <c r="AA34" s="49" t="str">
        <f>TEXT('Feuille Saisie'!$B$4,"aaaa")</f>
        <v>2019</v>
      </c>
      <c r="AB34" s="49" t="str">
        <f t="shared" si="4"/>
        <v/>
      </c>
      <c r="AC34" s="49">
        <f t="shared" si="5"/>
        <v>0</v>
      </c>
    </row>
    <row r="35" spans="1:29" ht="50.1" customHeight="1" x14ac:dyDescent="0.25">
      <c r="A35" s="1"/>
      <c r="B35" s="1"/>
      <c r="C35" s="15"/>
      <c r="D35" s="41" t="str">
        <f>IF($C35="","",IFERROR(IF(ISNA(VLOOKUP($C35,'Phase GPA'!$C$29:'Phase GPA'!$U$58,10,0)), ,VLOOKUP($C35,'Phase GPA'!$C$29:'Phase GPA'!$U$58,10,0)),0))</f>
        <v/>
      </c>
      <c r="E35" s="42" t="str">
        <f>IF($C35="","",IFERROR(IF(ISNA($D35/S29RECHERCHEV($C35,Données!$C$19:'Données'!$I$48,6,0)), ,$D35/VLOOKUP($C35,Données!$C$19:'Données'!$I$48,6,0)),"/"))</f>
        <v/>
      </c>
      <c r="F35" s="42" t="str">
        <f>IF($C35="","",IFERROR(IF(ISNA($D35/VLOOKUP($C35,Données!$C$19:'Données'!$I$48,7,0)*100), ,$D35/VLOOKUP($C35,Données!$C$19:'Données'!$I$48,7,0)*100),"/"))</f>
        <v/>
      </c>
      <c r="G35" s="41" t="str">
        <f>IF($D35=0,"/",IF($C35="","",IFERROR(IF(ISNA(VLOOKUP($C35,'Phase GPA'!$C$29:'Phase GPA'!$U$58,11,0)), ,VLOOKUP($C35,'Phase GPA'!$C$29:'Phase GPA'!$U$58,11,0)),0)))</f>
        <v/>
      </c>
      <c r="H35" s="43" t="str">
        <f>IF($C35="","",IFERROR(IF(ISNA(VLOOKUP($C35,'Phase GPA'!$C$29:'Phase GPA'!$U$58,12,0)), ,VLOOKUP($C35,'Phase GPA'!$C$29:'Phase GPA'!$U$58,12,0)),0))</f>
        <v/>
      </c>
      <c r="I35" s="44" t="str">
        <f>IF($C35="","",IFERROR(IF(ISNA($H35/VLOOKUP($C35,Données!$C$19:'Données'!$I$48,5,0)), ,$H35/VLOOKUP($C35,Données!$C$19:'Données'!$I$48,5,0))*100,0))</f>
        <v/>
      </c>
      <c r="J35" s="44" t="str">
        <f>IF($C35="","",IFERROR(IF(ISNA($H35/VLOOKUP($C35,Données!$C$19:'Données'!$I$48,6,0)), ,$H35/VLOOKUP($C35,Données!$C$19:'Données'!$I$48,6,0)),"/"))</f>
        <v/>
      </c>
      <c r="K35" s="44" t="str">
        <f>IF($C35="","",IFERROR(IF(ISNA($H35/VLOOKUP($C35,Données!$C$19:'Données'!$I$48,7,0)*100), ,$H35/VLOOKUP($C35,Données!$C$19:'Données'!$I$48,7,0)*100),"/"))</f>
        <v/>
      </c>
      <c r="L35" s="91" t="str">
        <f t="shared" si="0"/>
        <v/>
      </c>
      <c r="M35" s="13"/>
      <c r="N35" s="112"/>
      <c r="O35" s="164"/>
      <c r="P35" s="165"/>
      <c r="Q35" s="1"/>
      <c r="R35" s="1"/>
      <c r="S35" s="54" t="str">
        <f>IF($C35="","",IFERROR(IF(ISNA(VLOOKUP($C35,Données!$C$19:'Données'!$I$48,6,0)), ,VLOOKUP($C35,Données!$C$19:'Données'!$I$48,6,0)),"/"))</f>
        <v/>
      </c>
      <c r="T35" s="54" t="str">
        <f>IF($C35="","",IFERROR(IF(ISNA(VLOOKUP($C35,Données!$C$19:'Données'!$I$48,7,0)), ,VLOOKUP($C35,Données!$C$19:'Données'!$I$48,7,0)),"/"))</f>
        <v/>
      </c>
      <c r="U35" s="54" t="str">
        <f>IF($C35="","",IFERROR(IF(ISNA(VLOOKUP($C35,Données!$C$19:'Données'!$I$48,5,0)), ,VLOOKUP($C35,Données!$C$19:'Données'!$I$48,5,0)),"/"))</f>
        <v/>
      </c>
      <c r="V35" s="54" t="str">
        <f t="shared" si="6"/>
        <v/>
      </c>
      <c r="W35" s="49">
        <f t="shared" si="1"/>
        <v>0</v>
      </c>
      <c r="X35" s="49">
        <f t="shared" si="2"/>
        <v>0</v>
      </c>
      <c r="Y35" s="114" t="s">
        <v>97</v>
      </c>
      <c r="Z35" s="116" t="str">
        <f t="shared" si="3"/>
        <v/>
      </c>
      <c r="AA35" s="49" t="str">
        <f>TEXT('Feuille Saisie'!$B$4,"aaaa")</f>
        <v>2019</v>
      </c>
      <c r="AB35" s="49" t="str">
        <f t="shared" si="4"/>
        <v/>
      </c>
      <c r="AC35" s="49">
        <f t="shared" si="5"/>
        <v>0</v>
      </c>
    </row>
    <row r="36" spans="1:29" ht="50.1" customHeight="1" x14ac:dyDescent="0.25">
      <c r="A36" s="1"/>
      <c r="B36" s="1"/>
      <c r="C36" s="15"/>
      <c r="D36" s="41" t="str">
        <f>IF($C36="","",IFERROR(IF(ISNA(VLOOKUP($C36,'Phase GPA'!$C$29:'Phase GPA'!$U$58,10,0)), ,VLOOKUP($C36,'Phase GPA'!$C$29:'Phase GPA'!$U$58,10,0)),0))</f>
        <v/>
      </c>
      <c r="E36" s="42" t="str">
        <f>IF($C36="","",IFERROR(IF(ISNA($D36/S29RECHERCHEV($C36,Données!$C$19:'Données'!$I$48,6,0)), ,$D36/VLOOKUP($C36,Données!$C$19:'Données'!$I$48,6,0)),"/"))</f>
        <v/>
      </c>
      <c r="F36" s="42" t="str">
        <f>IF($C36="","",IFERROR(IF(ISNA($D36/VLOOKUP($C36,Données!$C$19:'Données'!$I$48,7,0)*100), ,$D36/VLOOKUP($C36,Données!$C$19:'Données'!$I$48,7,0)*100),"/"))</f>
        <v/>
      </c>
      <c r="G36" s="41" t="str">
        <f>IF($D36=0,"/",IF($C36="","",IFERROR(IF(ISNA(VLOOKUP($C36,'Phase GPA'!$C$29:'Phase GPA'!$U$58,11,0)), ,VLOOKUP($C36,'Phase GPA'!$C$29:'Phase GPA'!$U$58,11,0)),0)))</f>
        <v/>
      </c>
      <c r="H36" s="43" t="str">
        <f>IF($C36="","",IFERROR(IF(ISNA(VLOOKUP($C36,'Phase GPA'!$C$29:'Phase GPA'!$U$58,12,0)), ,VLOOKUP($C36,'Phase GPA'!$C$29:'Phase GPA'!$U$58,12,0)),0))</f>
        <v/>
      </c>
      <c r="I36" s="44" t="str">
        <f>IF($C36="","",IFERROR(IF(ISNA($H36/VLOOKUP($C36,Données!$C$19:'Données'!$I$48,5,0)), ,$H36/VLOOKUP($C36,Données!$C$19:'Données'!$I$48,5,0))*100,0))</f>
        <v/>
      </c>
      <c r="J36" s="44" t="str">
        <f>IF($C36="","",IFERROR(IF(ISNA($H36/VLOOKUP($C36,Données!$C$19:'Données'!$I$48,6,0)), ,$H36/VLOOKUP($C36,Données!$C$19:'Données'!$I$48,6,0)),"/"))</f>
        <v/>
      </c>
      <c r="K36" s="44" t="str">
        <f>IF($C36="","",IFERROR(IF(ISNA($H36/VLOOKUP($C36,Données!$C$19:'Données'!$I$48,7,0)*100), ,$H36/VLOOKUP($C36,Données!$C$19:'Données'!$I$48,7,0)*100),"/"))</f>
        <v/>
      </c>
      <c r="L36" s="91" t="str">
        <f t="shared" si="0"/>
        <v/>
      </c>
      <c r="M36" s="13"/>
      <c r="N36" s="112"/>
      <c r="O36" s="164"/>
      <c r="P36" s="165"/>
      <c r="Q36" s="1"/>
      <c r="R36" s="1"/>
      <c r="S36" s="54" t="str">
        <f>IF($C36="","",IFERROR(IF(ISNA(VLOOKUP($C36,Données!$C$19:'Données'!$I$48,6,0)), ,VLOOKUP($C36,Données!$C$19:'Données'!$I$48,6,0)),"/"))</f>
        <v/>
      </c>
      <c r="T36" s="54" t="str">
        <f>IF($C36="","",IFERROR(IF(ISNA(VLOOKUP($C36,Données!$C$19:'Données'!$I$48,7,0)), ,VLOOKUP($C36,Données!$C$19:'Données'!$I$48,7,0)),"/"))</f>
        <v/>
      </c>
      <c r="U36" s="54" t="str">
        <f>IF($C36="","",IFERROR(IF(ISNA(VLOOKUP($C36,Données!$C$19:'Données'!$I$48,5,0)), ,VLOOKUP($C36,Données!$C$19:'Données'!$I$48,5,0)),"/"))</f>
        <v/>
      </c>
      <c r="V36" s="54" t="str">
        <f t="shared" si="6"/>
        <v/>
      </c>
      <c r="W36" s="49">
        <f t="shared" si="1"/>
        <v>0</v>
      </c>
      <c r="X36" s="49">
        <f t="shared" si="2"/>
        <v>0</v>
      </c>
      <c r="Y36" s="114" t="s">
        <v>97</v>
      </c>
      <c r="Z36" s="116" t="str">
        <f t="shared" si="3"/>
        <v/>
      </c>
      <c r="AA36" s="49" t="str">
        <f>TEXT('Feuille Saisie'!$B$4,"aaaa")</f>
        <v>2019</v>
      </c>
      <c r="AB36" s="49" t="str">
        <f t="shared" si="4"/>
        <v/>
      </c>
      <c r="AC36" s="49">
        <f t="shared" si="5"/>
        <v>0</v>
      </c>
    </row>
    <row r="37" spans="1:29" ht="50.1" customHeight="1" x14ac:dyDescent="0.25">
      <c r="A37" s="1"/>
      <c r="B37" s="1"/>
      <c r="C37" s="15"/>
      <c r="D37" s="41" t="str">
        <f>IF($C37="","",IFERROR(IF(ISNA(VLOOKUP($C37,'Phase GPA'!$C$29:'Phase GPA'!$U$58,10,0)), ,VLOOKUP($C37,'Phase GPA'!$C$29:'Phase GPA'!$U$58,10,0)),0))</f>
        <v/>
      </c>
      <c r="E37" s="42" t="str">
        <f>IF($C37="","",IFERROR(IF(ISNA($D37/S29RECHERCHEV($C37,Données!$C$19:'Données'!$I$48,6,0)), ,$D37/VLOOKUP($C37,Données!$C$19:'Données'!$I$48,6,0)),"/"))</f>
        <v/>
      </c>
      <c r="F37" s="42" t="str">
        <f>IF($C37="","",IFERROR(IF(ISNA($D37/VLOOKUP($C37,Données!$C$19:'Données'!$I$48,7,0)*100), ,$D37/VLOOKUP($C37,Données!$C$19:'Données'!$I$48,7,0)*100),"/"))</f>
        <v/>
      </c>
      <c r="G37" s="41" t="str">
        <f>IF($D37=0,"/",IF($C37="","",IFERROR(IF(ISNA(VLOOKUP($C37,'Phase GPA'!$C$29:'Phase GPA'!$U$58,11,0)), ,VLOOKUP($C37,'Phase GPA'!$C$29:'Phase GPA'!$U$58,11,0)),0)))</f>
        <v/>
      </c>
      <c r="H37" s="43" t="str">
        <f>IF($C37="","",IFERROR(IF(ISNA(VLOOKUP($C37,'Phase GPA'!$C$29:'Phase GPA'!$U$58,12,0)), ,VLOOKUP($C37,'Phase GPA'!$C$29:'Phase GPA'!$U$58,12,0)),0))</f>
        <v/>
      </c>
      <c r="I37" s="44" t="str">
        <f>IF($C37="","",IFERROR(IF(ISNA($H37/VLOOKUP($C37,Données!$C$19:'Données'!$I$48,5,0)), ,$H37/VLOOKUP($C37,Données!$C$19:'Données'!$I$48,5,0))*100,0))</f>
        <v/>
      </c>
      <c r="J37" s="44" t="str">
        <f>IF($C37="","",IFERROR(IF(ISNA($H37/VLOOKUP($C37,Données!$C$19:'Données'!$I$48,6,0)), ,$H37/VLOOKUP($C37,Données!$C$19:'Données'!$I$48,6,0)),"/"))</f>
        <v/>
      </c>
      <c r="K37" s="44" t="str">
        <f>IF($C37="","",IFERROR(IF(ISNA($H37/VLOOKUP($C37,Données!$C$19:'Données'!$I$48,7,0)*100), ,$H37/VLOOKUP($C37,Données!$C$19:'Données'!$I$48,7,0)*100),"/"))</f>
        <v/>
      </c>
      <c r="L37" s="91" t="str">
        <f t="shared" si="0"/>
        <v/>
      </c>
      <c r="M37" s="13"/>
      <c r="N37" s="112"/>
      <c r="O37" s="164"/>
      <c r="P37" s="165"/>
      <c r="Q37" s="1"/>
      <c r="R37" s="1"/>
      <c r="S37" s="54" t="str">
        <f>IF($C37="","",IFERROR(IF(ISNA(VLOOKUP($C37,Données!$C$19:'Données'!$I$48,6,0)), ,VLOOKUP($C37,Données!$C$19:'Données'!$I$48,6,0)),"/"))</f>
        <v/>
      </c>
      <c r="T37" s="54" t="str">
        <f>IF($C37="","",IFERROR(IF(ISNA(VLOOKUP($C37,Données!$C$19:'Données'!$I$48,7,0)), ,VLOOKUP($C37,Données!$C$19:'Données'!$I$48,7,0)),"/"))</f>
        <v/>
      </c>
      <c r="U37" s="54" t="str">
        <f>IF($C37="","",IFERROR(IF(ISNA(VLOOKUP($C37,Données!$C$19:'Données'!$I$48,5,0)), ,VLOOKUP($C37,Données!$C$19:'Données'!$I$48,5,0)),"/"))</f>
        <v/>
      </c>
      <c r="V37" s="54" t="str">
        <f t="shared" si="6"/>
        <v/>
      </c>
      <c r="W37" s="49">
        <f t="shared" si="1"/>
        <v>0</v>
      </c>
      <c r="X37" s="49">
        <f t="shared" si="2"/>
        <v>0</v>
      </c>
      <c r="Y37" s="114" t="s">
        <v>97</v>
      </c>
      <c r="Z37" s="116" t="str">
        <f t="shared" si="3"/>
        <v/>
      </c>
      <c r="AA37" s="49" t="str">
        <f>TEXT('Feuille Saisie'!$B$4,"aaaa")</f>
        <v>2019</v>
      </c>
      <c r="AB37" s="49" t="str">
        <f t="shared" si="4"/>
        <v/>
      </c>
      <c r="AC37" s="49">
        <f t="shared" si="5"/>
        <v>0</v>
      </c>
    </row>
    <row r="38" spans="1:29" ht="50.1" customHeight="1" x14ac:dyDescent="0.25">
      <c r="A38" s="1"/>
      <c r="B38" s="1"/>
      <c r="C38" s="15"/>
      <c r="D38" s="41" t="str">
        <f>IF($C38="","",IFERROR(IF(ISNA(VLOOKUP($C38,'Phase GPA'!$C$29:'Phase GPA'!$U$58,10,0)), ,VLOOKUP($C38,'Phase GPA'!$C$29:'Phase GPA'!$U$58,10,0)),0))</f>
        <v/>
      </c>
      <c r="E38" s="42" t="str">
        <f>IF($C38="","",IFERROR(IF(ISNA($D38/S29RECHERCHEV($C38,Données!$C$19:'Données'!$I$48,6,0)), ,$D38/VLOOKUP($C38,Données!$C$19:'Données'!$I$48,6,0)),"/"))</f>
        <v/>
      </c>
      <c r="F38" s="42" t="str">
        <f>IF($C38="","",IFERROR(IF(ISNA($D38/VLOOKUP($C38,Données!$C$19:'Données'!$I$48,7,0)*100), ,$D38/VLOOKUP($C38,Données!$C$19:'Données'!$I$48,7,0)*100),"/"))</f>
        <v/>
      </c>
      <c r="G38" s="41" t="str">
        <f>IF($D38=0,"/",IF($C38="","",IFERROR(IF(ISNA(VLOOKUP($C38,'Phase GPA'!$C$29:'Phase GPA'!$U$58,11,0)), ,VLOOKUP($C38,'Phase GPA'!$C$29:'Phase GPA'!$U$58,11,0)),0)))</f>
        <v/>
      </c>
      <c r="H38" s="43" t="str">
        <f>IF($C38="","",IFERROR(IF(ISNA(VLOOKUP($C38,'Phase GPA'!$C$29:'Phase GPA'!$U$58,12,0)), ,VLOOKUP($C38,'Phase GPA'!$C$29:'Phase GPA'!$U$58,12,0)),0))</f>
        <v/>
      </c>
      <c r="I38" s="44" t="str">
        <f>IF($C38="","",IFERROR(IF(ISNA($H38/VLOOKUP($C38,Données!$C$19:'Données'!$I$48,5,0)), ,$H38/VLOOKUP($C38,Données!$C$19:'Données'!$I$48,5,0))*100,0))</f>
        <v/>
      </c>
      <c r="J38" s="44" t="str">
        <f>IF($C38="","",IFERROR(IF(ISNA($H38/VLOOKUP($C38,Données!$C$19:'Données'!$I$48,6,0)), ,$H38/VLOOKUP($C38,Données!$C$19:'Données'!$I$48,6,0)),"/"))</f>
        <v/>
      </c>
      <c r="K38" s="44" t="str">
        <f>IF($C38="","",IFERROR(IF(ISNA($H38/VLOOKUP($C38,Données!$C$19:'Données'!$I$48,7,0)*100), ,$H38/VLOOKUP($C38,Données!$C$19:'Données'!$I$48,7,0)*100),"/"))</f>
        <v/>
      </c>
      <c r="L38" s="91" t="str">
        <f t="shared" si="0"/>
        <v/>
      </c>
      <c r="M38" s="13"/>
      <c r="N38" s="112"/>
      <c r="O38" s="164"/>
      <c r="P38" s="165"/>
      <c r="Q38" s="1"/>
      <c r="R38" s="1"/>
      <c r="S38" s="54" t="str">
        <f>IF($C38="","",IFERROR(IF(ISNA(VLOOKUP($C38,Données!$C$19:'Données'!$I$48,6,0)), ,VLOOKUP($C38,Données!$C$19:'Données'!$I$48,6,0)),"/"))</f>
        <v/>
      </c>
      <c r="T38" s="54" t="str">
        <f>IF($C38="","",IFERROR(IF(ISNA(VLOOKUP($C38,Données!$C$19:'Données'!$I$48,7,0)), ,VLOOKUP($C38,Données!$C$19:'Données'!$I$48,7,0)),"/"))</f>
        <v/>
      </c>
      <c r="U38" s="54" t="str">
        <f>IF($C38="","",IFERROR(IF(ISNA(VLOOKUP($C38,Données!$C$19:'Données'!$I$48,5,0)), ,VLOOKUP($C38,Données!$C$19:'Données'!$I$48,5,0)),"/"))</f>
        <v/>
      </c>
      <c r="V38" s="54" t="str">
        <f t="shared" si="6"/>
        <v/>
      </c>
      <c r="W38" s="49">
        <f t="shared" si="1"/>
        <v>0</v>
      </c>
      <c r="X38" s="49">
        <f t="shared" si="2"/>
        <v>0</v>
      </c>
      <c r="Y38" s="114" t="s">
        <v>97</v>
      </c>
      <c r="Z38" s="116" t="str">
        <f t="shared" si="3"/>
        <v/>
      </c>
      <c r="AA38" s="49" t="str">
        <f>TEXT('Feuille Saisie'!$B$4,"aaaa")</f>
        <v>2019</v>
      </c>
      <c r="AB38" s="49" t="str">
        <f t="shared" si="4"/>
        <v/>
      </c>
      <c r="AC38" s="49">
        <f t="shared" si="5"/>
        <v>0</v>
      </c>
    </row>
    <row r="39" spans="1:29" ht="50.1" customHeight="1" x14ac:dyDescent="0.25">
      <c r="A39" s="1"/>
      <c r="B39" s="1"/>
      <c r="C39" s="15"/>
      <c r="D39" s="41" t="str">
        <f>IF($C39="","",IFERROR(IF(ISNA(VLOOKUP($C39,'Phase GPA'!$C$29:'Phase GPA'!$U$58,10,0)), ,VLOOKUP($C39,'Phase GPA'!$C$29:'Phase GPA'!$U$58,10,0)),0))</f>
        <v/>
      </c>
      <c r="E39" s="42" t="str">
        <f>IF($C39="","",IFERROR(IF(ISNA($D39/S29RECHERCHEV($C39,Données!$C$19:'Données'!$I$48,6,0)), ,$D39/VLOOKUP($C39,Données!$C$19:'Données'!$I$48,6,0)),"/"))</f>
        <v/>
      </c>
      <c r="F39" s="42" t="str">
        <f>IF($C39="","",IFERROR(IF(ISNA($D39/VLOOKUP($C39,Données!$C$19:'Données'!$I$48,7,0)*100), ,$D39/VLOOKUP($C39,Données!$C$19:'Données'!$I$48,7,0)*100),"/"))</f>
        <v/>
      </c>
      <c r="G39" s="41" t="str">
        <f>IF($D39=0,"/",IF($C39="","",IFERROR(IF(ISNA(VLOOKUP($C39,'Phase GPA'!$C$29:'Phase GPA'!$U$58,11,0)), ,VLOOKUP($C39,'Phase GPA'!$C$29:'Phase GPA'!$U$58,11,0)),0)))</f>
        <v/>
      </c>
      <c r="H39" s="43" t="str">
        <f>IF($C39="","",IFERROR(IF(ISNA(VLOOKUP($C39,'Phase GPA'!$C$29:'Phase GPA'!$U$58,12,0)), ,VLOOKUP($C39,'Phase GPA'!$C$29:'Phase GPA'!$U$58,12,0)),0))</f>
        <v/>
      </c>
      <c r="I39" s="44" t="str">
        <f>IF($C39="","",IFERROR(IF(ISNA($H39/VLOOKUP($C39,Données!$C$19:'Données'!$I$48,5,0)), ,$H39/VLOOKUP($C39,Données!$C$19:'Données'!$I$48,5,0))*100,0))</f>
        <v/>
      </c>
      <c r="J39" s="44" t="str">
        <f>IF($C39="","",IFERROR(IF(ISNA($H39/VLOOKUP($C39,Données!$C$19:'Données'!$I$48,6,0)), ,$H39/VLOOKUP($C39,Données!$C$19:'Données'!$I$48,6,0)),"/"))</f>
        <v/>
      </c>
      <c r="K39" s="44" t="str">
        <f>IF($C39="","",IFERROR(IF(ISNA($H39/VLOOKUP($C39,Données!$C$19:'Données'!$I$48,7,0)*100), ,$H39/VLOOKUP($C39,Données!$C$19:'Données'!$I$48,7,0)*100),"/"))</f>
        <v/>
      </c>
      <c r="L39" s="91" t="str">
        <f t="shared" si="0"/>
        <v/>
      </c>
      <c r="M39" s="13"/>
      <c r="N39" s="112"/>
      <c r="O39" s="164"/>
      <c r="P39" s="165"/>
      <c r="Q39" s="1"/>
      <c r="R39" s="1"/>
      <c r="S39" s="54" t="str">
        <f>IF($C39="","",IFERROR(IF(ISNA(VLOOKUP($C39,Données!$C$19:'Données'!$I$48,6,0)), ,VLOOKUP($C39,Données!$C$19:'Données'!$I$48,6,0)),"/"))</f>
        <v/>
      </c>
      <c r="T39" s="54" t="str">
        <f>IF($C39="","",IFERROR(IF(ISNA(VLOOKUP($C39,Données!$C$19:'Données'!$I$48,7,0)), ,VLOOKUP($C39,Données!$C$19:'Données'!$I$48,7,0)),"/"))</f>
        <v/>
      </c>
      <c r="U39" s="54" t="str">
        <f>IF($C39="","",IFERROR(IF(ISNA(VLOOKUP($C39,Données!$C$19:'Données'!$I$48,5,0)), ,VLOOKUP($C39,Données!$C$19:'Données'!$I$48,5,0)),"/"))</f>
        <v/>
      </c>
      <c r="V39" s="54" t="str">
        <f t="shared" si="6"/>
        <v/>
      </c>
      <c r="W39" s="49">
        <f t="shared" si="1"/>
        <v>0</v>
      </c>
      <c r="X39" s="49">
        <f t="shared" si="2"/>
        <v>0</v>
      </c>
      <c r="Y39" s="114" t="s">
        <v>97</v>
      </c>
      <c r="Z39" s="116" t="str">
        <f t="shared" si="3"/>
        <v/>
      </c>
      <c r="AA39" s="49" t="str">
        <f>TEXT('Feuille Saisie'!$B$4,"aaaa")</f>
        <v>2019</v>
      </c>
      <c r="AB39" s="49" t="str">
        <f t="shared" si="4"/>
        <v/>
      </c>
      <c r="AC39" s="49">
        <f t="shared" si="5"/>
        <v>0</v>
      </c>
    </row>
    <row r="40" spans="1:29" ht="50.1" customHeight="1" x14ac:dyDescent="0.25">
      <c r="A40" s="1"/>
      <c r="B40" s="1"/>
      <c r="C40" s="15"/>
      <c r="D40" s="41" t="str">
        <f>IF($C40="","",IFERROR(IF(ISNA(VLOOKUP($C40,'Phase GPA'!$C$29:'Phase GPA'!$U$58,10,0)), ,VLOOKUP($C40,'Phase GPA'!$C$29:'Phase GPA'!$U$58,10,0)),0))</f>
        <v/>
      </c>
      <c r="E40" s="42" t="str">
        <f>IF($C40="","",IFERROR(IF(ISNA($D40/S29RECHERCHEV($C40,Données!$C$19:'Données'!$I$48,6,0)), ,$D40/VLOOKUP($C40,Données!$C$19:'Données'!$I$48,6,0)),"/"))</f>
        <v/>
      </c>
      <c r="F40" s="42" t="str">
        <f>IF($C40="","",IFERROR(IF(ISNA($D40/VLOOKUP($C40,Données!$C$19:'Données'!$I$48,7,0)*100), ,$D40/VLOOKUP($C40,Données!$C$19:'Données'!$I$48,7,0)*100),"/"))</f>
        <v/>
      </c>
      <c r="G40" s="41" t="str">
        <f>IF($D40=0,"/",IF($C40="","",IFERROR(IF(ISNA(VLOOKUP($C40,'Phase GPA'!$C$29:'Phase GPA'!$U$58,11,0)), ,VLOOKUP($C40,'Phase GPA'!$C$29:'Phase GPA'!$U$58,11,0)),0)))</f>
        <v/>
      </c>
      <c r="H40" s="43" t="str">
        <f>IF($C40="","",IFERROR(IF(ISNA(VLOOKUP($C40,'Phase GPA'!$C$29:'Phase GPA'!$U$58,12,0)), ,VLOOKUP($C40,'Phase GPA'!$C$29:'Phase GPA'!$U$58,12,0)),0))</f>
        <v/>
      </c>
      <c r="I40" s="44" t="str">
        <f>IF($C40="","",IFERROR(IF(ISNA($H40/VLOOKUP($C40,Données!$C$19:'Données'!$I$48,5,0)), ,$H40/VLOOKUP($C40,Données!$C$19:'Données'!$I$48,5,0))*100,0))</f>
        <v/>
      </c>
      <c r="J40" s="44" t="str">
        <f>IF($C40="","",IFERROR(IF(ISNA($H40/VLOOKUP($C40,Données!$C$19:'Données'!$I$48,6,0)), ,$H40/VLOOKUP($C40,Données!$C$19:'Données'!$I$48,6,0)),"/"))</f>
        <v/>
      </c>
      <c r="K40" s="44" t="str">
        <f>IF($C40="","",IFERROR(IF(ISNA($H40/VLOOKUP($C40,Données!$C$19:'Données'!$I$48,7,0)*100), ,$H40/VLOOKUP($C40,Données!$C$19:'Données'!$I$48,7,0)*100),"/"))</f>
        <v/>
      </c>
      <c r="L40" s="91" t="str">
        <f t="shared" si="0"/>
        <v/>
      </c>
      <c r="M40" s="13"/>
      <c r="N40" s="112"/>
      <c r="O40" s="164"/>
      <c r="P40" s="165"/>
      <c r="Q40" s="1"/>
      <c r="R40" s="1"/>
      <c r="S40" s="54" t="str">
        <f>IF($C40="","",IFERROR(IF(ISNA(VLOOKUP($C40,Données!$C$19:'Données'!$I$48,6,0)), ,VLOOKUP($C40,Données!$C$19:'Données'!$I$48,6,0)),"/"))</f>
        <v/>
      </c>
      <c r="T40" s="54" t="str">
        <f>IF($C40="","",IFERROR(IF(ISNA(VLOOKUP($C40,Données!$C$19:'Données'!$I$48,7,0)), ,VLOOKUP($C40,Données!$C$19:'Données'!$I$48,7,0)),"/"))</f>
        <v/>
      </c>
      <c r="U40" s="54" t="str">
        <f>IF($C40="","",IFERROR(IF(ISNA(VLOOKUP($C40,Données!$C$19:'Données'!$I$48,5,0)), ,VLOOKUP($C40,Données!$C$19:'Données'!$I$48,5,0)),"/"))</f>
        <v/>
      </c>
      <c r="V40" s="54" t="str">
        <f t="shared" si="6"/>
        <v/>
      </c>
      <c r="W40" s="49">
        <f t="shared" si="1"/>
        <v>0</v>
      </c>
      <c r="X40" s="49">
        <f t="shared" si="2"/>
        <v>0</v>
      </c>
      <c r="Y40" s="114" t="s">
        <v>97</v>
      </c>
      <c r="Z40" s="116" t="str">
        <f t="shared" si="3"/>
        <v/>
      </c>
      <c r="AA40" s="49" t="str">
        <f>TEXT('Feuille Saisie'!$B$4,"aaaa")</f>
        <v>2019</v>
      </c>
      <c r="AB40" s="49" t="str">
        <f t="shared" si="4"/>
        <v/>
      </c>
      <c r="AC40" s="49">
        <f t="shared" si="5"/>
        <v>0</v>
      </c>
    </row>
    <row r="41" spans="1:29" ht="50.1" customHeight="1" x14ac:dyDescent="0.25">
      <c r="A41" s="1"/>
      <c r="B41" s="1"/>
      <c r="C41" s="15"/>
      <c r="D41" s="41" t="str">
        <f>IF($C41="","",IFERROR(IF(ISNA(VLOOKUP($C41,'Phase GPA'!$C$29:'Phase GPA'!$U$58,10,0)), ,VLOOKUP($C41,'Phase GPA'!$C$29:'Phase GPA'!$U$58,10,0)),0))</f>
        <v/>
      </c>
      <c r="E41" s="42" t="str">
        <f>IF($C41="","",IFERROR(IF(ISNA($D41/S29RECHERCHEV($C41,Données!$C$19:'Données'!$I$48,6,0)), ,$D41/VLOOKUP($C41,Données!$C$19:'Données'!$I$48,6,0)),"/"))</f>
        <v/>
      </c>
      <c r="F41" s="42" t="str">
        <f>IF($C41="","",IFERROR(IF(ISNA($D41/VLOOKUP($C41,Données!$C$19:'Données'!$I$48,7,0)*100), ,$D41/VLOOKUP($C41,Données!$C$19:'Données'!$I$48,7,0)*100),"/"))</f>
        <v/>
      </c>
      <c r="G41" s="41" t="str">
        <f>IF($D41=0,"/",IF($C41="","",IFERROR(IF(ISNA(VLOOKUP($C41,'Phase GPA'!$C$29:'Phase GPA'!$U$58,11,0)), ,VLOOKUP($C41,'Phase GPA'!$C$29:'Phase GPA'!$U$58,11,0)),0)))</f>
        <v/>
      </c>
      <c r="H41" s="43" t="str">
        <f>IF($C41="","",IFERROR(IF(ISNA(VLOOKUP($C41,'Phase GPA'!$C$29:'Phase GPA'!$U$58,12,0)), ,VLOOKUP($C41,'Phase GPA'!$C$29:'Phase GPA'!$U$58,12,0)),0))</f>
        <v/>
      </c>
      <c r="I41" s="44" t="str">
        <f>IF($C41="","",IFERROR(IF(ISNA($H41/VLOOKUP($C41,Données!$C$19:'Données'!$I$48,5,0)), ,$H41/VLOOKUP($C41,Données!$C$19:'Données'!$I$48,5,0))*100,0))</f>
        <v/>
      </c>
      <c r="J41" s="44" t="str">
        <f>IF($C41="","",IFERROR(IF(ISNA($H41/VLOOKUP($C41,Données!$C$19:'Données'!$I$48,6,0)), ,$H41/VLOOKUP($C41,Données!$C$19:'Données'!$I$48,6,0)),"/"))</f>
        <v/>
      </c>
      <c r="K41" s="44" t="str">
        <f>IF($C41="","",IFERROR(IF(ISNA($H41/VLOOKUP($C41,Données!$C$19:'Données'!$I$48,7,0)*100), ,$H41/VLOOKUP($C41,Données!$C$19:'Données'!$I$48,7,0)*100),"/"))</f>
        <v/>
      </c>
      <c r="L41" s="91" t="str">
        <f t="shared" si="0"/>
        <v/>
      </c>
      <c r="M41" s="13"/>
      <c r="N41" s="112"/>
      <c r="O41" s="164"/>
      <c r="P41" s="165"/>
      <c r="Q41" s="1"/>
      <c r="R41" s="1"/>
      <c r="S41" s="54" t="str">
        <f>IF($C41="","",IFERROR(IF(ISNA(VLOOKUP($C41,Données!$C$19:'Données'!$I$48,6,0)), ,VLOOKUP($C41,Données!$C$19:'Données'!$I$48,6,0)),"/"))</f>
        <v/>
      </c>
      <c r="T41" s="54" t="str">
        <f>IF($C41="","",IFERROR(IF(ISNA(VLOOKUP($C41,Données!$C$19:'Données'!$I$48,7,0)), ,VLOOKUP($C41,Données!$C$19:'Données'!$I$48,7,0)),"/"))</f>
        <v/>
      </c>
      <c r="U41" s="54" t="str">
        <f>IF($C41="","",IFERROR(IF(ISNA(VLOOKUP($C41,Données!$C$19:'Données'!$I$48,5,0)), ,VLOOKUP($C41,Données!$C$19:'Données'!$I$48,5,0)),"/"))</f>
        <v/>
      </c>
      <c r="V41" s="54" t="str">
        <f t="shared" si="6"/>
        <v/>
      </c>
      <c r="W41" s="49">
        <f t="shared" si="1"/>
        <v>0</v>
      </c>
      <c r="X41" s="49">
        <f t="shared" si="2"/>
        <v>0</v>
      </c>
      <c r="Y41" s="114" t="s">
        <v>97</v>
      </c>
      <c r="Z41" s="116" t="str">
        <f t="shared" si="3"/>
        <v/>
      </c>
      <c r="AA41" s="49" t="str">
        <f>TEXT('Feuille Saisie'!$B$4,"aaaa")</f>
        <v>2019</v>
      </c>
      <c r="AB41" s="49" t="str">
        <f t="shared" si="4"/>
        <v/>
      </c>
      <c r="AC41" s="49">
        <f t="shared" si="5"/>
        <v>0</v>
      </c>
    </row>
    <row r="42" spans="1:29" ht="50.1" customHeight="1" x14ac:dyDescent="0.25">
      <c r="A42" s="1"/>
      <c r="B42" s="1"/>
      <c r="C42" s="15"/>
      <c r="D42" s="41" t="str">
        <f>IF($C42="","",IFERROR(IF(ISNA(VLOOKUP($C42,'Phase GPA'!$C$29:'Phase GPA'!$U$58,10,0)), ,VLOOKUP($C42,'Phase GPA'!$C$29:'Phase GPA'!$U$58,10,0)),0))</f>
        <v/>
      </c>
      <c r="E42" s="42" t="str">
        <f>IF($C42="","",IFERROR(IF(ISNA($D42/S29RECHERCHEV($C42,Données!$C$19:'Données'!$I$48,6,0)), ,$D42/VLOOKUP($C42,Données!$C$19:'Données'!$I$48,6,0)),"/"))</f>
        <v/>
      </c>
      <c r="F42" s="42" t="str">
        <f>IF($C42="","",IFERROR(IF(ISNA($D42/VLOOKUP($C42,Données!$C$19:'Données'!$I$48,7,0)*100), ,$D42/VLOOKUP($C42,Données!$C$19:'Données'!$I$48,7,0)*100),"/"))</f>
        <v/>
      </c>
      <c r="G42" s="41" t="str">
        <f>IF($D42=0,"/",IF($C42="","",IFERROR(IF(ISNA(VLOOKUP($C42,'Phase GPA'!$C$29:'Phase GPA'!$U$58,11,0)), ,VLOOKUP($C42,'Phase GPA'!$C$29:'Phase GPA'!$U$58,11,0)),0)))</f>
        <v/>
      </c>
      <c r="H42" s="43" t="str">
        <f>IF($C42="","",IFERROR(IF(ISNA(VLOOKUP($C42,'Phase GPA'!$C$29:'Phase GPA'!$U$58,12,0)), ,VLOOKUP($C42,'Phase GPA'!$C$29:'Phase GPA'!$U$58,12,0)),0))</f>
        <v/>
      </c>
      <c r="I42" s="44" t="str">
        <f>IF($C42="","",IFERROR(IF(ISNA($H42/VLOOKUP($C42,Données!$C$19:'Données'!$I$48,5,0)), ,$H42/VLOOKUP($C42,Données!$C$19:'Données'!$I$48,5,0))*100,0))</f>
        <v/>
      </c>
      <c r="J42" s="44" t="str">
        <f>IF($C42="","",IFERROR(IF(ISNA($H42/VLOOKUP($C42,Données!$C$19:'Données'!$I$48,6,0)), ,$H42/VLOOKUP($C42,Données!$C$19:'Données'!$I$48,6,0)),"/"))</f>
        <v/>
      </c>
      <c r="K42" s="44" t="str">
        <f>IF($C42="","",IFERROR(IF(ISNA($H42/VLOOKUP($C42,Données!$C$19:'Données'!$I$48,7,0)*100), ,$H42/VLOOKUP($C42,Données!$C$19:'Données'!$I$48,7,0)*100),"/"))</f>
        <v/>
      </c>
      <c r="L42" s="91" t="str">
        <f t="shared" si="0"/>
        <v/>
      </c>
      <c r="M42" s="13"/>
      <c r="N42" s="112"/>
      <c r="O42" s="164"/>
      <c r="P42" s="165"/>
      <c r="Q42" s="1"/>
      <c r="R42" s="1"/>
      <c r="S42" s="54" t="str">
        <f>IF($C42="","",IFERROR(IF(ISNA(VLOOKUP($C42,Données!$C$19:'Données'!$I$48,6,0)), ,VLOOKUP($C42,Données!$C$19:'Données'!$I$48,6,0)),"/"))</f>
        <v/>
      </c>
      <c r="T42" s="54" t="str">
        <f>IF($C42="","",IFERROR(IF(ISNA(VLOOKUP($C42,Données!$C$19:'Données'!$I$48,7,0)), ,VLOOKUP($C42,Données!$C$19:'Données'!$I$48,7,0)),"/"))</f>
        <v/>
      </c>
      <c r="U42" s="54" t="str">
        <f>IF($C42="","",IFERROR(IF(ISNA(VLOOKUP($C42,Données!$C$19:'Données'!$I$48,5,0)), ,VLOOKUP($C42,Données!$C$19:'Données'!$I$48,5,0)),"/"))</f>
        <v/>
      </c>
      <c r="V42" s="54" t="str">
        <f t="shared" si="6"/>
        <v/>
      </c>
      <c r="W42" s="49">
        <f t="shared" si="1"/>
        <v>0</v>
      </c>
      <c r="X42" s="49">
        <f t="shared" si="2"/>
        <v>0</v>
      </c>
      <c r="Y42" s="114" t="s">
        <v>97</v>
      </c>
      <c r="Z42" s="116" t="str">
        <f t="shared" si="3"/>
        <v/>
      </c>
      <c r="AA42" s="49" t="str">
        <f>TEXT('Feuille Saisie'!$B$4,"aaaa")</f>
        <v>2019</v>
      </c>
      <c r="AB42" s="49" t="str">
        <f t="shared" si="4"/>
        <v/>
      </c>
      <c r="AC42" s="49">
        <f t="shared" si="5"/>
        <v>0</v>
      </c>
    </row>
    <row r="43" spans="1:29" ht="50.1" customHeight="1" x14ac:dyDescent="0.25">
      <c r="A43" s="1"/>
      <c r="B43" s="1"/>
      <c r="C43" s="15"/>
      <c r="D43" s="41" t="str">
        <f>IF($C43="","",IFERROR(IF(ISNA(VLOOKUP($C43,'Phase GPA'!$C$29:'Phase GPA'!$U$58,10,0)), ,VLOOKUP($C43,'Phase GPA'!$C$29:'Phase GPA'!$U$58,10,0)),0))</f>
        <v/>
      </c>
      <c r="E43" s="42" t="str">
        <f>IF($C43="","",IFERROR(IF(ISNA($D43/S29RECHERCHEV($C43,Données!$C$19:'Données'!$I$48,6,0)), ,$D43/VLOOKUP($C43,Données!$C$19:'Données'!$I$48,6,0)),"/"))</f>
        <v/>
      </c>
      <c r="F43" s="42" t="str">
        <f>IF($C43="","",IFERROR(IF(ISNA($D43/VLOOKUP($C43,Données!$C$19:'Données'!$I$48,7,0)*100), ,$D43/VLOOKUP($C43,Données!$C$19:'Données'!$I$48,7,0)*100),"/"))</f>
        <v/>
      </c>
      <c r="G43" s="41" t="str">
        <f>IF($D43=0,"/",IF($C43="","",IFERROR(IF(ISNA(VLOOKUP($C43,'Phase GPA'!$C$29:'Phase GPA'!$U$58,11,0)), ,VLOOKUP($C43,'Phase GPA'!$C$29:'Phase GPA'!$U$58,11,0)),0)))</f>
        <v/>
      </c>
      <c r="H43" s="43" t="str">
        <f>IF($C43="","",IFERROR(IF(ISNA(VLOOKUP($C43,'Phase GPA'!$C$29:'Phase GPA'!$U$58,12,0)), ,VLOOKUP($C43,'Phase GPA'!$C$29:'Phase GPA'!$U$58,12,0)),0))</f>
        <v/>
      </c>
      <c r="I43" s="44" t="str">
        <f>IF($C43="","",IFERROR(IF(ISNA($H43/VLOOKUP($C43,Données!$C$19:'Données'!$I$48,5,0)), ,$H43/VLOOKUP($C43,Données!$C$19:'Données'!$I$48,5,0))*100,0))</f>
        <v/>
      </c>
      <c r="J43" s="44" t="str">
        <f>IF($C43="","",IFERROR(IF(ISNA($H43/VLOOKUP($C43,Données!$C$19:'Données'!$I$48,6,0)), ,$H43/VLOOKUP($C43,Données!$C$19:'Données'!$I$48,6,0)),"/"))</f>
        <v/>
      </c>
      <c r="K43" s="44" t="str">
        <f>IF($C43="","",IFERROR(IF(ISNA($H43/VLOOKUP($C43,Données!$C$19:'Données'!$I$48,7,0)*100), ,$H43/VLOOKUP($C43,Données!$C$19:'Données'!$I$48,7,0)*100),"/"))</f>
        <v/>
      </c>
      <c r="L43" s="91" t="str">
        <f t="shared" si="0"/>
        <v/>
      </c>
      <c r="M43" s="13"/>
      <c r="N43" s="112"/>
      <c r="O43" s="164"/>
      <c r="P43" s="165"/>
      <c r="Q43" s="1"/>
      <c r="R43" s="1"/>
      <c r="S43" s="54" t="str">
        <f>IF($C43="","",IFERROR(IF(ISNA(VLOOKUP($C43,Données!$C$19:'Données'!$I$48,6,0)), ,VLOOKUP($C43,Données!$C$19:'Données'!$I$48,6,0)),"/"))</f>
        <v/>
      </c>
      <c r="T43" s="54" t="str">
        <f>IF($C43="","",IFERROR(IF(ISNA(VLOOKUP($C43,Données!$C$19:'Données'!$I$48,7,0)), ,VLOOKUP($C43,Données!$C$19:'Données'!$I$48,7,0)),"/"))</f>
        <v/>
      </c>
      <c r="U43" s="54" t="str">
        <f>IF($C43="","",IFERROR(IF(ISNA(VLOOKUP($C43,Données!$C$19:'Données'!$I$48,5,0)), ,VLOOKUP($C43,Données!$C$19:'Données'!$I$48,5,0)),"/"))</f>
        <v/>
      </c>
      <c r="V43" s="54" t="str">
        <f t="shared" si="6"/>
        <v/>
      </c>
      <c r="W43" s="49">
        <f t="shared" si="1"/>
        <v>0</v>
      </c>
      <c r="X43" s="49">
        <f t="shared" si="2"/>
        <v>0</v>
      </c>
      <c r="Y43" s="114" t="s">
        <v>97</v>
      </c>
      <c r="Z43" s="116" t="str">
        <f t="shared" si="3"/>
        <v/>
      </c>
      <c r="AA43" s="49" t="str">
        <f>TEXT('Feuille Saisie'!$B$4,"aaaa")</f>
        <v>2019</v>
      </c>
      <c r="AB43" s="49" t="str">
        <f t="shared" si="4"/>
        <v/>
      </c>
      <c r="AC43" s="49">
        <f t="shared" si="5"/>
        <v>0</v>
      </c>
    </row>
    <row r="44" spans="1:29" ht="50.1" customHeight="1" x14ac:dyDescent="0.25">
      <c r="A44" s="1"/>
      <c r="B44" s="1"/>
      <c r="C44" s="56" t="s">
        <v>50</v>
      </c>
      <c r="D44" s="57">
        <f>SUM(D29:D43)</f>
        <v>0</v>
      </c>
      <c r="E44" s="58" t="str">
        <f>IF(S44=0,"/",D44/S44)</f>
        <v>/</v>
      </c>
      <c r="F44" s="58" t="str">
        <f>IF(T44=0,"/",D44/T44*100)</f>
        <v>/</v>
      </c>
      <c r="G44" s="57" t="str">
        <f>IFERROR(V44/D44,"/")</f>
        <v>/</v>
      </c>
      <c r="H44" s="59">
        <f>SUM(H29:H43)</f>
        <v>0</v>
      </c>
      <c r="I44" s="61" t="str">
        <f>IFERROR(H44/U44*100,"/")</f>
        <v>/</v>
      </c>
      <c r="J44" s="61" t="str">
        <f>IF(S44=0,"/",H44/S44)</f>
        <v>/</v>
      </c>
      <c r="K44" s="58" t="str">
        <f>IF(T44=0,"/",H44/T44*100)</f>
        <v>/</v>
      </c>
      <c r="L44" s="92">
        <f>IFERROR(H44/D44,0)</f>
        <v>0</v>
      </c>
      <c r="M44" s="63"/>
      <c r="N44" s="113"/>
      <c r="O44" s="164"/>
      <c r="P44" s="165"/>
      <c r="Q44" s="1"/>
      <c r="R44" s="1"/>
      <c r="S44" s="69">
        <f t="shared" ref="S44:X44" si="7">SUM(S29:S43)</f>
        <v>0</v>
      </c>
      <c r="T44" s="69">
        <f t="shared" si="7"/>
        <v>0</v>
      </c>
      <c r="U44" s="69">
        <f t="shared" si="7"/>
        <v>0</v>
      </c>
      <c r="V44" s="49">
        <f t="shared" si="7"/>
        <v>0</v>
      </c>
      <c r="W44" s="69">
        <f t="shared" si="7"/>
        <v>0</v>
      </c>
      <c r="X44" s="69">
        <f t="shared" si="7"/>
        <v>0</v>
      </c>
      <c r="Y44" s="67"/>
      <c r="Z44" s="67"/>
      <c r="AA44" s="49"/>
      <c r="AB44" s="49"/>
      <c r="AC44" s="49">
        <f>SUM(AC29:AC43)</f>
        <v>0</v>
      </c>
    </row>
    <row r="45" spans="1:29" ht="15" customHeight="1" x14ac:dyDescent="0.25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4"/>
      <c r="Q45" s="1"/>
      <c r="R45" s="1"/>
    </row>
    <row r="46" spans="1:29" ht="15" customHeight="1" x14ac:dyDescent="0.25">
      <c r="A46" s="1"/>
      <c r="B46" s="1"/>
      <c r="C46" s="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30"/>
      <c r="Q46" s="1"/>
      <c r="R46" s="1"/>
    </row>
    <row r="47" spans="1:29" ht="15" customHeight="1" x14ac:dyDescent="0.25">
      <c r="A47" s="1"/>
      <c r="B47" s="1"/>
      <c r="C47" s="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9"/>
      <c r="Q47" s="1"/>
      <c r="R47" s="1"/>
    </row>
    <row r="48" spans="1:29" ht="15" customHeight="1" x14ac:dyDescent="0.25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9"/>
      <c r="Q48" s="1"/>
      <c r="R48" s="1"/>
    </row>
    <row r="49" spans="1:19" ht="15" customHeight="1" x14ac:dyDescent="0.25">
      <c r="A49" s="1"/>
      <c r="B49" s="1"/>
      <c r="C49" s="6"/>
      <c r="D49" s="6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9"/>
      <c r="Q49" s="1"/>
      <c r="R49" s="1"/>
    </row>
    <row r="50" spans="1:19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/>
      <c r="B51" s="1"/>
      <c r="C51" s="138" t="str">
        <f ca="1">Données!$C$55</f>
        <v>CR Point bimestriel PA Version 22.7 XXL MOD VDE</v>
      </c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"/>
      <c r="S51" s="1"/>
    </row>
    <row r="53" spans="1:19" ht="5.0999999999999996" customHeight="1" x14ac:dyDescent="0.25"/>
  </sheetData>
  <sheetProtection algorithmName="SHA-512" hashValue="X1w9MMY5EnwT8Rs5z9+mo24HUPe4Wf3EGNI8XP+N204Yo+yOeKc8zhH4yJDXsUPzQMiqOtRaxremYb63jRRzTQ==" saltValue="IWYs6Df3D2suJ8sU3upJHg==" spinCount="100000" sheet="1" objects="1" scenarios="1"/>
  <protectedRanges>
    <protectedRange sqref="M29:M43" name="Plage2"/>
    <protectedRange sqref="C29:C43" name="Plage1"/>
    <protectedRange sqref="O29:P44" name="Plage3"/>
  </protectedRanges>
  <mergeCells count="30">
    <mergeCell ref="C51:Q51"/>
    <mergeCell ref="I25:I28"/>
    <mergeCell ref="J25:J28"/>
    <mergeCell ref="K25:K28"/>
    <mergeCell ref="L25:L28"/>
    <mergeCell ref="M25:M28"/>
    <mergeCell ref="N25:N28"/>
    <mergeCell ref="H25:H28"/>
    <mergeCell ref="C25:C28"/>
    <mergeCell ref="D25:D28"/>
    <mergeCell ref="E25:E28"/>
    <mergeCell ref="F25:F28"/>
    <mergeCell ref="G25:G28"/>
    <mergeCell ref="O25:P28"/>
    <mergeCell ref="O29:P29"/>
    <mergeCell ref="O30:P30"/>
    <mergeCell ref="O31:P31"/>
    <mergeCell ref="O32:P32"/>
    <mergeCell ref="O33:P33"/>
    <mergeCell ref="O34:P34"/>
    <mergeCell ref="O35:P35"/>
    <mergeCell ref="O41:P41"/>
    <mergeCell ref="O42:P42"/>
    <mergeCell ref="O43:P43"/>
    <mergeCell ref="O44:P44"/>
    <mergeCell ref="O36:P36"/>
    <mergeCell ref="O37:P37"/>
    <mergeCell ref="O38:P38"/>
    <mergeCell ref="O39:P39"/>
    <mergeCell ref="O40:P40"/>
  </mergeCells>
  <conditionalFormatting sqref="E29">
    <cfRule type="cellIs" dxfId="94" priority="31" operator="lessThanOrEqual">
      <formula>1</formula>
    </cfRule>
    <cfRule type="containsText" dxfId="93" priority="33" operator="containsText" text="/">
      <formula>NOT(ISERROR(SEARCH("/",E29)))</formula>
    </cfRule>
    <cfRule type="cellIs" dxfId="92" priority="34" operator="greaterThan">
      <formula>1</formula>
    </cfRule>
  </conditionalFormatting>
  <conditionalFormatting sqref="E44">
    <cfRule type="cellIs" dxfId="91" priority="26" operator="lessThanOrEqual">
      <formula>1</formula>
    </cfRule>
    <cfRule type="containsText" dxfId="90" priority="28" operator="containsText" text="/">
      <formula>NOT(ISERROR(SEARCH("/",E44)))</formula>
    </cfRule>
    <cfRule type="cellIs" dxfId="89" priority="29" operator="greaterThan">
      <formula>1</formula>
    </cfRule>
  </conditionalFormatting>
  <conditionalFormatting sqref="G29 G44">
    <cfRule type="containsText" dxfId="88" priority="22" operator="containsText" text="/">
      <formula>NOT(ISERROR(SEARCH("/",G29)))</formula>
    </cfRule>
    <cfRule type="cellIs" dxfId="87" priority="23" operator="lessThanOrEqual">
      <formula>15</formula>
    </cfRule>
    <cfRule type="cellIs" dxfId="86" priority="24" operator="greaterThan">
      <formula>15</formula>
    </cfRule>
  </conditionalFormatting>
  <conditionalFormatting sqref="E30:E43">
    <cfRule type="cellIs" dxfId="85" priority="4" operator="lessThanOrEqual">
      <formula>1</formula>
    </cfRule>
    <cfRule type="containsText" dxfId="84" priority="5" operator="containsText" text="/">
      <formula>NOT(ISERROR(SEARCH("/",E30)))</formula>
    </cfRule>
    <cfRule type="cellIs" dxfId="83" priority="6" operator="greaterThan">
      <formula>1</formula>
    </cfRule>
  </conditionalFormatting>
  <conditionalFormatting sqref="G30:G43">
    <cfRule type="containsText" dxfId="82" priority="1" operator="containsText" text="/">
      <formula>NOT(ISERROR(SEARCH("/",G30)))</formula>
    </cfRule>
    <cfRule type="cellIs" dxfId="81" priority="2" operator="lessThanOrEqual">
      <formula>15</formula>
    </cfRule>
    <cfRule type="cellIs" dxfId="80" priority="3" operator="greaterThan">
      <formula>15</formula>
    </cfRule>
  </conditionalFormatting>
  <dataValidations count="1">
    <dataValidation type="list" allowBlank="1" showInputMessage="1" showErrorMessage="1" sqref="C4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6" orientation="landscape" r:id="rId1"/>
  <headerFoot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OFFSET('Phase GPA'!$EE$29:$EE$58,0,0,COUNTA('Phase GPA'!$EE$29:$EE$58),1)</xm:f>
          </x14:formula1>
          <xm:sqref>C29:C43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T42"/>
  <sheetViews>
    <sheetView showGridLines="0" zoomScaleNormal="100" workbookViewId="0"/>
  </sheetViews>
  <sheetFormatPr baseColWidth="10" defaultRowHeight="15" x14ac:dyDescent="0.25"/>
  <cols>
    <col min="1" max="2" width="0.85546875" customWidth="1"/>
    <col min="3" max="4" width="15.7109375" customWidth="1"/>
    <col min="5" max="5" width="55.7109375" customWidth="1"/>
    <col min="6" max="6" width="90.7109375" customWidth="1"/>
    <col min="7" max="7" width="106.7109375" customWidth="1"/>
    <col min="8" max="8" width="30.7109375" customWidth="1"/>
    <col min="9" max="10" width="15.7109375" customWidth="1"/>
    <col min="11" max="12" width="0.85546875" customWidth="1"/>
  </cols>
  <sheetData>
    <row r="1" spans="1:20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0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</row>
    <row r="3" spans="1:20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</row>
    <row r="4" spans="1:20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</row>
    <row r="5" spans="1:20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</row>
    <row r="6" spans="1:20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</row>
    <row r="7" spans="1:20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</row>
    <row r="8" spans="1:20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</row>
    <row r="9" spans="1:20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20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</row>
    <row r="12" spans="1:20" x14ac:dyDescent="0.25">
      <c r="C12" s="171" t="s">
        <v>11</v>
      </c>
      <c r="D12" s="171" t="s">
        <v>3</v>
      </c>
      <c r="E12" s="168" t="s">
        <v>0</v>
      </c>
      <c r="F12" s="171" t="s">
        <v>8</v>
      </c>
      <c r="G12" s="171" t="s">
        <v>9</v>
      </c>
      <c r="H12" s="168" t="s">
        <v>10</v>
      </c>
      <c r="I12" s="168" t="s">
        <v>4</v>
      </c>
      <c r="J12" s="168" t="s">
        <v>37</v>
      </c>
    </row>
    <row r="13" spans="1:20" x14ac:dyDescent="0.25">
      <c r="C13" s="172"/>
      <c r="D13" s="172"/>
      <c r="E13" s="169"/>
      <c r="F13" s="172"/>
      <c r="G13" s="172"/>
      <c r="H13" s="169"/>
      <c r="I13" s="169"/>
      <c r="J13" s="169"/>
    </row>
    <row r="14" spans="1:20" x14ac:dyDescent="0.25">
      <c r="C14" s="172"/>
      <c r="D14" s="172"/>
      <c r="E14" s="169"/>
      <c r="F14" s="172"/>
      <c r="G14" s="172"/>
      <c r="H14" s="169"/>
      <c r="I14" s="169"/>
      <c r="J14" s="169"/>
    </row>
    <row r="15" spans="1:20" x14ac:dyDescent="0.25">
      <c r="C15" s="175"/>
      <c r="D15" s="175"/>
      <c r="E15" s="174"/>
      <c r="F15" s="173"/>
      <c r="G15" s="173"/>
      <c r="H15" s="174"/>
      <c r="I15" s="174"/>
      <c r="J15" s="170"/>
    </row>
    <row r="16" spans="1:20" ht="50.1" customHeight="1" x14ac:dyDescent="0.25">
      <c r="C16" s="34" t="str">
        <f>IF($E16&lt;&gt;"",'Feuille Saisie'!$B$3,"")</f>
        <v/>
      </c>
      <c r="D16" s="35"/>
      <c r="E16" s="34"/>
      <c r="F16" s="52"/>
      <c r="G16" s="52"/>
      <c r="H16" s="34"/>
      <c r="I16" s="34"/>
      <c r="J16" s="34"/>
      <c r="N16" s="121" t="str">
        <f>IF($E16="","",IFERROR(IF(ISNA(VLOOKUP($E16,'Bilan final GPA HN'!$C$29:'Bilan final GPA HN'!$X$38,22,0)), ,VLOOKUP($E16,'Bilan final GPA HN'!$C$29:'Bilan final GPA HN'!$X$38,22,0)),"/"))</f>
        <v/>
      </c>
      <c r="O16" s="121" t="str">
        <f>IF($E16="","",IFERROR(IF(ISNA(VLOOKUP($E16,'Bilan final GPA HR'!$C$29:'Bilan final GPA HR'!$X$38,22,0)), ,VLOOKUP($E16,'Bilan final GPA HR'!$C$29:'Bilan final GPA HR'!$X$38,22,0)),"/"))</f>
        <v/>
      </c>
      <c r="P16" s="121" t="str">
        <f>IF($E16="","",IFERROR(IF(ISNA(VLOOKUP($E16,'Bilan final GPA OF'!$C$29:'Bilan final GPA OF'!$X$38,22,0)), ,VLOOKUP($E16,'Bilan final GPA OF'!$C$29:'Bilan final GPA OF'!$X$38,22,0)),"/"))</f>
        <v/>
      </c>
      <c r="Q16" s="121" t="str">
        <f>IF($E16="","",IFERROR(IF(ISNA(VLOOKUP($E16,'Bilan final GPA IE'!$C$29:'Bilan final GPA IE'!$X$38,22,0)), ,VLOOKUP($E16,'Bilan final GPA IE'!$C$29:'Bilan final GPA IE'!$X$38,22,0)),"/"))</f>
        <v/>
      </c>
      <c r="R16" s="122">
        <f>SUM(N16:Q16)</f>
        <v>0</v>
      </c>
      <c r="S16" s="123" t="s">
        <v>97</v>
      </c>
      <c r="T16" s="123" t="str">
        <f>IF($R16=1,"µ","")</f>
        <v/>
      </c>
    </row>
    <row r="17" spans="3:20" ht="50.1" customHeight="1" x14ac:dyDescent="0.25">
      <c r="C17" s="34" t="str">
        <f>IF($E17&lt;&gt;"",'Feuille Saisie'!$B$3,"")</f>
        <v/>
      </c>
      <c r="D17" s="35"/>
      <c r="E17" s="34"/>
      <c r="F17" s="52"/>
      <c r="G17" s="51"/>
      <c r="H17" s="34"/>
      <c r="I17" s="34"/>
      <c r="J17" s="34"/>
      <c r="N17" s="54" t="str">
        <f>IF($E17="","",IFERROR(IF(ISNA(VLOOKUP($E17,'Bilan final GPA HN'!$C$29:'Bilan final GPA HN'!$X$38,22,0)), ,VLOOKUP($E17,'Bilan final GPA HN'!$C$29:'Bilan final GPA HN'!$X$38,22,0)),"/"))</f>
        <v/>
      </c>
      <c r="O17" s="54" t="str">
        <f>IF($E17="","",IFERROR(IF(ISNA(VLOOKUP($E17,'Bilan final GPA HR'!$C$29:'Bilan final GPA HR'!$X$38,22,0)), ,VLOOKUP($E17,'Bilan final GPA HR'!$C$29:'Bilan final GPA HR'!$X$38,22,0)),"/"))</f>
        <v/>
      </c>
      <c r="P17" s="54" t="str">
        <f>IF($E17="","",IFERROR(IF(ISNA(VLOOKUP($E17,'Bilan final GPA OF'!$C$29:'Bilan final GPA OF'!$X$38,22,0)), ,VLOOKUP($E17,'Bilan final GPA OF'!$C$29:'Bilan final GPA OF'!$X$38,22,0)),"/"))</f>
        <v/>
      </c>
      <c r="Q17" s="54" t="str">
        <f>IF($E17="","",IFERROR(IF(ISNA(VLOOKUP($E17,'Bilan final GPA IE'!$C$29:'Bilan final GPA IE'!$X$38,22,0)), ,VLOOKUP($E17,'Bilan final GPA IE'!$C$29:'Bilan final GPA IE'!$X$38,22,0)),"/"))</f>
        <v/>
      </c>
      <c r="R17" s="115">
        <f t="shared" ref="R17:R36" si="0">SUM(N17:Q17)</f>
        <v>0</v>
      </c>
      <c r="S17" s="116" t="s">
        <v>97</v>
      </c>
      <c r="T17" s="116" t="str">
        <f t="shared" ref="T17:T36" si="1">IF($R17=1,"µ","")</f>
        <v/>
      </c>
    </row>
    <row r="18" spans="3:20" ht="50.1" customHeight="1" x14ac:dyDescent="0.25">
      <c r="C18" s="34" t="str">
        <f>IF($E18&lt;&gt;"",'Feuille Saisie'!$B$3,"")</f>
        <v/>
      </c>
      <c r="D18" s="35"/>
      <c r="E18" s="34"/>
      <c r="F18" s="52"/>
      <c r="G18" s="51"/>
      <c r="H18" s="34"/>
      <c r="I18" s="34"/>
      <c r="J18" s="34"/>
      <c r="N18" s="54" t="str">
        <f>IF($E18="","",IFERROR(IF(ISNA(VLOOKUP($E18,'Bilan final GPA HN'!$C$29:'Bilan final GPA HN'!$X$38,22,0)), ,VLOOKUP($E18,'Bilan final GPA HN'!$C$29:'Bilan final GPA HN'!$X$38,22,0)),"/"))</f>
        <v/>
      </c>
      <c r="O18" s="54" t="str">
        <f>IF($E18="","",IFERROR(IF(ISNA(VLOOKUP($E18,'Bilan final GPA HR'!$C$29:'Bilan final GPA HR'!$X$38,22,0)), ,VLOOKUP($E18,'Bilan final GPA HR'!$C$29:'Bilan final GPA HR'!$X$38,22,0)),"/"))</f>
        <v/>
      </c>
      <c r="P18" s="54" t="str">
        <f>IF($E18="","",IFERROR(IF(ISNA(VLOOKUP($E18,'Bilan final GPA OF'!$C$29:'Bilan final GPA OF'!$X$38,22,0)), ,VLOOKUP($E18,'Bilan final GPA OF'!$C$29:'Bilan final GPA OF'!$X$38,22,0)),"/"))</f>
        <v/>
      </c>
      <c r="Q18" s="54" t="str">
        <f>IF($E18="","",IFERROR(IF(ISNA(VLOOKUP($E18,'Bilan final GPA IE'!$C$29:'Bilan final GPA IE'!$X$38,22,0)), ,VLOOKUP($E18,'Bilan final GPA IE'!$C$29:'Bilan final GPA IE'!$X$38,22,0)),"/"))</f>
        <v/>
      </c>
      <c r="R18" s="115">
        <f t="shared" si="0"/>
        <v>0</v>
      </c>
      <c r="S18" s="116" t="s">
        <v>97</v>
      </c>
      <c r="T18" s="116" t="str">
        <f t="shared" si="1"/>
        <v/>
      </c>
    </row>
    <row r="19" spans="3:20" ht="50.1" customHeight="1" x14ac:dyDescent="0.25">
      <c r="C19" s="34" t="str">
        <f>IF($E19&lt;&gt;"",'Feuille Saisie'!$B$3,"")</f>
        <v/>
      </c>
      <c r="D19" s="35"/>
      <c r="E19" s="34"/>
      <c r="F19" s="52"/>
      <c r="G19" s="52"/>
      <c r="H19" s="34"/>
      <c r="I19" s="34"/>
      <c r="J19" s="34"/>
      <c r="N19" s="54" t="str">
        <f>IF($E19="","",IFERROR(IF(ISNA(VLOOKUP($E19,'Bilan final GPA HN'!$C$29:'Bilan final GPA HN'!$X$38,22,0)), ,VLOOKUP($E19,'Bilan final GPA HN'!$C$29:'Bilan final GPA HN'!$X$38,22,0)),"/"))</f>
        <v/>
      </c>
      <c r="O19" s="54" t="str">
        <f>IF($E19="","",IFERROR(IF(ISNA(VLOOKUP($E19,'Bilan final GPA HR'!$C$29:'Bilan final GPA HR'!$X$38,22,0)), ,VLOOKUP($E19,'Bilan final GPA HR'!$C$29:'Bilan final GPA HR'!$X$38,22,0)),"/"))</f>
        <v/>
      </c>
      <c r="P19" s="54" t="str">
        <f>IF($E19="","",IFERROR(IF(ISNA(VLOOKUP($E19,'Bilan final GPA OF'!$C$29:'Bilan final GPA OF'!$X$38,22,0)), ,VLOOKUP($E19,'Bilan final GPA OF'!$C$29:'Bilan final GPA OF'!$X$38,22,0)),"/"))</f>
        <v/>
      </c>
      <c r="Q19" s="54" t="str">
        <f>IF($E19="","",IFERROR(IF(ISNA(VLOOKUP($E19,'Bilan final GPA IE'!$C$29:'Bilan final GPA IE'!$X$38,22,0)), ,VLOOKUP($E19,'Bilan final GPA IE'!$C$29:'Bilan final GPA IE'!$X$38,22,0)),"/"))</f>
        <v/>
      </c>
      <c r="R19" s="115">
        <f t="shared" si="0"/>
        <v>0</v>
      </c>
      <c r="S19" s="116" t="s">
        <v>97</v>
      </c>
      <c r="T19" s="116" t="str">
        <f t="shared" si="1"/>
        <v/>
      </c>
    </row>
    <row r="20" spans="3:20" ht="50.1" customHeight="1" x14ac:dyDescent="0.25">
      <c r="C20" s="34" t="str">
        <f>IF($E20&lt;&gt;"",'Feuille Saisie'!$B$3,"")</f>
        <v/>
      </c>
      <c r="D20" s="35"/>
      <c r="E20" s="34"/>
      <c r="F20" s="52"/>
      <c r="G20" s="52"/>
      <c r="H20" s="34"/>
      <c r="I20" s="34"/>
      <c r="J20" s="34"/>
      <c r="N20" s="54" t="str">
        <f>IF($E20="","",IFERROR(IF(ISNA(VLOOKUP($E20,'Bilan final GPA HN'!$C$29:'Bilan final GPA HN'!$X$38,22,0)), ,VLOOKUP($E20,'Bilan final GPA HN'!$C$29:'Bilan final GPA HN'!$X$38,22,0)),"/"))</f>
        <v/>
      </c>
      <c r="O20" s="54" t="str">
        <f>IF($E20="","",IFERROR(IF(ISNA(VLOOKUP($E20,'Bilan final GPA HR'!$C$29:'Bilan final GPA HR'!$X$38,22,0)), ,VLOOKUP($E20,'Bilan final GPA HR'!$C$29:'Bilan final GPA HR'!$X$38,22,0)),"/"))</f>
        <v/>
      </c>
      <c r="P20" s="54" t="str">
        <f>IF($E20="","",IFERROR(IF(ISNA(VLOOKUP($E20,'Bilan final GPA OF'!$C$29:'Bilan final GPA OF'!$X$38,22,0)), ,VLOOKUP($E20,'Bilan final GPA OF'!$C$29:'Bilan final GPA OF'!$X$38,22,0)),"/"))</f>
        <v/>
      </c>
      <c r="Q20" s="54" t="str">
        <f>IF($E20="","",IFERROR(IF(ISNA(VLOOKUP($E20,'Bilan final GPA IE'!$C$29:'Bilan final GPA IE'!$X$38,22,0)), ,VLOOKUP($E20,'Bilan final GPA IE'!$C$29:'Bilan final GPA IE'!$X$38,22,0)),"/"))</f>
        <v/>
      </c>
      <c r="R20" s="115">
        <f t="shared" si="0"/>
        <v>0</v>
      </c>
      <c r="S20" s="116" t="s">
        <v>97</v>
      </c>
      <c r="T20" s="116" t="str">
        <f t="shared" si="1"/>
        <v/>
      </c>
    </row>
    <row r="21" spans="3:20" ht="50.1" customHeight="1" x14ac:dyDescent="0.25">
      <c r="C21" s="34" t="str">
        <f>IF($E21&lt;&gt;"",'Feuille Saisie'!$B$3,"")</f>
        <v/>
      </c>
      <c r="D21" s="35"/>
      <c r="E21" s="34"/>
      <c r="F21" s="52"/>
      <c r="G21" s="52"/>
      <c r="H21" s="34"/>
      <c r="I21" s="34"/>
      <c r="J21" s="34"/>
      <c r="N21" s="54" t="str">
        <f>IF($E21="","",IFERROR(IF(ISNA(VLOOKUP($E21,'Bilan final GPA HN'!$C$29:'Bilan final GPA HN'!$X$38,22,0)), ,VLOOKUP($E21,'Bilan final GPA HN'!$C$29:'Bilan final GPA HN'!$X$38,22,0)),"/"))</f>
        <v/>
      </c>
      <c r="O21" s="54" t="str">
        <f>IF($E21="","",IFERROR(IF(ISNA(VLOOKUP($E21,'Bilan final GPA HR'!$C$29:'Bilan final GPA HR'!$X$38,22,0)), ,VLOOKUP($E21,'Bilan final GPA HR'!$C$29:'Bilan final GPA HR'!$X$38,22,0)),"/"))</f>
        <v/>
      </c>
      <c r="P21" s="54" t="str">
        <f>IF($E21="","",IFERROR(IF(ISNA(VLOOKUP($E21,'Bilan final GPA OF'!$C$29:'Bilan final GPA OF'!$X$38,22,0)), ,VLOOKUP($E21,'Bilan final GPA OF'!$C$29:'Bilan final GPA OF'!$X$38,22,0)),"/"))</f>
        <v/>
      </c>
      <c r="Q21" s="54" t="str">
        <f>IF($E21="","",IFERROR(IF(ISNA(VLOOKUP($E21,'Bilan final GPA IE'!$C$29:'Bilan final GPA IE'!$X$38,22,0)), ,VLOOKUP($E21,'Bilan final GPA IE'!$C$29:'Bilan final GPA IE'!$X$38,22,0)),"/"))</f>
        <v/>
      </c>
      <c r="R21" s="115">
        <f t="shared" si="0"/>
        <v>0</v>
      </c>
      <c r="S21" s="116" t="s">
        <v>97</v>
      </c>
      <c r="T21" s="116" t="str">
        <f t="shared" si="1"/>
        <v/>
      </c>
    </row>
    <row r="22" spans="3:20" ht="50.1" customHeight="1" x14ac:dyDescent="0.25">
      <c r="C22" s="34" t="str">
        <f>IF($E22&lt;&gt;"",'Feuille Saisie'!$B$3,"")</f>
        <v/>
      </c>
      <c r="D22" s="35"/>
      <c r="E22" s="34"/>
      <c r="F22" s="52"/>
      <c r="G22" s="51"/>
      <c r="H22" s="34"/>
      <c r="I22" s="34"/>
      <c r="J22" s="34"/>
      <c r="N22" s="54" t="str">
        <f>IF($E22="","",IFERROR(IF(ISNA(VLOOKUP($E22,'Bilan final GPA HN'!$C$29:'Bilan final GPA HN'!$X$38,22,0)), ,VLOOKUP($E22,'Bilan final GPA HN'!$C$29:'Bilan final GPA HN'!$X$38,22,0)),"/"))</f>
        <v/>
      </c>
      <c r="O22" s="54" t="str">
        <f>IF($E22="","",IFERROR(IF(ISNA(VLOOKUP($E22,'Bilan final GPA HR'!$C$29:'Bilan final GPA HR'!$X$38,22,0)), ,VLOOKUP($E22,'Bilan final GPA HR'!$C$29:'Bilan final GPA HR'!$X$38,22,0)),"/"))</f>
        <v/>
      </c>
      <c r="P22" s="54" t="str">
        <f>IF($E22="","",IFERROR(IF(ISNA(VLOOKUP($E22,'Bilan final GPA OF'!$C$29:'Bilan final GPA OF'!$X$38,22,0)), ,VLOOKUP($E22,'Bilan final GPA OF'!$C$29:'Bilan final GPA OF'!$X$38,22,0)),"/"))</f>
        <v/>
      </c>
      <c r="Q22" s="54" t="str">
        <f>IF($E22="","",IFERROR(IF(ISNA(VLOOKUP($E22,'Bilan final GPA IE'!$C$29:'Bilan final GPA IE'!$X$38,22,0)), ,VLOOKUP($E22,'Bilan final GPA IE'!$C$29:'Bilan final GPA IE'!$X$38,22,0)),"/"))</f>
        <v/>
      </c>
      <c r="R22" s="115">
        <f t="shared" si="0"/>
        <v>0</v>
      </c>
      <c r="S22" s="116" t="s">
        <v>97</v>
      </c>
      <c r="T22" s="116" t="str">
        <f t="shared" si="1"/>
        <v/>
      </c>
    </row>
    <row r="23" spans="3:20" ht="50.1" customHeight="1" x14ac:dyDescent="0.25">
      <c r="C23" s="34" t="str">
        <f>IF($E23&lt;&gt;"",'Feuille Saisie'!$B$3,"")</f>
        <v/>
      </c>
      <c r="D23" s="35"/>
      <c r="E23" s="34"/>
      <c r="F23" s="52"/>
      <c r="G23" s="51"/>
      <c r="H23" s="34"/>
      <c r="I23" s="34"/>
      <c r="J23" s="34"/>
      <c r="N23" s="54" t="str">
        <f>IF($E23="","",IFERROR(IF(ISNA(VLOOKUP($E23,'Bilan final GPA HN'!$C$29:'Bilan final GPA HN'!$X$38,22,0)), ,VLOOKUP($E23,'Bilan final GPA HN'!$C$29:'Bilan final GPA HN'!$X$38,22,0)),"/"))</f>
        <v/>
      </c>
      <c r="O23" s="54" t="str">
        <f>IF($E23="","",IFERROR(IF(ISNA(VLOOKUP($E23,'Bilan final GPA HR'!$C$29:'Bilan final GPA HR'!$X$38,22,0)), ,VLOOKUP($E23,'Bilan final GPA HR'!$C$29:'Bilan final GPA HR'!$X$38,22,0)),"/"))</f>
        <v/>
      </c>
      <c r="P23" s="54" t="str">
        <f>IF($E23="","",IFERROR(IF(ISNA(VLOOKUP($E23,'Bilan final GPA OF'!$C$29:'Bilan final GPA OF'!$X$38,22,0)), ,VLOOKUP($E23,'Bilan final GPA OF'!$C$29:'Bilan final GPA OF'!$X$38,22,0)),"/"))</f>
        <v/>
      </c>
      <c r="Q23" s="54" t="str">
        <f>IF($E23="","",IFERROR(IF(ISNA(VLOOKUP($E23,'Bilan final GPA IE'!$C$29:'Bilan final GPA IE'!$X$38,22,0)), ,VLOOKUP($E23,'Bilan final GPA IE'!$C$29:'Bilan final GPA IE'!$X$38,22,0)),"/"))</f>
        <v/>
      </c>
      <c r="R23" s="115">
        <f t="shared" si="0"/>
        <v>0</v>
      </c>
      <c r="S23" s="116" t="s">
        <v>97</v>
      </c>
      <c r="T23" s="116" t="str">
        <f t="shared" si="1"/>
        <v/>
      </c>
    </row>
    <row r="24" spans="3:20" ht="50.1" customHeight="1" x14ac:dyDescent="0.25">
      <c r="C24" s="34" t="str">
        <f>IF($E24&lt;&gt;"",'Feuille Saisie'!$B$3,"")</f>
        <v/>
      </c>
      <c r="D24" s="35"/>
      <c r="E24" s="34"/>
      <c r="F24" s="52"/>
      <c r="G24" s="52"/>
      <c r="H24" s="34"/>
      <c r="I24" s="34"/>
      <c r="J24" s="34"/>
      <c r="N24" s="54" t="str">
        <f>IF($E24="","",IFERROR(IF(ISNA(VLOOKUP($E24,'Bilan final GPA HN'!$C$29:'Bilan final GPA HN'!$X$38,22,0)), ,VLOOKUP($E24,'Bilan final GPA HN'!$C$29:'Bilan final GPA HN'!$X$38,22,0)),"/"))</f>
        <v/>
      </c>
      <c r="O24" s="54" t="str">
        <f>IF($E24="","",IFERROR(IF(ISNA(VLOOKUP($E24,'Bilan final GPA HR'!$C$29:'Bilan final GPA HR'!$X$38,22,0)), ,VLOOKUP($E24,'Bilan final GPA HR'!$C$29:'Bilan final GPA HR'!$X$38,22,0)),"/"))</f>
        <v/>
      </c>
      <c r="P24" s="54" t="str">
        <f>IF($E24="","",IFERROR(IF(ISNA(VLOOKUP($E24,'Bilan final GPA OF'!$C$29:'Bilan final GPA OF'!$X$38,22,0)), ,VLOOKUP($E24,'Bilan final GPA OF'!$C$29:'Bilan final GPA OF'!$X$38,22,0)),"/"))</f>
        <v/>
      </c>
      <c r="Q24" s="54" t="str">
        <f>IF($E24="","",IFERROR(IF(ISNA(VLOOKUP($E24,'Bilan final GPA IE'!$C$29:'Bilan final GPA IE'!$X$38,22,0)), ,VLOOKUP($E24,'Bilan final GPA IE'!$C$29:'Bilan final GPA IE'!$X$38,22,0)),"/"))</f>
        <v/>
      </c>
      <c r="R24" s="115">
        <f t="shared" si="0"/>
        <v>0</v>
      </c>
      <c r="S24" s="116" t="s">
        <v>97</v>
      </c>
      <c r="T24" s="116" t="str">
        <f t="shared" si="1"/>
        <v/>
      </c>
    </row>
    <row r="25" spans="3:20" ht="50.1" customHeight="1" x14ac:dyDescent="0.25">
      <c r="C25" s="34" t="str">
        <f>IF($E25&lt;&gt;"",'Feuille Saisie'!$B$3,"")</f>
        <v/>
      </c>
      <c r="D25" s="35"/>
      <c r="E25" s="34"/>
      <c r="F25" s="52"/>
      <c r="G25" s="51"/>
      <c r="H25" s="34"/>
      <c r="I25" s="34"/>
      <c r="J25" s="34"/>
      <c r="N25" s="54" t="str">
        <f>IF($E25="","",IFERROR(IF(ISNA(VLOOKUP($E25,'Bilan final GPA HN'!$C$29:'Bilan final GPA HN'!$X$38,22,0)), ,VLOOKUP($E25,'Bilan final GPA HN'!$C$29:'Bilan final GPA HN'!$X$38,22,0)),"/"))</f>
        <v/>
      </c>
      <c r="O25" s="54" t="str">
        <f>IF($E25="","",IFERROR(IF(ISNA(VLOOKUP($E25,'Bilan final GPA HR'!$C$29:'Bilan final GPA HR'!$X$38,22,0)), ,VLOOKUP($E25,'Bilan final GPA HR'!$C$29:'Bilan final GPA HR'!$X$38,22,0)),"/"))</f>
        <v/>
      </c>
      <c r="P25" s="54" t="str">
        <f>IF($E25="","",IFERROR(IF(ISNA(VLOOKUP($E25,'Bilan final GPA OF'!$C$29:'Bilan final GPA OF'!$X$38,22,0)), ,VLOOKUP($E25,'Bilan final GPA OF'!$C$29:'Bilan final GPA OF'!$X$38,22,0)),"/"))</f>
        <v/>
      </c>
      <c r="Q25" s="54" t="str">
        <f>IF($E25="","",IFERROR(IF(ISNA(VLOOKUP($E25,'Bilan final GPA IE'!$C$29:'Bilan final GPA IE'!$X$38,22,0)), ,VLOOKUP($E25,'Bilan final GPA IE'!$C$29:'Bilan final GPA IE'!$X$38,22,0)),"/"))</f>
        <v/>
      </c>
      <c r="R25" s="115">
        <f t="shared" si="0"/>
        <v>0</v>
      </c>
      <c r="S25" s="116" t="s">
        <v>97</v>
      </c>
      <c r="T25" s="116" t="str">
        <f t="shared" si="1"/>
        <v/>
      </c>
    </row>
    <row r="26" spans="3:20" ht="50.1" customHeight="1" x14ac:dyDescent="0.25">
      <c r="C26" s="34" t="str">
        <f>IF($E26&lt;&gt;"",'Feuille Saisie'!$B$3,"")</f>
        <v/>
      </c>
      <c r="D26" s="12"/>
      <c r="E26" s="12"/>
      <c r="F26" s="103"/>
      <c r="G26" s="14"/>
      <c r="H26" s="12"/>
      <c r="I26" s="12"/>
      <c r="J26" s="53"/>
      <c r="N26" s="54" t="str">
        <f>IF($E26="","",IFERROR(IF(ISNA(VLOOKUP($E26,'Bilan final GPA HN'!$C$29:'Bilan final GPA HN'!$X$38,22,0)), ,VLOOKUP($E26,'Bilan final GPA HN'!$C$29:'Bilan final GPA HN'!$X$38,22,0)),"/"))</f>
        <v/>
      </c>
      <c r="O26" s="54" t="str">
        <f>IF($E26="","",IFERROR(IF(ISNA(VLOOKUP($E26,'Bilan final GPA HR'!$C$29:'Bilan final GPA HR'!$X$38,22,0)), ,VLOOKUP($E26,'Bilan final GPA HR'!$C$29:'Bilan final GPA HR'!$X$38,22,0)),"/"))</f>
        <v/>
      </c>
      <c r="P26" s="54" t="str">
        <f>IF($E26="","",IFERROR(IF(ISNA(VLOOKUP($E26,'Bilan final GPA OF'!$C$29:'Bilan final GPA OF'!$X$38,22,0)), ,VLOOKUP($E26,'Bilan final GPA OF'!$C$29:'Bilan final GPA OF'!$X$38,22,0)),"/"))</f>
        <v/>
      </c>
      <c r="Q26" s="54" t="str">
        <f>IF($E26="","",IFERROR(IF(ISNA(VLOOKUP($E26,'Bilan final GPA IE'!$C$29:'Bilan final GPA IE'!$X$38,22,0)), ,VLOOKUP($E26,'Bilan final GPA IE'!$C$29:'Bilan final GPA IE'!$X$38,22,0)),"/"))</f>
        <v/>
      </c>
      <c r="R26" s="115">
        <f t="shared" si="0"/>
        <v>0</v>
      </c>
      <c r="S26" s="116" t="s">
        <v>97</v>
      </c>
      <c r="T26" s="116" t="str">
        <f t="shared" si="1"/>
        <v/>
      </c>
    </row>
    <row r="27" spans="3:20" ht="50.1" customHeight="1" x14ac:dyDescent="0.25">
      <c r="C27" s="34" t="str">
        <f>IF($E27&lt;&gt;"",'Feuille Saisie'!$B$3,"")</f>
        <v/>
      </c>
      <c r="D27" s="12"/>
      <c r="E27" s="12"/>
      <c r="F27" s="103"/>
      <c r="G27" s="14"/>
      <c r="H27" s="12"/>
      <c r="I27" s="12"/>
      <c r="J27" s="53"/>
      <c r="N27" s="54" t="str">
        <f>IF($E27="","",IFERROR(IF(ISNA(VLOOKUP($E27,'Bilan final GPA HN'!$C$29:'Bilan final GPA HN'!$X$38,22,0)), ,VLOOKUP($E27,'Bilan final GPA HN'!$C$29:'Bilan final GPA HN'!$X$38,22,0)),"/"))</f>
        <v/>
      </c>
      <c r="O27" s="54" t="str">
        <f>IF($E27="","",IFERROR(IF(ISNA(VLOOKUP($E27,'Bilan final GPA HR'!$C$29:'Bilan final GPA HR'!$X$38,22,0)), ,VLOOKUP($E27,'Bilan final GPA HR'!$C$29:'Bilan final GPA HR'!$X$38,22,0)),"/"))</f>
        <v/>
      </c>
      <c r="P27" s="54" t="str">
        <f>IF($E27="","",IFERROR(IF(ISNA(VLOOKUP($E27,'Bilan final GPA OF'!$C$29:'Bilan final GPA OF'!$X$38,22,0)), ,VLOOKUP($E27,'Bilan final GPA OF'!$C$29:'Bilan final GPA OF'!$X$38,22,0)),"/"))</f>
        <v/>
      </c>
      <c r="Q27" s="54" t="str">
        <f>IF($E27="","",IFERROR(IF(ISNA(VLOOKUP($E27,'Bilan final GPA IE'!$C$29:'Bilan final GPA IE'!$X$38,22,0)), ,VLOOKUP($E27,'Bilan final GPA IE'!$C$29:'Bilan final GPA IE'!$X$38,22,0)),"/"))</f>
        <v/>
      </c>
      <c r="R27" s="115">
        <f t="shared" si="0"/>
        <v>0</v>
      </c>
      <c r="S27" s="116" t="s">
        <v>97</v>
      </c>
      <c r="T27" s="116" t="str">
        <f t="shared" si="1"/>
        <v/>
      </c>
    </row>
    <row r="28" spans="3:20" ht="50.1" customHeight="1" x14ac:dyDescent="0.25">
      <c r="C28" s="34" t="str">
        <f>IF($E28&lt;&gt;"",'Feuille Saisie'!$B$3,"")</f>
        <v/>
      </c>
      <c r="D28" s="12"/>
      <c r="E28" s="12"/>
      <c r="F28" s="103"/>
      <c r="G28" s="14"/>
      <c r="H28" s="12"/>
      <c r="I28" s="12"/>
      <c r="J28" s="53"/>
      <c r="N28" s="54" t="str">
        <f>IF($E28="","",IFERROR(IF(ISNA(VLOOKUP($E28,'Bilan final GPA HN'!$C$29:'Bilan final GPA HN'!$X$38,22,0)), ,VLOOKUP($E28,'Bilan final GPA HN'!$C$29:'Bilan final GPA HN'!$X$38,22,0)),"/"))</f>
        <v/>
      </c>
      <c r="O28" s="54" t="str">
        <f>IF($E28="","",IFERROR(IF(ISNA(VLOOKUP($E28,'Bilan final GPA HR'!$C$29:'Bilan final GPA HR'!$X$38,22,0)), ,VLOOKUP($E28,'Bilan final GPA HR'!$C$29:'Bilan final GPA HR'!$X$38,22,0)),"/"))</f>
        <v/>
      </c>
      <c r="P28" s="54" t="str">
        <f>IF($E28="","",IFERROR(IF(ISNA(VLOOKUP($E28,'Bilan final GPA OF'!$C$29:'Bilan final GPA OF'!$X$38,22,0)), ,VLOOKUP($E28,'Bilan final GPA OF'!$C$29:'Bilan final GPA OF'!$X$38,22,0)),"/"))</f>
        <v/>
      </c>
      <c r="Q28" s="54" t="str">
        <f>IF($E28="","",IFERROR(IF(ISNA(VLOOKUP($E28,'Bilan final GPA IE'!$C$29:'Bilan final GPA IE'!$X$38,22,0)), ,VLOOKUP($E28,'Bilan final GPA IE'!$C$29:'Bilan final GPA IE'!$X$38,22,0)),"/"))</f>
        <v/>
      </c>
      <c r="R28" s="115">
        <f t="shared" si="0"/>
        <v>0</v>
      </c>
      <c r="S28" s="116" t="s">
        <v>97</v>
      </c>
      <c r="T28" s="116" t="str">
        <f t="shared" si="1"/>
        <v/>
      </c>
    </row>
    <row r="29" spans="3:20" ht="50.1" customHeight="1" x14ac:dyDescent="0.25">
      <c r="C29" s="34" t="str">
        <f>IF($E29&lt;&gt;"",'Feuille Saisie'!$B$3,"")</f>
        <v/>
      </c>
      <c r="D29" s="12"/>
      <c r="E29" s="12"/>
      <c r="F29" s="103"/>
      <c r="G29" s="14"/>
      <c r="H29" s="12"/>
      <c r="I29" s="12"/>
      <c r="J29" s="53"/>
      <c r="N29" s="54" t="str">
        <f>IF($E29="","",IFERROR(IF(ISNA(VLOOKUP($E29,'Bilan final GPA HN'!$C$29:'Bilan final GPA HN'!$X$38,22,0)), ,VLOOKUP($E29,'Bilan final GPA HN'!$C$29:'Bilan final GPA HN'!$X$38,22,0)),"/"))</f>
        <v/>
      </c>
      <c r="O29" s="54" t="str">
        <f>IF($E29="","",IFERROR(IF(ISNA(VLOOKUP($E29,'Bilan final GPA HR'!$C$29:'Bilan final GPA HR'!$X$38,22,0)), ,VLOOKUP($E29,'Bilan final GPA HR'!$C$29:'Bilan final GPA HR'!$X$38,22,0)),"/"))</f>
        <v/>
      </c>
      <c r="P29" s="54" t="str">
        <f>IF($E29="","",IFERROR(IF(ISNA(VLOOKUP($E29,'Bilan final GPA OF'!$C$29:'Bilan final GPA OF'!$X$38,22,0)), ,VLOOKUP($E29,'Bilan final GPA OF'!$C$29:'Bilan final GPA OF'!$X$38,22,0)),"/"))</f>
        <v/>
      </c>
      <c r="Q29" s="54" t="str">
        <f>IF($E29="","",IFERROR(IF(ISNA(VLOOKUP($E29,'Bilan final GPA IE'!$C$29:'Bilan final GPA IE'!$X$38,22,0)), ,VLOOKUP($E29,'Bilan final GPA IE'!$C$29:'Bilan final GPA IE'!$X$38,22,0)),"/"))</f>
        <v/>
      </c>
      <c r="R29" s="115">
        <f t="shared" si="0"/>
        <v>0</v>
      </c>
      <c r="S29" s="116" t="s">
        <v>97</v>
      </c>
      <c r="T29" s="116" t="str">
        <f t="shared" si="1"/>
        <v/>
      </c>
    </row>
    <row r="30" spans="3:20" ht="50.1" customHeight="1" x14ac:dyDescent="0.25">
      <c r="C30" s="34" t="str">
        <f>IF($E30&lt;&gt;"",'Feuille Saisie'!$B$3,"")</f>
        <v/>
      </c>
      <c r="D30" s="12"/>
      <c r="E30" s="12"/>
      <c r="F30" s="103"/>
      <c r="G30" s="14"/>
      <c r="H30" s="12"/>
      <c r="I30" s="12"/>
      <c r="J30" s="53"/>
      <c r="N30" s="54" t="str">
        <f>IF($E30="","",IFERROR(IF(ISNA(VLOOKUP($E30,'Bilan final GPA HN'!$C$29:'Bilan final GPA HN'!$X$38,22,0)), ,VLOOKUP($E30,'Bilan final GPA HN'!$C$29:'Bilan final GPA HN'!$X$38,22,0)),"/"))</f>
        <v/>
      </c>
      <c r="O30" s="54" t="str">
        <f>IF($E30="","",IFERROR(IF(ISNA(VLOOKUP($E30,'Bilan final GPA HR'!$C$29:'Bilan final GPA HR'!$X$38,22,0)), ,VLOOKUP($E30,'Bilan final GPA HR'!$C$29:'Bilan final GPA HR'!$X$38,22,0)),"/"))</f>
        <v/>
      </c>
      <c r="P30" s="54" t="str">
        <f>IF($E30="","",IFERROR(IF(ISNA(VLOOKUP($E30,'Bilan final GPA OF'!$C$29:'Bilan final GPA OF'!$X$38,22,0)), ,VLOOKUP($E30,'Bilan final GPA OF'!$C$29:'Bilan final GPA OF'!$X$38,22,0)),"/"))</f>
        <v/>
      </c>
      <c r="Q30" s="54" t="str">
        <f>IF($E30="","",IFERROR(IF(ISNA(VLOOKUP($E30,'Bilan final GPA IE'!$C$29:'Bilan final GPA IE'!$X$38,22,0)), ,VLOOKUP($E30,'Bilan final GPA IE'!$C$29:'Bilan final GPA IE'!$X$38,22,0)),"/"))</f>
        <v/>
      </c>
      <c r="R30" s="115">
        <f t="shared" si="0"/>
        <v>0</v>
      </c>
      <c r="S30" s="116" t="s">
        <v>97</v>
      </c>
      <c r="T30" s="116" t="str">
        <f t="shared" si="1"/>
        <v/>
      </c>
    </row>
    <row r="31" spans="3:20" ht="50.1" customHeight="1" x14ac:dyDescent="0.25">
      <c r="C31" s="34" t="str">
        <f>IF($E31&lt;&gt;"",'Feuille Saisie'!$B$3,"")</f>
        <v/>
      </c>
      <c r="D31" s="12"/>
      <c r="E31" s="12"/>
      <c r="F31" s="103"/>
      <c r="G31" s="14"/>
      <c r="H31" s="12"/>
      <c r="I31" s="12"/>
      <c r="J31" s="53"/>
      <c r="N31" s="54" t="str">
        <f>IF($E31="","",IFERROR(IF(ISNA(VLOOKUP($E31,'Bilan final GPA HN'!$C$29:'Bilan final GPA HN'!$X$38,22,0)), ,VLOOKUP($E31,'Bilan final GPA HN'!$C$29:'Bilan final GPA HN'!$X$38,22,0)),"/"))</f>
        <v/>
      </c>
      <c r="O31" s="54" t="str">
        <f>IF($E31="","",IFERROR(IF(ISNA(VLOOKUP($E31,'Bilan final GPA HR'!$C$29:'Bilan final GPA HR'!$X$38,22,0)), ,VLOOKUP($E31,'Bilan final GPA HR'!$C$29:'Bilan final GPA HR'!$X$38,22,0)),"/"))</f>
        <v/>
      </c>
      <c r="P31" s="54" t="str">
        <f>IF($E31="","",IFERROR(IF(ISNA(VLOOKUP($E31,'Bilan final GPA OF'!$C$29:'Bilan final GPA OF'!$X$38,22,0)), ,VLOOKUP($E31,'Bilan final GPA OF'!$C$29:'Bilan final GPA OF'!$X$38,22,0)),"/"))</f>
        <v/>
      </c>
      <c r="Q31" s="54" t="str">
        <f>IF($E31="","",IFERROR(IF(ISNA(VLOOKUP($E31,'Bilan final GPA IE'!$C$29:'Bilan final GPA IE'!$X$38,22,0)), ,VLOOKUP($E31,'Bilan final GPA IE'!$C$29:'Bilan final GPA IE'!$X$38,22,0)),"/"))</f>
        <v/>
      </c>
      <c r="R31" s="115">
        <f t="shared" si="0"/>
        <v>0</v>
      </c>
      <c r="S31" s="116" t="s">
        <v>97</v>
      </c>
      <c r="T31" s="116" t="str">
        <f t="shared" si="1"/>
        <v/>
      </c>
    </row>
    <row r="32" spans="3:20" ht="50.1" customHeight="1" x14ac:dyDescent="0.25">
      <c r="C32" s="34" t="str">
        <f>IF($E32&lt;&gt;"",'Feuille Saisie'!$B$3,"")</f>
        <v/>
      </c>
      <c r="D32" s="12"/>
      <c r="E32" s="12"/>
      <c r="F32" s="103"/>
      <c r="G32" s="14"/>
      <c r="H32" s="12"/>
      <c r="I32" s="12"/>
      <c r="J32" s="53"/>
      <c r="N32" s="54" t="str">
        <f>IF($E32="","",IFERROR(IF(ISNA(VLOOKUP($E32,'Bilan final GPA HN'!$C$29:'Bilan final GPA HN'!$X$38,22,0)), ,VLOOKUP($E32,'Bilan final GPA HN'!$C$29:'Bilan final GPA HN'!$X$38,22,0)),"/"))</f>
        <v/>
      </c>
      <c r="O32" s="54" t="str">
        <f>IF($E32="","",IFERROR(IF(ISNA(VLOOKUP($E32,'Bilan final GPA HR'!$C$29:'Bilan final GPA HR'!$X$38,22,0)), ,VLOOKUP($E32,'Bilan final GPA HR'!$C$29:'Bilan final GPA HR'!$X$38,22,0)),"/"))</f>
        <v/>
      </c>
      <c r="P32" s="54" t="str">
        <f>IF($E32="","",IFERROR(IF(ISNA(VLOOKUP($E32,'Bilan final GPA OF'!$C$29:'Bilan final GPA OF'!$X$38,22,0)), ,VLOOKUP($E32,'Bilan final GPA OF'!$C$29:'Bilan final GPA OF'!$X$38,22,0)),"/"))</f>
        <v/>
      </c>
      <c r="Q32" s="54" t="str">
        <f>IF($E32="","",IFERROR(IF(ISNA(VLOOKUP($E32,'Bilan final GPA IE'!$C$29:'Bilan final GPA IE'!$X$38,22,0)), ,VLOOKUP($E32,'Bilan final GPA IE'!$C$29:'Bilan final GPA IE'!$X$38,22,0)),"/"))</f>
        <v/>
      </c>
      <c r="R32" s="115">
        <f t="shared" si="0"/>
        <v>0</v>
      </c>
      <c r="S32" s="116" t="s">
        <v>97</v>
      </c>
      <c r="T32" s="116" t="str">
        <f t="shared" si="1"/>
        <v/>
      </c>
    </row>
    <row r="33" spans="3:20" ht="50.1" customHeight="1" x14ac:dyDescent="0.25">
      <c r="C33" s="34" t="str">
        <f>IF($E33&lt;&gt;"",'Feuille Saisie'!$B$3,"")</f>
        <v/>
      </c>
      <c r="D33" s="12"/>
      <c r="E33" s="12"/>
      <c r="F33" s="103"/>
      <c r="G33" s="14"/>
      <c r="H33" s="12"/>
      <c r="I33" s="12"/>
      <c r="J33" s="53"/>
      <c r="N33" s="54" t="str">
        <f>IF($E33="","",IFERROR(IF(ISNA(VLOOKUP($E33,'Bilan final GPA HN'!$C$29:'Bilan final GPA HN'!$X$38,22,0)), ,VLOOKUP($E33,'Bilan final GPA HN'!$C$29:'Bilan final GPA HN'!$X$38,22,0)),"/"))</f>
        <v/>
      </c>
      <c r="O33" s="54" t="str">
        <f>IF($E33="","",IFERROR(IF(ISNA(VLOOKUP($E33,'Bilan final GPA HR'!$C$29:'Bilan final GPA HR'!$X$38,22,0)), ,VLOOKUP($E33,'Bilan final GPA HR'!$C$29:'Bilan final GPA HR'!$X$38,22,0)),"/"))</f>
        <v/>
      </c>
      <c r="P33" s="54" t="str">
        <f>IF($E33="","",IFERROR(IF(ISNA(VLOOKUP($E33,'Bilan final GPA OF'!$C$29:'Bilan final GPA OF'!$X$38,22,0)), ,VLOOKUP($E33,'Bilan final GPA OF'!$C$29:'Bilan final GPA OF'!$X$38,22,0)),"/"))</f>
        <v/>
      </c>
      <c r="Q33" s="54" t="str">
        <f>IF($E33="","",IFERROR(IF(ISNA(VLOOKUP($E33,'Bilan final GPA IE'!$C$29:'Bilan final GPA IE'!$X$38,22,0)), ,VLOOKUP($E33,'Bilan final GPA IE'!$C$29:'Bilan final GPA IE'!$X$38,22,0)),"/"))</f>
        <v/>
      </c>
      <c r="R33" s="115">
        <f t="shared" si="0"/>
        <v>0</v>
      </c>
      <c r="S33" s="116" t="s">
        <v>97</v>
      </c>
      <c r="T33" s="116" t="str">
        <f t="shared" si="1"/>
        <v/>
      </c>
    </row>
    <row r="34" spans="3:20" ht="50.1" customHeight="1" x14ac:dyDescent="0.25">
      <c r="C34" s="34" t="str">
        <f>IF($E34&lt;&gt;"",'Feuille Saisie'!$B$3,"")</f>
        <v/>
      </c>
      <c r="D34" s="12"/>
      <c r="E34" s="12"/>
      <c r="F34" s="103"/>
      <c r="G34" s="14"/>
      <c r="H34" s="12"/>
      <c r="I34" s="12"/>
      <c r="J34" s="53"/>
      <c r="N34" s="54" t="str">
        <f>IF($E34="","",IFERROR(IF(ISNA(VLOOKUP($E34,'Bilan final GPA HN'!$C$29:'Bilan final GPA HN'!$X$38,22,0)), ,VLOOKUP($E34,'Bilan final GPA HN'!$C$29:'Bilan final GPA HN'!$X$38,22,0)),"/"))</f>
        <v/>
      </c>
      <c r="O34" s="54" t="str">
        <f>IF($E34="","",IFERROR(IF(ISNA(VLOOKUP($E34,'Bilan final GPA HR'!$C$29:'Bilan final GPA HR'!$X$38,22,0)), ,VLOOKUP($E34,'Bilan final GPA HR'!$C$29:'Bilan final GPA HR'!$X$38,22,0)),"/"))</f>
        <v/>
      </c>
      <c r="P34" s="54" t="str">
        <f>IF($E34="","",IFERROR(IF(ISNA(VLOOKUP($E34,'Bilan final GPA OF'!$C$29:'Bilan final GPA OF'!$X$38,22,0)), ,VLOOKUP($E34,'Bilan final GPA OF'!$C$29:'Bilan final GPA OF'!$X$38,22,0)),"/"))</f>
        <v/>
      </c>
      <c r="Q34" s="54" t="str">
        <f>IF($E34="","",IFERROR(IF(ISNA(VLOOKUP($E34,'Bilan final GPA IE'!$C$29:'Bilan final GPA IE'!$X$38,22,0)), ,VLOOKUP($E34,'Bilan final GPA IE'!$C$29:'Bilan final GPA IE'!$X$38,22,0)),"/"))</f>
        <v/>
      </c>
      <c r="R34" s="115">
        <f t="shared" si="0"/>
        <v>0</v>
      </c>
      <c r="S34" s="116" t="s">
        <v>97</v>
      </c>
      <c r="T34" s="116" t="str">
        <f t="shared" si="1"/>
        <v/>
      </c>
    </row>
    <row r="35" spans="3:20" ht="50.1" customHeight="1" x14ac:dyDescent="0.25">
      <c r="C35" s="34" t="str">
        <f>IF($E35&lt;&gt;"",'Feuille Saisie'!$B$3,"")</f>
        <v/>
      </c>
      <c r="D35" s="12"/>
      <c r="E35" s="12"/>
      <c r="F35" s="103"/>
      <c r="G35" s="14"/>
      <c r="H35" s="12"/>
      <c r="I35" s="12"/>
      <c r="J35" s="53"/>
      <c r="N35" s="54" t="str">
        <f>IF($E35="","",IFERROR(IF(ISNA(VLOOKUP($E35,'Bilan final GPA HN'!$C$29:'Bilan final GPA HN'!$X$38,22,0)), ,VLOOKUP($E35,'Bilan final GPA HN'!$C$29:'Bilan final GPA HN'!$X$38,22,0)),"/"))</f>
        <v/>
      </c>
      <c r="O35" s="54" t="str">
        <f>IF($E35="","",IFERROR(IF(ISNA(VLOOKUP($E35,'Bilan final GPA HR'!$C$29:'Bilan final GPA HR'!$X$38,22,0)), ,VLOOKUP($E35,'Bilan final GPA HR'!$C$29:'Bilan final GPA HR'!$X$38,22,0)),"/"))</f>
        <v/>
      </c>
      <c r="P35" s="54" t="str">
        <f>IF($E35="","",IFERROR(IF(ISNA(VLOOKUP($E35,'Bilan final GPA OF'!$C$29:'Bilan final GPA OF'!$X$38,22,0)), ,VLOOKUP($E35,'Bilan final GPA OF'!$C$29:'Bilan final GPA OF'!$X$38,22,0)),"/"))</f>
        <v/>
      </c>
      <c r="Q35" s="54" t="str">
        <f>IF($E35="","",IFERROR(IF(ISNA(VLOOKUP($E35,'Bilan final GPA IE'!$C$29:'Bilan final GPA IE'!$X$38,22,0)), ,VLOOKUP($E35,'Bilan final GPA IE'!$C$29:'Bilan final GPA IE'!$X$38,22,0)),"/"))</f>
        <v/>
      </c>
      <c r="R35" s="115">
        <f t="shared" si="0"/>
        <v>0</v>
      </c>
      <c r="S35" s="116" t="s">
        <v>97</v>
      </c>
      <c r="T35" s="116" t="str">
        <f t="shared" si="1"/>
        <v/>
      </c>
    </row>
    <row r="36" spans="3:20" ht="50.1" customHeight="1" x14ac:dyDescent="0.25">
      <c r="C36" s="34" t="str">
        <f>IF($E36&lt;&gt;"",'Feuille Saisie'!$B$3,"")</f>
        <v/>
      </c>
      <c r="D36" s="12"/>
      <c r="E36" s="12"/>
      <c r="F36" s="103"/>
      <c r="G36" s="14"/>
      <c r="H36" s="12"/>
      <c r="I36" s="12"/>
      <c r="J36" s="53"/>
      <c r="N36" s="54" t="str">
        <f>IF($E36="","",IFERROR(IF(ISNA(VLOOKUP($E36,'Bilan final GPA HN'!$C$29:'Bilan final GPA HN'!$X$38,22,0)), ,VLOOKUP($E36,'Bilan final GPA HN'!$C$29:'Bilan final GPA HN'!$X$38,22,0)),"/"))</f>
        <v/>
      </c>
      <c r="O36" s="54" t="str">
        <f>IF($E36="","",IFERROR(IF(ISNA(VLOOKUP($E36,'Bilan final GPA HR'!$C$29:'Bilan final GPA HR'!$X$38,22,0)), ,VLOOKUP($E36,'Bilan final GPA HR'!$C$29:'Bilan final GPA HR'!$X$38,22,0)),"/"))</f>
        <v/>
      </c>
      <c r="P36" s="54" t="str">
        <f>IF($E36="","",IFERROR(IF(ISNA(VLOOKUP($E36,'Bilan final GPA OF'!$C$29:'Bilan final GPA OF'!$X$38,22,0)), ,VLOOKUP($E36,'Bilan final GPA OF'!$C$29:'Bilan final GPA OF'!$X$38,22,0)),"/"))</f>
        <v/>
      </c>
      <c r="Q36" s="54" t="str">
        <f>IF($E36="","",IFERROR(IF(ISNA(VLOOKUP($E36,'Bilan final GPA IE'!$C$29:'Bilan final GPA IE'!$X$38,22,0)), ,VLOOKUP($E36,'Bilan final GPA IE'!$C$29:'Bilan final GPA IE'!$X$38,22,0)),"/"))</f>
        <v/>
      </c>
      <c r="R36" s="115">
        <f t="shared" si="0"/>
        <v>0</v>
      </c>
      <c r="S36" s="116" t="s">
        <v>97</v>
      </c>
      <c r="T36" s="116" t="str">
        <f t="shared" si="1"/>
        <v/>
      </c>
    </row>
    <row r="37" spans="3:20" ht="15" customHeight="1" x14ac:dyDescent="0.25">
      <c r="C37" s="118"/>
      <c r="D37" s="118"/>
      <c r="F37" s="119"/>
      <c r="G37" s="118"/>
      <c r="H37" s="118"/>
      <c r="I37" s="118"/>
      <c r="J37" s="120"/>
      <c r="N37" s="54"/>
      <c r="O37" s="54"/>
      <c r="P37" s="54"/>
      <c r="Q37" s="54"/>
      <c r="R37" s="115"/>
      <c r="S37" s="116"/>
      <c r="T37" s="116"/>
    </row>
    <row r="38" spans="3:20" ht="15" customHeight="1" x14ac:dyDescent="0.25">
      <c r="C38" s="118"/>
      <c r="D38" s="118"/>
      <c r="F38" s="119"/>
      <c r="G38" s="118"/>
      <c r="H38" s="118"/>
      <c r="I38" s="118"/>
      <c r="J38" s="120"/>
      <c r="N38" s="54"/>
      <c r="O38" s="54"/>
      <c r="P38" s="54"/>
      <c r="Q38" s="54"/>
      <c r="R38" s="115"/>
      <c r="S38" s="116"/>
      <c r="T38" s="116"/>
    </row>
    <row r="39" spans="3:20" ht="15" customHeight="1" x14ac:dyDescent="0.25"/>
    <row r="40" spans="3:20" ht="15" customHeight="1" x14ac:dyDescent="0.25">
      <c r="C40" s="138" t="str">
        <f ca="1">Données!$C$55</f>
        <v>CR Point bimestriel PA Version 22.7 XXL MOD VDE</v>
      </c>
      <c r="D40" s="138"/>
      <c r="E40" s="138"/>
      <c r="F40" s="138"/>
      <c r="G40" s="138"/>
      <c r="H40" s="138"/>
      <c r="I40" s="138"/>
      <c r="J40" s="138"/>
    </row>
    <row r="42" spans="3:20" ht="5.0999999999999996" customHeight="1" x14ac:dyDescent="0.25"/>
  </sheetData>
  <sheetProtection algorithmName="SHA-512" hashValue="yAKAMo/KZOvk+8OWKdhAjcv87vIQKeKQ4kpamKJ8VdVQMrDNR+dy7wrKvETHlznJp41WXcmCIMKPdbnM0+bvaQ==" saltValue="DTotvxNeaswm6CIsA/N9Ng==" spinCount="100000" sheet="1" objects="1" scenarios="1"/>
  <protectedRanges>
    <protectedRange sqref="D16:J36" name="Plage1"/>
  </protectedRanges>
  <mergeCells count="9">
    <mergeCell ref="C40:J40"/>
    <mergeCell ref="J12:J15"/>
    <mergeCell ref="G12:G15"/>
    <mergeCell ref="H12:H15"/>
    <mergeCell ref="C12:C15"/>
    <mergeCell ref="E12:E15"/>
    <mergeCell ref="F12:F15"/>
    <mergeCell ref="D12:D15"/>
    <mergeCell ref="I12:I15"/>
  </mergeCells>
  <printOptions horizontalCentered="1" verticalCentered="1"/>
  <pageMargins left="0" right="0" top="0" bottom="1.3779527559055118" header="0.31496062992125984" footer="0.31496062992125984"/>
  <pageSetup paperSize="8" scale="55" orientation="landscape" r:id="rId1"/>
  <headerFoot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OFFSET(Données!$C$19:$C$48,0,0,COUNTA(Données!$C$19:$C$48),1)</xm:f>
          </x14:formula1>
          <xm:sqref>E16:E36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"/>
  <sheetViews>
    <sheetView workbookViewId="0"/>
  </sheetViews>
  <sheetFormatPr baseColWidth="10" defaultRowHeight="15" x14ac:dyDescent="0.25"/>
  <sheetData/>
  <printOptions horizontalCentered="1"/>
  <pageMargins left="0" right="0" top="0" bottom="1.3779527559055118" header="0.31496062992125984" footer="0.31496062992125984"/>
  <pageSetup paperSize="8" orientation="landscape" r:id="rId1"/>
  <headerFooter>
    <oddFooter>&amp;C&amp;G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M41"/>
  <sheetViews>
    <sheetView showGridLines="0" zoomScaleNormal="100" workbookViewId="0"/>
  </sheetViews>
  <sheetFormatPr baseColWidth="10" defaultRowHeight="15" x14ac:dyDescent="0.25"/>
  <cols>
    <col min="1" max="1" width="5.7109375" customWidth="1"/>
    <col min="2" max="2" width="52.7109375" customWidth="1"/>
    <col min="3" max="5" width="15.7109375" customWidth="1"/>
    <col min="6" max="6" width="5.7109375" customWidth="1"/>
    <col min="7" max="7" width="52.7109375" customWidth="1"/>
    <col min="8" max="10" width="15.7109375" customWidth="1"/>
    <col min="11" max="11" width="5.7109375" customWidth="1"/>
  </cols>
  <sheetData>
    <row r="1" spans="2:13" ht="20.100000000000001" customHeight="1" x14ac:dyDescent="0.25">
      <c r="B1" s="8"/>
      <c r="C1" s="8"/>
      <c r="D1" s="8"/>
      <c r="E1" s="8"/>
    </row>
    <row r="2" spans="2:13" ht="20.100000000000001" customHeight="1" x14ac:dyDescent="0.25">
      <c r="B2" s="102" t="str">
        <f>CONCATENATE("Agence : ",'Feuille Saisie'!$B$3)</f>
        <v>Agence : XXXX</v>
      </c>
      <c r="C2" s="8"/>
      <c r="D2" s="8"/>
      <c r="E2" s="8"/>
    </row>
    <row r="3" spans="2:13" ht="20.100000000000001" customHeight="1" x14ac:dyDescent="0.25">
      <c r="B3" s="94"/>
      <c r="C3" s="71"/>
      <c r="D3" s="71"/>
      <c r="E3" s="71"/>
      <c r="G3" s="70"/>
    </row>
    <row r="4" spans="2:13" ht="20.100000000000001" customHeight="1" x14ac:dyDescent="0.25">
      <c r="B4" s="70" t="str">
        <f>CONCATENATE("Indicateurs mesurés en ",TEXT('Feuille Saisie'!$B$4,"aaaa"), " pour ce périmètre :")</f>
        <v>Indicateurs mesurés en 2019 pour ce périmètre :</v>
      </c>
      <c r="C4" s="71"/>
      <c r="D4" s="71"/>
      <c r="E4" s="71"/>
      <c r="G4" s="70" t="str">
        <f>CONCATENATE("Indicateurs mesurés en ",TEXT('Feuille Saisie'!$B$4,"aaaa"), " pour ce périmètre pour les opérations avec la phase GPA clôturée :")</f>
        <v>Indicateurs mesurés en 2019 pour ce périmètre pour les opérations avec la phase GPA clôturée :</v>
      </c>
    </row>
    <row r="5" spans="2:13" ht="20.100000000000001" customHeight="1" x14ac:dyDescent="0.25">
      <c r="B5" s="71"/>
      <c r="C5" s="71"/>
      <c r="D5" s="71"/>
      <c r="E5" s="71"/>
    </row>
    <row r="6" spans="2:13" ht="30" customHeight="1" x14ac:dyDescent="0.25">
      <c r="B6" s="72" t="s">
        <v>51</v>
      </c>
      <c r="C6" s="72" t="s">
        <v>52</v>
      </c>
      <c r="D6" s="72" t="s">
        <v>53</v>
      </c>
      <c r="E6" s="72" t="s">
        <v>54</v>
      </c>
      <c r="G6" s="72" t="s">
        <v>51</v>
      </c>
      <c r="H6" s="72" t="s">
        <v>52</v>
      </c>
      <c r="I6" s="72" t="s">
        <v>53</v>
      </c>
      <c r="J6" s="72" t="s">
        <v>54</v>
      </c>
    </row>
    <row r="7" spans="2:13" ht="20.100000000000001" customHeight="1" x14ac:dyDescent="0.25">
      <c r="B7" s="73" t="s">
        <v>55</v>
      </c>
      <c r="C7" s="86" t="str">
        <f>IFERROR('Phase GPA'!$I$59,"/")</f>
        <v>/</v>
      </c>
      <c r="D7" s="73"/>
      <c r="E7" s="73"/>
      <c r="G7" s="73" t="s">
        <v>55</v>
      </c>
      <c r="H7" s="86" t="str">
        <f>IFERROR('Phase GPA'!$BJ$59/'Phase GPA'!$BK$59,"/")</f>
        <v>/</v>
      </c>
      <c r="I7" s="73"/>
      <c r="J7" s="73"/>
      <c r="L7" s="108"/>
      <c r="M7" s="110"/>
    </row>
    <row r="8" spans="2:13" ht="20.100000000000001" customHeight="1" x14ac:dyDescent="0.25">
      <c r="B8" s="74" t="s">
        <v>82</v>
      </c>
      <c r="C8" s="101" t="str">
        <f>IF($E$8=0,"/",$D$8/$E$8)</f>
        <v>/</v>
      </c>
      <c r="D8" s="101">
        <f>'Bilan intermédiaire GPA HN'!$D$54</f>
        <v>0</v>
      </c>
      <c r="E8" s="101">
        <f>'Bilan intermédiaire GPA HN'!$S$54</f>
        <v>0</v>
      </c>
      <c r="G8" s="74" t="s">
        <v>84</v>
      </c>
      <c r="H8" s="101" t="str">
        <f>IF($J$8=0,"/",$I$8/$J$8)</f>
        <v>/</v>
      </c>
      <c r="I8" s="101">
        <f>'Bilan final GPA HN'!$D$44</f>
        <v>0</v>
      </c>
      <c r="J8" s="101">
        <f>'Bilan final GPA HN'!$S$44</f>
        <v>0</v>
      </c>
      <c r="L8" s="108"/>
    </row>
    <row r="9" spans="2:13" ht="20.100000000000001" customHeight="1" x14ac:dyDescent="0.25">
      <c r="B9" s="74" t="s">
        <v>83</v>
      </c>
      <c r="C9" s="101" t="str">
        <f>IF($E$9=0,"/",$D$9/$E$9)</f>
        <v>/</v>
      </c>
      <c r="D9" s="101">
        <f>'Bilan intermédiaire GPA HR'!$D$54</f>
        <v>0</v>
      </c>
      <c r="E9" s="101">
        <f>'Bilan intermédiaire GPA HR'!$S$54</f>
        <v>0</v>
      </c>
      <c r="G9" s="74" t="s">
        <v>83</v>
      </c>
      <c r="H9" s="101" t="str">
        <f>IF($J$9=0,"/",$I$9/$J$9)</f>
        <v>/</v>
      </c>
      <c r="I9" s="101">
        <f>'Bilan final GPA HR'!$D$44</f>
        <v>0</v>
      </c>
      <c r="J9" s="101">
        <f>'Bilan final GPA HR'!$S$44</f>
        <v>0</v>
      </c>
      <c r="L9" s="108"/>
    </row>
    <row r="10" spans="2:13" ht="20.100000000000001" customHeight="1" x14ac:dyDescent="0.25">
      <c r="B10" s="74" t="s">
        <v>56</v>
      </c>
      <c r="C10" s="101" t="str">
        <f>IF($E$10=0,"/",$D$10/$E$10*100)</f>
        <v>/</v>
      </c>
      <c r="D10" s="101">
        <f>'Bilan intermédiaire GPA OF'!$D$54+'Bilan intermédiaire GPA IE'!$D$54</f>
        <v>0</v>
      </c>
      <c r="E10" s="101">
        <f>'Bilan intermédiaire GPA OF'!$T$54+'Bilan intermédiaire GPA IE'!$T$54</f>
        <v>0</v>
      </c>
      <c r="G10" s="74" t="s">
        <v>56</v>
      </c>
      <c r="H10" s="101" t="str">
        <f>IF($J$10=0,"/",$I$10/$J$10*100)</f>
        <v>/</v>
      </c>
      <c r="I10" s="101">
        <f>'Bilan final GPA OF'!$D$44+'Bilan final GPA IE'!$D$44</f>
        <v>0</v>
      </c>
      <c r="J10" s="101">
        <f>'Bilan final GPA OF'!$T$44+'Bilan final GPA IE'!$T$44</f>
        <v>0</v>
      </c>
      <c r="L10" s="108"/>
    </row>
    <row r="11" spans="2:13" ht="20.100000000000001" customHeight="1" x14ac:dyDescent="0.25">
      <c r="B11" s="73" t="s">
        <v>57</v>
      </c>
      <c r="C11" s="87" t="str">
        <f>IFERROR('Phase GPA'!$M$59,"/")</f>
        <v>/</v>
      </c>
      <c r="D11" s="73"/>
      <c r="E11" s="73"/>
      <c r="G11" s="73" t="s">
        <v>57</v>
      </c>
      <c r="H11" s="87" t="str">
        <f>IFERROR(('Bilan final GPA HN'!$V$44+'Bilan final GPA HR'!$V$44+'Bilan final GPA OF'!$V$44+'Bilan final GPA IE'!$V$44)/('Bilan final GPA HN'!$D$44+'Bilan final GPA HR'!$D$44+'Bilan final GPA OF'!$D$44+'Bilan final GPA IE'!$D$44),"/")</f>
        <v>/</v>
      </c>
      <c r="I11" s="73"/>
      <c r="J11" s="73"/>
      <c r="L11" s="108"/>
    </row>
    <row r="12" spans="2:13" ht="20.100000000000001" customHeight="1" x14ac:dyDescent="0.25">
      <c r="B12" s="75" t="s">
        <v>58</v>
      </c>
      <c r="C12" s="88">
        <f>'Phase GPA'!$N$59/1000</f>
        <v>0</v>
      </c>
      <c r="D12" s="75"/>
      <c r="E12" s="75"/>
      <c r="G12" s="75" t="s">
        <v>58</v>
      </c>
      <c r="H12" s="88">
        <f>('Bilan final GPA HN'!$H$44+'Bilan final GPA HR'!$H$44+'Bilan final GPA OF'!$H$44+'Bilan final GPA IE'!$H$44)/1000</f>
        <v>0</v>
      </c>
      <c r="I12" s="75"/>
      <c r="J12" s="75"/>
      <c r="L12" s="108"/>
    </row>
    <row r="13" spans="2:13" ht="20.100000000000001" customHeight="1" x14ac:dyDescent="0.25">
      <c r="B13" s="75" t="s">
        <v>59</v>
      </c>
      <c r="C13" s="88" t="str">
        <f>IFERROR($D$13/$E$13*100,"/")</f>
        <v>/</v>
      </c>
      <c r="D13" s="88">
        <f>$C$12</f>
        <v>0</v>
      </c>
      <c r="E13" s="88">
        <f>('Bilan intermédiaire GPA HN'!$U$54+'Bilan intermédiaire GPA HR'!$U$54+'Bilan intermédiaire GPA OF'!$U$54+'Bilan intermédiaire GPA IE'!$U$54)/1000</f>
        <v>0</v>
      </c>
      <c r="G13" s="75" t="s">
        <v>59</v>
      </c>
      <c r="H13" s="88" t="str">
        <f>IFERROR($I$13/$J$13*100,"/")</f>
        <v>/</v>
      </c>
      <c r="I13" s="88">
        <f>$H$12</f>
        <v>0</v>
      </c>
      <c r="J13" s="88">
        <f>('Bilan final GPA HN'!$U$44+'Bilan final GPA HR'!$U$44+'Bilan final GPA OF'!$U$44+'Bilan final GPA IE'!$U$44)/1000</f>
        <v>0</v>
      </c>
      <c r="L13" s="108"/>
    </row>
    <row r="14" spans="2:13" ht="20.100000000000001" customHeight="1" x14ac:dyDescent="0.25">
      <c r="B14" s="83" t="s">
        <v>85</v>
      </c>
      <c r="C14" s="89">
        <f>'Phase GPA'!$AK$59</f>
        <v>1</v>
      </c>
      <c r="D14" s="76"/>
      <c r="E14" s="76"/>
      <c r="G14" s="83" t="s">
        <v>85</v>
      </c>
      <c r="H14" s="89">
        <f>'Phase GPA'!$AW$59</f>
        <v>1</v>
      </c>
      <c r="I14" s="76"/>
      <c r="J14" s="76"/>
      <c r="L14" s="108"/>
    </row>
    <row r="15" spans="2:13" ht="20.100000000000001" customHeight="1" x14ac:dyDescent="0.25">
      <c r="B15" s="76" t="s">
        <v>60</v>
      </c>
      <c r="C15" s="89">
        <f>IFERROR('Phase GPA'!$K$59,"/")</f>
        <v>397</v>
      </c>
      <c r="D15" s="76"/>
      <c r="E15" s="76"/>
      <c r="G15" s="76" t="s">
        <v>60</v>
      </c>
      <c r="H15" s="89">
        <f>IFERROR('Phase GPA'!$AX$59/'Phase GPA'!$AW$59,"/")</f>
        <v>397</v>
      </c>
      <c r="I15" s="76"/>
      <c r="J15" s="76"/>
      <c r="L15" s="108"/>
    </row>
    <row r="16" spans="2:13" ht="20.100000000000001" customHeight="1" x14ac:dyDescent="0.25">
      <c r="B16" s="83" t="s">
        <v>86</v>
      </c>
      <c r="C16" s="89">
        <f>'Phase GPA'!$AL$59</f>
        <v>1</v>
      </c>
      <c r="D16" s="76"/>
      <c r="E16" s="76"/>
      <c r="G16" s="83" t="s">
        <v>86</v>
      </c>
      <c r="H16" s="89">
        <f>'Phase GPA'!$AY$59</f>
        <v>1</v>
      </c>
      <c r="I16" s="76"/>
      <c r="J16" s="76"/>
      <c r="L16" s="108"/>
    </row>
    <row r="17" spans="2:12" ht="20.100000000000001" customHeight="1" x14ac:dyDescent="0.25">
      <c r="B17" s="76" t="s">
        <v>61</v>
      </c>
      <c r="C17" s="89">
        <f>IFERROR('Phase GPA'!$U$59,"/")</f>
        <v>426</v>
      </c>
      <c r="D17" s="76"/>
      <c r="E17" s="76"/>
      <c r="G17" s="76" t="s">
        <v>61</v>
      </c>
      <c r="H17" s="89">
        <f>IFERROR('Phase GPA'!$AZ$59/'Phase GPA'!$AY$59,"/")</f>
        <v>426</v>
      </c>
      <c r="I17" s="76"/>
      <c r="J17" s="76"/>
      <c r="L17" s="108"/>
    </row>
    <row r="18" spans="2:12" ht="20.100000000000001" customHeight="1" x14ac:dyDescent="0.25">
      <c r="B18" s="77"/>
      <c r="C18" s="71"/>
      <c r="D18" s="71"/>
      <c r="E18" s="71"/>
    </row>
    <row r="19" spans="2:12" ht="20.100000000000001" customHeight="1" x14ac:dyDescent="0.25">
      <c r="B19" s="100" t="s">
        <v>62</v>
      </c>
      <c r="C19" s="71"/>
      <c r="D19" s="71"/>
      <c r="E19" s="71"/>
      <c r="G19" s="100" t="s">
        <v>62</v>
      </c>
      <c r="H19" s="71"/>
      <c r="I19" s="71"/>
    </row>
    <row r="20" spans="2:12" ht="20.100000000000001" customHeight="1" x14ac:dyDescent="0.25">
      <c r="B20" s="77" t="s">
        <v>63</v>
      </c>
      <c r="C20" s="77"/>
      <c r="D20" s="77"/>
      <c r="E20" s="71"/>
      <c r="G20" s="77" t="s">
        <v>63</v>
      </c>
      <c r="H20" s="77"/>
      <c r="I20" s="77"/>
    </row>
    <row r="21" spans="2:12" ht="20.100000000000001" customHeight="1" x14ac:dyDescent="0.25">
      <c r="B21" s="78" t="s">
        <v>93</v>
      </c>
      <c r="C21" s="79">
        <f>Données!$R$49</f>
        <v>1</v>
      </c>
      <c r="D21" s="71"/>
      <c r="E21" s="71"/>
      <c r="G21" s="78" t="s">
        <v>93</v>
      </c>
      <c r="H21" s="80">
        <f>'Bilan final GPA HN'!$W$44</f>
        <v>0</v>
      </c>
      <c r="I21" s="71"/>
      <c r="L21" s="176"/>
    </row>
    <row r="22" spans="2:12" ht="20.100000000000001" customHeight="1" x14ac:dyDescent="0.25">
      <c r="B22" s="78" t="s">
        <v>94</v>
      </c>
      <c r="C22" s="79">
        <f>Données!$S$49</f>
        <v>0</v>
      </c>
      <c r="D22" s="71"/>
      <c r="E22" s="71"/>
      <c r="G22" s="78" t="s">
        <v>94</v>
      </c>
      <c r="H22" s="80">
        <f>'Bilan final GPA HR'!$W$44</f>
        <v>0</v>
      </c>
      <c r="I22" s="71"/>
      <c r="L22" s="176"/>
    </row>
    <row r="23" spans="2:12" ht="20.100000000000001" customHeight="1" x14ac:dyDescent="0.25">
      <c r="B23" s="78" t="s">
        <v>95</v>
      </c>
      <c r="C23" s="79">
        <f>Données!$T$49</f>
        <v>0</v>
      </c>
      <c r="D23" s="71"/>
      <c r="E23" s="71"/>
      <c r="G23" s="78" t="s">
        <v>95</v>
      </c>
      <c r="H23" s="80">
        <f>'Bilan final GPA OF'!$W$44</f>
        <v>0</v>
      </c>
      <c r="I23" s="71"/>
      <c r="L23" s="176"/>
    </row>
    <row r="24" spans="2:12" ht="20.100000000000001" customHeight="1" x14ac:dyDescent="0.25">
      <c r="B24" s="78" t="s">
        <v>96</v>
      </c>
      <c r="C24" s="79">
        <f>Données!$U$49</f>
        <v>0</v>
      </c>
      <c r="D24" s="71"/>
      <c r="E24" s="71"/>
      <c r="G24" s="78" t="s">
        <v>96</v>
      </c>
      <c r="H24" s="80">
        <f>'Bilan final GPA IE'!$W$44</f>
        <v>0</v>
      </c>
      <c r="I24" s="71"/>
      <c r="L24" s="176"/>
    </row>
    <row r="25" spans="2:12" ht="20.100000000000001" customHeight="1" x14ac:dyDescent="0.25">
      <c r="B25" s="78"/>
      <c r="C25" s="79"/>
      <c r="D25" s="71"/>
      <c r="E25" s="71"/>
      <c r="G25" s="78"/>
      <c r="H25" s="80"/>
      <c r="I25" s="71"/>
    </row>
    <row r="26" spans="2:12" ht="20.100000000000001" customHeight="1" x14ac:dyDescent="0.25">
      <c r="B26" s="70" t="str">
        <f>CONCATENATE("Autres indicateurs mesurés en ",TEXT('Feuille Saisie'!$B$4,"aaaa"), " pour ce périmètre :")</f>
        <v>Autres indicateurs mesurés en 2019 pour ce périmètre :</v>
      </c>
      <c r="C26" s="79"/>
      <c r="D26" s="71"/>
      <c r="E26" s="71"/>
      <c r="G26" s="70" t="str">
        <f>CONCATENATE("Autres indicateurs mesurés en ",TEXT('Feuille Saisie'!$B$4,"aaaa"), " pour ce périmètre :")</f>
        <v>Autres indicateurs mesurés en 2019 pour ce périmètre :</v>
      </c>
      <c r="H26" s="80"/>
      <c r="I26" s="71"/>
    </row>
    <row r="27" spans="2:12" ht="20.100000000000001" customHeight="1" x14ac:dyDescent="0.25">
      <c r="B27" s="78"/>
      <c r="C27" s="79"/>
      <c r="D27" s="71"/>
      <c r="E27" s="71"/>
      <c r="G27" s="78"/>
      <c r="H27" s="80"/>
      <c r="I27" s="71"/>
    </row>
    <row r="28" spans="2:12" ht="20.100000000000001" customHeight="1" x14ac:dyDescent="0.25">
      <c r="B28" s="77" t="str">
        <f>CONCATENATE("     ● Le nombre d'affaires avec une fin de GPA en ",TEXT('Feuille Saisie'!$B$4,"aaaa"), " * :")</f>
        <v xml:space="preserve">     ● Le nombre d'affaires avec une fin de GPA en 2019 * :</v>
      </c>
      <c r="C28" s="77"/>
      <c r="D28" s="80">
        <f>'Phase GPA'!$BH$59</f>
        <v>1</v>
      </c>
      <c r="E28" s="71"/>
      <c r="G28" s="77" t="str">
        <f>CONCATENATE("     ● Le nombre d'affaires avec une fin de GPA en ",TEXT('Feuille Saisie'!$B$4,"aaaa"), " * :")</f>
        <v xml:space="preserve">     ● Le nombre d'affaires avec une fin de GPA en 2019 * :</v>
      </c>
      <c r="H28" s="77"/>
      <c r="I28" s="80">
        <f>'Phase GPA'!$BH$59</f>
        <v>1</v>
      </c>
    </row>
    <row r="29" spans="2:12" ht="20.100000000000001" customHeight="1" x14ac:dyDescent="0.25">
      <c r="B29" s="77" t="str">
        <f>CONCATENATE("     ● Le nombre de bilans finaux GPA réalisés en ",TEXT('Feuille Saisie'!$B$4,"aaaa"), " ** :")</f>
        <v xml:space="preserve">     ● Le nombre de bilans finaux GPA réalisés en 2019 ** :</v>
      </c>
      <c r="C29" s="71"/>
      <c r="D29" s="80">
        <f>'Phase GPA'!$AR$59</f>
        <v>1</v>
      </c>
      <c r="E29" s="71"/>
      <c r="G29" s="77" t="str">
        <f>CONCATENATE("     ● Le nombre de bilans finaux GPA réalisés en ",TEXT('Feuille Saisie'!$B$4,"aaaa"), " ** :")</f>
        <v xml:space="preserve">     ● Le nombre de bilans finaux GPA réalisés en 2019 ** :</v>
      </c>
      <c r="H29" s="71"/>
      <c r="I29" s="80">
        <f>'Phase GPA'!$AR$59</f>
        <v>1</v>
      </c>
      <c r="L29" s="109"/>
    </row>
    <row r="30" spans="2:12" ht="20.100000000000001" customHeight="1" x14ac:dyDescent="0.25">
      <c r="B30" s="77" t="s">
        <v>81</v>
      </c>
      <c r="C30" s="71"/>
      <c r="D30" s="80">
        <f>'Bilan final GPA HN'!$AC$44+'Bilan final GPA HR'!$AC$44+'Bilan final GPA OF'!$AC$44+'Bilan final GPA IE'!$AC$44</f>
        <v>0</v>
      </c>
      <c r="E30" s="71"/>
      <c r="G30" s="77" t="s">
        <v>81</v>
      </c>
      <c r="H30" s="71"/>
      <c r="I30" s="80">
        <f>'Bilan final GPA HN'!$AC$44+'Bilan final GPA HR'!$AC$44+'Bilan final GPA OF'!$AC$44+'Bilan final GPA IE'!$AC$44</f>
        <v>0</v>
      </c>
      <c r="L30" s="111"/>
    </row>
    <row r="31" spans="2:12" ht="20.100000000000001" customHeight="1" x14ac:dyDescent="0.25">
      <c r="B31" s="77" t="str">
        <f>CONCATENATE("     ● Le nombre d'affaires réceptionnées sans réserve en ",TEXT('Feuille Saisie'!$B$4,"aaaa"), " * :")</f>
        <v xml:space="preserve">     ● Le nombre d'affaires réceptionnées sans réserve en 2019 * :</v>
      </c>
      <c r="C31" s="8"/>
      <c r="D31" s="80">
        <f>'Phase GPA'!$DH$59</f>
        <v>0</v>
      </c>
      <c r="E31" s="8"/>
      <c r="G31" s="77" t="str">
        <f>CONCATENATE("     ● Le nombre d'affaires réceptionnées sans réserve en ",TEXT('Feuille Saisie'!$B$4,"aaaa"), " * :")</f>
        <v xml:space="preserve">     ● Le nombre d'affaires réceptionnées sans réserve en 2019 * :</v>
      </c>
      <c r="H31" s="8"/>
      <c r="I31" s="80">
        <f>'Phase GPA'!$DH$59</f>
        <v>0</v>
      </c>
      <c r="J31" s="96"/>
    </row>
    <row r="32" spans="2:12" ht="20.100000000000001" customHeight="1" x14ac:dyDescent="0.25">
      <c r="B32" s="66"/>
      <c r="C32" s="98" t="s">
        <v>71</v>
      </c>
      <c r="D32" s="85" t="str">
        <f>IFERROR('Phase GPA'!$DH$59/'Phase GPA'!$DJ$59,"/")</f>
        <v>/</v>
      </c>
      <c r="E32" s="8"/>
      <c r="G32" s="66"/>
      <c r="H32" s="98" t="s">
        <v>71</v>
      </c>
      <c r="I32" s="85" t="str">
        <f>IFERROR('Phase GPA'!$DH$59/'Phase GPA'!$DJ$59,"/")</f>
        <v>/</v>
      </c>
      <c r="J32" s="96"/>
    </row>
    <row r="33" spans="2:12" ht="20.100000000000001" customHeight="1" x14ac:dyDescent="0.25">
      <c r="B33" s="77" t="str">
        <f>CONCATENATE("     ● Le nombre d'affaires avec une passation technique réalisée en ",TEXT('Feuille Saisie'!$B$4,"aaaa"), " * :")</f>
        <v xml:space="preserve">     ● Le nombre d'affaires avec une passation technique réalisée en 2019 * :</v>
      </c>
      <c r="C33" s="71"/>
      <c r="D33" s="80">
        <f>'Phase GPA'!$DE$59</f>
        <v>1</v>
      </c>
      <c r="E33" s="8"/>
      <c r="G33" s="77" t="str">
        <f>CONCATENATE("     ● Le nombre d'affaires avec une passation technique réalisée en ",TEXT('Feuille Saisie'!$B$4,"aaaa"), " * :")</f>
        <v xml:space="preserve">     ● Le nombre d'affaires avec une passation technique réalisée en 2019 * :</v>
      </c>
      <c r="H33" s="71"/>
      <c r="I33" s="80">
        <f>'Phase GPA'!$DE$59</f>
        <v>1</v>
      </c>
      <c r="J33" s="96"/>
      <c r="L33" s="108"/>
    </row>
    <row r="34" spans="2:12" ht="20.100000000000001" customHeight="1" x14ac:dyDescent="0.25">
      <c r="B34" s="77"/>
      <c r="C34" s="78" t="s">
        <v>73</v>
      </c>
      <c r="D34" s="99">
        <f>IFERROR('Phase GPA'!$DK$59/'Phase GPA'!$DE$59,"/")</f>
        <v>397</v>
      </c>
      <c r="E34" s="8"/>
      <c r="G34" s="77"/>
      <c r="H34" s="78" t="s">
        <v>73</v>
      </c>
      <c r="I34" s="99">
        <f>IFERROR('Phase GPA'!$DK$59/'Phase GPA'!$DE$59,"/")</f>
        <v>397</v>
      </c>
      <c r="J34" s="96"/>
      <c r="L34" s="108"/>
    </row>
    <row r="35" spans="2:12" ht="20.100000000000001" customHeight="1" x14ac:dyDescent="0.25">
      <c r="B35" s="77" t="str">
        <f>CONCATENATE("     ● Le nombre d'affaires avec une passation administrative réalisée en ",TEXT('Feuille Saisie'!$B$4,"aaaa"), " * :")</f>
        <v xml:space="preserve">     ● Le nombre d'affaires avec une passation administrative réalisée en 2019 * :</v>
      </c>
      <c r="C35" s="71"/>
      <c r="D35" s="80">
        <f>'Phase GPA'!$DN$59</f>
        <v>1</v>
      </c>
      <c r="E35" s="8"/>
      <c r="G35" s="77" t="str">
        <f>CONCATENATE("     ● Le nombre d'affaires avec une passation administrative réalisée en ",TEXT('Feuille Saisie'!$B$4,"aaaa"), " * :")</f>
        <v xml:space="preserve">     ● Le nombre d'affaires avec une passation administrative réalisée en 2019 * :</v>
      </c>
      <c r="H35" s="71"/>
      <c r="I35" s="80">
        <f>'Phase GPA'!$DN$59</f>
        <v>1</v>
      </c>
      <c r="J35" s="96"/>
      <c r="L35" s="108"/>
    </row>
    <row r="36" spans="2:12" ht="20.100000000000001" customHeight="1" x14ac:dyDescent="0.25">
      <c r="B36" s="77"/>
      <c r="C36" s="78" t="s">
        <v>73</v>
      </c>
      <c r="D36" s="99">
        <f>IFERROR('Phase GPA'!$DO$59/'Phase GPA'!$DN$59,"/")</f>
        <v>426</v>
      </c>
      <c r="E36" s="8"/>
      <c r="G36" s="77"/>
      <c r="H36" s="78" t="s">
        <v>73</v>
      </c>
      <c r="I36" s="99">
        <f>IFERROR('Phase GPA'!$DO$59/'Phase GPA'!$DN$59,"/")</f>
        <v>426</v>
      </c>
      <c r="J36" s="96"/>
      <c r="L36" s="108"/>
    </row>
    <row r="37" spans="2:12" x14ac:dyDescent="0.25">
      <c r="B37" s="77" t="s">
        <v>77</v>
      </c>
      <c r="C37" s="8"/>
      <c r="D37" s="80">
        <f>'Phase GPA'!$BB$59</f>
        <v>1</v>
      </c>
      <c r="G37" s="77" t="s">
        <v>76</v>
      </c>
      <c r="H37" s="81"/>
      <c r="I37" s="80">
        <f>'Phase GPA'!$BD$59</f>
        <v>1</v>
      </c>
      <c r="L37" s="108"/>
    </row>
    <row r="38" spans="2:12" x14ac:dyDescent="0.25">
      <c r="B38" s="66"/>
      <c r="C38" s="98" t="s">
        <v>71</v>
      </c>
      <c r="D38" s="85">
        <f>IFERROR('Phase GPA'!$BB$59/'Phase GPA'!$BC$59,"/")</f>
        <v>1</v>
      </c>
      <c r="G38" s="66"/>
      <c r="H38" s="98" t="s">
        <v>71</v>
      </c>
      <c r="I38" s="85">
        <f>IFERROR('Phase GPA'!$BD$59/'Phase GPA'!$BE$59,"/")</f>
        <v>1</v>
      </c>
    </row>
    <row r="40" spans="2:12" x14ac:dyDescent="0.25">
      <c r="B40" s="66" t="s">
        <v>74</v>
      </c>
      <c r="C40" s="8"/>
      <c r="D40" s="8"/>
      <c r="E40" s="8"/>
      <c r="F40" s="8"/>
      <c r="G40" s="66" t="s">
        <v>74</v>
      </c>
    </row>
    <row r="41" spans="2:12" x14ac:dyDescent="0.25">
      <c r="B41" s="66" t="s">
        <v>75</v>
      </c>
      <c r="C41" s="8"/>
      <c r="D41" s="8"/>
      <c r="E41" s="8"/>
      <c r="F41" s="8"/>
      <c r="G41" s="66" t="s">
        <v>75</v>
      </c>
    </row>
  </sheetData>
  <sheetProtection algorithmName="SHA-512" hashValue="u1eWG50DxDQnxAA971M7kGx3UAUjeOe31UOB9uoVm5e59K3/ZGqknqTEyGFpCDzue+FP6oqSHMMsoxpd4X6ZBQ==" saltValue="HauRMpru2RCRnU9WUMdLeQ==" spinCount="100000" sheet="1" objects="1" scenarios="1"/>
  <mergeCells count="1">
    <mergeCell ref="L21:L24"/>
  </mergeCells>
  <printOptions horizontalCentered="1" verticalCentered="1"/>
  <pageMargins left="0" right="0" top="0" bottom="1.3779527559055118" header="0.31496062992125984" footer="0.31496062992125984"/>
  <pageSetup paperSize="8" scale="90" orientation="landscape" r:id="rId1"/>
  <headerFooter>
    <oddFooter>&amp;C&amp;G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V61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2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2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2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2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2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2" ht="15" customHeight="1" x14ac:dyDescent="0.25">
      <c r="A25" s="1"/>
      <c r="B25" s="1"/>
      <c r="C25" s="161" t="s">
        <v>7</v>
      </c>
      <c r="D25" s="161" t="s">
        <v>13</v>
      </c>
      <c r="E25" s="161" t="s">
        <v>22</v>
      </c>
      <c r="F25" s="161" t="s">
        <v>67</v>
      </c>
      <c r="G25" s="161" t="s">
        <v>31</v>
      </c>
      <c r="H25" s="161" t="s">
        <v>14</v>
      </c>
      <c r="I25" s="161" t="s">
        <v>20</v>
      </c>
      <c r="J25" s="161" t="s">
        <v>23</v>
      </c>
      <c r="K25" s="161" t="s">
        <v>68</v>
      </c>
      <c r="L25" s="161" t="s">
        <v>15</v>
      </c>
      <c r="M25" s="132" t="s">
        <v>16</v>
      </c>
      <c r="N25" s="132" t="s">
        <v>38</v>
      </c>
      <c r="O25" s="2"/>
      <c r="P25" s="132" t="s">
        <v>43</v>
      </c>
      <c r="Q25" s="1"/>
      <c r="R25" s="1"/>
    </row>
    <row r="26" spans="1:22" x14ac:dyDescent="0.25">
      <c r="A26" s="1"/>
      <c r="B26" s="1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33"/>
      <c r="N26" s="133"/>
      <c r="O26" s="2"/>
      <c r="P26" s="133"/>
      <c r="Q26" s="1"/>
      <c r="R26" s="1"/>
    </row>
    <row r="27" spans="1:22" ht="15" customHeight="1" x14ac:dyDescent="0.25">
      <c r="A27" s="1"/>
      <c r="B27" s="1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33"/>
      <c r="N27" s="133"/>
      <c r="O27" s="9"/>
      <c r="P27" s="133"/>
      <c r="Q27" s="1"/>
      <c r="R27" s="1"/>
    </row>
    <row r="28" spans="1:22" x14ac:dyDescent="0.25">
      <c r="A28" s="1"/>
      <c r="B28" s="1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34"/>
      <c r="N28" s="134"/>
      <c r="O28" s="9"/>
      <c r="P28" s="134"/>
      <c r="Q28" s="1"/>
      <c r="R28" s="1"/>
    </row>
    <row r="29" spans="1:22" ht="50.1" customHeight="1" x14ac:dyDescent="0.25">
      <c r="A29" s="1"/>
      <c r="B29" s="1"/>
      <c r="C29" s="82" t="str">
        <f>IF('Phase GPA'!$AT29="HN",'Phase GPA'!$C29,"/")</f>
        <v>A</v>
      </c>
      <c r="D29" s="41">
        <f>IF($C29="/","",IF($C29="","",IFERROR(IF(ISNA(VLOOKUP($C29,'Phase GPA'!$C$29:'Phase GPA'!$U$58,10,0)), ,VLOOKUP($C29,'Phase GPA'!$C$29:'Phase GPA'!$U$58,10,0)),0)))</f>
        <v>0</v>
      </c>
      <c r="E29" s="42" t="str">
        <f>IF($C29="/","",IF($C29="","",IFERROR(IF(ISNA($D29/VLOOKUP($C29,Données!$C$19:'Données'!$I$48,6,0)), ,$D29/VLOOKUP($C29,Données!$C$19:'Données'!$I$48,6,0)),"/")))</f>
        <v>/</v>
      </c>
      <c r="F29" s="42" t="str">
        <f>IF($C29="/","",IF($C29="","",IFERROR(IF(ISNA($D29/VLOOKUP($C29,Données!$C$19:'Données'!$I$48,7,0)*100), ,$D29/VLOOKUP($C29,Données!$C$19:'Données'!$I$48,7,0)*100),"/")))</f>
        <v>/</v>
      </c>
      <c r="G29" s="41">
        <f>IF($C29="/","",IF($C29="","",IFERROR(IF(ISNA(VLOOKUP($C29,'Phase GPA'!$C$29:'Phase GPA'!$U$58,11,0)), ,VLOOKUP($C29,'Phase GPA'!$C$29:'Phase GPA'!$U$58,11,0)),0)))</f>
        <v>0</v>
      </c>
      <c r="H29" s="44">
        <f>IF($C29="/","",IF($C29="","",IFERROR(IF(ISNA(VLOOKUP($C29,'Phase GPA'!$C$29:'Phase GPA'!$U$58,12,0)), ,VLOOKUP($C29,'Phase GPA'!$C$29:'Phase GPA'!$U$58,12,0)),0)))</f>
        <v>0</v>
      </c>
      <c r="I29" s="44">
        <f>IF($C29="/","",IF($C29="","",IFERROR(IF(ISNA($H29/VLOOKUP($C29,Données!$C$19:'Données'!$I$48,5,0)), ,$H29/VLOOKUP($C29,Données!$C$19:'Données'!$I$48,5,0))*100,0)))</f>
        <v>0</v>
      </c>
      <c r="J29" s="44" t="str">
        <f>IF($C29="/","",IF($C29="","",IFERROR(IF(ISNA($H29/VLOOKUP($C29,Données!$C$19:'Données'!$I$48,6,0)), ,$H29/VLOOKUP($C29,Données!$C$19:'Données'!$I$48,6,0)),"/")))</f>
        <v>/</v>
      </c>
      <c r="K29" s="44" t="str">
        <f>IF($C29="/","",IF($C29="","",IFERROR(IF(ISNA($H29/VLOOKUP($C29,Données!$C$19:'Données'!$I$48,7,0)*100), ,$H29/VLOOKUP($C29,Données!$C$19:'Données'!$I$48,7,0)*100),"/")))</f>
        <v>/</v>
      </c>
      <c r="L29" s="45" t="str">
        <f>IF($C29="/","",IF($D29=0,"/",IF($C29="","",IFERROR(($H29/$D29),0))))</f>
        <v>/</v>
      </c>
      <c r="M29" s="13"/>
      <c r="N29" s="12"/>
      <c r="O29" s="3"/>
      <c r="P29" s="16"/>
      <c r="Q29" s="1"/>
      <c r="R29" s="1"/>
      <c r="S29" s="54">
        <f>IF($C29="","",IFERROR(IF(ISNA(VLOOKUP($C29,Données!$C$19:'Données'!$I$48,6,0)), ,VLOOKUP($C29,Données!$C$19:'Données'!$I$48,6,0)),"/"))</f>
        <v>0</v>
      </c>
      <c r="T29" s="54">
        <f>IF($C29="","",IFERROR(IF(ISNA(VLOOKUP($C29,Données!$C$19:'Données'!$I$48,7,0)), ,VLOOKUP($C29,Données!$C$19:'Données'!$I$48,7,0)),"/"))</f>
        <v>0</v>
      </c>
      <c r="U29" s="54">
        <f>IF($C29="","",IFERROR(IF(ISNA(VLOOKUP($C29,Données!$C$19:'Données'!$I$48,5,0)), ,VLOOKUP($C29,Données!$C$19:'Données'!$I$48,5,0)),"/"))</f>
        <v>0</v>
      </c>
      <c r="V29" s="54">
        <f>IF($C29="","",IFERROR(IF(ISNA($D29*$G29), ,$D29*$G29),"/"))</f>
        <v>0</v>
      </c>
    </row>
    <row r="30" spans="1:22" ht="50.1" customHeight="1" x14ac:dyDescent="0.25">
      <c r="A30" s="1"/>
      <c r="B30" s="1"/>
      <c r="C30" s="82" t="str">
        <f>IF('Phase GPA'!$AT30="HN",'Phase GPA'!$C30,"/")</f>
        <v>/</v>
      </c>
      <c r="D30" s="41" t="str">
        <f>IF($C30="/","",IF($C30="","",IFERROR(IF(ISNA(VLOOKUP($C30,'Phase GPA'!$C$29:'Phase GPA'!$U$58,10,0)), ,VLOOKUP($C30,'Phase GPA'!$C$29:'Phase GPA'!$U$58,10,0)),0)))</f>
        <v/>
      </c>
      <c r="E30" s="42" t="str">
        <f>IF($C30="/","",IF($C30="","",IFERROR(IF(ISNA($D30/VLOOKUP($C30,Données!$C$19:'Données'!$I$48,6,0)), ,$D30/VLOOKUP($C30,Données!$C$19:'Données'!$I$48,6,0)),"/")))</f>
        <v/>
      </c>
      <c r="F30" s="42" t="str">
        <f>IF($C30="/","",IF($C30="","",IFERROR(IF(ISNA($D30/VLOOKUP($C30,Données!$C$19:'Données'!$I$48,7,0)*100), ,$D30/VLOOKUP($C30,Données!$C$19:'Données'!$I$48,7,0)*100),"/")))</f>
        <v/>
      </c>
      <c r="G30" s="41" t="str">
        <f>IF($C30="/","",IF($C30="","",IFERROR(IF(ISNA(VLOOKUP($C30,'Phase GPA'!$C$29:'Phase GPA'!$U$58,11,0)), ,VLOOKUP($C30,'Phase GPA'!$C$29:'Phase GPA'!$U$58,11,0)),0)))</f>
        <v/>
      </c>
      <c r="H30" s="44" t="str">
        <f>IF($C30="/","",IF($C30="","",IFERROR(IF(ISNA(VLOOKUP($C30,'Phase GPA'!$C$29:'Phase GPA'!$U$58,12,0)), ,VLOOKUP($C30,'Phase GPA'!$C$29:'Phase GPA'!$U$58,12,0)),0)))</f>
        <v/>
      </c>
      <c r="I30" s="44" t="str">
        <f>IF($C30="/","",IF($C30="","",IFERROR(IF(ISNA($H30/VLOOKUP($C30,Données!$C$19:'Données'!$I$48,5,0)), ,$H30/VLOOKUP($C30,Données!$C$19:'Données'!$I$48,5,0))*100,0)))</f>
        <v/>
      </c>
      <c r="J30" s="44" t="str">
        <f>IF($C30="/","",IF($C30="","",IFERROR(IF(ISNA($H30/VLOOKUP($C30,Données!$C$19:'Données'!$I$48,6,0)), ,$H30/VLOOKUP($C30,Données!$C$19:'Données'!$I$48,6,0)),"/")))</f>
        <v/>
      </c>
      <c r="K30" s="44" t="str">
        <f>IF($C30="/","",IF($C30="","",IFERROR(IF(ISNA($H30/VLOOKUP($C30,Données!$C$19:'Données'!$I$48,7,0)*100), ,$H30/VLOOKUP($C30,Données!$C$19:'Données'!$I$48,7,0)*100),"/")))</f>
        <v/>
      </c>
      <c r="L30" s="45" t="str">
        <f t="shared" ref="L30:L53" si="0">IF($C30="/","",IF($D30=0,"/",IF($C30="","",IFERROR(($H30/$D30),0))))</f>
        <v/>
      </c>
      <c r="M30" s="13"/>
      <c r="N30" s="12"/>
      <c r="O30" s="3"/>
      <c r="P30" s="16"/>
      <c r="Q30" s="1"/>
      <c r="R30" s="1"/>
      <c r="S30" s="54">
        <f>IF($C30="","",IFERROR(IF(ISNA(VLOOKUP($C30,Données!$C$19:'Données'!$I$48,6,0)), ,VLOOKUP($C30,Données!$C$19:'Données'!$I$48,6,0)),"/"))</f>
        <v>0</v>
      </c>
      <c r="T30" s="54">
        <f>IF($C30="","",IFERROR(IF(ISNA(VLOOKUP($C30,Données!$C$19:'Données'!$I$48,7,0)), ,VLOOKUP($C30,Données!$C$19:'Données'!$I$48,7,0)),"/"))</f>
        <v>0</v>
      </c>
      <c r="U30" s="54">
        <f>IF($C30="","",IFERROR(IF(ISNA(VLOOKUP($C30,Données!$C$19:'Données'!$I$48,5,0)), ,VLOOKUP($C30,Données!$C$19:'Données'!$I$48,5,0)),"/"))</f>
        <v>0</v>
      </c>
      <c r="V30" s="54" t="str">
        <f>IF($C30="","",IFERROR(IF(ISNA($D30*$G30), ,$D30*$G30),"/"))</f>
        <v>/</v>
      </c>
    </row>
    <row r="31" spans="1:22" ht="50.1" customHeight="1" x14ac:dyDescent="0.25">
      <c r="A31" s="1"/>
      <c r="B31" s="1"/>
      <c r="C31" s="82" t="str">
        <f>IF('Phase GPA'!$AT31="HN",'Phase GPA'!$C31,"/")</f>
        <v>/</v>
      </c>
      <c r="D31" s="41" t="str">
        <f>IF($C31="/","",IF($C31="","",IFERROR(IF(ISNA(VLOOKUP($C31,'Phase GPA'!$C$29:'Phase GPA'!$U$58,10,0)), ,VLOOKUP($C31,'Phase GPA'!$C$29:'Phase GPA'!$U$58,10,0)),0)))</f>
        <v/>
      </c>
      <c r="E31" s="42" t="str">
        <f>IF($C31="/","",IF($C31="","",IFERROR(IF(ISNA($D31/VLOOKUP($C31,Données!$C$19:'Données'!$I$48,6,0)), ,$D31/VLOOKUP($C31,Données!$C$19:'Données'!$I$48,6,0)),"/")))</f>
        <v/>
      </c>
      <c r="F31" s="42" t="str">
        <f>IF($C31="/","",IF($C31="","",IFERROR(IF(ISNA($D31/VLOOKUP($C31,Données!$C$19:'Données'!$I$48,7,0)*100), ,$D31/VLOOKUP($C31,Données!$C$19:'Données'!$I$48,7,0)*100),"/")))</f>
        <v/>
      </c>
      <c r="G31" s="41" t="str">
        <f>IF($C31="/","",IF($C31="","",IFERROR(IF(ISNA(VLOOKUP($C31,'Phase GPA'!$C$29:'Phase GPA'!$U$58,11,0)), ,VLOOKUP($C31,'Phase GPA'!$C$29:'Phase GPA'!$U$58,11,0)),0)))</f>
        <v/>
      </c>
      <c r="H31" s="44" t="str">
        <f>IF($C31="/","",IF($C31="","",IFERROR(IF(ISNA(VLOOKUP($C31,'Phase GPA'!$C$29:'Phase GPA'!$U$58,12,0)), ,VLOOKUP($C31,'Phase GPA'!$C$29:'Phase GPA'!$U$58,12,0)),0)))</f>
        <v/>
      </c>
      <c r="I31" s="44" t="str">
        <f>IF($C31="/","",IF($C31="","",IFERROR(IF(ISNA($H31/VLOOKUP($C31,Données!$C$19:'Données'!$I$48,5,0)), ,$H31/VLOOKUP($C31,Données!$C$19:'Données'!$I$48,5,0))*100,0)))</f>
        <v/>
      </c>
      <c r="J31" s="44" t="str">
        <f>IF($C31="/","",IF($C31="","",IFERROR(IF(ISNA($H31/VLOOKUP($C31,Données!$C$19:'Données'!$I$48,6,0)), ,$H31/VLOOKUP($C31,Données!$C$19:'Données'!$I$48,6,0)),"/")))</f>
        <v/>
      </c>
      <c r="K31" s="44" t="str">
        <f>IF($C31="/","",IF($C31="","",IFERROR(IF(ISNA($H31/VLOOKUP($C31,Données!$C$19:'Données'!$I$48,7,0)*100), ,$H31/VLOOKUP($C31,Données!$C$19:'Données'!$I$48,7,0)*100),"/")))</f>
        <v/>
      </c>
      <c r="L31" s="45" t="str">
        <f t="shared" si="0"/>
        <v/>
      </c>
      <c r="M31" s="13"/>
      <c r="N31" s="12"/>
      <c r="O31" s="3"/>
      <c r="P31" s="16"/>
      <c r="Q31" s="1"/>
      <c r="R31" s="1"/>
      <c r="S31" s="54">
        <f>IF($C31="","",IFERROR(IF(ISNA(VLOOKUP($C31,Données!$C$19:'Données'!$I$48,6,0)), ,VLOOKUP($C31,Données!$C$19:'Données'!$I$48,6,0)),"/"))</f>
        <v>0</v>
      </c>
      <c r="T31" s="54">
        <f>IF($C31="","",IFERROR(IF(ISNA(VLOOKUP($C31,Données!$C$19:'Données'!$I$48,7,0)), ,VLOOKUP($C31,Données!$C$19:'Données'!$I$48,7,0)),"/"))</f>
        <v>0</v>
      </c>
      <c r="U31" s="54">
        <f>IF($C31="","",IFERROR(IF(ISNA(VLOOKUP($C31,Données!$C$19:'Données'!$I$48,5,0)), ,VLOOKUP($C31,Données!$C$19:'Données'!$I$48,5,0)),"/"))</f>
        <v>0</v>
      </c>
      <c r="V31" s="54" t="str">
        <f t="shared" ref="V31:V53" si="1">IF($C31="","",IFERROR(IF(ISNA($D31*$G31), ,$D31*$G31),"/"))</f>
        <v>/</v>
      </c>
    </row>
    <row r="32" spans="1:22" ht="50.1" customHeight="1" x14ac:dyDescent="0.25">
      <c r="A32" s="1"/>
      <c r="B32" s="1"/>
      <c r="C32" s="82" t="str">
        <f>IF('Phase GPA'!$AT32="HN",'Phase GPA'!$C32,"/")</f>
        <v>/</v>
      </c>
      <c r="D32" s="41" t="str">
        <f>IF($C32="/","",IF($C32="","",IFERROR(IF(ISNA(VLOOKUP($C32,'Phase GPA'!$C$29:'Phase GPA'!$U$58,10,0)), ,VLOOKUP($C32,'Phase GPA'!$C$29:'Phase GPA'!$U$58,10,0)),0)))</f>
        <v/>
      </c>
      <c r="E32" s="42" t="str">
        <f>IF($C32="/","",IF($C32="","",IFERROR(IF(ISNA($D32/VLOOKUP($C32,Données!$C$19:'Données'!$I$48,6,0)), ,$D32/VLOOKUP($C32,Données!$C$19:'Données'!$I$48,6,0)),"/")))</f>
        <v/>
      </c>
      <c r="F32" s="42" t="str">
        <f>IF($C32="/","",IF($C32="","",IFERROR(IF(ISNA($D32/VLOOKUP($C32,Données!$C$19:'Données'!$I$48,7,0)*100), ,$D32/VLOOKUP($C32,Données!$C$19:'Données'!$I$48,7,0)*100),"/")))</f>
        <v/>
      </c>
      <c r="G32" s="41" t="str">
        <f>IF($C32="/","",IF($C32="","",IFERROR(IF(ISNA(VLOOKUP($C32,'Phase GPA'!$C$29:'Phase GPA'!$U$58,11,0)), ,VLOOKUP($C32,'Phase GPA'!$C$29:'Phase GPA'!$U$58,11,0)),0)))</f>
        <v/>
      </c>
      <c r="H32" s="44" t="str">
        <f>IF($C32="/","",IF($C32="","",IFERROR(IF(ISNA(VLOOKUP($C32,'Phase GPA'!$C$29:'Phase GPA'!$U$58,12,0)), ,VLOOKUP($C32,'Phase GPA'!$C$29:'Phase GPA'!$U$58,12,0)),0)))</f>
        <v/>
      </c>
      <c r="I32" s="44" t="str">
        <f>IF($C32="/","",IF($C32="","",IFERROR(IF(ISNA($H32/VLOOKUP($C32,Données!$C$19:'Données'!$I$48,5,0)), ,$H32/VLOOKUP($C32,Données!$C$19:'Données'!$I$48,5,0))*100,0)))</f>
        <v/>
      </c>
      <c r="J32" s="44" t="str">
        <f>IF($C32="/","",IF($C32="","",IFERROR(IF(ISNA($H32/VLOOKUP($C32,Données!$C$19:'Données'!$I$48,6,0)), ,$H32/VLOOKUP($C32,Données!$C$19:'Données'!$I$48,6,0)),"/")))</f>
        <v/>
      </c>
      <c r="K32" s="44" t="str">
        <f>IF($C32="/","",IF($C32="","",IFERROR(IF(ISNA($H32/VLOOKUP($C32,Données!$C$19:'Données'!$I$48,7,0)*100), ,$H32/VLOOKUP($C32,Données!$C$19:'Données'!$I$48,7,0)*100),"/")))</f>
        <v/>
      </c>
      <c r="L32" s="45" t="str">
        <f t="shared" si="0"/>
        <v/>
      </c>
      <c r="M32" s="13"/>
      <c r="N32" s="12"/>
      <c r="O32" s="3"/>
      <c r="P32" s="16"/>
      <c r="Q32" s="1"/>
      <c r="R32" s="1"/>
      <c r="S32" s="54">
        <f>IF($C32="","",IFERROR(IF(ISNA(VLOOKUP($C32,Données!$C$19:'Données'!$I$48,6,0)), ,VLOOKUP($C32,Données!$C$19:'Données'!$I$48,6,0)),"/"))</f>
        <v>0</v>
      </c>
      <c r="T32" s="54">
        <f>IF($C32="","",IFERROR(IF(ISNA(VLOOKUP($C32,Données!$C$19:'Données'!$I$48,7,0)), ,VLOOKUP($C32,Données!$C$19:'Données'!$I$48,7,0)),"/"))</f>
        <v>0</v>
      </c>
      <c r="U32" s="54">
        <f>IF($C32="","",IFERROR(IF(ISNA(VLOOKUP($C32,Données!$C$19:'Données'!$I$48,5,0)), ,VLOOKUP($C32,Données!$C$19:'Données'!$I$48,5,0)),"/"))</f>
        <v>0</v>
      </c>
      <c r="V32" s="54" t="str">
        <f t="shared" si="1"/>
        <v>/</v>
      </c>
    </row>
    <row r="33" spans="1:22" ht="50.1" customHeight="1" x14ac:dyDescent="0.25">
      <c r="A33" s="1"/>
      <c r="B33" s="1"/>
      <c r="C33" s="82" t="str">
        <f>IF('Phase GPA'!$AT33="HN",'Phase GPA'!$C33,"/")</f>
        <v>/</v>
      </c>
      <c r="D33" s="41" t="str">
        <f>IF($C33="/","",IF($C33="","",IFERROR(IF(ISNA(VLOOKUP($C33,'Phase GPA'!$C$29:'Phase GPA'!$U$58,10,0)), ,VLOOKUP($C33,'Phase GPA'!$C$29:'Phase GPA'!$U$58,10,0)),0)))</f>
        <v/>
      </c>
      <c r="E33" s="42" t="str">
        <f>IF($C33="/","",IF($C33="","",IFERROR(IF(ISNA($D33/VLOOKUP($C33,Données!$C$19:'Données'!$I$48,6,0)), ,$D33/VLOOKUP($C33,Données!$C$19:'Données'!$I$48,6,0)),"/")))</f>
        <v/>
      </c>
      <c r="F33" s="42" t="str">
        <f>IF($C33="/","",IF($C33="","",IFERROR(IF(ISNA($D33/VLOOKUP($C33,Données!$C$19:'Données'!$I$48,7,0)*100), ,$D33/VLOOKUP($C33,Données!$C$19:'Données'!$I$48,7,0)*100),"/")))</f>
        <v/>
      </c>
      <c r="G33" s="41" t="str">
        <f>IF($C33="/","",IF($C33="","",IFERROR(IF(ISNA(VLOOKUP($C33,'Phase GPA'!$C$29:'Phase GPA'!$U$58,11,0)), ,VLOOKUP($C33,'Phase GPA'!$C$29:'Phase GPA'!$U$58,11,0)),0)))</f>
        <v/>
      </c>
      <c r="H33" s="44" t="str">
        <f>IF($C33="/","",IF($C33="","",IFERROR(IF(ISNA(VLOOKUP($C33,'Phase GPA'!$C$29:'Phase GPA'!$U$58,12,0)), ,VLOOKUP($C33,'Phase GPA'!$C$29:'Phase GPA'!$U$58,12,0)),0)))</f>
        <v/>
      </c>
      <c r="I33" s="44" t="str">
        <f>IF($C33="/","",IF($C33="","",IFERROR(IF(ISNA($H33/VLOOKUP($C33,Données!$C$19:'Données'!$I$48,5,0)), ,$H33/VLOOKUP($C33,Données!$C$19:'Données'!$I$48,5,0))*100,0)))</f>
        <v/>
      </c>
      <c r="J33" s="44" t="str">
        <f>IF($C33="/","",IF($C33="","",IFERROR(IF(ISNA($H33/VLOOKUP($C33,Données!$C$19:'Données'!$I$48,6,0)), ,$H33/VLOOKUP($C33,Données!$C$19:'Données'!$I$48,6,0)),"/")))</f>
        <v/>
      </c>
      <c r="K33" s="44" t="str">
        <f>IF($C33="/","",IF($C33="","",IFERROR(IF(ISNA($H33/VLOOKUP($C33,Données!$C$19:'Données'!$I$48,7,0)*100), ,$H33/VLOOKUP($C33,Données!$C$19:'Données'!$I$48,7,0)*100),"/")))</f>
        <v/>
      </c>
      <c r="L33" s="45" t="str">
        <f t="shared" si="0"/>
        <v/>
      </c>
      <c r="M33" s="13"/>
      <c r="N33" s="12"/>
      <c r="O33" s="3"/>
      <c r="P33" s="16"/>
      <c r="Q33" s="1"/>
      <c r="R33" s="1"/>
      <c r="S33" s="54">
        <f>IF($C33="","",IFERROR(IF(ISNA(VLOOKUP($C33,Données!$C$19:'Données'!$I$48,6,0)), ,VLOOKUP($C33,Données!$C$19:'Données'!$I$48,6,0)),"/"))</f>
        <v>0</v>
      </c>
      <c r="T33" s="54">
        <f>IF($C33="","",IFERROR(IF(ISNA(VLOOKUP($C33,Données!$C$19:'Données'!$I$48,7,0)), ,VLOOKUP($C33,Données!$C$19:'Données'!$I$48,7,0)),"/"))</f>
        <v>0</v>
      </c>
      <c r="U33" s="54">
        <f>IF($C33="","",IFERROR(IF(ISNA(VLOOKUP($C33,Données!$C$19:'Données'!$I$48,5,0)), ,VLOOKUP($C33,Données!$C$19:'Données'!$I$48,5,0)),"/"))</f>
        <v>0</v>
      </c>
      <c r="V33" s="54" t="str">
        <f t="shared" si="1"/>
        <v>/</v>
      </c>
    </row>
    <row r="34" spans="1:22" ht="50.1" customHeight="1" x14ac:dyDescent="0.25">
      <c r="A34" s="1"/>
      <c r="B34" s="1"/>
      <c r="C34" s="82" t="str">
        <f>IF('Phase GPA'!$AT34="HN",'Phase GPA'!$C34,"/")</f>
        <v>/</v>
      </c>
      <c r="D34" s="41" t="str">
        <f>IF($C34="/","",IF($C34="","",IFERROR(IF(ISNA(VLOOKUP($C34,'Phase GPA'!$C$29:'Phase GPA'!$U$58,10,0)), ,VLOOKUP($C34,'Phase GPA'!$C$29:'Phase GPA'!$U$58,10,0)),0)))</f>
        <v/>
      </c>
      <c r="E34" s="42" t="str">
        <f>IF($C34="/","",IF($C34="","",IFERROR(IF(ISNA($D34/VLOOKUP($C34,Données!$C$19:'Données'!$I$48,6,0)), ,$D34/VLOOKUP($C34,Données!$C$19:'Données'!$I$48,6,0)),"/")))</f>
        <v/>
      </c>
      <c r="F34" s="42" t="str">
        <f>IF($C34="/","",IF($C34="","",IFERROR(IF(ISNA($D34/VLOOKUP($C34,Données!$C$19:'Données'!$I$48,7,0)*100), ,$D34/VLOOKUP($C34,Données!$C$19:'Données'!$I$48,7,0)*100),"/")))</f>
        <v/>
      </c>
      <c r="G34" s="41" t="str">
        <f>IF($C34="/","",IF($C34="","",IFERROR(IF(ISNA(VLOOKUP($C34,'Phase GPA'!$C$29:'Phase GPA'!$U$58,11,0)), ,VLOOKUP($C34,'Phase GPA'!$C$29:'Phase GPA'!$U$58,11,0)),0)))</f>
        <v/>
      </c>
      <c r="H34" s="44" t="str">
        <f>IF($C34="/","",IF($C34="","",IFERROR(IF(ISNA(VLOOKUP($C34,'Phase GPA'!$C$29:'Phase GPA'!$U$58,12,0)), ,VLOOKUP($C34,'Phase GPA'!$C$29:'Phase GPA'!$U$58,12,0)),0)))</f>
        <v/>
      </c>
      <c r="I34" s="44" t="str">
        <f>IF($C34="/","",IF($C34="","",IFERROR(IF(ISNA($H34/VLOOKUP($C34,Données!$C$19:'Données'!$I$48,5,0)), ,$H34/VLOOKUP($C34,Données!$C$19:'Données'!$I$48,5,0))*100,0)))</f>
        <v/>
      </c>
      <c r="J34" s="44" t="str">
        <f>IF($C34="/","",IF($C34="","",IFERROR(IF(ISNA($H34/VLOOKUP($C34,Données!$C$19:'Données'!$I$48,6,0)), ,$H34/VLOOKUP($C34,Données!$C$19:'Données'!$I$48,6,0)),"/")))</f>
        <v/>
      </c>
      <c r="K34" s="44" t="str">
        <f>IF($C34="/","",IF($C34="","",IFERROR(IF(ISNA($H34/VLOOKUP($C34,Données!$C$19:'Données'!$I$48,7,0)*100), ,$H34/VLOOKUP($C34,Données!$C$19:'Données'!$I$48,7,0)*100),"/")))</f>
        <v/>
      </c>
      <c r="L34" s="45" t="str">
        <f t="shared" si="0"/>
        <v/>
      </c>
      <c r="M34" s="13"/>
      <c r="N34" s="12"/>
      <c r="O34" s="3"/>
      <c r="P34" s="16"/>
      <c r="Q34" s="1"/>
      <c r="R34" s="1"/>
      <c r="S34" s="54">
        <f>IF($C34="","",IFERROR(IF(ISNA(VLOOKUP($C34,Données!$C$19:'Données'!$I$48,6,0)), ,VLOOKUP($C34,Données!$C$19:'Données'!$I$48,6,0)),"/"))</f>
        <v>0</v>
      </c>
      <c r="T34" s="54">
        <f>IF($C34="","",IFERROR(IF(ISNA(VLOOKUP($C34,Données!$C$19:'Données'!$I$48,7,0)), ,VLOOKUP($C34,Données!$C$19:'Données'!$I$48,7,0)),"/"))</f>
        <v>0</v>
      </c>
      <c r="U34" s="54">
        <f>IF($C34="","",IFERROR(IF(ISNA(VLOOKUP($C34,Données!$C$19:'Données'!$I$48,5,0)), ,VLOOKUP($C34,Données!$C$19:'Données'!$I$48,5,0)),"/"))</f>
        <v>0</v>
      </c>
      <c r="V34" s="54" t="str">
        <f t="shared" si="1"/>
        <v>/</v>
      </c>
    </row>
    <row r="35" spans="1:22" ht="50.1" customHeight="1" x14ac:dyDescent="0.25">
      <c r="A35" s="1"/>
      <c r="B35" s="1"/>
      <c r="C35" s="82" t="str">
        <f>IF('Phase GPA'!$AT35="HN",'Phase GPA'!$C35,"/")</f>
        <v>/</v>
      </c>
      <c r="D35" s="41" t="str">
        <f>IF($C35="/","",IF($C35="","",IFERROR(IF(ISNA(VLOOKUP($C35,'Phase GPA'!$C$29:'Phase GPA'!$U$58,10,0)), ,VLOOKUP($C35,'Phase GPA'!$C$29:'Phase GPA'!$U$58,10,0)),0)))</f>
        <v/>
      </c>
      <c r="E35" s="42" t="str">
        <f>IF($C35="/","",IF($C35="","",IFERROR(IF(ISNA($D35/VLOOKUP($C35,Données!$C$19:'Données'!$I$48,6,0)), ,$D35/VLOOKUP($C35,Données!$C$19:'Données'!$I$48,6,0)),"/")))</f>
        <v/>
      </c>
      <c r="F35" s="42" t="str">
        <f>IF($C35="/","",IF($C35="","",IFERROR(IF(ISNA($D35/VLOOKUP($C35,Données!$C$19:'Données'!$I$48,7,0)*100), ,$D35/VLOOKUP($C35,Données!$C$19:'Données'!$I$48,7,0)*100),"/")))</f>
        <v/>
      </c>
      <c r="G35" s="41" t="str">
        <f>IF($C35="/","",IF($C35="","",IFERROR(IF(ISNA(VLOOKUP($C35,'Phase GPA'!$C$29:'Phase GPA'!$U$58,11,0)), ,VLOOKUP($C35,'Phase GPA'!$C$29:'Phase GPA'!$U$58,11,0)),0)))</f>
        <v/>
      </c>
      <c r="H35" s="44" t="str">
        <f>IF($C35="/","",IF($C35="","",IFERROR(IF(ISNA(VLOOKUP($C35,'Phase GPA'!$C$29:'Phase GPA'!$U$58,12,0)), ,VLOOKUP($C35,'Phase GPA'!$C$29:'Phase GPA'!$U$58,12,0)),0)))</f>
        <v/>
      </c>
      <c r="I35" s="44" t="str">
        <f>IF($C35="/","",IF($C35="","",IFERROR(IF(ISNA($H35/VLOOKUP($C35,Données!$C$19:'Données'!$I$48,5,0)), ,$H35/VLOOKUP($C35,Données!$C$19:'Données'!$I$48,5,0))*100,0)))</f>
        <v/>
      </c>
      <c r="J35" s="44" t="str">
        <f>IF($C35="/","",IF($C35="","",IFERROR(IF(ISNA($H35/VLOOKUP($C35,Données!$C$19:'Données'!$I$48,6,0)), ,$H35/VLOOKUP($C35,Données!$C$19:'Données'!$I$48,6,0)),"/")))</f>
        <v/>
      </c>
      <c r="K35" s="44" t="str">
        <f>IF($C35="/","",IF($C35="","",IFERROR(IF(ISNA($H35/VLOOKUP($C35,Données!$C$19:'Données'!$I$48,7,0)*100), ,$H35/VLOOKUP($C35,Données!$C$19:'Données'!$I$48,7,0)*100),"/")))</f>
        <v/>
      </c>
      <c r="L35" s="45" t="str">
        <f t="shared" si="0"/>
        <v/>
      </c>
      <c r="M35" s="13"/>
      <c r="N35" s="12"/>
      <c r="O35" s="3"/>
      <c r="P35" s="16"/>
      <c r="Q35" s="1"/>
      <c r="R35" s="1"/>
      <c r="S35" s="54">
        <f>IF($C35="","",IFERROR(IF(ISNA(VLOOKUP($C35,Données!$C$19:'Données'!$I$48,6,0)), ,VLOOKUP($C35,Données!$C$19:'Données'!$I$48,6,0)),"/"))</f>
        <v>0</v>
      </c>
      <c r="T35" s="54">
        <f>IF($C35="","",IFERROR(IF(ISNA(VLOOKUP($C35,Données!$C$19:'Données'!$I$48,7,0)), ,VLOOKUP($C35,Données!$C$19:'Données'!$I$48,7,0)),"/"))</f>
        <v>0</v>
      </c>
      <c r="U35" s="54">
        <f>IF($C35="","",IFERROR(IF(ISNA(VLOOKUP($C35,Données!$C$19:'Données'!$I$48,5,0)), ,VLOOKUP($C35,Données!$C$19:'Données'!$I$48,5,0)),"/"))</f>
        <v>0</v>
      </c>
      <c r="V35" s="54" t="str">
        <f t="shared" si="1"/>
        <v>/</v>
      </c>
    </row>
    <row r="36" spans="1:22" ht="50.1" customHeight="1" x14ac:dyDescent="0.25">
      <c r="A36" s="1"/>
      <c r="B36" s="1"/>
      <c r="C36" s="82" t="str">
        <f>IF('Phase GPA'!$AT36="HN",'Phase GPA'!$C36,"/")</f>
        <v>/</v>
      </c>
      <c r="D36" s="41" t="str">
        <f>IF($C36="/","",IF($C36="","",IFERROR(IF(ISNA(VLOOKUP($C36,'Phase GPA'!$C$29:'Phase GPA'!$U$58,10,0)), ,VLOOKUP($C36,'Phase GPA'!$C$29:'Phase GPA'!$U$58,10,0)),0)))</f>
        <v/>
      </c>
      <c r="E36" s="42" t="str">
        <f>IF($C36="/","",IF($C36="","",IFERROR(IF(ISNA($D36/VLOOKUP($C36,Données!$C$19:'Données'!$I$48,6,0)), ,$D36/VLOOKUP($C36,Données!$C$19:'Données'!$I$48,6,0)),"/")))</f>
        <v/>
      </c>
      <c r="F36" s="42" t="str">
        <f>IF($C36="/","",IF($C36="","",IFERROR(IF(ISNA($D36/VLOOKUP($C36,Données!$C$19:'Données'!$I$48,7,0)*100), ,$D36/VLOOKUP($C36,Données!$C$19:'Données'!$I$48,7,0)*100),"/")))</f>
        <v/>
      </c>
      <c r="G36" s="41" t="str">
        <f>IF($C36="/","",IF($C36="","",IFERROR(IF(ISNA(VLOOKUP($C36,'Phase GPA'!$C$29:'Phase GPA'!$U$58,11,0)), ,VLOOKUP($C36,'Phase GPA'!$C$29:'Phase GPA'!$U$58,11,0)),0)))</f>
        <v/>
      </c>
      <c r="H36" s="44" t="str">
        <f>IF($C36="/","",IF($C36="","",IFERROR(IF(ISNA(VLOOKUP($C36,'Phase GPA'!$C$29:'Phase GPA'!$U$58,12,0)), ,VLOOKUP($C36,'Phase GPA'!$C$29:'Phase GPA'!$U$58,12,0)),0)))</f>
        <v/>
      </c>
      <c r="I36" s="44" t="str">
        <f>IF($C36="/","",IF($C36="","",IFERROR(IF(ISNA($H36/VLOOKUP($C36,Données!$C$19:'Données'!$I$48,5,0)), ,$H36/VLOOKUP($C36,Données!$C$19:'Données'!$I$48,5,0))*100,0)))</f>
        <v/>
      </c>
      <c r="J36" s="44" t="str">
        <f>IF($C36="/","",IF($C36="","",IFERROR(IF(ISNA($H36/VLOOKUP($C36,Données!$C$19:'Données'!$I$48,6,0)), ,$H36/VLOOKUP($C36,Données!$C$19:'Données'!$I$48,6,0)),"/")))</f>
        <v/>
      </c>
      <c r="K36" s="44" t="str">
        <f>IF($C36="/","",IF($C36="","",IFERROR(IF(ISNA($H36/VLOOKUP($C36,Données!$C$19:'Données'!$I$48,7,0)*100), ,$H36/VLOOKUP($C36,Données!$C$19:'Données'!$I$48,7,0)*100),"/")))</f>
        <v/>
      </c>
      <c r="L36" s="45" t="str">
        <f t="shared" si="0"/>
        <v/>
      </c>
      <c r="M36" s="13"/>
      <c r="N36" s="12"/>
      <c r="O36" s="3"/>
      <c r="P36" s="16"/>
      <c r="Q36" s="1"/>
      <c r="R36" s="1"/>
      <c r="S36" s="54">
        <f>IF($C36="","",IFERROR(IF(ISNA(VLOOKUP($C36,Données!$C$19:'Données'!$I$48,6,0)), ,VLOOKUP($C36,Données!$C$19:'Données'!$I$48,6,0)),"/"))</f>
        <v>0</v>
      </c>
      <c r="T36" s="54">
        <f>IF($C36="","",IFERROR(IF(ISNA(VLOOKUP($C36,Données!$C$19:'Données'!$I$48,7,0)), ,VLOOKUP($C36,Données!$C$19:'Données'!$I$48,7,0)),"/"))</f>
        <v>0</v>
      </c>
      <c r="U36" s="54">
        <f>IF($C36="","",IFERROR(IF(ISNA(VLOOKUP($C36,Données!$C$19:'Données'!$I$48,5,0)), ,VLOOKUP($C36,Données!$C$19:'Données'!$I$48,5,0)),"/"))</f>
        <v>0</v>
      </c>
      <c r="V36" s="54" t="str">
        <f t="shared" si="1"/>
        <v>/</v>
      </c>
    </row>
    <row r="37" spans="1:22" ht="50.1" customHeight="1" x14ac:dyDescent="0.25">
      <c r="A37" s="1"/>
      <c r="B37" s="1"/>
      <c r="C37" s="82" t="str">
        <f>IF('Phase GPA'!$AT37="HN",'Phase GPA'!$C37,"/")</f>
        <v>/</v>
      </c>
      <c r="D37" s="41" t="str">
        <f>IF($C37="/","",IF($C37="","",IFERROR(IF(ISNA(VLOOKUP($C37,'Phase GPA'!$C$29:'Phase GPA'!$U$58,10,0)), ,VLOOKUP($C37,'Phase GPA'!$C$29:'Phase GPA'!$U$58,10,0)),0)))</f>
        <v/>
      </c>
      <c r="E37" s="42" t="str">
        <f>IF($C37="/","",IF($C37="","",IFERROR(IF(ISNA($D37/VLOOKUP($C37,Données!$C$19:'Données'!$I$48,6,0)), ,$D37/VLOOKUP($C37,Données!$C$19:'Données'!$I$48,6,0)),"/")))</f>
        <v/>
      </c>
      <c r="F37" s="42" t="str">
        <f>IF($C37="/","",IF($C37="","",IFERROR(IF(ISNA($D37/VLOOKUP($C37,Données!$C$19:'Données'!$I$48,7,0)*100), ,$D37/VLOOKUP($C37,Données!$C$19:'Données'!$I$48,7,0)*100),"/")))</f>
        <v/>
      </c>
      <c r="G37" s="41" t="str">
        <f>IF($C37="/","",IF($C37="","",IFERROR(IF(ISNA(VLOOKUP($C37,'Phase GPA'!$C$29:'Phase GPA'!$U$58,11,0)), ,VLOOKUP($C37,'Phase GPA'!$C$29:'Phase GPA'!$U$58,11,0)),0)))</f>
        <v/>
      </c>
      <c r="H37" s="44" t="str">
        <f>IF($C37="/","",IF($C37="","",IFERROR(IF(ISNA(VLOOKUP($C37,'Phase GPA'!$C$29:'Phase GPA'!$U$58,12,0)), ,VLOOKUP($C37,'Phase GPA'!$C$29:'Phase GPA'!$U$58,12,0)),0)))</f>
        <v/>
      </c>
      <c r="I37" s="44" t="str">
        <f>IF($C37="/","",IF($C37="","",IFERROR(IF(ISNA($H37/VLOOKUP($C37,Données!$C$19:'Données'!$I$48,5,0)), ,$H37/VLOOKUP($C37,Données!$C$19:'Données'!$I$48,5,0))*100,0)))</f>
        <v/>
      </c>
      <c r="J37" s="44" t="str">
        <f>IF($C37="/","",IF($C37="","",IFERROR(IF(ISNA($H37/VLOOKUP($C37,Données!$C$19:'Données'!$I$48,6,0)), ,$H37/VLOOKUP($C37,Données!$C$19:'Données'!$I$48,6,0)),"/")))</f>
        <v/>
      </c>
      <c r="K37" s="44" t="str">
        <f>IF($C37="/","",IF($C37="","",IFERROR(IF(ISNA($H37/VLOOKUP($C37,Données!$C$19:'Données'!$I$48,7,0)*100), ,$H37/VLOOKUP($C37,Données!$C$19:'Données'!$I$48,7,0)*100),"/")))</f>
        <v/>
      </c>
      <c r="L37" s="45" t="str">
        <f t="shared" si="0"/>
        <v/>
      </c>
      <c r="M37" s="13"/>
      <c r="N37" s="12"/>
      <c r="O37" s="3"/>
      <c r="P37" s="16"/>
      <c r="Q37" s="1"/>
      <c r="R37" s="1"/>
      <c r="S37" s="54">
        <f>IF($C37="","",IFERROR(IF(ISNA(VLOOKUP($C37,Données!$C$19:'Données'!$I$48,6,0)), ,VLOOKUP($C37,Données!$C$19:'Données'!$I$48,6,0)),"/"))</f>
        <v>0</v>
      </c>
      <c r="T37" s="54">
        <f>IF($C37="","",IFERROR(IF(ISNA(VLOOKUP($C37,Données!$C$19:'Données'!$I$48,7,0)), ,VLOOKUP($C37,Données!$C$19:'Données'!$I$48,7,0)),"/"))</f>
        <v>0</v>
      </c>
      <c r="U37" s="54">
        <f>IF($C37="","",IFERROR(IF(ISNA(VLOOKUP($C37,Données!$C$19:'Données'!$I$48,5,0)), ,VLOOKUP($C37,Données!$C$19:'Données'!$I$48,5,0)),"/"))</f>
        <v>0</v>
      </c>
      <c r="V37" s="54" t="str">
        <f t="shared" si="1"/>
        <v>/</v>
      </c>
    </row>
    <row r="38" spans="1:22" ht="50.1" customHeight="1" x14ac:dyDescent="0.25">
      <c r="A38" s="1"/>
      <c r="B38" s="1"/>
      <c r="C38" s="82" t="str">
        <f>IF('Phase GPA'!$AT38="HN",'Phase GPA'!$C38,"/")</f>
        <v>/</v>
      </c>
      <c r="D38" s="41" t="str">
        <f>IF($C38="/","",IF($C38="","",IFERROR(IF(ISNA(VLOOKUP($C38,'Phase GPA'!$C$29:'Phase GPA'!$U$58,10,0)), ,VLOOKUP($C38,'Phase GPA'!$C$29:'Phase GPA'!$U$58,10,0)),0)))</f>
        <v/>
      </c>
      <c r="E38" s="42" t="str">
        <f>IF($C38="/","",IF($C38="","",IFERROR(IF(ISNA($D38/VLOOKUP($C38,Données!$C$19:'Données'!$I$48,6,0)), ,$D38/VLOOKUP($C38,Données!$C$19:'Données'!$I$48,6,0)),"/")))</f>
        <v/>
      </c>
      <c r="F38" s="42" t="str">
        <f>IF($C38="/","",IF($C38="","",IFERROR(IF(ISNA($D38/VLOOKUP($C38,Données!$C$19:'Données'!$I$48,7,0)*100), ,$D38/VLOOKUP($C38,Données!$C$19:'Données'!$I$48,7,0)*100),"/")))</f>
        <v/>
      </c>
      <c r="G38" s="41" t="str">
        <f>IF($C38="/","",IF($C38="","",IFERROR(IF(ISNA(VLOOKUP($C38,'Phase GPA'!$C$29:'Phase GPA'!$U$58,11,0)), ,VLOOKUP($C38,'Phase GPA'!$C$29:'Phase GPA'!$U$58,11,0)),0)))</f>
        <v/>
      </c>
      <c r="H38" s="44" t="str">
        <f>IF($C38="/","",IF($C38="","",IFERROR(IF(ISNA(VLOOKUP($C38,'Phase GPA'!$C$29:'Phase GPA'!$U$58,12,0)), ,VLOOKUP($C38,'Phase GPA'!$C$29:'Phase GPA'!$U$58,12,0)),0)))</f>
        <v/>
      </c>
      <c r="I38" s="44" t="str">
        <f>IF($C38="/","",IF($C38="","",IFERROR(IF(ISNA($H38/VLOOKUP($C38,Données!$C$19:'Données'!$I$48,5,0)), ,$H38/VLOOKUP($C38,Données!$C$19:'Données'!$I$48,5,0))*100,0)))</f>
        <v/>
      </c>
      <c r="J38" s="44" t="str">
        <f>IF($C38="/","",IF($C38="","",IFERROR(IF(ISNA($H38/VLOOKUP($C38,Données!$C$19:'Données'!$I$48,6,0)), ,$H38/VLOOKUP($C38,Données!$C$19:'Données'!$I$48,6,0)),"/")))</f>
        <v/>
      </c>
      <c r="K38" s="44" t="str">
        <f>IF($C38="/","",IF($C38="","",IFERROR(IF(ISNA($H38/VLOOKUP($C38,Données!$C$19:'Données'!$I$48,7,0)*100), ,$H38/VLOOKUP($C38,Données!$C$19:'Données'!$I$48,7,0)*100),"/")))</f>
        <v/>
      </c>
      <c r="L38" s="45" t="str">
        <f t="shared" si="0"/>
        <v/>
      </c>
      <c r="M38" s="13"/>
      <c r="N38" s="12"/>
      <c r="O38" s="3"/>
      <c r="P38" s="16"/>
      <c r="Q38" s="1"/>
      <c r="R38" s="1"/>
      <c r="S38" s="54">
        <f>IF($C38="","",IFERROR(IF(ISNA(VLOOKUP($C38,Données!$C$19:'Données'!$I$48,6,0)), ,VLOOKUP($C38,Données!$C$19:'Données'!$I$48,6,0)),"/"))</f>
        <v>0</v>
      </c>
      <c r="T38" s="54">
        <f>IF($C38="","",IFERROR(IF(ISNA(VLOOKUP($C38,Données!$C$19:'Données'!$I$48,7,0)), ,VLOOKUP($C38,Données!$C$19:'Données'!$I$48,7,0)),"/"))</f>
        <v>0</v>
      </c>
      <c r="U38" s="54">
        <f>IF($C38="","",IFERROR(IF(ISNA(VLOOKUP($C38,Données!$C$19:'Données'!$I$48,5,0)), ,VLOOKUP($C38,Données!$C$19:'Données'!$I$48,5,0)),"/"))</f>
        <v>0</v>
      </c>
      <c r="V38" s="54" t="str">
        <f t="shared" si="1"/>
        <v>/</v>
      </c>
    </row>
    <row r="39" spans="1:22" ht="50.1" customHeight="1" x14ac:dyDescent="0.25">
      <c r="A39" s="1"/>
      <c r="B39" s="1"/>
      <c r="C39" s="82" t="str">
        <f>IF('Phase GPA'!$AT39="HN",'Phase GPA'!$C39,"/")</f>
        <v>/</v>
      </c>
      <c r="D39" s="41" t="str">
        <f>IF($C39="/","",IF($C39="","",IFERROR(IF(ISNA(VLOOKUP($C39,'Phase GPA'!$C$29:'Phase GPA'!$U$58,10,0)), ,VLOOKUP($C39,'Phase GPA'!$C$29:'Phase GPA'!$U$58,10,0)),0)))</f>
        <v/>
      </c>
      <c r="E39" s="42" t="str">
        <f>IF($C39="/","",IF($C39="","",IFERROR(IF(ISNA($D39/VLOOKUP($C39,Données!$C$19:'Données'!$I$48,6,0)), ,$D39/VLOOKUP($C39,Données!$C$19:'Données'!$I$48,6,0)),"/")))</f>
        <v/>
      </c>
      <c r="F39" s="42" t="str">
        <f>IF($C39="/","",IF($C39="","",IFERROR(IF(ISNA($D39/VLOOKUP($C39,Données!$C$19:'Données'!$I$48,7,0)*100), ,$D39/VLOOKUP($C39,Données!$C$19:'Données'!$I$48,7,0)*100),"/")))</f>
        <v/>
      </c>
      <c r="G39" s="41" t="str">
        <f>IF($C39="/","",IF($C39="","",IFERROR(IF(ISNA(VLOOKUP($C39,'Phase GPA'!$C$29:'Phase GPA'!$U$58,11,0)), ,VLOOKUP($C39,'Phase GPA'!$C$29:'Phase GPA'!$U$58,11,0)),0)))</f>
        <v/>
      </c>
      <c r="H39" s="44" t="str">
        <f>IF($C39="/","",IF($C39="","",IFERROR(IF(ISNA(VLOOKUP($C39,'Phase GPA'!$C$29:'Phase GPA'!$U$58,12,0)), ,VLOOKUP($C39,'Phase GPA'!$C$29:'Phase GPA'!$U$58,12,0)),0)))</f>
        <v/>
      </c>
      <c r="I39" s="44" t="str">
        <f>IF($C39="/","",IF($C39="","",IFERROR(IF(ISNA($H39/VLOOKUP($C39,Données!$C$19:'Données'!$I$48,5,0)), ,$H39/VLOOKUP($C39,Données!$C$19:'Données'!$I$48,5,0))*100,0)))</f>
        <v/>
      </c>
      <c r="J39" s="44" t="str">
        <f>IF($C39="/","",IF($C39="","",IFERROR(IF(ISNA($H39/VLOOKUP($C39,Données!$C$19:'Données'!$I$48,6,0)), ,$H39/VLOOKUP($C39,Données!$C$19:'Données'!$I$48,6,0)),"/")))</f>
        <v/>
      </c>
      <c r="K39" s="44" t="str">
        <f>IF($C39="/","",IF($C39="","",IFERROR(IF(ISNA($H39/VLOOKUP($C39,Données!$C$19:'Données'!$I$48,7,0)*100), ,$H39/VLOOKUP($C39,Données!$C$19:'Données'!$I$48,7,0)*100),"/")))</f>
        <v/>
      </c>
      <c r="L39" s="45" t="str">
        <f t="shared" si="0"/>
        <v/>
      </c>
      <c r="M39" s="13"/>
      <c r="N39" s="12"/>
      <c r="O39" s="3"/>
      <c r="P39" s="16"/>
      <c r="Q39" s="1"/>
      <c r="R39" s="1"/>
      <c r="S39" s="54">
        <f>IF($C39="","",IFERROR(IF(ISNA(VLOOKUP($C39,Données!$C$19:'Données'!$I$48,6,0)), ,VLOOKUP($C39,Données!$C$19:'Données'!$I$48,6,0)),"/"))</f>
        <v>0</v>
      </c>
      <c r="T39" s="54">
        <f>IF($C39="","",IFERROR(IF(ISNA(VLOOKUP($C39,Données!$C$19:'Données'!$I$48,7,0)), ,VLOOKUP($C39,Données!$C$19:'Données'!$I$48,7,0)),"/"))</f>
        <v>0</v>
      </c>
      <c r="U39" s="54">
        <f>IF($C39="","",IFERROR(IF(ISNA(VLOOKUP($C39,Données!$C$19:'Données'!$I$48,5,0)), ,VLOOKUP($C39,Données!$C$19:'Données'!$I$48,5,0)),"/"))</f>
        <v>0</v>
      </c>
      <c r="V39" s="54" t="str">
        <f t="shared" si="1"/>
        <v>/</v>
      </c>
    </row>
    <row r="40" spans="1:22" ht="50.1" customHeight="1" x14ac:dyDescent="0.25">
      <c r="A40" s="1"/>
      <c r="B40" s="1"/>
      <c r="C40" s="82" t="str">
        <f>IF('Phase GPA'!$AT40="HN",'Phase GPA'!$C40,"/")</f>
        <v>/</v>
      </c>
      <c r="D40" s="41" t="str">
        <f>IF($C40="/","",IF($C40="","",IFERROR(IF(ISNA(VLOOKUP($C40,'Phase GPA'!$C$29:'Phase GPA'!$U$58,10,0)), ,VLOOKUP($C40,'Phase GPA'!$C$29:'Phase GPA'!$U$58,10,0)),0)))</f>
        <v/>
      </c>
      <c r="E40" s="42" t="str">
        <f>IF($C40="/","",IF($C40="","",IFERROR(IF(ISNA($D40/VLOOKUP($C40,Données!$C$19:'Données'!$I$48,6,0)), ,$D40/VLOOKUP($C40,Données!$C$19:'Données'!$I$48,6,0)),"/")))</f>
        <v/>
      </c>
      <c r="F40" s="42" t="str">
        <f>IF($C40="/","",IF($C40="","",IFERROR(IF(ISNA($D40/VLOOKUP($C40,Données!$C$19:'Données'!$I$48,7,0)*100), ,$D40/VLOOKUP($C40,Données!$C$19:'Données'!$I$48,7,0)*100),"/")))</f>
        <v/>
      </c>
      <c r="G40" s="41" t="str">
        <f>IF($C40="/","",IF($C40="","",IFERROR(IF(ISNA(VLOOKUP($C40,'Phase GPA'!$C$29:'Phase GPA'!$U$58,11,0)), ,VLOOKUP($C40,'Phase GPA'!$C$29:'Phase GPA'!$U$58,11,0)),0)))</f>
        <v/>
      </c>
      <c r="H40" s="44" t="str">
        <f>IF($C40="/","",IF($C40="","",IFERROR(IF(ISNA(VLOOKUP($C40,'Phase GPA'!$C$29:'Phase GPA'!$U$58,12,0)), ,VLOOKUP($C40,'Phase GPA'!$C$29:'Phase GPA'!$U$58,12,0)),0)))</f>
        <v/>
      </c>
      <c r="I40" s="44" t="str">
        <f>IF($C40="/","",IF($C40="","",IFERROR(IF(ISNA($H40/VLOOKUP($C40,Données!$C$19:'Données'!$I$48,5,0)), ,$H40/VLOOKUP($C40,Données!$C$19:'Données'!$I$48,5,0))*100,0)))</f>
        <v/>
      </c>
      <c r="J40" s="44" t="str">
        <f>IF($C40="/","",IF($C40="","",IFERROR(IF(ISNA($H40/VLOOKUP($C40,Données!$C$19:'Données'!$I$48,6,0)), ,$H40/VLOOKUP($C40,Données!$C$19:'Données'!$I$48,6,0)),"/")))</f>
        <v/>
      </c>
      <c r="K40" s="44" t="str">
        <f>IF($C40="/","",IF($C40="","",IFERROR(IF(ISNA($H40/VLOOKUP($C40,Données!$C$19:'Données'!$I$48,7,0)*100), ,$H40/VLOOKUP($C40,Données!$C$19:'Données'!$I$48,7,0)*100),"/")))</f>
        <v/>
      </c>
      <c r="L40" s="45" t="str">
        <f t="shared" si="0"/>
        <v/>
      </c>
      <c r="M40" s="13"/>
      <c r="N40" s="12"/>
      <c r="O40" s="3"/>
      <c r="P40" s="16"/>
      <c r="Q40" s="1"/>
      <c r="R40" s="1"/>
      <c r="S40" s="54">
        <f>IF($C40="","",IFERROR(IF(ISNA(VLOOKUP($C40,Données!$C$19:'Données'!$I$48,6,0)), ,VLOOKUP($C40,Données!$C$19:'Données'!$I$48,6,0)),"/"))</f>
        <v>0</v>
      </c>
      <c r="T40" s="54">
        <f>IF($C40="","",IFERROR(IF(ISNA(VLOOKUP($C40,Données!$C$19:'Données'!$I$48,7,0)), ,VLOOKUP($C40,Données!$C$19:'Données'!$I$48,7,0)),"/"))</f>
        <v>0</v>
      </c>
      <c r="U40" s="54">
        <f>IF($C40="","",IFERROR(IF(ISNA(VLOOKUP($C40,Données!$C$19:'Données'!$I$48,5,0)), ,VLOOKUP($C40,Données!$C$19:'Données'!$I$48,5,0)),"/"))</f>
        <v>0</v>
      </c>
      <c r="V40" s="54" t="str">
        <f t="shared" si="1"/>
        <v>/</v>
      </c>
    </row>
    <row r="41" spans="1:22" ht="50.1" customHeight="1" x14ac:dyDescent="0.25">
      <c r="A41" s="1"/>
      <c r="B41" s="1"/>
      <c r="C41" s="82" t="str">
        <f>IF('Phase GPA'!$AT41="HN",'Phase GPA'!$C41,"/")</f>
        <v>/</v>
      </c>
      <c r="D41" s="41" t="str">
        <f>IF($C41="/","",IF($C41="","",IFERROR(IF(ISNA(VLOOKUP($C41,'Phase GPA'!$C$29:'Phase GPA'!$U$58,10,0)), ,VLOOKUP($C41,'Phase GPA'!$C$29:'Phase GPA'!$U$58,10,0)),0)))</f>
        <v/>
      </c>
      <c r="E41" s="42" t="str">
        <f>IF($C41="/","",IF($C41="","",IFERROR(IF(ISNA($D41/VLOOKUP($C41,Données!$C$19:'Données'!$I$48,6,0)), ,$D41/VLOOKUP($C41,Données!$C$19:'Données'!$I$48,6,0)),"/")))</f>
        <v/>
      </c>
      <c r="F41" s="42" t="str">
        <f>IF($C41="/","",IF($C41="","",IFERROR(IF(ISNA($D41/VLOOKUP($C41,Données!$C$19:'Données'!$I$48,7,0)*100), ,$D41/VLOOKUP($C41,Données!$C$19:'Données'!$I$48,7,0)*100),"/")))</f>
        <v/>
      </c>
      <c r="G41" s="41" t="str">
        <f>IF($C41="/","",IF($C41="","",IFERROR(IF(ISNA(VLOOKUP($C41,'Phase GPA'!$C$29:'Phase GPA'!$U$58,11,0)), ,VLOOKUP($C41,'Phase GPA'!$C$29:'Phase GPA'!$U$58,11,0)),0)))</f>
        <v/>
      </c>
      <c r="H41" s="44" t="str">
        <f>IF($C41="/","",IF($C41="","",IFERROR(IF(ISNA(VLOOKUP($C41,'Phase GPA'!$C$29:'Phase GPA'!$U$58,12,0)), ,VLOOKUP($C41,'Phase GPA'!$C$29:'Phase GPA'!$U$58,12,0)),0)))</f>
        <v/>
      </c>
      <c r="I41" s="44" t="str">
        <f>IF($C41="/","",IF($C41="","",IFERROR(IF(ISNA($H41/VLOOKUP($C41,Données!$C$19:'Données'!$I$48,5,0)), ,$H41/VLOOKUP($C41,Données!$C$19:'Données'!$I$48,5,0))*100,0)))</f>
        <v/>
      </c>
      <c r="J41" s="44" t="str">
        <f>IF($C41="/","",IF($C41="","",IFERROR(IF(ISNA($H41/VLOOKUP($C41,Données!$C$19:'Données'!$I$48,6,0)), ,$H41/VLOOKUP($C41,Données!$C$19:'Données'!$I$48,6,0)),"/")))</f>
        <v/>
      </c>
      <c r="K41" s="44" t="str">
        <f>IF($C41="/","",IF($C41="","",IFERROR(IF(ISNA($H41/VLOOKUP($C41,Données!$C$19:'Données'!$I$48,7,0)*100), ,$H41/VLOOKUP($C41,Données!$C$19:'Données'!$I$48,7,0)*100),"/")))</f>
        <v/>
      </c>
      <c r="L41" s="45" t="str">
        <f t="shared" si="0"/>
        <v/>
      </c>
      <c r="M41" s="13"/>
      <c r="N41" s="12"/>
      <c r="O41" s="3"/>
      <c r="P41" s="16"/>
      <c r="Q41" s="1"/>
      <c r="R41" s="1"/>
      <c r="S41" s="54">
        <f>IF($C41="","",IFERROR(IF(ISNA(VLOOKUP($C41,Données!$C$19:'Données'!$I$48,6,0)), ,VLOOKUP($C41,Données!$C$19:'Données'!$I$48,6,0)),"/"))</f>
        <v>0</v>
      </c>
      <c r="T41" s="54">
        <f>IF($C41="","",IFERROR(IF(ISNA(VLOOKUP($C41,Données!$C$19:'Données'!$I$48,7,0)), ,VLOOKUP($C41,Données!$C$19:'Données'!$I$48,7,0)),"/"))</f>
        <v>0</v>
      </c>
      <c r="U41" s="54">
        <f>IF($C41="","",IFERROR(IF(ISNA(VLOOKUP($C41,Données!$C$19:'Données'!$I$48,5,0)), ,VLOOKUP($C41,Données!$C$19:'Données'!$I$48,5,0)),"/"))</f>
        <v>0</v>
      </c>
      <c r="V41" s="54" t="str">
        <f t="shared" si="1"/>
        <v>/</v>
      </c>
    </row>
    <row r="42" spans="1:22" ht="50.1" customHeight="1" x14ac:dyDescent="0.25">
      <c r="A42" s="1"/>
      <c r="B42" s="1"/>
      <c r="C42" s="82" t="str">
        <f>IF('Phase GPA'!$AT42="HN",'Phase GPA'!$C42,"/")</f>
        <v>/</v>
      </c>
      <c r="D42" s="41" t="str">
        <f>IF($C42="/","",IF($C42="","",IFERROR(IF(ISNA(VLOOKUP($C42,'Phase GPA'!$C$29:'Phase GPA'!$U$58,10,0)), ,VLOOKUP($C42,'Phase GPA'!$C$29:'Phase GPA'!$U$58,10,0)),0)))</f>
        <v/>
      </c>
      <c r="E42" s="42" t="str">
        <f>IF($C42="/","",IF($C42="","",IFERROR(IF(ISNA($D42/VLOOKUP($C42,Données!$C$19:'Données'!$I$48,6,0)), ,$D42/VLOOKUP($C42,Données!$C$19:'Données'!$I$48,6,0)),"/")))</f>
        <v/>
      </c>
      <c r="F42" s="42" t="str">
        <f>IF($C42="/","",IF($C42="","",IFERROR(IF(ISNA($D42/VLOOKUP($C42,Données!$C$19:'Données'!$I$48,7,0)*100), ,$D42/VLOOKUP($C42,Données!$C$19:'Données'!$I$48,7,0)*100),"/")))</f>
        <v/>
      </c>
      <c r="G42" s="41" t="str">
        <f>IF($C42="/","",IF($C42="","",IFERROR(IF(ISNA(VLOOKUP($C42,'Phase GPA'!$C$29:'Phase GPA'!$U$58,11,0)), ,VLOOKUP($C42,'Phase GPA'!$C$29:'Phase GPA'!$U$58,11,0)),0)))</f>
        <v/>
      </c>
      <c r="H42" s="44" t="str">
        <f>IF($C42="/","",IF($C42="","",IFERROR(IF(ISNA(VLOOKUP($C42,'Phase GPA'!$C$29:'Phase GPA'!$U$58,12,0)), ,VLOOKUP($C42,'Phase GPA'!$C$29:'Phase GPA'!$U$58,12,0)),0)))</f>
        <v/>
      </c>
      <c r="I42" s="44" t="str">
        <f>IF($C42="/","",IF($C42="","",IFERROR(IF(ISNA($H42/VLOOKUP($C42,Données!$C$19:'Données'!$I$48,5,0)), ,$H42/VLOOKUP($C42,Données!$C$19:'Données'!$I$48,5,0))*100,0)))</f>
        <v/>
      </c>
      <c r="J42" s="44" t="str">
        <f>IF($C42="/","",IF($C42="","",IFERROR(IF(ISNA($H42/VLOOKUP($C42,Données!$C$19:'Données'!$I$48,6,0)), ,$H42/VLOOKUP($C42,Données!$C$19:'Données'!$I$48,6,0)),"/")))</f>
        <v/>
      </c>
      <c r="K42" s="44" t="str">
        <f>IF($C42="/","",IF($C42="","",IFERROR(IF(ISNA($H42/VLOOKUP($C42,Données!$C$19:'Données'!$I$48,7,0)*100), ,$H42/VLOOKUP($C42,Données!$C$19:'Données'!$I$48,7,0)*100),"/")))</f>
        <v/>
      </c>
      <c r="L42" s="45" t="str">
        <f t="shared" si="0"/>
        <v/>
      </c>
      <c r="M42" s="13"/>
      <c r="N42" s="12"/>
      <c r="O42" s="3"/>
      <c r="P42" s="16"/>
      <c r="Q42" s="1"/>
      <c r="R42" s="1"/>
      <c r="S42" s="54">
        <f>IF($C42="","",IFERROR(IF(ISNA(VLOOKUP($C42,Données!$C$19:'Données'!$I$48,6,0)), ,VLOOKUP($C42,Données!$C$19:'Données'!$I$48,6,0)),"/"))</f>
        <v>0</v>
      </c>
      <c r="T42" s="54">
        <f>IF($C42="","",IFERROR(IF(ISNA(VLOOKUP($C42,Données!$C$19:'Données'!$I$48,7,0)), ,VLOOKUP($C42,Données!$C$19:'Données'!$I$48,7,0)),"/"))</f>
        <v>0</v>
      </c>
      <c r="U42" s="54">
        <f>IF($C42="","",IFERROR(IF(ISNA(VLOOKUP($C42,Données!$C$19:'Données'!$I$48,5,0)), ,VLOOKUP($C42,Données!$C$19:'Données'!$I$48,5,0)),"/"))</f>
        <v>0</v>
      </c>
      <c r="V42" s="54" t="str">
        <f t="shared" si="1"/>
        <v>/</v>
      </c>
    </row>
    <row r="43" spans="1:22" ht="50.1" customHeight="1" x14ac:dyDescent="0.25">
      <c r="A43" s="1"/>
      <c r="B43" s="1"/>
      <c r="C43" s="82" t="str">
        <f>IF('Phase GPA'!$AT43="HN",'Phase GPA'!$C43,"/")</f>
        <v>/</v>
      </c>
      <c r="D43" s="41" t="str">
        <f>IF($C43="/","",IF($C43="","",IFERROR(IF(ISNA(VLOOKUP($C43,'Phase GPA'!$C$29:'Phase GPA'!$U$58,10,0)), ,VLOOKUP($C43,'Phase GPA'!$C$29:'Phase GPA'!$U$58,10,0)),0)))</f>
        <v/>
      </c>
      <c r="E43" s="42" t="str">
        <f>IF($C43="/","",IF($C43="","",IFERROR(IF(ISNA($D43/VLOOKUP($C43,Données!$C$19:'Données'!$I$48,6,0)), ,$D43/VLOOKUP($C43,Données!$C$19:'Données'!$I$48,6,0)),"/")))</f>
        <v/>
      </c>
      <c r="F43" s="42" t="str">
        <f>IF($C43="/","",IF($C43="","",IFERROR(IF(ISNA($D43/VLOOKUP($C43,Données!$C$19:'Données'!$I$48,7,0)*100), ,$D43/VLOOKUP($C43,Données!$C$19:'Données'!$I$48,7,0)*100),"/")))</f>
        <v/>
      </c>
      <c r="G43" s="41" t="str">
        <f>IF($C43="/","",IF($C43="","",IFERROR(IF(ISNA(VLOOKUP($C43,'Phase GPA'!$C$29:'Phase GPA'!$U$58,11,0)), ,VLOOKUP($C43,'Phase GPA'!$C$29:'Phase GPA'!$U$58,11,0)),0)))</f>
        <v/>
      </c>
      <c r="H43" s="44" t="str">
        <f>IF($C43="/","",IF($C43="","",IFERROR(IF(ISNA(VLOOKUP($C43,'Phase GPA'!$C$29:'Phase GPA'!$U$58,12,0)), ,VLOOKUP($C43,'Phase GPA'!$C$29:'Phase GPA'!$U$58,12,0)),0)))</f>
        <v/>
      </c>
      <c r="I43" s="44" t="str">
        <f>IF($C43="/","",IF($C43="","",IFERROR(IF(ISNA($H43/VLOOKUP($C43,Données!$C$19:'Données'!$I$48,5,0)), ,$H43/VLOOKUP($C43,Données!$C$19:'Données'!$I$48,5,0))*100,0)))</f>
        <v/>
      </c>
      <c r="J43" s="44" t="str">
        <f>IF($C43="/","",IF($C43="","",IFERROR(IF(ISNA($H43/VLOOKUP($C43,Données!$C$19:'Données'!$I$48,6,0)), ,$H43/VLOOKUP($C43,Données!$C$19:'Données'!$I$48,6,0)),"/")))</f>
        <v/>
      </c>
      <c r="K43" s="44" t="str">
        <f>IF($C43="/","",IF($C43="","",IFERROR(IF(ISNA($H43/VLOOKUP($C43,Données!$C$19:'Données'!$I$48,7,0)*100), ,$H43/VLOOKUP($C43,Données!$C$19:'Données'!$I$48,7,0)*100),"/")))</f>
        <v/>
      </c>
      <c r="L43" s="45" t="str">
        <f t="shared" si="0"/>
        <v/>
      </c>
      <c r="M43" s="13"/>
      <c r="N43" s="12"/>
      <c r="O43" s="3"/>
      <c r="P43" s="16"/>
      <c r="Q43" s="1"/>
      <c r="R43" s="1"/>
      <c r="S43" s="54">
        <f>IF($C43="","",IFERROR(IF(ISNA(VLOOKUP($C43,Données!$C$19:'Données'!$I$48,6,0)), ,VLOOKUP($C43,Données!$C$19:'Données'!$I$48,6,0)),"/"))</f>
        <v>0</v>
      </c>
      <c r="T43" s="54">
        <f>IF($C43="","",IFERROR(IF(ISNA(VLOOKUP($C43,Données!$C$19:'Données'!$I$48,7,0)), ,VLOOKUP($C43,Données!$C$19:'Données'!$I$48,7,0)),"/"))</f>
        <v>0</v>
      </c>
      <c r="U43" s="54">
        <f>IF($C43="","",IFERROR(IF(ISNA(VLOOKUP($C43,Données!$C$19:'Données'!$I$48,5,0)), ,VLOOKUP($C43,Données!$C$19:'Données'!$I$48,5,0)),"/"))</f>
        <v>0</v>
      </c>
      <c r="V43" s="54" t="str">
        <f t="shared" si="1"/>
        <v>/</v>
      </c>
    </row>
    <row r="44" spans="1:22" ht="50.1" customHeight="1" x14ac:dyDescent="0.25">
      <c r="A44" s="1"/>
      <c r="B44" s="1"/>
      <c r="C44" s="82" t="str">
        <f>IF('Phase GPA'!$AT44="HN",'Phase GPA'!$C44,"/")</f>
        <v>/</v>
      </c>
      <c r="D44" s="41" t="str">
        <f>IF($C44="/","",IF($C44="","",IFERROR(IF(ISNA(VLOOKUP($C44,'Phase GPA'!$C$29:'Phase GPA'!$U$58,10,0)), ,VLOOKUP($C44,'Phase GPA'!$C$29:'Phase GPA'!$U$58,10,0)),0)))</f>
        <v/>
      </c>
      <c r="E44" s="42" t="str">
        <f>IF($C44="/","",IF($C44="","",IFERROR(IF(ISNA($D44/VLOOKUP($C44,Données!$C$19:'Données'!$I$48,6,0)), ,$D44/VLOOKUP($C44,Données!$C$19:'Données'!$I$48,6,0)),"/")))</f>
        <v/>
      </c>
      <c r="F44" s="42" t="str">
        <f>IF($C44="/","",IF($C44="","",IFERROR(IF(ISNA($D44/VLOOKUP($C44,Données!$C$19:'Données'!$I$48,7,0)*100), ,$D44/VLOOKUP($C44,Données!$C$19:'Données'!$I$48,7,0)*100),"/")))</f>
        <v/>
      </c>
      <c r="G44" s="41" t="str">
        <f>IF($C44="/","",IF($C44="","",IFERROR(IF(ISNA(VLOOKUP($C44,'Phase GPA'!$C$29:'Phase GPA'!$U$58,11,0)), ,VLOOKUP($C44,'Phase GPA'!$C$29:'Phase GPA'!$U$58,11,0)),0)))</f>
        <v/>
      </c>
      <c r="H44" s="44" t="str">
        <f>IF($C44="/","",IF($C44="","",IFERROR(IF(ISNA(VLOOKUP($C44,'Phase GPA'!$C$29:'Phase GPA'!$U$58,12,0)), ,VLOOKUP($C44,'Phase GPA'!$C$29:'Phase GPA'!$U$58,12,0)),0)))</f>
        <v/>
      </c>
      <c r="I44" s="44" t="str">
        <f>IF($C44="/","",IF($C44="","",IFERROR(IF(ISNA($H44/VLOOKUP($C44,Données!$C$19:'Données'!$I$48,5,0)), ,$H44/VLOOKUP($C44,Données!$C$19:'Données'!$I$48,5,0))*100,0)))</f>
        <v/>
      </c>
      <c r="J44" s="44" t="str">
        <f>IF($C44="/","",IF($C44="","",IFERROR(IF(ISNA($H44/VLOOKUP($C44,Données!$C$19:'Données'!$I$48,6,0)), ,$H44/VLOOKUP($C44,Données!$C$19:'Données'!$I$48,6,0)),"/")))</f>
        <v/>
      </c>
      <c r="K44" s="44" t="str">
        <f>IF($C44="/","",IF($C44="","",IFERROR(IF(ISNA($H44/VLOOKUP($C44,Données!$C$19:'Données'!$I$48,7,0)*100), ,$H44/VLOOKUP($C44,Données!$C$19:'Données'!$I$48,7,0)*100),"/")))</f>
        <v/>
      </c>
      <c r="L44" s="45" t="str">
        <f t="shared" si="0"/>
        <v/>
      </c>
      <c r="M44" s="13"/>
      <c r="N44" s="12"/>
      <c r="O44" s="3"/>
      <c r="P44" s="16"/>
      <c r="Q44" s="1"/>
      <c r="R44" s="1"/>
      <c r="S44" s="54">
        <f>IF($C44="","",IFERROR(IF(ISNA(VLOOKUP($C44,Données!$C$19:'Données'!$I$48,6,0)), ,VLOOKUP($C44,Données!$C$19:'Données'!$I$48,6,0)),"/"))</f>
        <v>0</v>
      </c>
      <c r="T44" s="54">
        <f>IF($C44="","",IFERROR(IF(ISNA(VLOOKUP($C44,Données!$C$19:'Données'!$I$48,7,0)), ,VLOOKUP($C44,Données!$C$19:'Données'!$I$48,7,0)),"/"))</f>
        <v>0</v>
      </c>
      <c r="U44" s="54">
        <f>IF($C44="","",IFERROR(IF(ISNA(VLOOKUP($C44,Données!$C$19:'Données'!$I$48,5,0)), ,VLOOKUP($C44,Données!$C$19:'Données'!$I$48,5,0)),"/"))</f>
        <v>0</v>
      </c>
      <c r="V44" s="54" t="str">
        <f t="shared" si="1"/>
        <v>/</v>
      </c>
    </row>
    <row r="45" spans="1:22" ht="50.1" customHeight="1" x14ac:dyDescent="0.25">
      <c r="A45" s="1"/>
      <c r="B45" s="1"/>
      <c r="C45" s="82" t="str">
        <f>IF('Phase GPA'!$AT45="HN",'Phase GPA'!$C45,"/")</f>
        <v>/</v>
      </c>
      <c r="D45" s="41" t="str">
        <f>IF($C45="/","",IF($C45="","",IFERROR(IF(ISNA(VLOOKUP($C45,'Phase GPA'!$C$29:'Phase GPA'!$U$58,10,0)), ,VLOOKUP($C45,'Phase GPA'!$C$29:'Phase GPA'!$U$58,10,0)),0)))</f>
        <v/>
      </c>
      <c r="E45" s="42" t="str">
        <f>IF($C45="/","",IF($C45="","",IFERROR(IF(ISNA($D45/VLOOKUP($C45,Données!$C$19:'Données'!$I$48,6,0)), ,$D45/VLOOKUP($C45,Données!$C$19:'Données'!$I$48,6,0)),"/")))</f>
        <v/>
      </c>
      <c r="F45" s="42" t="str">
        <f>IF($C45="/","",IF($C45="","",IFERROR(IF(ISNA($D45/VLOOKUP($C45,Données!$C$19:'Données'!$I$48,7,0)*100), ,$D45/VLOOKUP($C45,Données!$C$19:'Données'!$I$48,7,0)*100),"/")))</f>
        <v/>
      </c>
      <c r="G45" s="41" t="str">
        <f>IF($C45="/","",IF($C45="","",IFERROR(IF(ISNA(VLOOKUP($C45,'Phase GPA'!$C$29:'Phase GPA'!$U$58,11,0)), ,VLOOKUP($C45,'Phase GPA'!$C$29:'Phase GPA'!$U$58,11,0)),0)))</f>
        <v/>
      </c>
      <c r="H45" s="44" t="str">
        <f>IF($C45="/","",IF($C45="","",IFERROR(IF(ISNA(VLOOKUP($C45,'Phase GPA'!$C$29:'Phase GPA'!$U$58,12,0)), ,VLOOKUP($C45,'Phase GPA'!$C$29:'Phase GPA'!$U$58,12,0)),0)))</f>
        <v/>
      </c>
      <c r="I45" s="44" t="str">
        <f>IF($C45="/","",IF($C45="","",IFERROR(IF(ISNA($H45/VLOOKUP($C45,Données!$C$19:'Données'!$I$48,5,0)), ,$H45/VLOOKUP($C45,Données!$C$19:'Données'!$I$48,5,0))*100,0)))</f>
        <v/>
      </c>
      <c r="J45" s="44" t="str">
        <f>IF($C45="/","",IF($C45="","",IFERROR(IF(ISNA($H45/VLOOKUP($C45,Données!$C$19:'Données'!$I$48,6,0)), ,$H45/VLOOKUP($C45,Données!$C$19:'Données'!$I$48,6,0)),"/")))</f>
        <v/>
      </c>
      <c r="K45" s="44" t="str">
        <f>IF($C45="/","",IF($C45="","",IFERROR(IF(ISNA($H45/VLOOKUP($C45,Données!$C$19:'Données'!$I$48,7,0)*100), ,$H45/VLOOKUP($C45,Données!$C$19:'Données'!$I$48,7,0)*100),"/")))</f>
        <v/>
      </c>
      <c r="L45" s="45" t="str">
        <f t="shared" si="0"/>
        <v/>
      </c>
      <c r="M45" s="13"/>
      <c r="N45" s="12"/>
      <c r="O45" s="3"/>
      <c r="P45" s="16"/>
      <c r="Q45" s="1"/>
      <c r="R45" s="1"/>
      <c r="S45" s="54">
        <f>IF($C45="","",IFERROR(IF(ISNA(VLOOKUP($C45,Données!$C$19:'Données'!$I$48,6,0)), ,VLOOKUP($C45,Données!$C$19:'Données'!$I$48,6,0)),"/"))</f>
        <v>0</v>
      </c>
      <c r="T45" s="54">
        <f>IF($C45="","",IFERROR(IF(ISNA(VLOOKUP($C45,Données!$C$19:'Données'!$I$48,7,0)), ,VLOOKUP($C45,Données!$C$19:'Données'!$I$48,7,0)),"/"))</f>
        <v>0</v>
      </c>
      <c r="U45" s="54">
        <f>IF($C45="","",IFERROR(IF(ISNA(VLOOKUP($C45,Données!$C$19:'Données'!$I$48,5,0)), ,VLOOKUP($C45,Données!$C$19:'Données'!$I$48,5,0)),"/"))</f>
        <v>0</v>
      </c>
      <c r="V45" s="54" t="str">
        <f t="shared" si="1"/>
        <v>/</v>
      </c>
    </row>
    <row r="46" spans="1:22" ht="50.1" customHeight="1" x14ac:dyDescent="0.25">
      <c r="A46" s="1"/>
      <c r="B46" s="1"/>
      <c r="C46" s="82" t="str">
        <f>IF('Phase GPA'!$AT46="HN",'Phase GPA'!$C46,"/")</f>
        <v>/</v>
      </c>
      <c r="D46" s="41" t="str">
        <f>IF($C46="/","",IF($C46="","",IFERROR(IF(ISNA(VLOOKUP($C46,'Phase GPA'!$C$29:'Phase GPA'!$U$58,10,0)), ,VLOOKUP($C46,'Phase GPA'!$C$29:'Phase GPA'!$U$58,10,0)),0)))</f>
        <v/>
      </c>
      <c r="E46" s="42" t="str">
        <f>IF($C46="/","",IF($C46="","",IFERROR(IF(ISNA($D46/VLOOKUP($C46,Données!$C$19:'Données'!$I$48,6,0)), ,$D46/VLOOKUP($C46,Données!$C$19:'Données'!$I$48,6,0)),"/")))</f>
        <v/>
      </c>
      <c r="F46" s="42" t="str">
        <f>IF($C46="/","",IF($C46="","",IFERROR(IF(ISNA($D46/VLOOKUP($C46,Données!$C$19:'Données'!$I$48,7,0)*100), ,$D46/VLOOKUP($C46,Données!$C$19:'Données'!$I$48,7,0)*100),"/")))</f>
        <v/>
      </c>
      <c r="G46" s="41" t="str">
        <f>IF($C46="/","",IF($C46="","",IFERROR(IF(ISNA(VLOOKUP($C46,'Phase GPA'!$C$29:'Phase GPA'!$U$58,11,0)), ,VLOOKUP($C46,'Phase GPA'!$C$29:'Phase GPA'!$U$58,11,0)),0)))</f>
        <v/>
      </c>
      <c r="H46" s="44" t="str">
        <f>IF($C46="/","",IF($C46="","",IFERROR(IF(ISNA(VLOOKUP($C46,'Phase GPA'!$C$29:'Phase GPA'!$U$58,12,0)), ,VLOOKUP($C46,'Phase GPA'!$C$29:'Phase GPA'!$U$58,12,0)),0)))</f>
        <v/>
      </c>
      <c r="I46" s="44" t="str">
        <f>IF($C46="/","",IF($C46="","",IFERROR(IF(ISNA($H46/VLOOKUP($C46,Données!$C$19:'Données'!$I$48,5,0)), ,$H46/VLOOKUP($C46,Données!$C$19:'Données'!$I$48,5,0))*100,0)))</f>
        <v/>
      </c>
      <c r="J46" s="44" t="str">
        <f>IF($C46="/","",IF($C46="","",IFERROR(IF(ISNA($H46/VLOOKUP($C46,Données!$C$19:'Données'!$I$48,6,0)), ,$H46/VLOOKUP($C46,Données!$C$19:'Données'!$I$48,6,0)),"/")))</f>
        <v/>
      </c>
      <c r="K46" s="44" t="str">
        <f>IF($C46="/","",IF($C46="","",IFERROR(IF(ISNA($H46/VLOOKUP($C46,Données!$C$19:'Données'!$I$48,7,0)*100), ,$H46/VLOOKUP($C46,Données!$C$19:'Données'!$I$48,7,0)*100),"/")))</f>
        <v/>
      </c>
      <c r="L46" s="45" t="str">
        <f t="shared" si="0"/>
        <v/>
      </c>
      <c r="M46" s="13"/>
      <c r="N46" s="12"/>
      <c r="O46" s="3"/>
      <c r="P46" s="16"/>
      <c r="Q46" s="1"/>
      <c r="R46" s="1"/>
      <c r="S46" s="54">
        <f>IF($C46="","",IFERROR(IF(ISNA(VLOOKUP($C46,Données!$C$19:'Données'!$I$48,6,0)), ,VLOOKUP($C46,Données!$C$19:'Données'!$I$48,6,0)),"/"))</f>
        <v>0</v>
      </c>
      <c r="T46" s="54">
        <f>IF($C46="","",IFERROR(IF(ISNA(VLOOKUP($C46,Données!$C$19:'Données'!$I$48,7,0)), ,VLOOKUP($C46,Données!$C$19:'Données'!$I$48,7,0)),"/"))</f>
        <v>0</v>
      </c>
      <c r="U46" s="54">
        <f>IF($C46="","",IFERROR(IF(ISNA(VLOOKUP($C46,Données!$C$19:'Données'!$I$48,5,0)), ,VLOOKUP($C46,Données!$C$19:'Données'!$I$48,5,0)),"/"))</f>
        <v>0</v>
      </c>
      <c r="V46" s="54" t="str">
        <f t="shared" si="1"/>
        <v>/</v>
      </c>
    </row>
    <row r="47" spans="1:22" ht="50.1" customHeight="1" x14ac:dyDescent="0.25">
      <c r="A47" s="1"/>
      <c r="B47" s="1"/>
      <c r="C47" s="82" t="str">
        <f>IF('Phase GPA'!$AT47="HN",'Phase GPA'!$C47,"/")</f>
        <v>/</v>
      </c>
      <c r="D47" s="41" t="str">
        <f>IF($C47="/","",IF($C47="","",IFERROR(IF(ISNA(VLOOKUP($C47,'Phase GPA'!$C$29:'Phase GPA'!$U$58,10,0)), ,VLOOKUP($C47,'Phase GPA'!$C$29:'Phase GPA'!$U$58,10,0)),0)))</f>
        <v/>
      </c>
      <c r="E47" s="42" t="str">
        <f>IF($C47="/","",IF($C47="","",IFERROR(IF(ISNA($D47/VLOOKUP($C47,Données!$C$19:'Données'!$I$48,6,0)), ,$D47/VLOOKUP($C47,Données!$C$19:'Données'!$I$48,6,0)),"/")))</f>
        <v/>
      </c>
      <c r="F47" s="42" t="str">
        <f>IF($C47="/","",IF($C47="","",IFERROR(IF(ISNA($D47/VLOOKUP($C47,Données!$C$19:'Données'!$I$48,7,0)*100), ,$D47/VLOOKUP($C47,Données!$C$19:'Données'!$I$48,7,0)*100),"/")))</f>
        <v/>
      </c>
      <c r="G47" s="41" t="str">
        <f>IF($C47="/","",IF($C47="","",IFERROR(IF(ISNA(VLOOKUP($C47,'Phase GPA'!$C$29:'Phase GPA'!$U$58,11,0)), ,VLOOKUP($C47,'Phase GPA'!$C$29:'Phase GPA'!$U$58,11,0)),0)))</f>
        <v/>
      </c>
      <c r="H47" s="44" t="str">
        <f>IF($C47="/","",IF($C47="","",IFERROR(IF(ISNA(VLOOKUP($C47,'Phase GPA'!$C$29:'Phase GPA'!$U$58,12,0)), ,VLOOKUP($C47,'Phase GPA'!$C$29:'Phase GPA'!$U$58,12,0)),0)))</f>
        <v/>
      </c>
      <c r="I47" s="44" t="str">
        <f>IF($C47="/","",IF($C47="","",IFERROR(IF(ISNA($H47/VLOOKUP($C47,Données!$C$19:'Données'!$I$48,5,0)), ,$H47/VLOOKUP($C47,Données!$C$19:'Données'!$I$48,5,0))*100,0)))</f>
        <v/>
      </c>
      <c r="J47" s="44" t="str">
        <f>IF($C47="/","",IF($C47="","",IFERROR(IF(ISNA($H47/VLOOKUP($C47,Données!$C$19:'Données'!$I$48,6,0)), ,$H47/VLOOKUP($C47,Données!$C$19:'Données'!$I$48,6,0)),"/")))</f>
        <v/>
      </c>
      <c r="K47" s="44" t="str">
        <f>IF($C47="/","",IF($C47="","",IFERROR(IF(ISNA($H47/VLOOKUP($C47,Données!$C$19:'Données'!$I$48,7,0)*100), ,$H47/VLOOKUP($C47,Données!$C$19:'Données'!$I$48,7,0)*100),"/")))</f>
        <v/>
      </c>
      <c r="L47" s="45" t="str">
        <f t="shared" si="0"/>
        <v/>
      </c>
      <c r="M47" s="13"/>
      <c r="N47" s="12"/>
      <c r="O47" s="3"/>
      <c r="P47" s="16"/>
      <c r="Q47" s="1"/>
      <c r="R47" s="1"/>
      <c r="S47" s="54">
        <f>IF($C47="","",IFERROR(IF(ISNA(VLOOKUP($C47,Données!$C$19:'Données'!$I$48,6,0)), ,VLOOKUP($C47,Données!$C$19:'Données'!$I$48,6,0)),"/"))</f>
        <v>0</v>
      </c>
      <c r="T47" s="54">
        <f>IF($C47="","",IFERROR(IF(ISNA(VLOOKUP($C47,Données!$C$19:'Données'!$I$48,7,0)), ,VLOOKUP($C47,Données!$C$19:'Données'!$I$48,7,0)),"/"))</f>
        <v>0</v>
      </c>
      <c r="U47" s="54">
        <f>IF($C47="","",IFERROR(IF(ISNA(VLOOKUP($C47,Données!$C$19:'Données'!$I$48,5,0)), ,VLOOKUP($C47,Données!$C$19:'Données'!$I$48,5,0)),"/"))</f>
        <v>0</v>
      </c>
      <c r="V47" s="54" t="str">
        <f t="shared" si="1"/>
        <v>/</v>
      </c>
    </row>
    <row r="48" spans="1:22" ht="50.1" customHeight="1" x14ac:dyDescent="0.25">
      <c r="A48" s="1"/>
      <c r="B48" s="1"/>
      <c r="C48" s="82" t="str">
        <f>IF('Phase GPA'!$AT48="HN",'Phase GPA'!$C48,"/")</f>
        <v>/</v>
      </c>
      <c r="D48" s="41" t="str">
        <f>IF($C48="/","",IF($C48="","",IFERROR(IF(ISNA(VLOOKUP($C48,'Phase GPA'!$C$29:'Phase GPA'!$U$58,10,0)), ,VLOOKUP($C48,'Phase GPA'!$C$29:'Phase GPA'!$U$58,10,0)),0)))</f>
        <v/>
      </c>
      <c r="E48" s="42" t="str">
        <f>IF($C48="/","",IF($C48="","",IFERROR(IF(ISNA($D48/VLOOKUP($C48,Données!$C$19:'Données'!$I$48,6,0)), ,$D48/VLOOKUP($C48,Données!$C$19:'Données'!$I$48,6,0)),"/")))</f>
        <v/>
      </c>
      <c r="F48" s="42" t="str">
        <f>IF($C48="/","",IF($C48="","",IFERROR(IF(ISNA($D48/VLOOKUP($C48,Données!$C$19:'Données'!$I$48,7,0)*100), ,$D48/VLOOKUP($C48,Données!$C$19:'Données'!$I$48,7,0)*100),"/")))</f>
        <v/>
      </c>
      <c r="G48" s="41" t="str">
        <f>IF($C48="/","",IF($C48="","",IFERROR(IF(ISNA(VLOOKUP($C48,'Phase GPA'!$C$29:'Phase GPA'!$U$58,11,0)), ,VLOOKUP($C48,'Phase GPA'!$C$29:'Phase GPA'!$U$58,11,0)),0)))</f>
        <v/>
      </c>
      <c r="H48" s="44" t="str">
        <f>IF($C48="/","",IF($C48="","",IFERROR(IF(ISNA(VLOOKUP($C48,'Phase GPA'!$C$29:'Phase GPA'!$U$58,12,0)), ,VLOOKUP($C48,'Phase GPA'!$C$29:'Phase GPA'!$U$58,12,0)),0)))</f>
        <v/>
      </c>
      <c r="I48" s="44" t="str">
        <f>IF($C48="/","",IF($C48="","",IFERROR(IF(ISNA($H48/VLOOKUP($C48,Données!$C$19:'Données'!$I$48,5,0)), ,$H48/VLOOKUP($C48,Données!$C$19:'Données'!$I$48,5,0))*100,0)))</f>
        <v/>
      </c>
      <c r="J48" s="44" t="str">
        <f>IF($C48="/","",IF($C48="","",IFERROR(IF(ISNA($H48/VLOOKUP($C48,Données!$C$19:'Données'!$I$48,6,0)), ,$H48/VLOOKUP($C48,Données!$C$19:'Données'!$I$48,6,0)),"/")))</f>
        <v/>
      </c>
      <c r="K48" s="44" t="str">
        <f>IF($C48="/","",IF($C48="","",IFERROR(IF(ISNA($H48/VLOOKUP($C48,Données!$C$19:'Données'!$I$48,7,0)*100), ,$H48/VLOOKUP($C48,Données!$C$19:'Données'!$I$48,7,0)*100),"/")))</f>
        <v/>
      </c>
      <c r="L48" s="45" t="str">
        <f t="shared" si="0"/>
        <v/>
      </c>
      <c r="M48" s="13"/>
      <c r="N48" s="12"/>
      <c r="O48" s="3"/>
      <c r="P48" s="16"/>
      <c r="Q48" s="1"/>
      <c r="R48" s="1"/>
      <c r="S48" s="54">
        <f>IF($C48="","",IFERROR(IF(ISNA(VLOOKUP($C48,Données!$C$19:'Données'!$I$48,6,0)), ,VLOOKUP($C48,Données!$C$19:'Données'!$I$48,6,0)),"/"))</f>
        <v>0</v>
      </c>
      <c r="T48" s="54">
        <f>IF($C48="","",IFERROR(IF(ISNA(VLOOKUP($C48,Données!$C$19:'Données'!$I$48,7,0)), ,VLOOKUP($C48,Données!$C$19:'Données'!$I$48,7,0)),"/"))</f>
        <v>0</v>
      </c>
      <c r="U48" s="54">
        <f>IF($C48="","",IFERROR(IF(ISNA(VLOOKUP($C48,Données!$C$19:'Données'!$I$48,5,0)), ,VLOOKUP($C48,Données!$C$19:'Données'!$I$48,5,0)),"/"))</f>
        <v>0</v>
      </c>
      <c r="V48" s="54" t="str">
        <f t="shared" si="1"/>
        <v>/</v>
      </c>
    </row>
    <row r="49" spans="1:22" ht="50.1" customHeight="1" x14ac:dyDescent="0.25">
      <c r="A49" s="1"/>
      <c r="B49" s="1"/>
      <c r="C49" s="82" t="str">
        <f>IF('Phase GPA'!$AT49="HN",'Phase GPA'!$C49,"/")</f>
        <v>/</v>
      </c>
      <c r="D49" s="41" t="str">
        <f>IF($C49="/","",IF($C49="","",IFERROR(IF(ISNA(VLOOKUP($C49,'Phase GPA'!$C$29:'Phase GPA'!$U$58,10,0)), ,VLOOKUP($C49,'Phase GPA'!$C$29:'Phase GPA'!$U$58,10,0)),0)))</f>
        <v/>
      </c>
      <c r="E49" s="42" t="str">
        <f>IF($C49="/","",IF($C49="","",IFERROR(IF(ISNA($D49/VLOOKUP($C49,Données!$C$19:'Données'!$I$48,6,0)), ,$D49/VLOOKUP($C49,Données!$C$19:'Données'!$I$48,6,0)),"/")))</f>
        <v/>
      </c>
      <c r="F49" s="42" t="str">
        <f>IF($C49="/","",IF($C49="","",IFERROR(IF(ISNA($D49/VLOOKUP($C49,Données!$C$19:'Données'!$I$48,7,0)*100), ,$D49/VLOOKUP($C49,Données!$C$19:'Données'!$I$48,7,0)*100),"/")))</f>
        <v/>
      </c>
      <c r="G49" s="41" t="str">
        <f>IF($C49="/","",IF($C49="","",IFERROR(IF(ISNA(VLOOKUP($C49,'Phase GPA'!$C$29:'Phase GPA'!$U$58,11,0)), ,VLOOKUP($C49,'Phase GPA'!$C$29:'Phase GPA'!$U$58,11,0)),0)))</f>
        <v/>
      </c>
      <c r="H49" s="44" t="str">
        <f>IF($C49="/","",IF($C49="","",IFERROR(IF(ISNA(VLOOKUP($C49,'Phase GPA'!$C$29:'Phase GPA'!$U$58,12,0)), ,VLOOKUP($C49,'Phase GPA'!$C$29:'Phase GPA'!$U$58,12,0)),0)))</f>
        <v/>
      </c>
      <c r="I49" s="44" t="str">
        <f>IF($C49="/","",IF($C49="","",IFERROR(IF(ISNA($H49/VLOOKUP($C49,Données!$C$19:'Données'!$I$48,5,0)), ,$H49/VLOOKUP($C49,Données!$C$19:'Données'!$I$48,5,0))*100,0)))</f>
        <v/>
      </c>
      <c r="J49" s="44" t="str">
        <f>IF($C49="/","",IF($C49="","",IFERROR(IF(ISNA($H49/VLOOKUP($C49,Données!$C$19:'Données'!$I$48,6,0)), ,$H49/VLOOKUP($C49,Données!$C$19:'Données'!$I$48,6,0)),"/")))</f>
        <v/>
      </c>
      <c r="K49" s="44" t="str">
        <f>IF($C49="/","",IF($C49="","",IFERROR(IF(ISNA($H49/VLOOKUP($C49,Données!$C$19:'Données'!$I$48,7,0)*100), ,$H49/VLOOKUP($C49,Données!$C$19:'Données'!$I$48,7,0)*100),"/")))</f>
        <v/>
      </c>
      <c r="L49" s="45" t="str">
        <f t="shared" si="0"/>
        <v/>
      </c>
      <c r="M49" s="13"/>
      <c r="N49" s="12"/>
      <c r="O49" s="3"/>
      <c r="P49" s="16"/>
      <c r="Q49" s="1"/>
      <c r="R49" s="1"/>
      <c r="S49" s="54">
        <f>IF($C49="","",IFERROR(IF(ISNA(VLOOKUP($C49,Données!$C$19:'Données'!$I$48,6,0)), ,VLOOKUP($C49,Données!$C$19:'Données'!$I$48,6,0)),"/"))</f>
        <v>0</v>
      </c>
      <c r="T49" s="54">
        <f>IF($C49="","",IFERROR(IF(ISNA(VLOOKUP($C49,Données!$C$19:'Données'!$I$48,7,0)), ,VLOOKUP($C49,Données!$C$19:'Données'!$I$48,7,0)),"/"))</f>
        <v>0</v>
      </c>
      <c r="U49" s="54">
        <f>IF($C49="","",IFERROR(IF(ISNA(VLOOKUP($C49,Données!$C$19:'Données'!$I$48,5,0)), ,VLOOKUP($C49,Données!$C$19:'Données'!$I$48,5,0)),"/"))</f>
        <v>0</v>
      </c>
      <c r="V49" s="54" t="str">
        <f t="shared" si="1"/>
        <v>/</v>
      </c>
    </row>
    <row r="50" spans="1:22" ht="50.1" customHeight="1" x14ac:dyDescent="0.25">
      <c r="A50" s="1"/>
      <c r="B50" s="1"/>
      <c r="C50" s="82" t="str">
        <f>IF('Phase GPA'!$AT50="HN",'Phase GPA'!$C50,"/")</f>
        <v>/</v>
      </c>
      <c r="D50" s="41" t="str">
        <f>IF($C50="/","",IF($C50="","",IFERROR(IF(ISNA(VLOOKUP($C50,'Phase GPA'!$C$29:'Phase GPA'!$U$58,10,0)), ,VLOOKUP($C50,'Phase GPA'!$C$29:'Phase GPA'!$U$58,10,0)),0)))</f>
        <v/>
      </c>
      <c r="E50" s="42" t="str">
        <f>IF($C50="/","",IF($C50="","",IFERROR(IF(ISNA($D50/VLOOKUP($C50,Données!$C$19:'Données'!$I$48,6,0)), ,$D50/VLOOKUP($C50,Données!$C$19:'Données'!$I$48,6,0)),"/")))</f>
        <v/>
      </c>
      <c r="F50" s="42" t="str">
        <f>IF($C50="/","",IF($C50="","",IFERROR(IF(ISNA($D50/VLOOKUP($C50,Données!$C$19:'Données'!$I$48,7,0)*100), ,$D50/VLOOKUP($C50,Données!$C$19:'Données'!$I$48,7,0)*100),"/")))</f>
        <v/>
      </c>
      <c r="G50" s="41" t="str">
        <f>IF($C50="/","",IF($C50="","",IFERROR(IF(ISNA(VLOOKUP($C50,'Phase GPA'!$C$29:'Phase GPA'!$U$58,11,0)), ,VLOOKUP($C50,'Phase GPA'!$C$29:'Phase GPA'!$U$58,11,0)),0)))</f>
        <v/>
      </c>
      <c r="H50" s="44" t="str">
        <f>IF($C50="/","",IF($C50="","",IFERROR(IF(ISNA(VLOOKUP($C50,'Phase GPA'!$C$29:'Phase GPA'!$U$58,12,0)), ,VLOOKUP($C50,'Phase GPA'!$C$29:'Phase GPA'!$U$58,12,0)),0)))</f>
        <v/>
      </c>
      <c r="I50" s="44" t="str">
        <f>IF($C50="/","",IF($C50="","",IFERROR(IF(ISNA($H50/VLOOKUP($C50,Données!$C$19:'Données'!$I$48,5,0)), ,$H50/VLOOKUP($C50,Données!$C$19:'Données'!$I$48,5,0))*100,0)))</f>
        <v/>
      </c>
      <c r="J50" s="44" t="str">
        <f>IF($C50="/","",IF($C50="","",IFERROR(IF(ISNA($H50/VLOOKUP($C50,Données!$C$19:'Données'!$I$48,6,0)), ,$H50/VLOOKUP($C50,Données!$C$19:'Données'!$I$48,6,0)),"/")))</f>
        <v/>
      </c>
      <c r="K50" s="44" t="str">
        <f>IF($C50="/","",IF($C50="","",IFERROR(IF(ISNA($H50/VLOOKUP($C50,Données!$C$19:'Données'!$I$48,7,0)*100), ,$H50/VLOOKUP($C50,Données!$C$19:'Données'!$I$48,7,0)*100),"/")))</f>
        <v/>
      </c>
      <c r="L50" s="45" t="str">
        <f t="shared" si="0"/>
        <v/>
      </c>
      <c r="M50" s="13"/>
      <c r="N50" s="12"/>
      <c r="O50" s="3"/>
      <c r="P50" s="16"/>
      <c r="Q50" s="1"/>
      <c r="R50" s="1"/>
      <c r="S50" s="54">
        <f>IF($C50="","",IFERROR(IF(ISNA(VLOOKUP($C50,Données!$C$19:'Données'!$I$48,6,0)), ,VLOOKUP($C50,Données!$C$19:'Données'!$I$48,6,0)),"/"))</f>
        <v>0</v>
      </c>
      <c r="T50" s="54">
        <f>IF($C50="","",IFERROR(IF(ISNA(VLOOKUP($C50,Données!$C$19:'Données'!$I$48,7,0)), ,VLOOKUP($C50,Données!$C$19:'Données'!$I$48,7,0)),"/"))</f>
        <v>0</v>
      </c>
      <c r="U50" s="54">
        <f>IF($C50="","",IFERROR(IF(ISNA(VLOOKUP($C50,Données!$C$19:'Données'!$I$48,5,0)), ,VLOOKUP($C50,Données!$C$19:'Données'!$I$48,5,0)),"/"))</f>
        <v>0</v>
      </c>
      <c r="V50" s="54" t="str">
        <f t="shared" si="1"/>
        <v>/</v>
      </c>
    </row>
    <row r="51" spans="1:22" ht="50.1" customHeight="1" x14ac:dyDescent="0.25">
      <c r="A51" s="1"/>
      <c r="B51" s="1"/>
      <c r="C51" s="82" t="str">
        <f>IF('Phase GPA'!$AT51="HN",'Phase GPA'!$C51,"/")</f>
        <v>/</v>
      </c>
      <c r="D51" s="41" t="str">
        <f>IF($C51="/","",IF($C51="","",IFERROR(IF(ISNA(VLOOKUP($C51,'Phase GPA'!$C$29:'Phase GPA'!$U$58,10,0)), ,VLOOKUP($C51,'Phase GPA'!$C$29:'Phase GPA'!$U$58,10,0)),0)))</f>
        <v/>
      </c>
      <c r="E51" s="42" t="str">
        <f>IF($C51="/","",IF($C51="","",IFERROR(IF(ISNA($D51/VLOOKUP($C51,Données!$C$19:'Données'!$I$48,6,0)), ,$D51/VLOOKUP($C51,Données!$C$19:'Données'!$I$48,6,0)),"/")))</f>
        <v/>
      </c>
      <c r="F51" s="42" t="str">
        <f>IF($C51="/","",IF($C51="","",IFERROR(IF(ISNA($D51/VLOOKUP($C51,Données!$C$19:'Données'!$I$48,7,0)*100), ,$D51/VLOOKUP($C51,Données!$C$19:'Données'!$I$48,7,0)*100),"/")))</f>
        <v/>
      </c>
      <c r="G51" s="41" t="str">
        <f>IF($C51="/","",IF($C51="","",IFERROR(IF(ISNA(VLOOKUP($C51,'Phase GPA'!$C$29:'Phase GPA'!$U$58,11,0)), ,VLOOKUP($C51,'Phase GPA'!$C$29:'Phase GPA'!$U$58,11,0)),0)))</f>
        <v/>
      </c>
      <c r="H51" s="44" t="str">
        <f>IF($C51="/","",IF($C51="","",IFERROR(IF(ISNA(VLOOKUP($C51,'Phase GPA'!$C$29:'Phase GPA'!$U$58,12,0)), ,VLOOKUP($C51,'Phase GPA'!$C$29:'Phase GPA'!$U$58,12,0)),0)))</f>
        <v/>
      </c>
      <c r="I51" s="44" t="str">
        <f>IF($C51="/","",IF($C51="","",IFERROR(IF(ISNA($H51/VLOOKUP($C51,Données!$C$19:'Données'!$I$48,5,0)), ,$H51/VLOOKUP($C51,Données!$C$19:'Données'!$I$48,5,0))*100,0)))</f>
        <v/>
      </c>
      <c r="J51" s="44" t="str">
        <f>IF($C51="/","",IF($C51="","",IFERROR(IF(ISNA($H51/VLOOKUP($C51,Données!$C$19:'Données'!$I$48,6,0)), ,$H51/VLOOKUP($C51,Données!$C$19:'Données'!$I$48,6,0)),"/")))</f>
        <v/>
      </c>
      <c r="K51" s="44" t="str">
        <f>IF($C51="/","",IF($C51="","",IFERROR(IF(ISNA($H51/VLOOKUP($C51,Données!$C$19:'Données'!$I$48,7,0)*100), ,$H51/VLOOKUP($C51,Données!$C$19:'Données'!$I$48,7,0)*100),"/")))</f>
        <v/>
      </c>
      <c r="L51" s="45" t="str">
        <f t="shared" si="0"/>
        <v/>
      </c>
      <c r="M51" s="13"/>
      <c r="N51" s="12"/>
      <c r="O51" s="3"/>
      <c r="P51" s="16"/>
      <c r="Q51" s="1"/>
      <c r="R51" s="1"/>
      <c r="S51" s="54">
        <f>IF($C51="","",IFERROR(IF(ISNA(VLOOKUP($C51,Données!$C$19:'Données'!$I$48,6,0)), ,VLOOKUP($C51,Données!$C$19:'Données'!$I$48,6,0)),"/"))</f>
        <v>0</v>
      </c>
      <c r="T51" s="54">
        <f>IF($C51="","",IFERROR(IF(ISNA(VLOOKUP($C51,Données!$C$19:'Données'!$I$48,7,0)), ,VLOOKUP($C51,Données!$C$19:'Données'!$I$48,7,0)),"/"))</f>
        <v>0</v>
      </c>
      <c r="U51" s="54">
        <f>IF($C51="","",IFERROR(IF(ISNA(VLOOKUP($C51,Données!$C$19:'Données'!$I$48,5,0)), ,VLOOKUP($C51,Données!$C$19:'Données'!$I$48,5,0)),"/"))</f>
        <v>0</v>
      </c>
      <c r="V51" s="54" t="str">
        <f t="shared" si="1"/>
        <v>/</v>
      </c>
    </row>
    <row r="52" spans="1:22" ht="50.1" customHeight="1" x14ac:dyDescent="0.25">
      <c r="A52" s="1"/>
      <c r="B52" s="1"/>
      <c r="C52" s="82" t="str">
        <f>IF('Phase GPA'!$AT52="HN",'Phase GPA'!$C52,"/")</f>
        <v>/</v>
      </c>
      <c r="D52" s="41" t="str">
        <f>IF($C52="/","",IF($C52="","",IFERROR(IF(ISNA(VLOOKUP($C52,'Phase GPA'!$C$29:'Phase GPA'!$U$58,10,0)), ,VLOOKUP($C52,'Phase GPA'!$C$29:'Phase GPA'!$U$58,10,0)),0)))</f>
        <v/>
      </c>
      <c r="E52" s="42" t="str">
        <f>IF($C52="/","",IF($C52="","",IFERROR(IF(ISNA($D52/VLOOKUP($C52,Données!$C$19:'Données'!$I$48,6,0)), ,$D52/VLOOKUP($C52,Données!$C$19:'Données'!$I$48,6,0)),"/")))</f>
        <v/>
      </c>
      <c r="F52" s="42" t="str">
        <f>IF($C52="/","",IF($C52="","",IFERROR(IF(ISNA($D52/VLOOKUP($C52,Données!$C$19:'Données'!$I$48,7,0)*100), ,$D52/VLOOKUP($C52,Données!$C$19:'Données'!$I$48,7,0)*100),"/")))</f>
        <v/>
      </c>
      <c r="G52" s="41" t="str">
        <f>IF($C52="/","",IF($C52="","",IFERROR(IF(ISNA(VLOOKUP($C52,'Phase GPA'!$C$29:'Phase GPA'!$U$58,11,0)), ,VLOOKUP($C52,'Phase GPA'!$C$29:'Phase GPA'!$U$58,11,0)),0)))</f>
        <v/>
      </c>
      <c r="H52" s="44" t="str">
        <f>IF($C52="/","",IF($C52="","",IFERROR(IF(ISNA(VLOOKUP($C52,'Phase GPA'!$C$29:'Phase GPA'!$U$58,12,0)), ,VLOOKUP($C52,'Phase GPA'!$C$29:'Phase GPA'!$U$58,12,0)),0)))</f>
        <v/>
      </c>
      <c r="I52" s="44" t="str">
        <f>IF($C52="/","",IF($C52="","",IFERROR(IF(ISNA($H52/VLOOKUP($C52,Données!$C$19:'Données'!$I$48,5,0)), ,$H52/VLOOKUP($C52,Données!$C$19:'Données'!$I$48,5,0))*100,0)))</f>
        <v/>
      </c>
      <c r="J52" s="44" t="str">
        <f>IF($C52="/","",IF($C52="","",IFERROR(IF(ISNA($H52/VLOOKUP($C52,Données!$C$19:'Données'!$I$48,6,0)), ,$H52/VLOOKUP($C52,Données!$C$19:'Données'!$I$48,6,0)),"/")))</f>
        <v/>
      </c>
      <c r="K52" s="44" t="str">
        <f>IF($C52="/","",IF($C52="","",IFERROR(IF(ISNA($H52/VLOOKUP($C52,Données!$C$19:'Données'!$I$48,7,0)*100), ,$H52/VLOOKUP($C52,Données!$C$19:'Données'!$I$48,7,0)*100),"/")))</f>
        <v/>
      </c>
      <c r="L52" s="45" t="str">
        <f t="shared" si="0"/>
        <v/>
      </c>
      <c r="M52" s="13"/>
      <c r="N52" s="12"/>
      <c r="O52" s="3"/>
      <c r="P52" s="16"/>
      <c r="Q52" s="1"/>
      <c r="R52" s="1"/>
      <c r="S52" s="54">
        <f>IF($C52="","",IFERROR(IF(ISNA(VLOOKUP($C52,Données!$C$19:'Données'!$I$48,6,0)), ,VLOOKUP($C52,Données!$C$19:'Données'!$I$48,6,0)),"/"))</f>
        <v>0</v>
      </c>
      <c r="T52" s="54">
        <f>IF($C52="","",IFERROR(IF(ISNA(VLOOKUP($C52,Données!$C$19:'Données'!$I$48,7,0)), ,VLOOKUP($C52,Données!$C$19:'Données'!$I$48,7,0)),"/"))</f>
        <v>0</v>
      </c>
      <c r="U52" s="54">
        <f>IF($C52="","",IFERROR(IF(ISNA(VLOOKUP($C52,Données!$C$19:'Données'!$I$48,5,0)), ,VLOOKUP($C52,Données!$C$19:'Données'!$I$48,5,0)),"/"))</f>
        <v>0</v>
      </c>
      <c r="V52" s="54" t="str">
        <f t="shared" si="1"/>
        <v>/</v>
      </c>
    </row>
    <row r="53" spans="1:22" ht="50.1" customHeight="1" x14ac:dyDescent="0.25">
      <c r="A53" s="1"/>
      <c r="B53" s="1"/>
      <c r="C53" s="82" t="str">
        <f>IF('Phase GPA'!$AT58="HN",'Phase GPA'!$C58,"/")</f>
        <v>/</v>
      </c>
      <c r="D53" s="41" t="str">
        <f>IF($C53="/","",IF($C53="","",IFERROR(IF(ISNA(VLOOKUP($C53,'Phase GPA'!$C$29:'Phase GPA'!$U$58,10,0)), ,VLOOKUP($C53,'Phase GPA'!$C$29:'Phase GPA'!$U$58,10,0)),0)))</f>
        <v/>
      </c>
      <c r="E53" s="42" t="str">
        <f>IF($C53="/","",IF($C53="","",IFERROR(IF(ISNA($D53/VLOOKUP($C53,Données!$C$19:'Données'!$I$48,6,0)), ,$D53/VLOOKUP($C53,Données!$C$19:'Données'!$I$48,6,0)),"/")))</f>
        <v/>
      </c>
      <c r="F53" s="42" t="str">
        <f>IF($C53="/","",IF($C53="","",IFERROR(IF(ISNA($D53/VLOOKUP($C53,Données!$C$19:'Données'!$I$48,7,0)*100), ,$D53/VLOOKUP($C53,Données!$C$19:'Données'!$I$48,7,0)*100),"/")))</f>
        <v/>
      </c>
      <c r="G53" s="41" t="str">
        <f>IF($C53="/","",IF($C53="","",IFERROR(IF(ISNA(VLOOKUP($C53,'Phase GPA'!$C$29:'Phase GPA'!$U$58,11,0)), ,VLOOKUP($C53,'Phase GPA'!$C$29:'Phase GPA'!$U$58,11,0)),0)))</f>
        <v/>
      </c>
      <c r="H53" s="44" t="str">
        <f>IF($C53="/","",IF($C53="","",IFERROR(IF(ISNA(VLOOKUP($C53,'Phase GPA'!$C$29:'Phase GPA'!$U$58,12,0)), ,VLOOKUP($C53,'Phase GPA'!$C$29:'Phase GPA'!$U$58,12,0)),0)))</f>
        <v/>
      </c>
      <c r="I53" s="44" t="str">
        <f>IF($C53="/","",IF($C53="","",IFERROR(IF(ISNA($H53/VLOOKUP($C53,Données!$C$19:'Données'!$I$48,5,0)), ,$H53/VLOOKUP($C53,Données!$C$19:'Données'!$I$48,5,0))*100,0)))</f>
        <v/>
      </c>
      <c r="J53" s="44" t="str">
        <f>IF($C53="/","",IF($C53="","",IFERROR(IF(ISNA($H53/VLOOKUP($C53,Données!$C$19:'Données'!$I$48,6,0)), ,$H53/VLOOKUP($C53,Données!$C$19:'Données'!$I$48,6,0)),"/")))</f>
        <v/>
      </c>
      <c r="K53" s="44" t="str">
        <f>IF($C53="/","",IF($C53="","",IFERROR(IF(ISNA($H53/VLOOKUP($C53,Données!$C$19:'Données'!$I$48,7,0)*100), ,$H53/VLOOKUP($C53,Données!$C$19:'Données'!$I$48,7,0)*100),"/")))</f>
        <v/>
      </c>
      <c r="L53" s="45" t="str">
        <f t="shared" si="0"/>
        <v/>
      </c>
      <c r="M53" s="13"/>
      <c r="N53" s="12"/>
      <c r="O53" s="3"/>
      <c r="P53" s="16"/>
      <c r="Q53" s="1"/>
      <c r="R53" s="1"/>
      <c r="S53" s="54">
        <f>IF($C53="","",IFERROR(IF(ISNA(VLOOKUP($C53,Données!$C$19:'Données'!$I$48,6,0)), ,VLOOKUP($C53,Données!$C$19:'Données'!$I$48,6,0)),"/"))</f>
        <v>0</v>
      </c>
      <c r="T53" s="54">
        <f>IF($C53="","",IFERROR(IF(ISNA(VLOOKUP($C53,Données!$C$19:'Données'!$I$48,7,0)), ,VLOOKUP($C53,Données!$C$19:'Données'!$I$48,7,0)),"/"))</f>
        <v>0</v>
      </c>
      <c r="U53" s="54">
        <f>IF($C53="","",IFERROR(IF(ISNA(VLOOKUP($C53,Données!$C$19:'Données'!$I$48,5,0)), ,VLOOKUP($C53,Données!$C$19:'Données'!$I$48,5,0)),"/"))</f>
        <v>0</v>
      </c>
      <c r="V53" s="54" t="str">
        <f t="shared" si="1"/>
        <v>/</v>
      </c>
    </row>
    <row r="54" spans="1:22" ht="50.1" customHeight="1" x14ac:dyDescent="0.25">
      <c r="A54" s="1"/>
      <c r="B54" s="1"/>
      <c r="C54" s="56" t="s">
        <v>50</v>
      </c>
      <c r="D54" s="57">
        <f>SUM(D29:D53)</f>
        <v>0</v>
      </c>
      <c r="E54" s="58" t="str">
        <f>IF(S54=0,"/",D54/S54)</f>
        <v>/</v>
      </c>
      <c r="F54" s="58" t="str">
        <f>IF(T54=0,"/",D54/T54*100)</f>
        <v>/</v>
      </c>
      <c r="G54" s="57">
        <f>IFERROR(V54/D54,0)</f>
        <v>0</v>
      </c>
      <c r="H54" s="61">
        <f>SUM(H29:H53)</f>
        <v>0</v>
      </c>
      <c r="I54" s="61">
        <f>IFERROR(H54/U54*100,0)</f>
        <v>0</v>
      </c>
      <c r="J54" s="61" t="str">
        <f>IF(S54=0,"/",H54/S54)</f>
        <v>/</v>
      </c>
      <c r="K54" s="58" t="str">
        <f>IF(T54=0,"/",H54/T54*100)</f>
        <v>/</v>
      </c>
      <c r="L54" s="62">
        <f>IFERROR(H54/D54,0)</f>
        <v>0</v>
      </c>
      <c r="M54" s="63"/>
      <c r="N54" s="64"/>
      <c r="O54" s="3"/>
      <c r="P54" s="16"/>
      <c r="Q54" s="1"/>
      <c r="R54" s="1"/>
      <c r="S54" s="55">
        <f>SUM(S29:S53)</f>
        <v>0</v>
      </c>
      <c r="T54" s="55">
        <f>SUM(T29:T53)</f>
        <v>0</v>
      </c>
      <c r="U54" s="55">
        <f>SUM(U29:U53)</f>
        <v>0</v>
      </c>
      <c r="V54" s="39">
        <f>SUM(V29:V53)</f>
        <v>0</v>
      </c>
    </row>
    <row r="55" spans="1:22" ht="15" customHeight="1" x14ac:dyDescent="0.25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4"/>
      <c r="Q55" s="1"/>
      <c r="R55" s="1"/>
    </row>
    <row r="56" spans="1:22" ht="15" customHeight="1" x14ac:dyDescent="0.25">
      <c r="A56" s="1"/>
      <c r="B56" s="1"/>
      <c r="C56" s="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0"/>
      <c r="Q56" s="1"/>
      <c r="R56" s="1"/>
    </row>
    <row r="57" spans="1:22" ht="15" customHeight="1" x14ac:dyDescent="0.25">
      <c r="A57" s="1"/>
      <c r="B57" s="1"/>
      <c r="C57" s="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1"/>
      <c r="P57" s="29"/>
      <c r="Q57" s="1"/>
      <c r="R57" s="1"/>
    </row>
    <row r="58" spans="1:22" ht="15" customHeight="1" x14ac:dyDescent="0.25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  <c r="P58" s="29"/>
      <c r="Q58" s="1"/>
      <c r="R58" s="1"/>
    </row>
    <row r="59" spans="1:22" ht="15" customHeight="1" x14ac:dyDescent="0.25">
      <c r="A59" s="1"/>
      <c r="B59" s="1"/>
      <c r="C59" s="6"/>
      <c r="D59" s="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1"/>
      <c r="P59" s="29"/>
      <c r="Q59" s="1"/>
      <c r="R59" s="1"/>
    </row>
    <row r="60" spans="1:22" ht="5.0999999999999996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sheetProtection algorithmName="SHA-512" hashValue="geRvMXNonnJDtdpJrdw/g5AkvMVODJxQf20RqcRQrv5667L3MC4R+hil72tC0SBjwI68J9EEQ+2IkC5auj6SLg==" saltValue="6NR50BibHwSPjZDpz/vc1g==" spinCount="100000" sheet="1" objects="1" scenarios="1"/>
  <protectedRanges>
    <protectedRange sqref="M29:N53" name="Plage2"/>
    <protectedRange sqref="P29:P54" name="Plage3"/>
  </protectedRanges>
  <mergeCells count="13">
    <mergeCell ref="H25:H28"/>
    <mergeCell ref="C25:C28"/>
    <mergeCell ref="D25:D28"/>
    <mergeCell ref="E25:E28"/>
    <mergeCell ref="F25:F28"/>
    <mergeCell ref="G25:G28"/>
    <mergeCell ref="P25:P28"/>
    <mergeCell ref="I25:I28"/>
    <mergeCell ref="J25:J28"/>
    <mergeCell ref="K25:K28"/>
    <mergeCell ref="L25:L28"/>
    <mergeCell ref="M25:M28"/>
    <mergeCell ref="N25:N28"/>
  </mergeCells>
  <conditionalFormatting sqref="G54">
    <cfRule type="cellIs" dxfId="79" priority="26" operator="lessThanOrEqual">
      <formula>15</formula>
    </cfRule>
    <cfRule type="cellIs" dxfId="78" priority="28" operator="greaterThan">
      <formula>15</formula>
    </cfRule>
  </conditionalFormatting>
  <conditionalFormatting sqref="E54">
    <cfRule type="cellIs" dxfId="77" priority="27" operator="lessThanOrEqual">
      <formula>1</formula>
    </cfRule>
    <cfRule type="containsText" dxfId="76" priority="29" operator="containsText" text="/">
      <formula>NOT(ISERROR(SEARCH("/",E54)))</formula>
    </cfRule>
    <cfRule type="cellIs" dxfId="75" priority="30" operator="greaterThan">
      <formula>1</formula>
    </cfRule>
  </conditionalFormatting>
  <conditionalFormatting sqref="G29">
    <cfRule type="cellIs" dxfId="74" priority="16" operator="lessThanOrEqual">
      <formula>15</formula>
    </cfRule>
    <cfRule type="cellIs" dxfId="73" priority="18" operator="greaterThan">
      <formula>15</formula>
    </cfRule>
  </conditionalFormatting>
  <conditionalFormatting sqref="E29">
    <cfRule type="cellIs" dxfId="72" priority="17" operator="lessThanOrEqual">
      <formula>1</formula>
    </cfRule>
    <cfRule type="containsText" dxfId="71" priority="19" operator="containsText" text="/">
      <formula>NOT(ISERROR(SEARCH("/",E29)))</formula>
    </cfRule>
    <cfRule type="cellIs" dxfId="70" priority="20" operator="greaterThan">
      <formula>1</formula>
    </cfRule>
  </conditionalFormatting>
  <conditionalFormatting sqref="G30:G42">
    <cfRule type="cellIs" dxfId="69" priority="6" operator="lessThanOrEqual">
      <formula>15</formula>
    </cfRule>
    <cfRule type="cellIs" dxfId="68" priority="8" operator="greaterThan">
      <formula>15</formula>
    </cfRule>
  </conditionalFormatting>
  <conditionalFormatting sqref="E30:E42">
    <cfRule type="cellIs" dxfId="67" priority="7" operator="lessThanOrEqual">
      <formula>1</formula>
    </cfRule>
    <cfRule type="containsText" dxfId="66" priority="9" operator="containsText" text="/">
      <formula>NOT(ISERROR(SEARCH("/",E30)))</formula>
    </cfRule>
    <cfRule type="cellIs" dxfId="65" priority="10" operator="greaterThan">
      <formula>1</formula>
    </cfRule>
  </conditionalFormatting>
  <conditionalFormatting sqref="G43:G53">
    <cfRule type="cellIs" dxfId="64" priority="1" operator="lessThanOrEqual">
      <formula>15</formula>
    </cfRule>
    <cfRule type="cellIs" dxfId="63" priority="3" operator="greaterThan">
      <formula>15</formula>
    </cfRule>
  </conditionalFormatting>
  <conditionalFormatting sqref="E43:E53">
    <cfRule type="cellIs" dxfId="62" priority="2" operator="lessThanOrEqual">
      <formula>1</formula>
    </cfRule>
    <cfRule type="containsText" dxfId="61" priority="4" operator="containsText" text="/">
      <formula>NOT(ISERROR(SEARCH("/",E43)))</formula>
    </cfRule>
    <cfRule type="cellIs" dxfId="60" priority="5" operator="greaterThan">
      <formula>1</formula>
    </cfRule>
  </conditionalFormatting>
  <dataValidations count="1">
    <dataValidation type="list" allowBlank="1" showInputMessage="1" showErrorMessage="1" sqref="C5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 r:id="rId3"/>
  <legacyDrawingHF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V61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2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2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2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2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2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2" ht="15" customHeight="1" x14ac:dyDescent="0.25">
      <c r="A25" s="1"/>
      <c r="B25" s="1"/>
      <c r="C25" s="161" t="s">
        <v>7</v>
      </c>
      <c r="D25" s="161" t="s">
        <v>13</v>
      </c>
      <c r="E25" s="161" t="s">
        <v>22</v>
      </c>
      <c r="F25" s="161" t="s">
        <v>67</v>
      </c>
      <c r="G25" s="161" t="s">
        <v>31</v>
      </c>
      <c r="H25" s="161" t="s">
        <v>14</v>
      </c>
      <c r="I25" s="161" t="s">
        <v>20</v>
      </c>
      <c r="J25" s="161" t="s">
        <v>23</v>
      </c>
      <c r="K25" s="161" t="s">
        <v>68</v>
      </c>
      <c r="L25" s="161" t="s">
        <v>15</v>
      </c>
      <c r="M25" s="132" t="s">
        <v>16</v>
      </c>
      <c r="N25" s="132" t="s">
        <v>38</v>
      </c>
      <c r="O25" s="2"/>
      <c r="P25" s="132" t="s">
        <v>43</v>
      </c>
      <c r="Q25" s="1"/>
      <c r="R25" s="1"/>
    </row>
    <row r="26" spans="1:22" x14ac:dyDescent="0.25">
      <c r="A26" s="1"/>
      <c r="B26" s="1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33"/>
      <c r="N26" s="133"/>
      <c r="O26" s="2"/>
      <c r="P26" s="133"/>
      <c r="Q26" s="1"/>
      <c r="R26" s="1"/>
    </row>
    <row r="27" spans="1:22" ht="15" customHeight="1" x14ac:dyDescent="0.25">
      <c r="A27" s="1"/>
      <c r="B27" s="1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33"/>
      <c r="N27" s="133"/>
      <c r="O27" s="9"/>
      <c r="P27" s="133"/>
      <c r="Q27" s="1"/>
      <c r="R27" s="1"/>
    </row>
    <row r="28" spans="1:22" x14ac:dyDescent="0.25">
      <c r="A28" s="1"/>
      <c r="B28" s="1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34"/>
      <c r="N28" s="134"/>
      <c r="O28" s="9"/>
      <c r="P28" s="134"/>
      <c r="Q28" s="1"/>
      <c r="R28" s="1"/>
    </row>
    <row r="29" spans="1:22" ht="50.1" customHeight="1" x14ac:dyDescent="0.25">
      <c r="A29" s="1"/>
      <c r="B29" s="1"/>
      <c r="C29" s="82" t="str">
        <f>IF('Phase GPA'!$AT29="HR",'Phase GPA'!$C29,"/")</f>
        <v>/</v>
      </c>
      <c r="D29" s="41" t="str">
        <f>IF($C29="/","",IF($C29="","",IFERROR(IF(ISNA(VLOOKUP($C29,'Phase GPA'!$C$29:'Phase GPA'!$U$58,10,0)), ,VLOOKUP($C29,'Phase GPA'!$C$29:'Phase GPA'!$U$58,10,0)),0)))</f>
        <v/>
      </c>
      <c r="E29" s="42" t="str">
        <f>IF($C29="/","",IF($C29="","",IFERROR(IF(ISNA($D29/VLOOKUP($C29,Données!$C$19:'Données'!$I$48,6,0)), ,$D29/VLOOKUP($C29,Données!$C$19:'Données'!$I$48,6,0)),"/")))</f>
        <v/>
      </c>
      <c r="F29" s="42" t="str">
        <f>IF($C29="/","",IF($C29="","",IFERROR(IF(ISNA($D29/VLOOKUP($C29,Données!$C$19:'Données'!$I$48,7,0)*100), ,$D29/VLOOKUP($C29,Données!$C$19:'Données'!$I$48,7,0)*100),"/")))</f>
        <v/>
      </c>
      <c r="G29" s="41" t="str">
        <f>IF($C29="/","",IF($C29="","",IFERROR(IF(ISNA(VLOOKUP($C29,'Phase GPA'!$C$29:'Phase GPA'!$U$58,11,0)), ,VLOOKUP($C29,'Phase GPA'!$C$29:'Phase GPA'!$U$58,11,0)),0)))</f>
        <v/>
      </c>
      <c r="H29" s="44" t="str">
        <f>IF($C29="/","",IF($C29="","",IFERROR(IF(ISNA(VLOOKUP($C29,'Phase GPA'!$C$29:'Phase GPA'!$U$58,12,0)), ,VLOOKUP($C29,'Phase GPA'!$C$29:'Phase GPA'!$U$58,12,0)),0)))</f>
        <v/>
      </c>
      <c r="I29" s="44" t="str">
        <f>IF($C29="/","",IF($C29="","",IFERROR(IF(ISNA($H29/VLOOKUP($C29,Données!$C$19:'Données'!$I$48,5,0)), ,$H29/VLOOKUP($C29,Données!$C$19:'Données'!$I$48,5,0))*100,0)))</f>
        <v/>
      </c>
      <c r="J29" s="44" t="str">
        <f>IF($C29="/","",IF($C29="","",IFERROR(IF(ISNA($H29/VLOOKUP($C29,Données!$C$19:'Données'!$I$48,6,0)), ,$H29/VLOOKUP($C29,Données!$C$19:'Données'!$I$48,6,0)),"/")))</f>
        <v/>
      </c>
      <c r="K29" s="44" t="str">
        <f>IF($C29="/","",IF($C29="","",IFERROR(IF(ISNA($H29/VLOOKUP($C29,Données!$C$19:'Données'!$I$48,7,0)*100), ,$H29/VLOOKUP($C29,Données!$C$19:'Données'!$I$48,7,0)*100),"/")))</f>
        <v/>
      </c>
      <c r="L29" s="45" t="str">
        <f>IF($C29="/","",IF($D29=0,"/",IF($C29="","",IFERROR(($H29/$D29),0))))</f>
        <v/>
      </c>
      <c r="M29" s="13"/>
      <c r="N29" s="12"/>
      <c r="O29" s="3"/>
      <c r="P29" s="16"/>
      <c r="Q29" s="1"/>
      <c r="R29" s="1"/>
      <c r="S29" s="54">
        <f>IF($C29="","",IFERROR(IF(ISNA(VLOOKUP($C29,Données!$C$19:'Données'!$I$48,6,0)), ,VLOOKUP($C29,Données!$C$19:'Données'!$I$48,6,0)),"/"))</f>
        <v>0</v>
      </c>
      <c r="T29" s="54">
        <f>IF($C29="","",IFERROR(IF(ISNA(VLOOKUP($C29,Données!$C$19:'Données'!$I$48,7,0)), ,VLOOKUP($C29,Données!$C$19:'Données'!$I$48,7,0)),"/"))</f>
        <v>0</v>
      </c>
      <c r="U29" s="54">
        <f>IF($C29="","",IFERROR(IF(ISNA(VLOOKUP($C29,Données!$C$19:'Données'!$I$48,5,0)), ,VLOOKUP($C29,Données!$C$19:'Données'!$I$48,5,0)),"/"))</f>
        <v>0</v>
      </c>
      <c r="V29" s="54" t="str">
        <f>IF($C29="","",IFERROR(IF(ISNA($D29*$G29), ,$D29*$G29),"/"))</f>
        <v>/</v>
      </c>
    </row>
    <row r="30" spans="1:22" ht="50.1" customHeight="1" x14ac:dyDescent="0.25">
      <c r="A30" s="1"/>
      <c r="B30" s="1"/>
      <c r="C30" s="82" t="str">
        <f>IF('Phase GPA'!$AT30="HR",'Phase GPA'!$C30,"/")</f>
        <v>/</v>
      </c>
      <c r="D30" s="41" t="str">
        <f>IF($C30="/","",IF($C30="","",IFERROR(IF(ISNA(VLOOKUP($C30,'Phase GPA'!$C$29:'Phase GPA'!$U$58,10,0)), ,VLOOKUP($C30,'Phase GPA'!$C$29:'Phase GPA'!$U$58,10,0)),0)))</f>
        <v/>
      </c>
      <c r="E30" s="42" t="str">
        <f>IF($C30="/","",IF($C30="","",IFERROR(IF(ISNA($D30/VLOOKUP($C30,Données!$C$19:'Données'!$I$48,6,0)), ,$D30/VLOOKUP($C30,Données!$C$19:'Données'!$I$48,6,0)),"/")))</f>
        <v/>
      </c>
      <c r="F30" s="42" t="str">
        <f>IF($C30="/","",IF($C30="","",IFERROR(IF(ISNA($D30/VLOOKUP($C30,Données!$C$19:'Données'!$I$48,7,0)*100), ,$D30/VLOOKUP($C30,Données!$C$19:'Données'!$I$48,7,0)*100),"/")))</f>
        <v/>
      </c>
      <c r="G30" s="41" t="str">
        <f>IF($C30="/","",IF($C30="","",IFERROR(IF(ISNA(VLOOKUP($C30,'Phase GPA'!$C$29:'Phase GPA'!$U$58,11,0)), ,VLOOKUP($C30,'Phase GPA'!$C$29:'Phase GPA'!$U$58,11,0)),0)))</f>
        <v/>
      </c>
      <c r="H30" s="44" t="str">
        <f>IF($C30="/","",IF($C30="","",IFERROR(IF(ISNA(VLOOKUP($C30,'Phase GPA'!$C$29:'Phase GPA'!$U$58,12,0)), ,VLOOKUP($C30,'Phase GPA'!$C$29:'Phase GPA'!$U$58,12,0)),0)))</f>
        <v/>
      </c>
      <c r="I30" s="44" t="str">
        <f>IF($C30="/","",IF($C30="","",IFERROR(IF(ISNA($H30/VLOOKUP($C30,Données!$C$19:'Données'!$I$48,5,0)), ,$H30/VLOOKUP($C30,Données!$C$19:'Données'!$I$48,5,0))*100,0)))</f>
        <v/>
      </c>
      <c r="J30" s="44" t="str">
        <f>IF($C30="/","",IF($C30="","",IFERROR(IF(ISNA($H30/VLOOKUP($C30,Données!$C$19:'Données'!$I$48,6,0)), ,$H30/VLOOKUP($C30,Données!$C$19:'Données'!$I$48,6,0)),"/")))</f>
        <v/>
      </c>
      <c r="K30" s="44" t="str">
        <f>IF($C30="/","",IF($C30="","",IFERROR(IF(ISNA($H30/VLOOKUP($C30,Données!$C$19:'Données'!$I$48,7,0)*100), ,$H30/VLOOKUP($C30,Données!$C$19:'Données'!$I$48,7,0)*100),"/")))</f>
        <v/>
      </c>
      <c r="L30" s="45" t="str">
        <f t="shared" ref="L30:L53" si="0">IF($C30="/","",IF($D30=0,"/",IF($C30="","",IFERROR(($H30/$D30),0))))</f>
        <v/>
      </c>
      <c r="M30" s="13"/>
      <c r="N30" s="12"/>
      <c r="O30" s="3"/>
      <c r="P30" s="16"/>
      <c r="Q30" s="1"/>
      <c r="R30" s="1"/>
      <c r="S30" s="54">
        <f>IF($C30="","",IFERROR(IF(ISNA(VLOOKUP($C30,Données!$C$19:'Données'!$I$48,6,0)), ,VLOOKUP($C30,Données!$C$19:'Données'!$I$48,6,0)),"/"))</f>
        <v>0</v>
      </c>
      <c r="T30" s="54">
        <f>IF($C30="","",IFERROR(IF(ISNA(VLOOKUP($C30,Données!$C$19:'Données'!$I$48,7,0)), ,VLOOKUP($C30,Données!$C$19:'Données'!$I$48,7,0)),"/"))</f>
        <v>0</v>
      </c>
      <c r="U30" s="54">
        <f>IF($C30="","",IFERROR(IF(ISNA(VLOOKUP($C30,Données!$C$19:'Données'!$I$48,5,0)), ,VLOOKUP($C30,Données!$C$19:'Données'!$I$48,5,0)),"/"))</f>
        <v>0</v>
      </c>
      <c r="V30" s="54" t="str">
        <f>IF($C30="","",IFERROR(IF(ISNA($D30*$G30), ,$D30*$G30),"/"))</f>
        <v>/</v>
      </c>
    </row>
    <row r="31" spans="1:22" ht="50.1" customHeight="1" x14ac:dyDescent="0.25">
      <c r="A31" s="1"/>
      <c r="B31" s="1"/>
      <c r="C31" s="82" t="str">
        <f>IF('Phase GPA'!$AT31="HR",'Phase GPA'!$C31,"/")</f>
        <v>/</v>
      </c>
      <c r="D31" s="41" t="str">
        <f>IF($C31="/","",IF($C31="","",IFERROR(IF(ISNA(VLOOKUP($C31,'Phase GPA'!$C$29:'Phase GPA'!$U$58,10,0)), ,VLOOKUP($C31,'Phase GPA'!$C$29:'Phase GPA'!$U$58,10,0)),0)))</f>
        <v/>
      </c>
      <c r="E31" s="42" t="str">
        <f>IF($C31="/","",IF($C31="","",IFERROR(IF(ISNA($D31/VLOOKUP($C31,Données!$C$19:'Données'!$I$48,6,0)), ,$D31/VLOOKUP($C31,Données!$C$19:'Données'!$I$48,6,0)),"/")))</f>
        <v/>
      </c>
      <c r="F31" s="42" t="str">
        <f>IF($C31="/","",IF($C31="","",IFERROR(IF(ISNA($D31/VLOOKUP($C31,Données!$C$19:'Données'!$I$48,7,0)*100), ,$D31/VLOOKUP($C31,Données!$C$19:'Données'!$I$48,7,0)*100),"/")))</f>
        <v/>
      </c>
      <c r="G31" s="41" t="str">
        <f>IF($C31="/","",IF($C31="","",IFERROR(IF(ISNA(VLOOKUP($C31,'Phase GPA'!$C$29:'Phase GPA'!$U$58,11,0)), ,VLOOKUP($C31,'Phase GPA'!$C$29:'Phase GPA'!$U$58,11,0)),0)))</f>
        <v/>
      </c>
      <c r="H31" s="44" t="str">
        <f>IF($C31="/","",IF($C31="","",IFERROR(IF(ISNA(VLOOKUP($C31,'Phase GPA'!$C$29:'Phase GPA'!$U$58,12,0)), ,VLOOKUP($C31,'Phase GPA'!$C$29:'Phase GPA'!$U$58,12,0)),0)))</f>
        <v/>
      </c>
      <c r="I31" s="44" t="str">
        <f>IF($C31="/","",IF($C31="","",IFERROR(IF(ISNA($H31/VLOOKUP($C31,Données!$C$19:'Données'!$I$48,5,0)), ,$H31/VLOOKUP($C31,Données!$C$19:'Données'!$I$48,5,0))*100,0)))</f>
        <v/>
      </c>
      <c r="J31" s="44" t="str">
        <f>IF($C31="/","",IF($C31="","",IFERROR(IF(ISNA($H31/VLOOKUP($C31,Données!$C$19:'Données'!$I$48,6,0)), ,$H31/VLOOKUP($C31,Données!$C$19:'Données'!$I$48,6,0)),"/")))</f>
        <v/>
      </c>
      <c r="K31" s="44" t="str">
        <f>IF($C31="/","",IF($C31="","",IFERROR(IF(ISNA($H31/VLOOKUP($C31,Données!$C$19:'Données'!$I$48,7,0)*100), ,$H31/VLOOKUP($C31,Données!$C$19:'Données'!$I$48,7,0)*100),"/")))</f>
        <v/>
      </c>
      <c r="L31" s="45" t="str">
        <f t="shared" si="0"/>
        <v/>
      </c>
      <c r="M31" s="13"/>
      <c r="N31" s="12"/>
      <c r="O31" s="3"/>
      <c r="P31" s="16"/>
      <c r="Q31" s="1"/>
      <c r="R31" s="1"/>
      <c r="S31" s="54">
        <f>IF($C31="","",IFERROR(IF(ISNA(VLOOKUP($C31,Données!$C$19:'Données'!$I$48,6,0)), ,VLOOKUP($C31,Données!$C$19:'Données'!$I$48,6,0)),"/"))</f>
        <v>0</v>
      </c>
      <c r="T31" s="54">
        <f>IF($C31="","",IFERROR(IF(ISNA(VLOOKUP($C31,Données!$C$19:'Données'!$I$48,7,0)), ,VLOOKUP($C31,Données!$C$19:'Données'!$I$48,7,0)),"/"))</f>
        <v>0</v>
      </c>
      <c r="U31" s="54">
        <f>IF($C31="","",IFERROR(IF(ISNA(VLOOKUP($C31,Données!$C$19:'Données'!$I$48,5,0)), ,VLOOKUP($C31,Données!$C$19:'Données'!$I$48,5,0)),"/"))</f>
        <v>0</v>
      </c>
      <c r="V31" s="54" t="str">
        <f t="shared" ref="V31:V53" si="1">IF($C31="","",IFERROR(IF(ISNA($D31*$G31), ,$D31*$G31),"/"))</f>
        <v>/</v>
      </c>
    </row>
    <row r="32" spans="1:22" ht="50.1" customHeight="1" x14ac:dyDescent="0.25">
      <c r="A32" s="1"/>
      <c r="B32" s="1"/>
      <c r="C32" s="82" t="str">
        <f>IF('Phase GPA'!$AT32="HR",'Phase GPA'!$C32,"/")</f>
        <v>/</v>
      </c>
      <c r="D32" s="41" t="str">
        <f>IF($C32="/","",IF($C32="","",IFERROR(IF(ISNA(VLOOKUP($C32,'Phase GPA'!$C$29:'Phase GPA'!$U$58,10,0)), ,VLOOKUP($C32,'Phase GPA'!$C$29:'Phase GPA'!$U$58,10,0)),0)))</f>
        <v/>
      </c>
      <c r="E32" s="42" t="str">
        <f>IF($C32="/","",IF($C32="","",IFERROR(IF(ISNA($D32/VLOOKUP($C32,Données!$C$19:'Données'!$I$48,6,0)), ,$D32/VLOOKUP($C32,Données!$C$19:'Données'!$I$48,6,0)),"/")))</f>
        <v/>
      </c>
      <c r="F32" s="42" t="str">
        <f>IF($C32="/","",IF($C32="","",IFERROR(IF(ISNA($D32/VLOOKUP($C32,Données!$C$19:'Données'!$I$48,7,0)*100), ,$D32/VLOOKUP($C32,Données!$C$19:'Données'!$I$48,7,0)*100),"/")))</f>
        <v/>
      </c>
      <c r="G32" s="41" t="str">
        <f>IF($C32="/","",IF($C32="","",IFERROR(IF(ISNA(VLOOKUP($C32,'Phase GPA'!$C$29:'Phase GPA'!$U$58,11,0)), ,VLOOKUP($C32,'Phase GPA'!$C$29:'Phase GPA'!$U$58,11,0)),0)))</f>
        <v/>
      </c>
      <c r="H32" s="44" t="str">
        <f>IF($C32="/","",IF($C32="","",IFERROR(IF(ISNA(VLOOKUP($C32,'Phase GPA'!$C$29:'Phase GPA'!$U$58,12,0)), ,VLOOKUP($C32,'Phase GPA'!$C$29:'Phase GPA'!$U$58,12,0)),0)))</f>
        <v/>
      </c>
      <c r="I32" s="44" t="str">
        <f>IF($C32="/","",IF($C32="","",IFERROR(IF(ISNA($H32/VLOOKUP($C32,Données!$C$19:'Données'!$I$48,5,0)), ,$H32/VLOOKUP($C32,Données!$C$19:'Données'!$I$48,5,0))*100,0)))</f>
        <v/>
      </c>
      <c r="J32" s="44" t="str">
        <f>IF($C32="/","",IF($C32="","",IFERROR(IF(ISNA($H32/VLOOKUP($C32,Données!$C$19:'Données'!$I$48,6,0)), ,$H32/VLOOKUP($C32,Données!$C$19:'Données'!$I$48,6,0)),"/")))</f>
        <v/>
      </c>
      <c r="K32" s="44" t="str">
        <f>IF($C32="/","",IF($C32="","",IFERROR(IF(ISNA($H32/VLOOKUP($C32,Données!$C$19:'Données'!$I$48,7,0)*100), ,$H32/VLOOKUP($C32,Données!$C$19:'Données'!$I$48,7,0)*100),"/")))</f>
        <v/>
      </c>
      <c r="L32" s="45" t="str">
        <f t="shared" si="0"/>
        <v/>
      </c>
      <c r="M32" s="13"/>
      <c r="N32" s="12"/>
      <c r="O32" s="3"/>
      <c r="P32" s="16"/>
      <c r="Q32" s="1"/>
      <c r="R32" s="1"/>
      <c r="S32" s="54">
        <f>IF($C32="","",IFERROR(IF(ISNA(VLOOKUP($C32,Données!$C$19:'Données'!$I$48,6,0)), ,VLOOKUP($C32,Données!$C$19:'Données'!$I$48,6,0)),"/"))</f>
        <v>0</v>
      </c>
      <c r="T32" s="54">
        <f>IF($C32="","",IFERROR(IF(ISNA(VLOOKUP($C32,Données!$C$19:'Données'!$I$48,7,0)), ,VLOOKUP($C32,Données!$C$19:'Données'!$I$48,7,0)),"/"))</f>
        <v>0</v>
      </c>
      <c r="U32" s="54">
        <f>IF($C32="","",IFERROR(IF(ISNA(VLOOKUP($C32,Données!$C$19:'Données'!$I$48,5,0)), ,VLOOKUP($C32,Données!$C$19:'Données'!$I$48,5,0)),"/"))</f>
        <v>0</v>
      </c>
      <c r="V32" s="54" t="str">
        <f t="shared" si="1"/>
        <v>/</v>
      </c>
    </row>
    <row r="33" spans="1:22" ht="50.1" customHeight="1" x14ac:dyDescent="0.25">
      <c r="A33" s="1"/>
      <c r="B33" s="1"/>
      <c r="C33" s="82" t="str">
        <f>IF('Phase GPA'!$AT33="HR",'Phase GPA'!$C33,"/")</f>
        <v>/</v>
      </c>
      <c r="D33" s="41" t="str">
        <f>IF($C33="/","",IF($C33="","",IFERROR(IF(ISNA(VLOOKUP($C33,'Phase GPA'!$C$29:'Phase GPA'!$U$58,10,0)), ,VLOOKUP($C33,'Phase GPA'!$C$29:'Phase GPA'!$U$58,10,0)),0)))</f>
        <v/>
      </c>
      <c r="E33" s="42" t="str">
        <f>IF($C33="/","",IF($C33="","",IFERROR(IF(ISNA($D33/VLOOKUP($C33,Données!$C$19:'Données'!$I$48,6,0)), ,$D33/VLOOKUP($C33,Données!$C$19:'Données'!$I$48,6,0)),"/")))</f>
        <v/>
      </c>
      <c r="F33" s="42" t="str">
        <f>IF($C33="/","",IF($C33="","",IFERROR(IF(ISNA($D33/VLOOKUP($C33,Données!$C$19:'Données'!$I$48,7,0)*100), ,$D33/VLOOKUP($C33,Données!$C$19:'Données'!$I$48,7,0)*100),"/")))</f>
        <v/>
      </c>
      <c r="G33" s="41" t="str">
        <f>IF($C33="/","",IF($C33="","",IFERROR(IF(ISNA(VLOOKUP($C33,'Phase GPA'!$C$29:'Phase GPA'!$U$58,11,0)), ,VLOOKUP($C33,'Phase GPA'!$C$29:'Phase GPA'!$U$58,11,0)),0)))</f>
        <v/>
      </c>
      <c r="H33" s="44" t="str">
        <f>IF($C33="/","",IF($C33="","",IFERROR(IF(ISNA(VLOOKUP($C33,'Phase GPA'!$C$29:'Phase GPA'!$U$58,12,0)), ,VLOOKUP($C33,'Phase GPA'!$C$29:'Phase GPA'!$U$58,12,0)),0)))</f>
        <v/>
      </c>
      <c r="I33" s="44" t="str">
        <f>IF($C33="/","",IF($C33="","",IFERROR(IF(ISNA($H33/VLOOKUP($C33,Données!$C$19:'Données'!$I$48,5,0)), ,$H33/VLOOKUP($C33,Données!$C$19:'Données'!$I$48,5,0))*100,0)))</f>
        <v/>
      </c>
      <c r="J33" s="44" t="str">
        <f>IF($C33="/","",IF($C33="","",IFERROR(IF(ISNA($H33/VLOOKUP($C33,Données!$C$19:'Données'!$I$48,6,0)), ,$H33/VLOOKUP($C33,Données!$C$19:'Données'!$I$48,6,0)),"/")))</f>
        <v/>
      </c>
      <c r="K33" s="44" t="str">
        <f>IF($C33="/","",IF($C33="","",IFERROR(IF(ISNA($H33/VLOOKUP($C33,Données!$C$19:'Données'!$I$48,7,0)*100), ,$H33/VLOOKUP($C33,Données!$C$19:'Données'!$I$48,7,0)*100),"/")))</f>
        <v/>
      </c>
      <c r="L33" s="45" t="str">
        <f t="shared" si="0"/>
        <v/>
      </c>
      <c r="M33" s="13"/>
      <c r="N33" s="12"/>
      <c r="O33" s="3"/>
      <c r="P33" s="16"/>
      <c r="Q33" s="1"/>
      <c r="R33" s="1"/>
      <c r="S33" s="54">
        <f>IF($C33="","",IFERROR(IF(ISNA(VLOOKUP($C33,Données!$C$19:'Données'!$I$48,6,0)), ,VLOOKUP($C33,Données!$C$19:'Données'!$I$48,6,0)),"/"))</f>
        <v>0</v>
      </c>
      <c r="T33" s="54">
        <f>IF($C33="","",IFERROR(IF(ISNA(VLOOKUP($C33,Données!$C$19:'Données'!$I$48,7,0)), ,VLOOKUP($C33,Données!$C$19:'Données'!$I$48,7,0)),"/"))</f>
        <v>0</v>
      </c>
      <c r="U33" s="54">
        <f>IF($C33="","",IFERROR(IF(ISNA(VLOOKUP($C33,Données!$C$19:'Données'!$I$48,5,0)), ,VLOOKUP($C33,Données!$C$19:'Données'!$I$48,5,0)),"/"))</f>
        <v>0</v>
      </c>
      <c r="V33" s="54" t="str">
        <f t="shared" si="1"/>
        <v>/</v>
      </c>
    </row>
    <row r="34" spans="1:22" ht="50.1" customHeight="1" x14ac:dyDescent="0.25">
      <c r="A34" s="1"/>
      <c r="B34" s="1"/>
      <c r="C34" s="82" t="str">
        <f>IF('Phase GPA'!$AT34="HR",'Phase GPA'!$C34,"/")</f>
        <v>/</v>
      </c>
      <c r="D34" s="41" t="str">
        <f>IF($C34="/","",IF($C34="","",IFERROR(IF(ISNA(VLOOKUP($C34,'Phase GPA'!$C$29:'Phase GPA'!$U$58,10,0)), ,VLOOKUP($C34,'Phase GPA'!$C$29:'Phase GPA'!$U$58,10,0)),0)))</f>
        <v/>
      </c>
      <c r="E34" s="42" t="str">
        <f>IF($C34="/","",IF($C34="","",IFERROR(IF(ISNA($D34/VLOOKUP($C34,Données!$C$19:'Données'!$I$48,6,0)), ,$D34/VLOOKUP($C34,Données!$C$19:'Données'!$I$48,6,0)),"/")))</f>
        <v/>
      </c>
      <c r="F34" s="42" t="str">
        <f>IF($C34="/","",IF($C34="","",IFERROR(IF(ISNA($D34/VLOOKUP($C34,Données!$C$19:'Données'!$I$48,7,0)*100), ,$D34/VLOOKUP($C34,Données!$C$19:'Données'!$I$48,7,0)*100),"/")))</f>
        <v/>
      </c>
      <c r="G34" s="41" t="str">
        <f>IF($C34="/","",IF($C34="","",IFERROR(IF(ISNA(VLOOKUP($C34,'Phase GPA'!$C$29:'Phase GPA'!$U$58,11,0)), ,VLOOKUP($C34,'Phase GPA'!$C$29:'Phase GPA'!$U$58,11,0)),0)))</f>
        <v/>
      </c>
      <c r="H34" s="44" t="str">
        <f>IF($C34="/","",IF($C34="","",IFERROR(IF(ISNA(VLOOKUP($C34,'Phase GPA'!$C$29:'Phase GPA'!$U$58,12,0)), ,VLOOKUP($C34,'Phase GPA'!$C$29:'Phase GPA'!$U$58,12,0)),0)))</f>
        <v/>
      </c>
      <c r="I34" s="44" t="str">
        <f>IF($C34="/","",IF($C34="","",IFERROR(IF(ISNA($H34/VLOOKUP($C34,Données!$C$19:'Données'!$I$48,5,0)), ,$H34/VLOOKUP($C34,Données!$C$19:'Données'!$I$48,5,0))*100,0)))</f>
        <v/>
      </c>
      <c r="J34" s="44" t="str">
        <f>IF($C34="/","",IF($C34="","",IFERROR(IF(ISNA($H34/VLOOKUP($C34,Données!$C$19:'Données'!$I$48,6,0)), ,$H34/VLOOKUP($C34,Données!$C$19:'Données'!$I$48,6,0)),"/")))</f>
        <v/>
      </c>
      <c r="K34" s="44" t="str">
        <f>IF($C34="/","",IF($C34="","",IFERROR(IF(ISNA($H34/VLOOKUP($C34,Données!$C$19:'Données'!$I$48,7,0)*100), ,$H34/VLOOKUP($C34,Données!$C$19:'Données'!$I$48,7,0)*100),"/")))</f>
        <v/>
      </c>
      <c r="L34" s="45" t="str">
        <f t="shared" si="0"/>
        <v/>
      </c>
      <c r="M34" s="13"/>
      <c r="N34" s="12"/>
      <c r="O34" s="3"/>
      <c r="P34" s="16"/>
      <c r="Q34" s="1"/>
      <c r="R34" s="1"/>
      <c r="S34" s="54">
        <f>IF($C34="","",IFERROR(IF(ISNA(VLOOKUP($C34,Données!$C$19:'Données'!$I$48,6,0)), ,VLOOKUP($C34,Données!$C$19:'Données'!$I$48,6,0)),"/"))</f>
        <v>0</v>
      </c>
      <c r="T34" s="54">
        <f>IF($C34="","",IFERROR(IF(ISNA(VLOOKUP($C34,Données!$C$19:'Données'!$I$48,7,0)), ,VLOOKUP($C34,Données!$C$19:'Données'!$I$48,7,0)),"/"))</f>
        <v>0</v>
      </c>
      <c r="U34" s="54">
        <f>IF($C34="","",IFERROR(IF(ISNA(VLOOKUP($C34,Données!$C$19:'Données'!$I$48,5,0)), ,VLOOKUP($C34,Données!$C$19:'Données'!$I$48,5,0)),"/"))</f>
        <v>0</v>
      </c>
      <c r="V34" s="54" t="str">
        <f t="shared" si="1"/>
        <v>/</v>
      </c>
    </row>
    <row r="35" spans="1:22" ht="50.1" customHeight="1" x14ac:dyDescent="0.25">
      <c r="A35" s="1"/>
      <c r="B35" s="1"/>
      <c r="C35" s="82" t="str">
        <f>IF('Phase GPA'!$AT35="HR",'Phase GPA'!$C35,"/")</f>
        <v>/</v>
      </c>
      <c r="D35" s="41" t="str">
        <f>IF($C35="/","",IF($C35="","",IFERROR(IF(ISNA(VLOOKUP($C35,'Phase GPA'!$C$29:'Phase GPA'!$U$58,10,0)), ,VLOOKUP($C35,'Phase GPA'!$C$29:'Phase GPA'!$U$58,10,0)),0)))</f>
        <v/>
      </c>
      <c r="E35" s="42" t="str">
        <f>IF($C35="/","",IF($C35="","",IFERROR(IF(ISNA($D35/VLOOKUP($C35,Données!$C$19:'Données'!$I$48,6,0)), ,$D35/VLOOKUP($C35,Données!$C$19:'Données'!$I$48,6,0)),"/")))</f>
        <v/>
      </c>
      <c r="F35" s="42" t="str">
        <f>IF($C35="/","",IF($C35="","",IFERROR(IF(ISNA($D35/VLOOKUP($C35,Données!$C$19:'Données'!$I$48,7,0)*100), ,$D35/VLOOKUP($C35,Données!$C$19:'Données'!$I$48,7,0)*100),"/")))</f>
        <v/>
      </c>
      <c r="G35" s="41" t="str">
        <f>IF($C35="/","",IF($C35="","",IFERROR(IF(ISNA(VLOOKUP($C35,'Phase GPA'!$C$29:'Phase GPA'!$U$58,11,0)), ,VLOOKUP($C35,'Phase GPA'!$C$29:'Phase GPA'!$U$58,11,0)),0)))</f>
        <v/>
      </c>
      <c r="H35" s="44" t="str">
        <f>IF($C35="/","",IF($C35="","",IFERROR(IF(ISNA(VLOOKUP($C35,'Phase GPA'!$C$29:'Phase GPA'!$U$58,12,0)), ,VLOOKUP($C35,'Phase GPA'!$C$29:'Phase GPA'!$U$58,12,0)),0)))</f>
        <v/>
      </c>
      <c r="I35" s="44" t="str">
        <f>IF($C35="/","",IF($C35="","",IFERROR(IF(ISNA($H35/VLOOKUP($C35,Données!$C$19:'Données'!$I$48,5,0)), ,$H35/VLOOKUP($C35,Données!$C$19:'Données'!$I$48,5,0))*100,0)))</f>
        <v/>
      </c>
      <c r="J35" s="44" t="str">
        <f>IF($C35="/","",IF($C35="","",IFERROR(IF(ISNA($H35/VLOOKUP($C35,Données!$C$19:'Données'!$I$48,6,0)), ,$H35/VLOOKUP($C35,Données!$C$19:'Données'!$I$48,6,0)),"/")))</f>
        <v/>
      </c>
      <c r="K35" s="44" t="str">
        <f>IF($C35="/","",IF($C35="","",IFERROR(IF(ISNA($H35/VLOOKUP($C35,Données!$C$19:'Données'!$I$48,7,0)*100), ,$H35/VLOOKUP($C35,Données!$C$19:'Données'!$I$48,7,0)*100),"/")))</f>
        <v/>
      </c>
      <c r="L35" s="45" t="str">
        <f t="shared" si="0"/>
        <v/>
      </c>
      <c r="M35" s="13"/>
      <c r="N35" s="12"/>
      <c r="O35" s="3"/>
      <c r="P35" s="16"/>
      <c r="Q35" s="1"/>
      <c r="R35" s="1"/>
      <c r="S35" s="54">
        <f>IF($C35="","",IFERROR(IF(ISNA(VLOOKUP($C35,Données!$C$19:'Données'!$I$48,6,0)), ,VLOOKUP($C35,Données!$C$19:'Données'!$I$48,6,0)),"/"))</f>
        <v>0</v>
      </c>
      <c r="T35" s="54">
        <f>IF($C35="","",IFERROR(IF(ISNA(VLOOKUP($C35,Données!$C$19:'Données'!$I$48,7,0)), ,VLOOKUP($C35,Données!$C$19:'Données'!$I$48,7,0)),"/"))</f>
        <v>0</v>
      </c>
      <c r="U35" s="54">
        <f>IF($C35="","",IFERROR(IF(ISNA(VLOOKUP($C35,Données!$C$19:'Données'!$I$48,5,0)), ,VLOOKUP($C35,Données!$C$19:'Données'!$I$48,5,0)),"/"))</f>
        <v>0</v>
      </c>
      <c r="V35" s="54" t="str">
        <f t="shared" si="1"/>
        <v>/</v>
      </c>
    </row>
    <row r="36" spans="1:22" ht="50.1" customHeight="1" x14ac:dyDescent="0.25">
      <c r="A36" s="1"/>
      <c r="B36" s="1"/>
      <c r="C36" s="82" t="str">
        <f>IF('Phase GPA'!$AT36="HR",'Phase GPA'!$C36,"/")</f>
        <v>/</v>
      </c>
      <c r="D36" s="41" t="str">
        <f>IF($C36="/","",IF($C36="","",IFERROR(IF(ISNA(VLOOKUP($C36,'Phase GPA'!$C$29:'Phase GPA'!$U$58,10,0)), ,VLOOKUP($C36,'Phase GPA'!$C$29:'Phase GPA'!$U$58,10,0)),0)))</f>
        <v/>
      </c>
      <c r="E36" s="42" t="str">
        <f>IF($C36="/","",IF($C36="","",IFERROR(IF(ISNA($D36/VLOOKUP($C36,Données!$C$19:'Données'!$I$48,6,0)), ,$D36/VLOOKUP($C36,Données!$C$19:'Données'!$I$48,6,0)),"/")))</f>
        <v/>
      </c>
      <c r="F36" s="42" t="str">
        <f>IF($C36="/","",IF($C36="","",IFERROR(IF(ISNA($D36/VLOOKUP($C36,Données!$C$19:'Données'!$I$48,7,0)*100), ,$D36/VLOOKUP($C36,Données!$C$19:'Données'!$I$48,7,0)*100),"/")))</f>
        <v/>
      </c>
      <c r="G36" s="41" t="str">
        <f>IF($C36="/","",IF($C36="","",IFERROR(IF(ISNA(VLOOKUP($C36,'Phase GPA'!$C$29:'Phase GPA'!$U$58,11,0)), ,VLOOKUP($C36,'Phase GPA'!$C$29:'Phase GPA'!$U$58,11,0)),0)))</f>
        <v/>
      </c>
      <c r="H36" s="44" t="str">
        <f>IF($C36="/","",IF($C36="","",IFERROR(IF(ISNA(VLOOKUP($C36,'Phase GPA'!$C$29:'Phase GPA'!$U$58,12,0)), ,VLOOKUP($C36,'Phase GPA'!$C$29:'Phase GPA'!$U$58,12,0)),0)))</f>
        <v/>
      </c>
      <c r="I36" s="44" t="str">
        <f>IF($C36="/","",IF($C36="","",IFERROR(IF(ISNA($H36/VLOOKUP($C36,Données!$C$19:'Données'!$I$48,5,0)), ,$H36/VLOOKUP($C36,Données!$C$19:'Données'!$I$48,5,0))*100,0)))</f>
        <v/>
      </c>
      <c r="J36" s="44" t="str">
        <f>IF($C36="/","",IF($C36="","",IFERROR(IF(ISNA($H36/VLOOKUP($C36,Données!$C$19:'Données'!$I$48,6,0)), ,$H36/VLOOKUP($C36,Données!$C$19:'Données'!$I$48,6,0)),"/")))</f>
        <v/>
      </c>
      <c r="K36" s="44" t="str">
        <f>IF($C36="/","",IF($C36="","",IFERROR(IF(ISNA($H36/VLOOKUP($C36,Données!$C$19:'Données'!$I$48,7,0)*100), ,$H36/VLOOKUP($C36,Données!$C$19:'Données'!$I$48,7,0)*100),"/")))</f>
        <v/>
      </c>
      <c r="L36" s="45" t="str">
        <f t="shared" si="0"/>
        <v/>
      </c>
      <c r="M36" s="13"/>
      <c r="N36" s="12"/>
      <c r="O36" s="3"/>
      <c r="P36" s="16"/>
      <c r="Q36" s="1"/>
      <c r="R36" s="1"/>
      <c r="S36" s="54">
        <f>IF($C36="","",IFERROR(IF(ISNA(VLOOKUP($C36,Données!$C$19:'Données'!$I$48,6,0)), ,VLOOKUP($C36,Données!$C$19:'Données'!$I$48,6,0)),"/"))</f>
        <v>0</v>
      </c>
      <c r="T36" s="54">
        <f>IF($C36="","",IFERROR(IF(ISNA(VLOOKUP($C36,Données!$C$19:'Données'!$I$48,7,0)), ,VLOOKUP($C36,Données!$C$19:'Données'!$I$48,7,0)),"/"))</f>
        <v>0</v>
      </c>
      <c r="U36" s="54">
        <f>IF($C36="","",IFERROR(IF(ISNA(VLOOKUP($C36,Données!$C$19:'Données'!$I$48,5,0)), ,VLOOKUP($C36,Données!$C$19:'Données'!$I$48,5,0)),"/"))</f>
        <v>0</v>
      </c>
      <c r="V36" s="54" t="str">
        <f t="shared" si="1"/>
        <v>/</v>
      </c>
    </row>
    <row r="37" spans="1:22" ht="50.1" customHeight="1" x14ac:dyDescent="0.25">
      <c r="A37" s="1"/>
      <c r="B37" s="1"/>
      <c r="C37" s="82" t="str">
        <f>IF('Phase GPA'!$AT37="HR",'Phase GPA'!$C37,"/")</f>
        <v>/</v>
      </c>
      <c r="D37" s="41" t="str">
        <f>IF($C37="/","",IF($C37="","",IFERROR(IF(ISNA(VLOOKUP($C37,'Phase GPA'!$C$29:'Phase GPA'!$U$58,10,0)), ,VLOOKUP($C37,'Phase GPA'!$C$29:'Phase GPA'!$U$58,10,0)),0)))</f>
        <v/>
      </c>
      <c r="E37" s="42" t="str">
        <f>IF($C37="/","",IF($C37="","",IFERROR(IF(ISNA($D37/VLOOKUP($C37,Données!$C$19:'Données'!$I$48,6,0)), ,$D37/VLOOKUP($C37,Données!$C$19:'Données'!$I$48,6,0)),"/")))</f>
        <v/>
      </c>
      <c r="F37" s="42" t="str">
        <f>IF($C37="/","",IF($C37="","",IFERROR(IF(ISNA($D37/VLOOKUP($C37,Données!$C$19:'Données'!$I$48,7,0)*100), ,$D37/VLOOKUP($C37,Données!$C$19:'Données'!$I$48,7,0)*100),"/")))</f>
        <v/>
      </c>
      <c r="G37" s="41" t="str">
        <f>IF($C37="/","",IF($C37="","",IFERROR(IF(ISNA(VLOOKUP($C37,'Phase GPA'!$C$29:'Phase GPA'!$U$58,11,0)), ,VLOOKUP($C37,'Phase GPA'!$C$29:'Phase GPA'!$U$58,11,0)),0)))</f>
        <v/>
      </c>
      <c r="H37" s="44" t="str">
        <f>IF($C37="/","",IF($C37="","",IFERROR(IF(ISNA(VLOOKUP($C37,'Phase GPA'!$C$29:'Phase GPA'!$U$58,12,0)), ,VLOOKUP($C37,'Phase GPA'!$C$29:'Phase GPA'!$U$58,12,0)),0)))</f>
        <v/>
      </c>
      <c r="I37" s="44" t="str">
        <f>IF($C37="/","",IF($C37="","",IFERROR(IF(ISNA($H37/VLOOKUP($C37,Données!$C$19:'Données'!$I$48,5,0)), ,$H37/VLOOKUP($C37,Données!$C$19:'Données'!$I$48,5,0))*100,0)))</f>
        <v/>
      </c>
      <c r="J37" s="44" t="str">
        <f>IF($C37="/","",IF($C37="","",IFERROR(IF(ISNA($H37/VLOOKUP($C37,Données!$C$19:'Données'!$I$48,6,0)), ,$H37/VLOOKUP($C37,Données!$C$19:'Données'!$I$48,6,0)),"/")))</f>
        <v/>
      </c>
      <c r="K37" s="44" t="str">
        <f>IF($C37="/","",IF($C37="","",IFERROR(IF(ISNA($H37/VLOOKUP($C37,Données!$C$19:'Données'!$I$48,7,0)*100), ,$H37/VLOOKUP($C37,Données!$C$19:'Données'!$I$48,7,0)*100),"/")))</f>
        <v/>
      </c>
      <c r="L37" s="45" t="str">
        <f t="shared" si="0"/>
        <v/>
      </c>
      <c r="M37" s="13"/>
      <c r="N37" s="12"/>
      <c r="O37" s="3"/>
      <c r="P37" s="16"/>
      <c r="Q37" s="1"/>
      <c r="R37" s="1"/>
      <c r="S37" s="54">
        <f>IF($C37="","",IFERROR(IF(ISNA(VLOOKUP($C37,Données!$C$19:'Données'!$I$48,6,0)), ,VLOOKUP($C37,Données!$C$19:'Données'!$I$48,6,0)),"/"))</f>
        <v>0</v>
      </c>
      <c r="T37" s="54">
        <f>IF($C37="","",IFERROR(IF(ISNA(VLOOKUP($C37,Données!$C$19:'Données'!$I$48,7,0)), ,VLOOKUP($C37,Données!$C$19:'Données'!$I$48,7,0)),"/"))</f>
        <v>0</v>
      </c>
      <c r="U37" s="54">
        <f>IF($C37="","",IFERROR(IF(ISNA(VLOOKUP($C37,Données!$C$19:'Données'!$I$48,5,0)), ,VLOOKUP($C37,Données!$C$19:'Données'!$I$48,5,0)),"/"))</f>
        <v>0</v>
      </c>
      <c r="V37" s="54" t="str">
        <f t="shared" si="1"/>
        <v>/</v>
      </c>
    </row>
    <row r="38" spans="1:22" ht="50.1" customHeight="1" x14ac:dyDescent="0.25">
      <c r="A38" s="1"/>
      <c r="B38" s="1"/>
      <c r="C38" s="82" t="str">
        <f>IF('Phase GPA'!$AT38="HR",'Phase GPA'!$C38,"/")</f>
        <v>/</v>
      </c>
      <c r="D38" s="41" t="str">
        <f>IF($C38="/","",IF($C38="","",IFERROR(IF(ISNA(VLOOKUP($C38,'Phase GPA'!$C$29:'Phase GPA'!$U$58,10,0)), ,VLOOKUP($C38,'Phase GPA'!$C$29:'Phase GPA'!$U$58,10,0)),0)))</f>
        <v/>
      </c>
      <c r="E38" s="42" t="str">
        <f>IF($C38="/","",IF($C38="","",IFERROR(IF(ISNA($D38/VLOOKUP($C38,Données!$C$19:'Données'!$I$48,6,0)), ,$D38/VLOOKUP($C38,Données!$C$19:'Données'!$I$48,6,0)),"/")))</f>
        <v/>
      </c>
      <c r="F38" s="42" t="str">
        <f>IF($C38="/","",IF($C38="","",IFERROR(IF(ISNA($D38/VLOOKUP($C38,Données!$C$19:'Données'!$I$48,7,0)*100), ,$D38/VLOOKUP($C38,Données!$C$19:'Données'!$I$48,7,0)*100),"/")))</f>
        <v/>
      </c>
      <c r="G38" s="41" t="str">
        <f>IF($C38="/","",IF($C38="","",IFERROR(IF(ISNA(VLOOKUP($C38,'Phase GPA'!$C$29:'Phase GPA'!$U$58,11,0)), ,VLOOKUP($C38,'Phase GPA'!$C$29:'Phase GPA'!$U$58,11,0)),0)))</f>
        <v/>
      </c>
      <c r="H38" s="44" t="str">
        <f>IF($C38="/","",IF($C38="","",IFERROR(IF(ISNA(VLOOKUP($C38,'Phase GPA'!$C$29:'Phase GPA'!$U$58,12,0)), ,VLOOKUP($C38,'Phase GPA'!$C$29:'Phase GPA'!$U$58,12,0)),0)))</f>
        <v/>
      </c>
      <c r="I38" s="44" t="str">
        <f>IF($C38="/","",IF($C38="","",IFERROR(IF(ISNA($H38/VLOOKUP($C38,Données!$C$19:'Données'!$I$48,5,0)), ,$H38/VLOOKUP($C38,Données!$C$19:'Données'!$I$48,5,0))*100,0)))</f>
        <v/>
      </c>
      <c r="J38" s="44" t="str">
        <f>IF($C38="/","",IF($C38="","",IFERROR(IF(ISNA($H38/VLOOKUP($C38,Données!$C$19:'Données'!$I$48,6,0)), ,$H38/VLOOKUP($C38,Données!$C$19:'Données'!$I$48,6,0)),"/")))</f>
        <v/>
      </c>
      <c r="K38" s="44" t="str">
        <f>IF($C38="/","",IF($C38="","",IFERROR(IF(ISNA($H38/VLOOKUP($C38,Données!$C$19:'Données'!$I$48,7,0)*100), ,$H38/VLOOKUP($C38,Données!$C$19:'Données'!$I$48,7,0)*100),"/")))</f>
        <v/>
      </c>
      <c r="L38" s="45" t="str">
        <f t="shared" si="0"/>
        <v/>
      </c>
      <c r="M38" s="13"/>
      <c r="N38" s="12"/>
      <c r="O38" s="3"/>
      <c r="P38" s="16"/>
      <c r="Q38" s="1"/>
      <c r="R38" s="1"/>
      <c r="S38" s="54">
        <f>IF($C38="","",IFERROR(IF(ISNA(VLOOKUP($C38,Données!$C$19:'Données'!$I$48,6,0)), ,VLOOKUP($C38,Données!$C$19:'Données'!$I$48,6,0)),"/"))</f>
        <v>0</v>
      </c>
      <c r="T38" s="54">
        <f>IF($C38="","",IFERROR(IF(ISNA(VLOOKUP($C38,Données!$C$19:'Données'!$I$48,7,0)), ,VLOOKUP($C38,Données!$C$19:'Données'!$I$48,7,0)),"/"))</f>
        <v>0</v>
      </c>
      <c r="U38" s="54">
        <f>IF($C38="","",IFERROR(IF(ISNA(VLOOKUP($C38,Données!$C$19:'Données'!$I$48,5,0)), ,VLOOKUP($C38,Données!$C$19:'Données'!$I$48,5,0)),"/"))</f>
        <v>0</v>
      </c>
      <c r="V38" s="54" t="str">
        <f t="shared" si="1"/>
        <v>/</v>
      </c>
    </row>
    <row r="39" spans="1:22" ht="50.1" customHeight="1" x14ac:dyDescent="0.25">
      <c r="A39" s="1"/>
      <c r="B39" s="1"/>
      <c r="C39" s="82" t="str">
        <f>IF('Phase GPA'!$AT39="HR",'Phase GPA'!$C39,"/")</f>
        <v>/</v>
      </c>
      <c r="D39" s="41" t="str">
        <f>IF($C39="/","",IF($C39="","",IFERROR(IF(ISNA(VLOOKUP($C39,'Phase GPA'!$C$29:'Phase GPA'!$U$58,10,0)), ,VLOOKUP($C39,'Phase GPA'!$C$29:'Phase GPA'!$U$58,10,0)),0)))</f>
        <v/>
      </c>
      <c r="E39" s="42" t="str">
        <f>IF($C39="/","",IF($C39="","",IFERROR(IF(ISNA($D39/VLOOKUP($C39,Données!$C$19:'Données'!$I$48,6,0)), ,$D39/VLOOKUP($C39,Données!$C$19:'Données'!$I$48,6,0)),"/")))</f>
        <v/>
      </c>
      <c r="F39" s="42" t="str">
        <f>IF($C39="/","",IF($C39="","",IFERROR(IF(ISNA($D39/VLOOKUP($C39,Données!$C$19:'Données'!$I$48,7,0)*100), ,$D39/VLOOKUP($C39,Données!$C$19:'Données'!$I$48,7,0)*100),"/")))</f>
        <v/>
      </c>
      <c r="G39" s="41" t="str">
        <f>IF($C39="/","",IF($C39="","",IFERROR(IF(ISNA(VLOOKUP($C39,'Phase GPA'!$C$29:'Phase GPA'!$U$58,11,0)), ,VLOOKUP($C39,'Phase GPA'!$C$29:'Phase GPA'!$U$58,11,0)),0)))</f>
        <v/>
      </c>
      <c r="H39" s="44" t="str">
        <f>IF($C39="/","",IF($C39="","",IFERROR(IF(ISNA(VLOOKUP($C39,'Phase GPA'!$C$29:'Phase GPA'!$U$58,12,0)), ,VLOOKUP($C39,'Phase GPA'!$C$29:'Phase GPA'!$U$58,12,0)),0)))</f>
        <v/>
      </c>
      <c r="I39" s="44" t="str">
        <f>IF($C39="/","",IF($C39="","",IFERROR(IF(ISNA($H39/VLOOKUP($C39,Données!$C$19:'Données'!$I$48,5,0)), ,$H39/VLOOKUP($C39,Données!$C$19:'Données'!$I$48,5,0))*100,0)))</f>
        <v/>
      </c>
      <c r="J39" s="44" t="str">
        <f>IF($C39="/","",IF($C39="","",IFERROR(IF(ISNA($H39/VLOOKUP($C39,Données!$C$19:'Données'!$I$48,6,0)), ,$H39/VLOOKUP($C39,Données!$C$19:'Données'!$I$48,6,0)),"/")))</f>
        <v/>
      </c>
      <c r="K39" s="44" t="str">
        <f>IF($C39="/","",IF($C39="","",IFERROR(IF(ISNA($H39/VLOOKUP($C39,Données!$C$19:'Données'!$I$48,7,0)*100), ,$H39/VLOOKUP($C39,Données!$C$19:'Données'!$I$48,7,0)*100),"/")))</f>
        <v/>
      </c>
      <c r="L39" s="45" t="str">
        <f t="shared" si="0"/>
        <v/>
      </c>
      <c r="M39" s="13"/>
      <c r="N39" s="12"/>
      <c r="O39" s="3"/>
      <c r="P39" s="16"/>
      <c r="Q39" s="1"/>
      <c r="R39" s="1"/>
      <c r="S39" s="54">
        <f>IF($C39="","",IFERROR(IF(ISNA(VLOOKUP($C39,Données!$C$19:'Données'!$I$48,6,0)), ,VLOOKUP($C39,Données!$C$19:'Données'!$I$48,6,0)),"/"))</f>
        <v>0</v>
      </c>
      <c r="T39" s="54">
        <f>IF($C39="","",IFERROR(IF(ISNA(VLOOKUP($C39,Données!$C$19:'Données'!$I$48,7,0)), ,VLOOKUP($C39,Données!$C$19:'Données'!$I$48,7,0)),"/"))</f>
        <v>0</v>
      </c>
      <c r="U39" s="54">
        <f>IF($C39="","",IFERROR(IF(ISNA(VLOOKUP($C39,Données!$C$19:'Données'!$I$48,5,0)), ,VLOOKUP($C39,Données!$C$19:'Données'!$I$48,5,0)),"/"))</f>
        <v>0</v>
      </c>
      <c r="V39" s="54" t="str">
        <f t="shared" si="1"/>
        <v>/</v>
      </c>
    </row>
    <row r="40" spans="1:22" ht="50.1" customHeight="1" x14ac:dyDescent="0.25">
      <c r="A40" s="1"/>
      <c r="B40" s="1"/>
      <c r="C40" s="82" t="str">
        <f>IF('Phase GPA'!$AT40="HR",'Phase GPA'!$C40,"/")</f>
        <v>/</v>
      </c>
      <c r="D40" s="41" t="str">
        <f>IF($C40="/","",IF($C40="","",IFERROR(IF(ISNA(VLOOKUP($C40,'Phase GPA'!$C$29:'Phase GPA'!$U$58,10,0)), ,VLOOKUP($C40,'Phase GPA'!$C$29:'Phase GPA'!$U$58,10,0)),0)))</f>
        <v/>
      </c>
      <c r="E40" s="42" t="str">
        <f>IF($C40="/","",IF($C40="","",IFERROR(IF(ISNA($D40/VLOOKUP($C40,Données!$C$19:'Données'!$I$48,6,0)), ,$D40/VLOOKUP($C40,Données!$C$19:'Données'!$I$48,6,0)),"/")))</f>
        <v/>
      </c>
      <c r="F40" s="42" t="str">
        <f>IF($C40="/","",IF($C40="","",IFERROR(IF(ISNA($D40/VLOOKUP($C40,Données!$C$19:'Données'!$I$48,7,0)*100), ,$D40/VLOOKUP($C40,Données!$C$19:'Données'!$I$48,7,0)*100),"/")))</f>
        <v/>
      </c>
      <c r="G40" s="41" t="str">
        <f>IF($C40="/","",IF($C40="","",IFERROR(IF(ISNA(VLOOKUP($C40,'Phase GPA'!$C$29:'Phase GPA'!$U$58,11,0)), ,VLOOKUP($C40,'Phase GPA'!$C$29:'Phase GPA'!$U$58,11,0)),0)))</f>
        <v/>
      </c>
      <c r="H40" s="44" t="str">
        <f>IF($C40="/","",IF($C40="","",IFERROR(IF(ISNA(VLOOKUP($C40,'Phase GPA'!$C$29:'Phase GPA'!$U$58,12,0)), ,VLOOKUP($C40,'Phase GPA'!$C$29:'Phase GPA'!$U$58,12,0)),0)))</f>
        <v/>
      </c>
      <c r="I40" s="44" t="str">
        <f>IF($C40="/","",IF($C40="","",IFERROR(IF(ISNA($H40/VLOOKUP($C40,Données!$C$19:'Données'!$I$48,5,0)), ,$H40/VLOOKUP($C40,Données!$C$19:'Données'!$I$48,5,0))*100,0)))</f>
        <v/>
      </c>
      <c r="J40" s="44" t="str">
        <f>IF($C40="/","",IF($C40="","",IFERROR(IF(ISNA($H40/VLOOKUP($C40,Données!$C$19:'Données'!$I$48,6,0)), ,$H40/VLOOKUP($C40,Données!$C$19:'Données'!$I$48,6,0)),"/")))</f>
        <v/>
      </c>
      <c r="K40" s="44" t="str">
        <f>IF($C40="/","",IF($C40="","",IFERROR(IF(ISNA($H40/VLOOKUP($C40,Données!$C$19:'Données'!$I$48,7,0)*100), ,$H40/VLOOKUP($C40,Données!$C$19:'Données'!$I$48,7,0)*100),"/")))</f>
        <v/>
      </c>
      <c r="L40" s="45" t="str">
        <f t="shared" si="0"/>
        <v/>
      </c>
      <c r="M40" s="13"/>
      <c r="N40" s="12"/>
      <c r="O40" s="3"/>
      <c r="P40" s="16"/>
      <c r="Q40" s="1"/>
      <c r="R40" s="1"/>
      <c r="S40" s="54">
        <f>IF($C40="","",IFERROR(IF(ISNA(VLOOKUP($C40,Données!$C$19:'Données'!$I$48,6,0)), ,VLOOKUP($C40,Données!$C$19:'Données'!$I$48,6,0)),"/"))</f>
        <v>0</v>
      </c>
      <c r="T40" s="54">
        <f>IF($C40="","",IFERROR(IF(ISNA(VLOOKUP($C40,Données!$C$19:'Données'!$I$48,7,0)), ,VLOOKUP($C40,Données!$C$19:'Données'!$I$48,7,0)),"/"))</f>
        <v>0</v>
      </c>
      <c r="U40" s="54">
        <f>IF($C40="","",IFERROR(IF(ISNA(VLOOKUP($C40,Données!$C$19:'Données'!$I$48,5,0)), ,VLOOKUP($C40,Données!$C$19:'Données'!$I$48,5,0)),"/"))</f>
        <v>0</v>
      </c>
      <c r="V40" s="54" t="str">
        <f t="shared" si="1"/>
        <v>/</v>
      </c>
    </row>
    <row r="41" spans="1:22" ht="50.1" customHeight="1" x14ac:dyDescent="0.25">
      <c r="A41" s="1"/>
      <c r="B41" s="1"/>
      <c r="C41" s="82" t="str">
        <f>IF('Phase GPA'!$AT41="HR",'Phase GPA'!$C41,"/")</f>
        <v>/</v>
      </c>
      <c r="D41" s="41" t="str">
        <f>IF($C41="/","",IF($C41="","",IFERROR(IF(ISNA(VLOOKUP($C41,'Phase GPA'!$C$29:'Phase GPA'!$U$58,10,0)), ,VLOOKUP($C41,'Phase GPA'!$C$29:'Phase GPA'!$U$58,10,0)),0)))</f>
        <v/>
      </c>
      <c r="E41" s="42" t="str">
        <f>IF($C41="/","",IF($C41="","",IFERROR(IF(ISNA($D41/VLOOKUP($C41,Données!$C$19:'Données'!$I$48,6,0)), ,$D41/VLOOKUP($C41,Données!$C$19:'Données'!$I$48,6,0)),"/")))</f>
        <v/>
      </c>
      <c r="F41" s="42" t="str">
        <f>IF($C41="/","",IF($C41="","",IFERROR(IF(ISNA($D41/VLOOKUP($C41,Données!$C$19:'Données'!$I$48,7,0)*100), ,$D41/VLOOKUP($C41,Données!$C$19:'Données'!$I$48,7,0)*100),"/")))</f>
        <v/>
      </c>
      <c r="G41" s="41" t="str">
        <f>IF($C41="/","",IF($C41="","",IFERROR(IF(ISNA(VLOOKUP($C41,'Phase GPA'!$C$29:'Phase GPA'!$U$58,11,0)), ,VLOOKUP($C41,'Phase GPA'!$C$29:'Phase GPA'!$U$58,11,0)),0)))</f>
        <v/>
      </c>
      <c r="H41" s="44" t="str">
        <f>IF($C41="/","",IF($C41="","",IFERROR(IF(ISNA(VLOOKUP($C41,'Phase GPA'!$C$29:'Phase GPA'!$U$58,12,0)), ,VLOOKUP($C41,'Phase GPA'!$C$29:'Phase GPA'!$U$58,12,0)),0)))</f>
        <v/>
      </c>
      <c r="I41" s="44" t="str">
        <f>IF($C41="/","",IF($C41="","",IFERROR(IF(ISNA($H41/VLOOKUP($C41,Données!$C$19:'Données'!$I$48,5,0)), ,$H41/VLOOKUP($C41,Données!$C$19:'Données'!$I$48,5,0))*100,0)))</f>
        <v/>
      </c>
      <c r="J41" s="44" t="str">
        <f>IF($C41="/","",IF($C41="","",IFERROR(IF(ISNA($H41/VLOOKUP($C41,Données!$C$19:'Données'!$I$48,6,0)), ,$H41/VLOOKUP($C41,Données!$C$19:'Données'!$I$48,6,0)),"/")))</f>
        <v/>
      </c>
      <c r="K41" s="44" t="str">
        <f>IF($C41="/","",IF($C41="","",IFERROR(IF(ISNA($H41/VLOOKUP($C41,Données!$C$19:'Données'!$I$48,7,0)*100), ,$H41/VLOOKUP($C41,Données!$C$19:'Données'!$I$48,7,0)*100),"/")))</f>
        <v/>
      </c>
      <c r="L41" s="45" t="str">
        <f t="shared" si="0"/>
        <v/>
      </c>
      <c r="M41" s="13"/>
      <c r="N41" s="12"/>
      <c r="O41" s="3"/>
      <c r="P41" s="16"/>
      <c r="Q41" s="1"/>
      <c r="R41" s="1"/>
      <c r="S41" s="54">
        <f>IF($C41="","",IFERROR(IF(ISNA(VLOOKUP($C41,Données!$C$19:'Données'!$I$48,6,0)), ,VLOOKUP($C41,Données!$C$19:'Données'!$I$48,6,0)),"/"))</f>
        <v>0</v>
      </c>
      <c r="T41" s="54">
        <f>IF($C41="","",IFERROR(IF(ISNA(VLOOKUP($C41,Données!$C$19:'Données'!$I$48,7,0)), ,VLOOKUP($C41,Données!$C$19:'Données'!$I$48,7,0)),"/"))</f>
        <v>0</v>
      </c>
      <c r="U41" s="54">
        <f>IF($C41="","",IFERROR(IF(ISNA(VLOOKUP($C41,Données!$C$19:'Données'!$I$48,5,0)), ,VLOOKUP($C41,Données!$C$19:'Données'!$I$48,5,0)),"/"))</f>
        <v>0</v>
      </c>
      <c r="V41" s="54" t="str">
        <f t="shared" si="1"/>
        <v>/</v>
      </c>
    </row>
    <row r="42" spans="1:22" ht="50.1" customHeight="1" x14ac:dyDescent="0.25">
      <c r="A42" s="1"/>
      <c r="B42" s="1"/>
      <c r="C42" s="82" t="str">
        <f>IF('Phase GPA'!$AT42="HR",'Phase GPA'!$C42,"/")</f>
        <v>/</v>
      </c>
      <c r="D42" s="41" t="str">
        <f>IF($C42="/","",IF($C42="","",IFERROR(IF(ISNA(VLOOKUP($C42,'Phase GPA'!$C$29:'Phase GPA'!$U$58,10,0)), ,VLOOKUP($C42,'Phase GPA'!$C$29:'Phase GPA'!$U$58,10,0)),0)))</f>
        <v/>
      </c>
      <c r="E42" s="42" t="str">
        <f>IF($C42="/","",IF($C42="","",IFERROR(IF(ISNA($D42/VLOOKUP($C42,Données!$C$19:'Données'!$I$48,6,0)), ,$D42/VLOOKUP($C42,Données!$C$19:'Données'!$I$48,6,0)),"/")))</f>
        <v/>
      </c>
      <c r="F42" s="42" t="str">
        <f>IF($C42="/","",IF($C42="","",IFERROR(IF(ISNA($D42/VLOOKUP($C42,Données!$C$19:'Données'!$I$48,7,0)*100), ,$D42/VLOOKUP($C42,Données!$C$19:'Données'!$I$48,7,0)*100),"/")))</f>
        <v/>
      </c>
      <c r="G42" s="41" t="str">
        <f>IF($C42="/","",IF($C42="","",IFERROR(IF(ISNA(VLOOKUP($C42,'Phase GPA'!$C$29:'Phase GPA'!$U$58,11,0)), ,VLOOKUP($C42,'Phase GPA'!$C$29:'Phase GPA'!$U$58,11,0)),0)))</f>
        <v/>
      </c>
      <c r="H42" s="44" t="str">
        <f>IF($C42="/","",IF($C42="","",IFERROR(IF(ISNA(VLOOKUP($C42,'Phase GPA'!$C$29:'Phase GPA'!$U$58,12,0)), ,VLOOKUP($C42,'Phase GPA'!$C$29:'Phase GPA'!$U$58,12,0)),0)))</f>
        <v/>
      </c>
      <c r="I42" s="44" t="str">
        <f>IF($C42="/","",IF($C42="","",IFERROR(IF(ISNA($H42/VLOOKUP($C42,Données!$C$19:'Données'!$I$48,5,0)), ,$H42/VLOOKUP($C42,Données!$C$19:'Données'!$I$48,5,0))*100,0)))</f>
        <v/>
      </c>
      <c r="J42" s="44" t="str">
        <f>IF($C42="/","",IF($C42="","",IFERROR(IF(ISNA($H42/VLOOKUP($C42,Données!$C$19:'Données'!$I$48,6,0)), ,$H42/VLOOKUP($C42,Données!$C$19:'Données'!$I$48,6,0)),"/")))</f>
        <v/>
      </c>
      <c r="K42" s="44" t="str">
        <f>IF($C42="/","",IF($C42="","",IFERROR(IF(ISNA($H42/VLOOKUP($C42,Données!$C$19:'Données'!$I$48,7,0)*100), ,$H42/VLOOKUP($C42,Données!$C$19:'Données'!$I$48,7,0)*100),"/")))</f>
        <v/>
      </c>
      <c r="L42" s="45" t="str">
        <f t="shared" si="0"/>
        <v/>
      </c>
      <c r="M42" s="13"/>
      <c r="N42" s="12"/>
      <c r="O42" s="3"/>
      <c r="P42" s="16"/>
      <c r="Q42" s="1"/>
      <c r="R42" s="1"/>
      <c r="S42" s="54">
        <f>IF($C42="","",IFERROR(IF(ISNA(VLOOKUP($C42,Données!$C$19:'Données'!$I$48,6,0)), ,VLOOKUP($C42,Données!$C$19:'Données'!$I$48,6,0)),"/"))</f>
        <v>0</v>
      </c>
      <c r="T42" s="54">
        <f>IF($C42="","",IFERROR(IF(ISNA(VLOOKUP($C42,Données!$C$19:'Données'!$I$48,7,0)), ,VLOOKUP($C42,Données!$C$19:'Données'!$I$48,7,0)),"/"))</f>
        <v>0</v>
      </c>
      <c r="U42" s="54">
        <f>IF($C42="","",IFERROR(IF(ISNA(VLOOKUP($C42,Données!$C$19:'Données'!$I$48,5,0)), ,VLOOKUP($C42,Données!$C$19:'Données'!$I$48,5,0)),"/"))</f>
        <v>0</v>
      </c>
      <c r="V42" s="54" t="str">
        <f t="shared" si="1"/>
        <v>/</v>
      </c>
    </row>
    <row r="43" spans="1:22" ht="50.1" customHeight="1" x14ac:dyDescent="0.25">
      <c r="A43" s="1"/>
      <c r="B43" s="1"/>
      <c r="C43" s="82" t="str">
        <f>IF('Phase GPA'!$AT43="HR",'Phase GPA'!$C43,"/")</f>
        <v>/</v>
      </c>
      <c r="D43" s="41" t="str">
        <f>IF($C43="/","",IF($C43="","",IFERROR(IF(ISNA(VLOOKUP($C43,'Phase GPA'!$C$29:'Phase GPA'!$U$58,10,0)), ,VLOOKUP($C43,'Phase GPA'!$C$29:'Phase GPA'!$U$58,10,0)),0)))</f>
        <v/>
      </c>
      <c r="E43" s="42" t="str">
        <f>IF($C43="/","",IF($C43="","",IFERROR(IF(ISNA($D43/VLOOKUP($C43,Données!$C$19:'Données'!$I$48,6,0)), ,$D43/VLOOKUP($C43,Données!$C$19:'Données'!$I$48,6,0)),"/")))</f>
        <v/>
      </c>
      <c r="F43" s="42" t="str">
        <f>IF($C43="/","",IF($C43="","",IFERROR(IF(ISNA($D43/VLOOKUP($C43,Données!$C$19:'Données'!$I$48,7,0)*100), ,$D43/VLOOKUP($C43,Données!$C$19:'Données'!$I$48,7,0)*100),"/")))</f>
        <v/>
      </c>
      <c r="G43" s="41" t="str">
        <f>IF($C43="/","",IF($C43="","",IFERROR(IF(ISNA(VLOOKUP($C43,'Phase GPA'!$C$29:'Phase GPA'!$U$58,11,0)), ,VLOOKUP($C43,'Phase GPA'!$C$29:'Phase GPA'!$U$58,11,0)),0)))</f>
        <v/>
      </c>
      <c r="H43" s="44" t="str">
        <f>IF($C43="/","",IF($C43="","",IFERROR(IF(ISNA(VLOOKUP($C43,'Phase GPA'!$C$29:'Phase GPA'!$U$58,12,0)), ,VLOOKUP($C43,'Phase GPA'!$C$29:'Phase GPA'!$U$58,12,0)),0)))</f>
        <v/>
      </c>
      <c r="I43" s="44" t="str">
        <f>IF($C43="/","",IF($C43="","",IFERROR(IF(ISNA($H43/VLOOKUP($C43,Données!$C$19:'Données'!$I$48,5,0)), ,$H43/VLOOKUP($C43,Données!$C$19:'Données'!$I$48,5,0))*100,0)))</f>
        <v/>
      </c>
      <c r="J43" s="44" t="str">
        <f>IF($C43="/","",IF($C43="","",IFERROR(IF(ISNA($H43/VLOOKUP($C43,Données!$C$19:'Données'!$I$48,6,0)), ,$H43/VLOOKUP($C43,Données!$C$19:'Données'!$I$48,6,0)),"/")))</f>
        <v/>
      </c>
      <c r="K43" s="44" t="str">
        <f>IF($C43="/","",IF($C43="","",IFERROR(IF(ISNA($H43/VLOOKUP($C43,Données!$C$19:'Données'!$I$48,7,0)*100), ,$H43/VLOOKUP($C43,Données!$C$19:'Données'!$I$48,7,0)*100),"/")))</f>
        <v/>
      </c>
      <c r="L43" s="45" t="str">
        <f t="shared" si="0"/>
        <v/>
      </c>
      <c r="M43" s="13"/>
      <c r="N43" s="12"/>
      <c r="O43" s="3"/>
      <c r="P43" s="16"/>
      <c r="Q43" s="1"/>
      <c r="R43" s="1"/>
      <c r="S43" s="54">
        <f>IF($C43="","",IFERROR(IF(ISNA(VLOOKUP($C43,Données!$C$19:'Données'!$I$48,6,0)), ,VLOOKUP($C43,Données!$C$19:'Données'!$I$48,6,0)),"/"))</f>
        <v>0</v>
      </c>
      <c r="T43" s="54">
        <f>IF($C43="","",IFERROR(IF(ISNA(VLOOKUP($C43,Données!$C$19:'Données'!$I$48,7,0)), ,VLOOKUP($C43,Données!$C$19:'Données'!$I$48,7,0)),"/"))</f>
        <v>0</v>
      </c>
      <c r="U43" s="54">
        <f>IF($C43="","",IFERROR(IF(ISNA(VLOOKUP($C43,Données!$C$19:'Données'!$I$48,5,0)), ,VLOOKUP($C43,Données!$C$19:'Données'!$I$48,5,0)),"/"))</f>
        <v>0</v>
      </c>
      <c r="V43" s="54" t="str">
        <f t="shared" si="1"/>
        <v>/</v>
      </c>
    </row>
    <row r="44" spans="1:22" ht="50.1" customHeight="1" x14ac:dyDescent="0.25">
      <c r="A44" s="1"/>
      <c r="B44" s="1"/>
      <c r="C44" s="82" t="str">
        <f>IF('Phase GPA'!$AT44="HR",'Phase GPA'!$C44,"/")</f>
        <v>/</v>
      </c>
      <c r="D44" s="41" t="str">
        <f>IF($C44="/","",IF($C44="","",IFERROR(IF(ISNA(VLOOKUP($C44,'Phase GPA'!$C$29:'Phase GPA'!$U$58,10,0)), ,VLOOKUP($C44,'Phase GPA'!$C$29:'Phase GPA'!$U$58,10,0)),0)))</f>
        <v/>
      </c>
      <c r="E44" s="42" t="str">
        <f>IF($C44="/","",IF($C44="","",IFERROR(IF(ISNA($D44/VLOOKUP($C44,Données!$C$19:'Données'!$I$48,6,0)), ,$D44/VLOOKUP($C44,Données!$C$19:'Données'!$I$48,6,0)),"/")))</f>
        <v/>
      </c>
      <c r="F44" s="42" t="str">
        <f>IF($C44="/","",IF($C44="","",IFERROR(IF(ISNA($D44/VLOOKUP($C44,Données!$C$19:'Données'!$I$48,7,0)*100), ,$D44/VLOOKUP($C44,Données!$C$19:'Données'!$I$48,7,0)*100),"/")))</f>
        <v/>
      </c>
      <c r="G44" s="41" t="str">
        <f>IF($C44="/","",IF($C44="","",IFERROR(IF(ISNA(VLOOKUP($C44,'Phase GPA'!$C$29:'Phase GPA'!$U$58,11,0)), ,VLOOKUP($C44,'Phase GPA'!$C$29:'Phase GPA'!$U$58,11,0)),0)))</f>
        <v/>
      </c>
      <c r="H44" s="44" t="str">
        <f>IF($C44="/","",IF($C44="","",IFERROR(IF(ISNA(VLOOKUP($C44,'Phase GPA'!$C$29:'Phase GPA'!$U$58,12,0)), ,VLOOKUP($C44,'Phase GPA'!$C$29:'Phase GPA'!$U$58,12,0)),0)))</f>
        <v/>
      </c>
      <c r="I44" s="44" t="str">
        <f>IF($C44="/","",IF($C44="","",IFERROR(IF(ISNA($H44/VLOOKUP($C44,Données!$C$19:'Données'!$I$48,5,0)), ,$H44/VLOOKUP($C44,Données!$C$19:'Données'!$I$48,5,0))*100,0)))</f>
        <v/>
      </c>
      <c r="J44" s="44" t="str">
        <f>IF($C44="/","",IF($C44="","",IFERROR(IF(ISNA($H44/VLOOKUP($C44,Données!$C$19:'Données'!$I$48,6,0)), ,$H44/VLOOKUP($C44,Données!$C$19:'Données'!$I$48,6,0)),"/")))</f>
        <v/>
      </c>
      <c r="K44" s="44" t="str">
        <f>IF($C44="/","",IF($C44="","",IFERROR(IF(ISNA($H44/VLOOKUP($C44,Données!$C$19:'Données'!$I$48,7,0)*100), ,$H44/VLOOKUP($C44,Données!$C$19:'Données'!$I$48,7,0)*100),"/")))</f>
        <v/>
      </c>
      <c r="L44" s="45" t="str">
        <f t="shared" si="0"/>
        <v/>
      </c>
      <c r="M44" s="13"/>
      <c r="N44" s="12"/>
      <c r="O44" s="3"/>
      <c r="P44" s="16"/>
      <c r="Q44" s="1"/>
      <c r="R44" s="1"/>
      <c r="S44" s="54">
        <f>IF($C44="","",IFERROR(IF(ISNA(VLOOKUP($C44,Données!$C$19:'Données'!$I$48,6,0)), ,VLOOKUP($C44,Données!$C$19:'Données'!$I$48,6,0)),"/"))</f>
        <v>0</v>
      </c>
      <c r="T44" s="54">
        <f>IF($C44="","",IFERROR(IF(ISNA(VLOOKUP($C44,Données!$C$19:'Données'!$I$48,7,0)), ,VLOOKUP($C44,Données!$C$19:'Données'!$I$48,7,0)),"/"))</f>
        <v>0</v>
      </c>
      <c r="U44" s="54">
        <f>IF($C44="","",IFERROR(IF(ISNA(VLOOKUP($C44,Données!$C$19:'Données'!$I$48,5,0)), ,VLOOKUP($C44,Données!$C$19:'Données'!$I$48,5,0)),"/"))</f>
        <v>0</v>
      </c>
      <c r="V44" s="54" t="str">
        <f t="shared" si="1"/>
        <v>/</v>
      </c>
    </row>
    <row r="45" spans="1:22" ht="50.1" customHeight="1" x14ac:dyDescent="0.25">
      <c r="A45" s="1"/>
      <c r="B45" s="1"/>
      <c r="C45" s="82" t="str">
        <f>IF('Phase GPA'!$AT45="HR",'Phase GPA'!$C45,"/")</f>
        <v>/</v>
      </c>
      <c r="D45" s="41" t="str">
        <f>IF($C45="/","",IF($C45="","",IFERROR(IF(ISNA(VLOOKUP($C45,'Phase GPA'!$C$29:'Phase GPA'!$U$58,10,0)), ,VLOOKUP($C45,'Phase GPA'!$C$29:'Phase GPA'!$U$58,10,0)),0)))</f>
        <v/>
      </c>
      <c r="E45" s="42" t="str">
        <f>IF($C45="/","",IF($C45="","",IFERROR(IF(ISNA($D45/VLOOKUP($C45,Données!$C$19:'Données'!$I$48,6,0)), ,$D45/VLOOKUP($C45,Données!$C$19:'Données'!$I$48,6,0)),"/")))</f>
        <v/>
      </c>
      <c r="F45" s="42" t="str">
        <f>IF($C45="/","",IF($C45="","",IFERROR(IF(ISNA($D45/VLOOKUP($C45,Données!$C$19:'Données'!$I$48,7,0)*100), ,$D45/VLOOKUP($C45,Données!$C$19:'Données'!$I$48,7,0)*100),"/")))</f>
        <v/>
      </c>
      <c r="G45" s="41" t="str">
        <f>IF($C45="/","",IF($C45="","",IFERROR(IF(ISNA(VLOOKUP($C45,'Phase GPA'!$C$29:'Phase GPA'!$U$58,11,0)), ,VLOOKUP($C45,'Phase GPA'!$C$29:'Phase GPA'!$U$58,11,0)),0)))</f>
        <v/>
      </c>
      <c r="H45" s="44" t="str">
        <f>IF($C45="/","",IF($C45="","",IFERROR(IF(ISNA(VLOOKUP($C45,'Phase GPA'!$C$29:'Phase GPA'!$U$58,12,0)), ,VLOOKUP($C45,'Phase GPA'!$C$29:'Phase GPA'!$U$58,12,0)),0)))</f>
        <v/>
      </c>
      <c r="I45" s="44" t="str">
        <f>IF($C45="/","",IF($C45="","",IFERROR(IF(ISNA($H45/VLOOKUP($C45,Données!$C$19:'Données'!$I$48,5,0)), ,$H45/VLOOKUP($C45,Données!$C$19:'Données'!$I$48,5,0))*100,0)))</f>
        <v/>
      </c>
      <c r="J45" s="44" t="str">
        <f>IF($C45="/","",IF($C45="","",IFERROR(IF(ISNA($H45/VLOOKUP($C45,Données!$C$19:'Données'!$I$48,6,0)), ,$H45/VLOOKUP($C45,Données!$C$19:'Données'!$I$48,6,0)),"/")))</f>
        <v/>
      </c>
      <c r="K45" s="44" t="str">
        <f>IF($C45="/","",IF($C45="","",IFERROR(IF(ISNA($H45/VLOOKUP($C45,Données!$C$19:'Données'!$I$48,7,0)*100), ,$H45/VLOOKUP($C45,Données!$C$19:'Données'!$I$48,7,0)*100),"/")))</f>
        <v/>
      </c>
      <c r="L45" s="45" t="str">
        <f t="shared" si="0"/>
        <v/>
      </c>
      <c r="M45" s="13"/>
      <c r="N45" s="12"/>
      <c r="O45" s="3"/>
      <c r="P45" s="16"/>
      <c r="Q45" s="1"/>
      <c r="R45" s="1"/>
      <c r="S45" s="54">
        <f>IF($C45="","",IFERROR(IF(ISNA(VLOOKUP($C45,Données!$C$19:'Données'!$I$48,6,0)), ,VLOOKUP($C45,Données!$C$19:'Données'!$I$48,6,0)),"/"))</f>
        <v>0</v>
      </c>
      <c r="T45" s="54">
        <f>IF($C45="","",IFERROR(IF(ISNA(VLOOKUP($C45,Données!$C$19:'Données'!$I$48,7,0)), ,VLOOKUP($C45,Données!$C$19:'Données'!$I$48,7,0)),"/"))</f>
        <v>0</v>
      </c>
      <c r="U45" s="54">
        <f>IF($C45="","",IFERROR(IF(ISNA(VLOOKUP($C45,Données!$C$19:'Données'!$I$48,5,0)), ,VLOOKUP($C45,Données!$C$19:'Données'!$I$48,5,0)),"/"))</f>
        <v>0</v>
      </c>
      <c r="V45" s="54" t="str">
        <f t="shared" si="1"/>
        <v>/</v>
      </c>
    </row>
    <row r="46" spans="1:22" ht="50.1" customHeight="1" x14ac:dyDescent="0.25">
      <c r="A46" s="1"/>
      <c r="B46" s="1"/>
      <c r="C46" s="82" t="str">
        <f>IF('Phase GPA'!$AT46="HR",'Phase GPA'!$C46,"/")</f>
        <v>/</v>
      </c>
      <c r="D46" s="41" t="str">
        <f>IF($C46="/","",IF($C46="","",IFERROR(IF(ISNA(VLOOKUP($C46,'Phase GPA'!$C$29:'Phase GPA'!$U$58,10,0)), ,VLOOKUP($C46,'Phase GPA'!$C$29:'Phase GPA'!$U$58,10,0)),0)))</f>
        <v/>
      </c>
      <c r="E46" s="42" t="str">
        <f>IF($C46="/","",IF($C46="","",IFERROR(IF(ISNA($D46/VLOOKUP($C46,Données!$C$19:'Données'!$I$48,6,0)), ,$D46/VLOOKUP($C46,Données!$C$19:'Données'!$I$48,6,0)),"/")))</f>
        <v/>
      </c>
      <c r="F46" s="42" t="str">
        <f>IF($C46="/","",IF($C46="","",IFERROR(IF(ISNA($D46/VLOOKUP($C46,Données!$C$19:'Données'!$I$48,7,0)*100), ,$D46/VLOOKUP($C46,Données!$C$19:'Données'!$I$48,7,0)*100),"/")))</f>
        <v/>
      </c>
      <c r="G46" s="41" t="str">
        <f>IF($C46="/","",IF($C46="","",IFERROR(IF(ISNA(VLOOKUP($C46,'Phase GPA'!$C$29:'Phase GPA'!$U$58,11,0)), ,VLOOKUP($C46,'Phase GPA'!$C$29:'Phase GPA'!$U$58,11,0)),0)))</f>
        <v/>
      </c>
      <c r="H46" s="44" t="str">
        <f>IF($C46="/","",IF($C46="","",IFERROR(IF(ISNA(VLOOKUP($C46,'Phase GPA'!$C$29:'Phase GPA'!$U$58,12,0)), ,VLOOKUP($C46,'Phase GPA'!$C$29:'Phase GPA'!$U$58,12,0)),0)))</f>
        <v/>
      </c>
      <c r="I46" s="44" t="str">
        <f>IF($C46="/","",IF($C46="","",IFERROR(IF(ISNA($H46/VLOOKUP($C46,Données!$C$19:'Données'!$I$48,5,0)), ,$H46/VLOOKUP($C46,Données!$C$19:'Données'!$I$48,5,0))*100,0)))</f>
        <v/>
      </c>
      <c r="J46" s="44" t="str">
        <f>IF($C46="/","",IF($C46="","",IFERROR(IF(ISNA($H46/VLOOKUP($C46,Données!$C$19:'Données'!$I$48,6,0)), ,$H46/VLOOKUP($C46,Données!$C$19:'Données'!$I$48,6,0)),"/")))</f>
        <v/>
      </c>
      <c r="K46" s="44" t="str">
        <f>IF($C46="/","",IF($C46="","",IFERROR(IF(ISNA($H46/VLOOKUP($C46,Données!$C$19:'Données'!$I$48,7,0)*100), ,$H46/VLOOKUP($C46,Données!$C$19:'Données'!$I$48,7,0)*100),"/")))</f>
        <v/>
      </c>
      <c r="L46" s="45" t="str">
        <f t="shared" si="0"/>
        <v/>
      </c>
      <c r="M46" s="13"/>
      <c r="N46" s="12"/>
      <c r="O46" s="3"/>
      <c r="P46" s="16"/>
      <c r="Q46" s="1"/>
      <c r="R46" s="1"/>
      <c r="S46" s="54">
        <f>IF($C46="","",IFERROR(IF(ISNA(VLOOKUP($C46,Données!$C$19:'Données'!$I$48,6,0)), ,VLOOKUP($C46,Données!$C$19:'Données'!$I$48,6,0)),"/"))</f>
        <v>0</v>
      </c>
      <c r="T46" s="54">
        <f>IF($C46="","",IFERROR(IF(ISNA(VLOOKUP($C46,Données!$C$19:'Données'!$I$48,7,0)), ,VLOOKUP($C46,Données!$C$19:'Données'!$I$48,7,0)),"/"))</f>
        <v>0</v>
      </c>
      <c r="U46" s="54">
        <f>IF($C46="","",IFERROR(IF(ISNA(VLOOKUP($C46,Données!$C$19:'Données'!$I$48,5,0)), ,VLOOKUP($C46,Données!$C$19:'Données'!$I$48,5,0)),"/"))</f>
        <v>0</v>
      </c>
      <c r="V46" s="54" t="str">
        <f t="shared" si="1"/>
        <v>/</v>
      </c>
    </row>
    <row r="47" spans="1:22" ht="50.1" customHeight="1" x14ac:dyDescent="0.25">
      <c r="A47" s="1"/>
      <c r="B47" s="1"/>
      <c r="C47" s="82" t="str">
        <f>IF('Phase GPA'!$AT47="HR",'Phase GPA'!$C47,"/")</f>
        <v>/</v>
      </c>
      <c r="D47" s="41" t="str">
        <f>IF($C47="/","",IF($C47="","",IFERROR(IF(ISNA(VLOOKUP($C47,'Phase GPA'!$C$29:'Phase GPA'!$U$58,10,0)), ,VLOOKUP($C47,'Phase GPA'!$C$29:'Phase GPA'!$U$58,10,0)),0)))</f>
        <v/>
      </c>
      <c r="E47" s="42" t="str">
        <f>IF($C47="/","",IF($C47="","",IFERROR(IF(ISNA($D47/VLOOKUP($C47,Données!$C$19:'Données'!$I$48,6,0)), ,$D47/VLOOKUP($C47,Données!$C$19:'Données'!$I$48,6,0)),"/")))</f>
        <v/>
      </c>
      <c r="F47" s="42" t="str">
        <f>IF($C47="/","",IF($C47="","",IFERROR(IF(ISNA($D47/VLOOKUP($C47,Données!$C$19:'Données'!$I$48,7,0)*100), ,$D47/VLOOKUP($C47,Données!$C$19:'Données'!$I$48,7,0)*100),"/")))</f>
        <v/>
      </c>
      <c r="G47" s="41" t="str">
        <f>IF($C47="/","",IF($C47="","",IFERROR(IF(ISNA(VLOOKUP($C47,'Phase GPA'!$C$29:'Phase GPA'!$U$58,11,0)), ,VLOOKUP($C47,'Phase GPA'!$C$29:'Phase GPA'!$U$58,11,0)),0)))</f>
        <v/>
      </c>
      <c r="H47" s="44" t="str">
        <f>IF($C47="/","",IF($C47="","",IFERROR(IF(ISNA(VLOOKUP($C47,'Phase GPA'!$C$29:'Phase GPA'!$U$58,12,0)), ,VLOOKUP($C47,'Phase GPA'!$C$29:'Phase GPA'!$U$58,12,0)),0)))</f>
        <v/>
      </c>
      <c r="I47" s="44" t="str">
        <f>IF($C47="/","",IF($C47="","",IFERROR(IF(ISNA($H47/VLOOKUP($C47,Données!$C$19:'Données'!$I$48,5,0)), ,$H47/VLOOKUP($C47,Données!$C$19:'Données'!$I$48,5,0))*100,0)))</f>
        <v/>
      </c>
      <c r="J47" s="44" t="str">
        <f>IF($C47="/","",IF($C47="","",IFERROR(IF(ISNA($H47/VLOOKUP($C47,Données!$C$19:'Données'!$I$48,6,0)), ,$H47/VLOOKUP($C47,Données!$C$19:'Données'!$I$48,6,0)),"/")))</f>
        <v/>
      </c>
      <c r="K47" s="44" t="str">
        <f>IF($C47="/","",IF($C47="","",IFERROR(IF(ISNA($H47/VLOOKUP($C47,Données!$C$19:'Données'!$I$48,7,0)*100), ,$H47/VLOOKUP($C47,Données!$C$19:'Données'!$I$48,7,0)*100),"/")))</f>
        <v/>
      </c>
      <c r="L47" s="45" t="str">
        <f t="shared" si="0"/>
        <v/>
      </c>
      <c r="M47" s="13"/>
      <c r="N47" s="12"/>
      <c r="O47" s="3"/>
      <c r="P47" s="16"/>
      <c r="Q47" s="1"/>
      <c r="R47" s="1"/>
      <c r="S47" s="54">
        <f>IF($C47="","",IFERROR(IF(ISNA(VLOOKUP($C47,Données!$C$19:'Données'!$I$48,6,0)), ,VLOOKUP($C47,Données!$C$19:'Données'!$I$48,6,0)),"/"))</f>
        <v>0</v>
      </c>
      <c r="T47" s="54">
        <f>IF($C47="","",IFERROR(IF(ISNA(VLOOKUP($C47,Données!$C$19:'Données'!$I$48,7,0)), ,VLOOKUP($C47,Données!$C$19:'Données'!$I$48,7,0)),"/"))</f>
        <v>0</v>
      </c>
      <c r="U47" s="54">
        <f>IF($C47="","",IFERROR(IF(ISNA(VLOOKUP($C47,Données!$C$19:'Données'!$I$48,5,0)), ,VLOOKUP($C47,Données!$C$19:'Données'!$I$48,5,0)),"/"))</f>
        <v>0</v>
      </c>
      <c r="V47" s="54" t="str">
        <f t="shared" si="1"/>
        <v>/</v>
      </c>
    </row>
    <row r="48" spans="1:22" ht="50.1" customHeight="1" x14ac:dyDescent="0.25">
      <c r="A48" s="1"/>
      <c r="B48" s="1"/>
      <c r="C48" s="82" t="str">
        <f>IF('Phase GPA'!$AT48="HR",'Phase GPA'!$C48,"/")</f>
        <v>/</v>
      </c>
      <c r="D48" s="41" t="str">
        <f>IF($C48="/","",IF($C48="","",IFERROR(IF(ISNA(VLOOKUP($C48,'Phase GPA'!$C$29:'Phase GPA'!$U$58,10,0)), ,VLOOKUP($C48,'Phase GPA'!$C$29:'Phase GPA'!$U$58,10,0)),0)))</f>
        <v/>
      </c>
      <c r="E48" s="42" t="str">
        <f>IF($C48="/","",IF($C48="","",IFERROR(IF(ISNA($D48/VLOOKUP($C48,Données!$C$19:'Données'!$I$48,6,0)), ,$D48/VLOOKUP($C48,Données!$C$19:'Données'!$I$48,6,0)),"/")))</f>
        <v/>
      </c>
      <c r="F48" s="42" t="str">
        <f>IF($C48="/","",IF($C48="","",IFERROR(IF(ISNA($D48/VLOOKUP($C48,Données!$C$19:'Données'!$I$48,7,0)*100), ,$D48/VLOOKUP($C48,Données!$C$19:'Données'!$I$48,7,0)*100),"/")))</f>
        <v/>
      </c>
      <c r="G48" s="41" t="str">
        <f>IF($C48="/","",IF($C48="","",IFERROR(IF(ISNA(VLOOKUP($C48,'Phase GPA'!$C$29:'Phase GPA'!$U$58,11,0)), ,VLOOKUP($C48,'Phase GPA'!$C$29:'Phase GPA'!$U$58,11,0)),0)))</f>
        <v/>
      </c>
      <c r="H48" s="44" t="str">
        <f>IF($C48="/","",IF($C48="","",IFERROR(IF(ISNA(VLOOKUP($C48,'Phase GPA'!$C$29:'Phase GPA'!$U$58,12,0)), ,VLOOKUP($C48,'Phase GPA'!$C$29:'Phase GPA'!$U$58,12,0)),0)))</f>
        <v/>
      </c>
      <c r="I48" s="44" t="str">
        <f>IF($C48="/","",IF($C48="","",IFERROR(IF(ISNA($H48/VLOOKUP($C48,Données!$C$19:'Données'!$I$48,5,0)), ,$H48/VLOOKUP($C48,Données!$C$19:'Données'!$I$48,5,0))*100,0)))</f>
        <v/>
      </c>
      <c r="J48" s="44" t="str">
        <f>IF($C48="/","",IF($C48="","",IFERROR(IF(ISNA($H48/VLOOKUP($C48,Données!$C$19:'Données'!$I$48,6,0)), ,$H48/VLOOKUP($C48,Données!$C$19:'Données'!$I$48,6,0)),"/")))</f>
        <v/>
      </c>
      <c r="K48" s="44" t="str">
        <f>IF($C48="/","",IF($C48="","",IFERROR(IF(ISNA($H48/VLOOKUP($C48,Données!$C$19:'Données'!$I$48,7,0)*100), ,$H48/VLOOKUP($C48,Données!$C$19:'Données'!$I$48,7,0)*100),"/")))</f>
        <v/>
      </c>
      <c r="L48" s="45" t="str">
        <f t="shared" si="0"/>
        <v/>
      </c>
      <c r="M48" s="13"/>
      <c r="N48" s="12"/>
      <c r="O48" s="3"/>
      <c r="P48" s="16"/>
      <c r="Q48" s="1"/>
      <c r="R48" s="1"/>
      <c r="S48" s="54">
        <f>IF($C48="","",IFERROR(IF(ISNA(VLOOKUP($C48,Données!$C$19:'Données'!$I$48,6,0)), ,VLOOKUP($C48,Données!$C$19:'Données'!$I$48,6,0)),"/"))</f>
        <v>0</v>
      </c>
      <c r="T48" s="54">
        <f>IF($C48="","",IFERROR(IF(ISNA(VLOOKUP($C48,Données!$C$19:'Données'!$I$48,7,0)), ,VLOOKUP($C48,Données!$C$19:'Données'!$I$48,7,0)),"/"))</f>
        <v>0</v>
      </c>
      <c r="U48" s="54">
        <f>IF($C48="","",IFERROR(IF(ISNA(VLOOKUP($C48,Données!$C$19:'Données'!$I$48,5,0)), ,VLOOKUP($C48,Données!$C$19:'Données'!$I$48,5,0)),"/"))</f>
        <v>0</v>
      </c>
      <c r="V48" s="54" t="str">
        <f t="shared" si="1"/>
        <v>/</v>
      </c>
    </row>
    <row r="49" spans="1:22" ht="50.1" customHeight="1" x14ac:dyDescent="0.25">
      <c r="A49" s="1"/>
      <c r="B49" s="1"/>
      <c r="C49" s="82" t="str">
        <f>IF('Phase GPA'!$AT49="HR",'Phase GPA'!$C49,"/")</f>
        <v>/</v>
      </c>
      <c r="D49" s="41" t="str">
        <f>IF($C49="/","",IF($C49="","",IFERROR(IF(ISNA(VLOOKUP($C49,'Phase GPA'!$C$29:'Phase GPA'!$U$58,10,0)), ,VLOOKUP($C49,'Phase GPA'!$C$29:'Phase GPA'!$U$58,10,0)),0)))</f>
        <v/>
      </c>
      <c r="E49" s="42" t="str">
        <f>IF($C49="/","",IF($C49="","",IFERROR(IF(ISNA($D49/VLOOKUP($C49,Données!$C$19:'Données'!$I$48,6,0)), ,$D49/VLOOKUP($C49,Données!$C$19:'Données'!$I$48,6,0)),"/")))</f>
        <v/>
      </c>
      <c r="F49" s="42" t="str">
        <f>IF($C49="/","",IF($C49="","",IFERROR(IF(ISNA($D49/VLOOKUP($C49,Données!$C$19:'Données'!$I$48,7,0)*100), ,$D49/VLOOKUP($C49,Données!$C$19:'Données'!$I$48,7,0)*100),"/")))</f>
        <v/>
      </c>
      <c r="G49" s="41" t="str">
        <f>IF($C49="/","",IF($C49="","",IFERROR(IF(ISNA(VLOOKUP($C49,'Phase GPA'!$C$29:'Phase GPA'!$U$58,11,0)), ,VLOOKUP($C49,'Phase GPA'!$C$29:'Phase GPA'!$U$58,11,0)),0)))</f>
        <v/>
      </c>
      <c r="H49" s="44" t="str">
        <f>IF($C49="/","",IF($C49="","",IFERROR(IF(ISNA(VLOOKUP($C49,'Phase GPA'!$C$29:'Phase GPA'!$U$58,12,0)), ,VLOOKUP($C49,'Phase GPA'!$C$29:'Phase GPA'!$U$58,12,0)),0)))</f>
        <v/>
      </c>
      <c r="I49" s="44" t="str">
        <f>IF($C49="/","",IF($C49="","",IFERROR(IF(ISNA($H49/VLOOKUP($C49,Données!$C$19:'Données'!$I$48,5,0)), ,$H49/VLOOKUP($C49,Données!$C$19:'Données'!$I$48,5,0))*100,0)))</f>
        <v/>
      </c>
      <c r="J49" s="44" t="str">
        <f>IF($C49="/","",IF($C49="","",IFERROR(IF(ISNA($H49/VLOOKUP($C49,Données!$C$19:'Données'!$I$48,6,0)), ,$H49/VLOOKUP($C49,Données!$C$19:'Données'!$I$48,6,0)),"/")))</f>
        <v/>
      </c>
      <c r="K49" s="44" t="str">
        <f>IF($C49="/","",IF($C49="","",IFERROR(IF(ISNA($H49/VLOOKUP($C49,Données!$C$19:'Données'!$I$48,7,0)*100), ,$H49/VLOOKUP($C49,Données!$C$19:'Données'!$I$48,7,0)*100),"/")))</f>
        <v/>
      </c>
      <c r="L49" s="45" t="str">
        <f t="shared" si="0"/>
        <v/>
      </c>
      <c r="M49" s="13"/>
      <c r="N49" s="12"/>
      <c r="O49" s="3"/>
      <c r="P49" s="16"/>
      <c r="Q49" s="1"/>
      <c r="R49" s="1"/>
      <c r="S49" s="54">
        <f>IF($C49="","",IFERROR(IF(ISNA(VLOOKUP($C49,Données!$C$19:'Données'!$I$48,6,0)), ,VLOOKUP($C49,Données!$C$19:'Données'!$I$48,6,0)),"/"))</f>
        <v>0</v>
      </c>
      <c r="T49" s="54">
        <f>IF($C49="","",IFERROR(IF(ISNA(VLOOKUP($C49,Données!$C$19:'Données'!$I$48,7,0)), ,VLOOKUP($C49,Données!$C$19:'Données'!$I$48,7,0)),"/"))</f>
        <v>0</v>
      </c>
      <c r="U49" s="54">
        <f>IF($C49="","",IFERROR(IF(ISNA(VLOOKUP($C49,Données!$C$19:'Données'!$I$48,5,0)), ,VLOOKUP($C49,Données!$C$19:'Données'!$I$48,5,0)),"/"))</f>
        <v>0</v>
      </c>
      <c r="V49" s="54" t="str">
        <f t="shared" si="1"/>
        <v>/</v>
      </c>
    </row>
    <row r="50" spans="1:22" ht="50.1" customHeight="1" x14ac:dyDescent="0.25">
      <c r="A50" s="1"/>
      <c r="B50" s="1"/>
      <c r="C50" s="82" t="str">
        <f>IF('Phase GPA'!$AT50="HR",'Phase GPA'!$C50,"/")</f>
        <v>/</v>
      </c>
      <c r="D50" s="41" t="str">
        <f>IF($C50="/","",IF($C50="","",IFERROR(IF(ISNA(VLOOKUP($C50,'Phase GPA'!$C$29:'Phase GPA'!$U$58,10,0)), ,VLOOKUP($C50,'Phase GPA'!$C$29:'Phase GPA'!$U$58,10,0)),0)))</f>
        <v/>
      </c>
      <c r="E50" s="42" t="str">
        <f>IF($C50="/","",IF($C50="","",IFERROR(IF(ISNA($D50/VLOOKUP($C50,Données!$C$19:'Données'!$I$48,6,0)), ,$D50/VLOOKUP($C50,Données!$C$19:'Données'!$I$48,6,0)),"/")))</f>
        <v/>
      </c>
      <c r="F50" s="42" t="str">
        <f>IF($C50="/","",IF($C50="","",IFERROR(IF(ISNA($D50/VLOOKUP($C50,Données!$C$19:'Données'!$I$48,7,0)*100), ,$D50/VLOOKUP($C50,Données!$C$19:'Données'!$I$48,7,0)*100),"/")))</f>
        <v/>
      </c>
      <c r="G50" s="41" t="str">
        <f>IF($C50="/","",IF($C50="","",IFERROR(IF(ISNA(VLOOKUP($C50,'Phase GPA'!$C$29:'Phase GPA'!$U$58,11,0)), ,VLOOKUP($C50,'Phase GPA'!$C$29:'Phase GPA'!$U$58,11,0)),0)))</f>
        <v/>
      </c>
      <c r="H50" s="44" t="str">
        <f>IF($C50="/","",IF($C50="","",IFERROR(IF(ISNA(VLOOKUP($C50,'Phase GPA'!$C$29:'Phase GPA'!$U$58,12,0)), ,VLOOKUP($C50,'Phase GPA'!$C$29:'Phase GPA'!$U$58,12,0)),0)))</f>
        <v/>
      </c>
      <c r="I50" s="44" t="str">
        <f>IF($C50="/","",IF($C50="","",IFERROR(IF(ISNA($H50/VLOOKUP($C50,Données!$C$19:'Données'!$I$48,5,0)), ,$H50/VLOOKUP($C50,Données!$C$19:'Données'!$I$48,5,0))*100,0)))</f>
        <v/>
      </c>
      <c r="J50" s="44" t="str">
        <f>IF($C50="/","",IF($C50="","",IFERROR(IF(ISNA($H50/VLOOKUP($C50,Données!$C$19:'Données'!$I$48,6,0)), ,$H50/VLOOKUP($C50,Données!$C$19:'Données'!$I$48,6,0)),"/")))</f>
        <v/>
      </c>
      <c r="K50" s="44" t="str">
        <f>IF($C50="/","",IF($C50="","",IFERROR(IF(ISNA($H50/VLOOKUP($C50,Données!$C$19:'Données'!$I$48,7,0)*100), ,$H50/VLOOKUP($C50,Données!$C$19:'Données'!$I$48,7,0)*100),"/")))</f>
        <v/>
      </c>
      <c r="L50" s="45" t="str">
        <f t="shared" si="0"/>
        <v/>
      </c>
      <c r="M50" s="13"/>
      <c r="N50" s="12"/>
      <c r="O50" s="3"/>
      <c r="P50" s="16"/>
      <c r="Q50" s="1"/>
      <c r="R50" s="1"/>
      <c r="S50" s="54">
        <f>IF($C50="","",IFERROR(IF(ISNA(VLOOKUP($C50,Données!$C$19:'Données'!$I$48,6,0)), ,VLOOKUP($C50,Données!$C$19:'Données'!$I$48,6,0)),"/"))</f>
        <v>0</v>
      </c>
      <c r="T50" s="54">
        <f>IF($C50="","",IFERROR(IF(ISNA(VLOOKUP($C50,Données!$C$19:'Données'!$I$48,7,0)), ,VLOOKUP($C50,Données!$C$19:'Données'!$I$48,7,0)),"/"))</f>
        <v>0</v>
      </c>
      <c r="U50" s="54">
        <f>IF($C50="","",IFERROR(IF(ISNA(VLOOKUP($C50,Données!$C$19:'Données'!$I$48,5,0)), ,VLOOKUP($C50,Données!$C$19:'Données'!$I$48,5,0)),"/"))</f>
        <v>0</v>
      </c>
      <c r="V50" s="54" t="str">
        <f t="shared" si="1"/>
        <v>/</v>
      </c>
    </row>
    <row r="51" spans="1:22" ht="50.1" customHeight="1" x14ac:dyDescent="0.25">
      <c r="A51" s="1"/>
      <c r="B51" s="1"/>
      <c r="C51" s="82" t="str">
        <f>IF('Phase GPA'!$AT51="HR",'Phase GPA'!$C51,"/")</f>
        <v>/</v>
      </c>
      <c r="D51" s="41" t="str">
        <f>IF($C51="/","",IF($C51="","",IFERROR(IF(ISNA(VLOOKUP($C51,'Phase GPA'!$C$29:'Phase GPA'!$U$58,10,0)), ,VLOOKUP($C51,'Phase GPA'!$C$29:'Phase GPA'!$U$58,10,0)),0)))</f>
        <v/>
      </c>
      <c r="E51" s="42" t="str">
        <f>IF($C51="/","",IF($C51="","",IFERROR(IF(ISNA($D51/VLOOKUP($C51,Données!$C$19:'Données'!$I$48,6,0)), ,$D51/VLOOKUP($C51,Données!$C$19:'Données'!$I$48,6,0)),"/")))</f>
        <v/>
      </c>
      <c r="F51" s="42" t="str">
        <f>IF($C51="/","",IF($C51="","",IFERROR(IF(ISNA($D51/VLOOKUP($C51,Données!$C$19:'Données'!$I$48,7,0)*100), ,$D51/VLOOKUP($C51,Données!$C$19:'Données'!$I$48,7,0)*100),"/")))</f>
        <v/>
      </c>
      <c r="G51" s="41" t="str">
        <f>IF($C51="/","",IF($C51="","",IFERROR(IF(ISNA(VLOOKUP($C51,'Phase GPA'!$C$29:'Phase GPA'!$U$58,11,0)), ,VLOOKUP($C51,'Phase GPA'!$C$29:'Phase GPA'!$U$58,11,0)),0)))</f>
        <v/>
      </c>
      <c r="H51" s="44" t="str">
        <f>IF($C51="/","",IF($C51="","",IFERROR(IF(ISNA(VLOOKUP($C51,'Phase GPA'!$C$29:'Phase GPA'!$U$58,12,0)), ,VLOOKUP($C51,'Phase GPA'!$C$29:'Phase GPA'!$U$58,12,0)),0)))</f>
        <v/>
      </c>
      <c r="I51" s="44" t="str">
        <f>IF($C51="/","",IF($C51="","",IFERROR(IF(ISNA($H51/VLOOKUP($C51,Données!$C$19:'Données'!$I$48,5,0)), ,$H51/VLOOKUP($C51,Données!$C$19:'Données'!$I$48,5,0))*100,0)))</f>
        <v/>
      </c>
      <c r="J51" s="44" t="str">
        <f>IF($C51="/","",IF($C51="","",IFERROR(IF(ISNA($H51/VLOOKUP($C51,Données!$C$19:'Données'!$I$48,6,0)), ,$H51/VLOOKUP($C51,Données!$C$19:'Données'!$I$48,6,0)),"/")))</f>
        <v/>
      </c>
      <c r="K51" s="44" t="str">
        <f>IF($C51="/","",IF($C51="","",IFERROR(IF(ISNA($H51/VLOOKUP($C51,Données!$C$19:'Données'!$I$48,7,0)*100), ,$H51/VLOOKUP($C51,Données!$C$19:'Données'!$I$48,7,0)*100),"/")))</f>
        <v/>
      </c>
      <c r="L51" s="45" t="str">
        <f t="shared" si="0"/>
        <v/>
      </c>
      <c r="M51" s="13"/>
      <c r="N51" s="12"/>
      <c r="O51" s="3"/>
      <c r="P51" s="16"/>
      <c r="Q51" s="1"/>
      <c r="R51" s="1"/>
      <c r="S51" s="54">
        <f>IF($C51="","",IFERROR(IF(ISNA(VLOOKUP($C51,Données!$C$19:'Données'!$I$48,6,0)), ,VLOOKUP($C51,Données!$C$19:'Données'!$I$48,6,0)),"/"))</f>
        <v>0</v>
      </c>
      <c r="T51" s="54">
        <f>IF($C51="","",IFERROR(IF(ISNA(VLOOKUP($C51,Données!$C$19:'Données'!$I$48,7,0)), ,VLOOKUP($C51,Données!$C$19:'Données'!$I$48,7,0)),"/"))</f>
        <v>0</v>
      </c>
      <c r="U51" s="54">
        <f>IF($C51="","",IFERROR(IF(ISNA(VLOOKUP($C51,Données!$C$19:'Données'!$I$48,5,0)), ,VLOOKUP($C51,Données!$C$19:'Données'!$I$48,5,0)),"/"))</f>
        <v>0</v>
      </c>
      <c r="V51" s="54" t="str">
        <f t="shared" si="1"/>
        <v>/</v>
      </c>
    </row>
    <row r="52" spans="1:22" ht="50.1" customHeight="1" x14ac:dyDescent="0.25">
      <c r="A52" s="1"/>
      <c r="B52" s="1"/>
      <c r="C52" s="82" t="str">
        <f>IF('Phase GPA'!$AT52="HR",'Phase GPA'!$C52,"/")</f>
        <v>/</v>
      </c>
      <c r="D52" s="41" t="str">
        <f>IF($C52="/","",IF($C52="","",IFERROR(IF(ISNA(VLOOKUP($C52,'Phase GPA'!$C$29:'Phase GPA'!$U$58,10,0)), ,VLOOKUP($C52,'Phase GPA'!$C$29:'Phase GPA'!$U$58,10,0)),0)))</f>
        <v/>
      </c>
      <c r="E52" s="42" t="str">
        <f>IF($C52="/","",IF($C52="","",IFERROR(IF(ISNA($D52/VLOOKUP($C52,Données!$C$19:'Données'!$I$48,6,0)), ,$D52/VLOOKUP($C52,Données!$C$19:'Données'!$I$48,6,0)),"/")))</f>
        <v/>
      </c>
      <c r="F52" s="42" t="str">
        <f>IF($C52="/","",IF($C52="","",IFERROR(IF(ISNA($D52/VLOOKUP($C52,Données!$C$19:'Données'!$I$48,7,0)*100), ,$D52/VLOOKUP($C52,Données!$C$19:'Données'!$I$48,7,0)*100),"/")))</f>
        <v/>
      </c>
      <c r="G52" s="41" t="str">
        <f>IF($C52="/","",IF($C52="","",IFERROR(IF(ISNA(VLOOKUP($C52,'Phase GPA'!$C$29:'Phase GPA'!$U$58,11,0)), ,VLOOKUP($C52,'Phase GPA'!$C$29:'Phase GPA'!$U$58,11,0)),0)))</f>
        <v/>
      </c>
      <c r="H52" s="44" t="str">
        <f>IF($C52="/","",IF($C52="","",IFERROR(IF(ISNA(VLOOKUP($C52,'Phase GPA'!$C$29:'Phase GPA'!$U$58,12,0)), ,VLOOKUP($C52,'Phase GPA'!$C$29:'Phase GPA'!$U$58,12,0)),0)))</f>
        <v/>
      </c>
      <c r="I52" s="44" t="str">
        <f>IF($C52="/","",IF($C52="","",IFERROR(IF(ISNA($H52/VLOOKUP($C52,Données!$C$19:'Données'!$I$48,5,0)), ,$H52/VLOOKUP($C52,Données!$C$19:'Données'!$I$48,5,0))*100,0)))</f>
        <v/>
      </c>
      <c r="J52" s="44" t="str">
        <f>IF($C52="/","",IF($C52="","",IFERROR(IF(ISNA($H52/VLOOKUP($C52,Données!$C$19:'Données'!$I$48,6,0)), ,$H52/VLOOKUP($C52,Données!$C$19:'Données'!$I$48,6,0)),"/")))</f>
        <v/>
      </c>
      <c r="K52" s="44" t="str">
        <f>IF($C52="/","",IF($C52="","",IFERROR(IF(ISNA($H52/VLOOKUP($C52,Données!$C$19:'Données'!$I$48,7,0)*100), ,$H52/VLOOKUP($C52,Données!$C$19:'Données'!$I$48,7,0)*100),"/")))</f>
        <v/>
      </c>
      <c r="L52" s="45" t="str">
        <f t="shared" si="0"/>
        <v/>
      </c>
      <c r="M52" s="13"/>
      <c r="N52" s="12"/>
      <c r="O52" s="3"/>
      <c r="P52" s="16"/>
      <c r="Q52" s="1"/>
      <c r="R52" s="1"/>
      <c r="S52" s="54">
        <f>IF($C52="","",IFERROR(IF(ISNA(VLOOKUP($C52,Données!$C$19:'Données'!$I$48,6,0)), ,VLOOKUP($C52,Données!$C$19:'Données'!$I$48,6,0)),"/"))</f>
        <v>0</v>
      </c>
      <c r="T52" s="54">
        <f>IF($C52="","",IFERROR(IF(ISNA(VLOOKUP($C52,Données!$C$19:'Données'!$I$48,7,0)), ,VLOOKUP($C52,Données!$C$19:'Données'!$I$48,7,0)),"/"))</f>
        <v>0</v>
      </c>
      <c r="U52" s="54">
        <f>IF($C52="","",IFERROR(IF(ISNA(VLOOKUP($C52,Données!$C$19:'Données'!$I$48,5,0)), ,VLOOKUP($C52,Données!$C$19:'Données'!$I$48,5,0)),"/"))</f>
        <v>0</v>
      </c>
      <c r="V52" s="54" t="str">
        <f t="shared" si="1"/>
        <v>/</v>
      </c>
    </row>
    <row r="53" spans="1:22" ht="50.1" customHeight="1" x14ac:dyDescent="0.25">
      <c r="A53" s="1"/>
      <c r="B53" s="1"/>
      <c r="C53" s="82" t="str">
        <f>IF('Phase GPA'!$AT58="HR",'Phase GPA'!$C58,"/")</f>
        <v>/</v>
      </c>
      <c r="D53" s="41" t="str">
        <f>IF($C53="/","",IF($C53="","",IFERROR(IF(ISNA(VLOOKUP($C53,'Phase GPA'!$C$29:'Phase GPA'!$U$58,10,0)), ,VLOOKUP($C53,'Phase GPA'!$C$29:'Phase GPA'!$U$58,10,0)),0)))</f>
        <v/>
      </c>
      <c r="E53" s="42" t="str">
        <f>IF($C53="/","",IF($C53="","",IFERROR(IF(ISNA($D53/VLOOKUP($C53,Données!$C$19:'Données'!$I$48,6,0)), ,$D53/VLOOKUP($C53,Données!$C$19:'Données'!$I$48,6,0)),"/")))</f>
        <v/>
      </c>
      <c r="F53" s="42" t="str">
        <f>IF($C53="/","",IF($C53="","",IFERROR(IF(ISNA($D53/VLOOKUP($C53,Données!$C$19:'Données'!$I$48,7,0)*100), ,$D53/VLOOKUP($C53,Données!$C$19:'Données'!$I$48,7,0)*100),"/")))</f>
        <v/>
      </c>
      <c r="G53" s="41" t="str">
        <f>IF($C53="/","",IF($C53="","",IFERROR(IF(ISNA(VLOOKUP($C53,'Phase GPA'!$C$29:'Phase GPA'!$U$58,11,0)), ,VLOOKUP($C53,'Phase GPA'!$C$29:'Phase GPA'!$U$58,11,0)),0)))</f>
        <v/>
      </c>
      <c r="H53" s="44" t="str">
        <f>IF($C53="/","",IF($C53="","",IFERROR(IF(ISNA(VLOOKUP($C53,'Phase GPA'!$C$29:'Phase GPA'!$U$58,12,0)), ,VLOOKUP($C53,'Phase GPA'!$C$29:'Phase GPA'!$U$58,12,0)),0)))</f>
        <v/>
      </c>
      <c r="I53" s="44" t="str">
        <f>IF($C53="/","",IF($C53="","",IFERROR(IF(ISNA($H53/VLOOKUP($C53,Données!$C$19:'Données'!$I$48,5,0)), ,$H53/VLOOKUP($C53,Données!$C$19:'Données'!$I$48,5,0))*100,0)))</f>
        <v/>
      </c>
      <c r="J53" s="44" t="str">
        <f>IF($C53="/","",IF($C53="","",IFERROR(IF(ISNA($H53/VLOOKUP($C53,Données!$C$19:'Données'!$I$48,6,0)), ,$H53/VLOOKUP($C53,Données!$C$19:'Données'!$I$48,6,0)),"/")))</f>
        <v/>
      </c>
      <c r="K53" s="44" t="str">
        <f>IF($C53="/","",IF($C53="","",IFERROR(IF(ISNA($H53/VLOOKUP($C53,Données!$C$19:'Données'!$I$48,7,0)*100), ,$H53/VLOOKUP($C53,Données!$C$19:'Données'!$I$48,7,0)*100),"/")))</f>
        <v/>
      </c>
      <c r="L53" s="45" t="str">
        <f t="shared" si="0"/>
        <v/>
      </c>
      <c r="M53" s="13"/>
      <c r="N53" s="12"/>
      <c r="O53" s="3"/>
      <c r="P53" s="16"/>
      <c r="Q53" s="1"/>
      <c r="R53" s="1"/>
      <c r="S53" s="54">
        <f>IF($C53="","",IFERROR(IF(ISNA(VLOOKUP($C53,Données!$C$19:'Données'!$I$48,6,0)), ,VLOOKUP($C53,Données!$C$19:'Données'!$I$48,6,0)),"/"))</f>
        <v>0</v>
      </c>
      <c r="T53" s="54">
        <f>IF($C53="","",IFERROR(IF(ISNA(VLOOKUP($C53,Données!$C$19:'Données'!$I$48,7,0)), ,VLOOKUP($C53,Données!$C$19:'Données'!$I$48,7,0)),"/"))</f>
        <v>0</v>
      </c>
      <c r="U53" s="54">
        <f>IF($C53="","",IFERROR(IF(ISNA(VLOOKUP($C53,Données!$C$19:'Données'!$I$48,5,0)), ,VLOOKUP($C53,Données!$C$19:'Données'!$I$48,5,0)),"/"))</f>
        <v>0</v>
      </c>
      <c r="V53" s="54" t="str">
        <f t="shared" si="1"/>
        <v>/</v>
      </c>
    </row>
    <row r="54" spans="1:22" ht="50.1" customHeight="1" x14ac:dyDescent="0.25">
      <c r="A54" s="1"/>
      <c r="B54" s="1"/>
      <c r="C54" s="56" t="s">
        <v>50</v>
      </c>
      <c r="D54" s="57">
        <f>SUM(D29:D53)</f>
        <v>0</v>
      </c>
      <c r="E54" s="58" t="str">
        <f>IF(S54=0,"/",D54/S54)</f>
        <v>/</v>
      </c>
      <c r="F54" s="58" t="str">
        <f>IF(T54=0,"/",D54/T54*100)</f>
        <v>/</v>
      </c>
      <c r="G54" s="57">
        <f>IFERROR(V54/D54,0)</f>
        <v>0</v>
      </c>
      <c r="H54" s="61">
        <f>SUM(H29:H53)</f>
        <v>0</v>
      </c>
      <c r="I54" s="61">
        <f>IFERROR(H54/U54*100,0)</f>
        <v>0</v>
      </c>
      <c r="J54" s="61" t="str">
        <f>IF(S54=0,"/",H54/S54)</f>
        <v>/</v>
      </c>
      <c r="K54" s="58" t="str">
        <f>IF(T54=0,"/",H54/T54*100)</f>
        <v>/</v>
      </c>
      <c r="L54" s="62">
        <f>IFERROR(H54/D54,0)</f>
        <v>0</v>
      </c>
      <c r="M54" s="63"/>
      <c r="N54" s="64"/>
      <c r="O54" s="3"/>
      <c r="P54" s="16"/>
      <c r="Q54" s="1"/>
      <c r="R54" s="1"/>
      <c r="S54" s="55">
        <f>SUM(S29:S53)</f>
        <v>0</v>
      </c>
      <c r="T54" s="55">
        <f>SUM(T29:T53)</f>
        <v>0</v>
      </c>
      <c r="U54" s="55">
        <f>SUM(U29:U53)</f>
        <v>0</v>
      </c>
      <c r="V54" s="39">
        <f>SUM(V29:V53)</f>
        <v>0</v>
      </c>
    </row>
    <row r="55" spans="1:22" ht="15" customHeight="1" x14ac:dyDescent="0.25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4"/>
      <c r="Q55" s="1"/>
      <c r="R55" s="1"/>
    </row>
    <row r="56" spans="1:22" ht="15" customHeight="1" x14ac:dyDescent="0.25">
      <c r="A56" s="1"/>
      <c r="B56" s="1"/>
      <c r="C56" s="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0"/>
      <c r="Q56" s="1"/>
      <c r="R56" s="1"/>
    </row>
    <row r="57" spans="1:22" ht="15" customHeight="1" x14ac:dyDescent="0.25">
      <c r="A57" s="1"/>
      <c r="B57" s="1"/>
      <c r="C57" s="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1"/>
      <c r="P57" s="29"/>
      <c r="Q57" s="1"/>
      <c r="R57" s="1"/>
    </row>
    <row r="58" spans="1:22" ht="15" customHeight="1" x14ac:dyDescent="0.25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  <c r="P58" s="29"/>
      <c r="Q58" s="1"/>
      <c r="R58" s="1"/>
    </row>
    <row r="59" spans="1:22" ht="15" customHeight="1" x14ac:dyDescent="0.25">
      <c r="A59" s="1"/>
      <c r="B59" s="1"/>
      <c r="C59" s="6"/>
      <c r="D59" s="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1"/>
      <c r="P59" s="29"/>
      <c r="Q59" s="1"/>
      <c r="R59" s="1"/>
    </row>
    <row r="60" spans="1:22" ht="5.0999999999999996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sheetProtection algorithmName="SHA-512" hashValue="RmOJzObVwx2u03Bjf56g4zD1ey54SOcFnPVZYNbOcdcSJU/ZMonrKrgMq5boqTlbTFZsRp4HkLLTg8tMYpnm8g==" saltValue="eI0EAcFqeNWPSjO59MqGtg==" spinCount="100000" sheet="1" objects="1" scenarios="1"/>
  <protectedRanges>
    <protectedRange sqref="P29:P54" name="Plage3"/>
    <protectedRange sqref="M29:N53" name="Plage2"/>
  </protectedRanges>
  <mergeCells count="13">
    <mergeCell ref="H25:H28"/>
    <mergeCell ref="C25:C28"/>
    <mergeCell ref="D25:D28"/>
    <mergeCell ref="E25:E28"/>
    <mergeCell ref="F25:F28"/>
    <mergeCell ref="G25:G28"/>
    <mergeCell ref="P25:P28"/>
    <mergeCell ref="I25:I28"/>
    <mergeCell ref="J25:J28"/>
    <mergeCell ref="K25:K28"/>
    <mergeCell ref="L25:L28"/>
    <mergeCell ref="M25:M28"/>
    <mergeCell ref="N25:N28"/>
  </mergeCells>
  <conditionalFormatting sqref="G54">
    <cfRule type="cellIs" dxfId="59" priority="21" operator="lessThanOrEqual">
      <formula>15</formula>
    </cfRule>
    <cfRule type="cellIs" dxfId="58" priority="23" operator="greaterThan">
      <formula>15</formula>
    </cfRule>
  </conditionalFormatting>
  <conditionalFormatting sqref="E54">
    <cfRule type="cellIs" dxfId="57" priority="22" operator="lessThanOrEqual">
      <formula>1</formula>
    </cfRule>
    <cfRule type="containsText" dxfId="56" priority="24" operator="containsText" text="/">
      <formula>NOT(ISERROR(SEARCH("/",E54)))</formula>
    </cfRule>
    <cfRule type="cellIs" dxfId="55" priority="25" operator="greaterThan">
      <formula>1</formula>
    </cfRule>
  </conditionalFormatting>
  <conditionalFormatting sqref="G29">
    <cfRule type="cellIs" dxfId="54" priority="16" operator="lessThanOrEqual">
      <formula>15</formula>
    </cfRule>
    <cfRule type="cellIs" dxfId="53" priority="18" operator="greaterThan">
      <formula>15</formula>
    </cfRule>
  </conditionalFormatting>
  <conditionalFormatting sqref="E29">
    <cfRule type="cellIs" dxfId="52" priority="17" operator="lessThanOrEqual">
      <formula>1</formula>
    </cfRule>
    <cfRule type="containsText" dxfId="51" priority="19" operator="containsText" text="/">
      <formula>NOT(ISERROR(SEARCH("/",E29)))</formula>
    </cfRule>
    <cfRule type="cellIs" dxfId="50" priority="20" operator="greaterThan">
      <formula>1</formula>
    </cfRule>
  </conditionalFormatting>
  <conditionalFormatting sqref="G30:G42">
    <cfRule type="cellIs" dxfId="49" priority="6" operator="lessThanOrEqual">
      <formula>15</formula>
    </cfRule>
    <cfRule type="cellIs" dxfId="48" priority="8" operator="greaterThan">
      <formula>15</formula>
    </cfRule>
  </conditionalFormatting>
  <conditionalFormatting sqref="E30:E42">
    <cfRule type="cellIs" dxfId="47" priority="7" operator="lessThanOrEqual">
      <formula>1</formula>
    </cfRule>
    <cfRule type="containsText" dxfId="46" priority="9" operator="containsText" text="/">
      <formula>NOT(ISERROR(SEARCH("/",E30)))</formula>
    </cfRule>
    <cfRule type="cellIs" dxfId="45" priority="10" operator="greaterThan">
      <formula>1</formula>
    </cfRule>
  </conditionalFormatting>
  <conditionalFormatting sqref="G43:G53">
    <cfRule type="cellIs" dxfId="44" priority="1" operator="lessThanOrEqual">
      <formula>15</formula>
    </cfRule>
    <cfRule type="cellIs" dxfId="43" priority="3" operator="greaterThan">
      <formula>15</formula>
    </cfRule>
  </conditionalFormatting>
  <conditionalFormatting sqref="E43:E53">
    <cfRule type="cellIs" dxfId="42" priority="2" operator="lessThanOrEqual">
      <formula>1</formula>
    </cfRule>
    <cfRule type="containsText" dxfId="41" priority="4" operator="containsText" text="/">
      <formula>NOT(ISERROR(SEARCH("/",E43)))</formula>
    </cfRule>
    <cfRule type="cellIs" dxfId="40" priority="5" operator="greaterThan">
      <formula>1</formula>
    </cfRule>
  </conditionalFormatting>
  <dataValidations count="1">
    <dataValidation type="list" allowBlank="1" showInputMessage="1" showErrorMessage="1" sqref="C5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 r:id="rId3"/>
  <legacyDrawingHF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V61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2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2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2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2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2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2" ht="15" customHeight="1" x14ac:dyDescent="0.25">
      <c r="A25" s="1"/>
      <c r="B25" s="1"/>
      <c r="C25" s="161" t="s">
        <v>7</v>
      </c>
      <c r="D25" s="161" t="s">
        <v>13</v>
      </c>
      <c r="E25" s="161" t="s">
        <v>22</v>
      </c>
      <c r="F25" s="161" t="s">
        <v>67</v>
      </c>
      <c r="G25" s="161" t="s">
        <v>31</v>
      </c>
      <c r="H25" s="161" t="s">
        <v>14</v>
      </c>
      <c r="I25" s="161" t="s">
        <v>20</v>
      </c>
      <c r="J25" s="161" t="s">
        <v>23</v>
      </c>
      <c r="K25" s="161" t="s">
        <v>68</v>
      </c>
      <c r="L25" s="161" t="s">
        <v>15</v>
      </c>
      <c r="M25" s="132" t="s">
        <v>16</v>
      </c>
      <c r="N25" s="132" t="s">
        <v>38</v>
      </c>
      <c r="O25" s="2"/>
      <c r="P25" s="132" t="s">
        <v>43</v>
      </c>
      <c r="Q25" s="1"/>
      <c r="R25" s="1"/>
    </row>
    <row r="26" spans="1:22" x14ac:dyDescent="0.25">
      <c r="A26" s="1"/>
      <c r="B26" s="1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33"/>
      <c r="N26" s="133"/>
      <c r="O26" s="2"/>
      <c r="P26" s="133"/>
      <c r="Q26" s="1"/>
      <c r="R26" s="1"/>
    </row>
    <row r="27" spans="1:22" ht="15" customHeight="1" x14ac:dyDescent="0.25">
      <c r="A27" s="1"/>
      <c r="B27" s="1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33"/>
      <c r="N27" s="133"/>
      <c r="O27" s="9"/>
      <c r="P27" s="133"/>
      <c r="Q27" s="1"/>
      <c r="R27" s="1"/>
    </row>
    <row r="28" spans="1:22" x14ac:dyDescent="0.25">
      <c r="A28" s="1"/>
      <c r="B28" s="1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34"/>
      <c r="N28" s="134"/>
      <c r="O28" s="9"/>
      <c r="P28" s="134"/>
      <c r="Q28" s="1"/>
      <c r="R28" s="1"/>
    </row>
    <row r="29" spans="1:22" ht="50.1" customHeight="1" x14ac:dyDescent="0.25">
      <c r="A29" s="1"/>
      <c r="B29" s="1"/>
      <c r="C29" s="82" t="str">
        <f>IF('Phase GPA'!$AT29="OF",'Phase GPA'!$C29,"/")</f>
        <v>/</v>
      </c>
      <c r="D29" s="41" t="str">
        <f>IF($C29="/","",IF($C29="","",IFERROR(IF(ISNA(VLOOKUP($C29,'Phase GPA'!$C$29:'Phase GPA'!$U$58,10,0)), ,VLOOKUP($C29,'Phase GPA'!$C$29:'Phase GPA'!$U$58,10,0)),0)))</f>
        <v/>
      </c>
      <c r="E29" s="42" t="str">
        <f>IF($C29="/","",IF($C29="","",IFERROR(IF(ISNA($D29/VLOOKUP($C29,Données!$C$19:'Données'!$I$48,6,0)), ,$D29/VLOOKUP($C29,Données!$C$19:'Données'!$I$48,6,0)),"/")))</f>
        <v/>
      </c>
      <c r="F29" s="42" t="str">
        <f>IF($C29="/","",IF($C29="","",IFERROR(IF(ISNA($D29/VLOOKUP($C29,Données!$C$19:'Données'!$I$48,7,0)*100), ,$D29/VLOOKUP($C29,Données!$C$19:'Données'!$I$48,7,0)*100),"/")))</f>
        <v/>
      </c>
      <c r="G29" s="41" t="str">
        <f>IF($C29="/","",IF($C29="","",IFERROR(IF(ISNA(VLOOKUP($C29,'Phase GPA'!$C$29:'Phase GPA'!$U$58,11,0)), ,VLOOKUP($C29,'Phase GPA'!$C$29:'Phase GPA'!$U$58,11,0)),0)))</f>
        <v/>
      </c>
      <c r="H29" s="44" t="str">
        <f>IF($C29="/","",IF($C29="","",IFERROR(IF(ISNA(VLOOKUP($C29,'Phase GPA'!$C$29:'Phase GPA'!$U$58,12,0)), ,VLOOKUP($C29,'Phase GPA'!$C$29:'Phase GPA'!$U$58,12,0)),0)))</f>
        <v/>
      </c>
      <c r="I29" s="44" t="str">
        <f>IF($C29="/","",IF($C29="","",IFERROR(IF(ISNA($H29/VLOOKUP($C29,Données!$C$19:'Données'!$I$48,5,0)), ,$H29/VLOOKUP($C29,Données!$C$19:'Données'!$I$48,5,0))*100,0)))</f>
        <v/>
      </c>
      <c r="J29" s="44" t="str">
        <f>IF($C29="/","",IF($C29="","",IFERROR(IF(ISNA($H29/VLOOKUP($C29,Données!$C$19:'Données'!$I$48,6,0)), ,$H29/VLOOKUP($C29,Données!$C$19:'Données'!$I$48,6,0)),"/")))</f>
        <v/>
      </c>
      <c r="K29" s="44" t="str">
        <f>IF($C29="/","",IF($C29="","",IFERROR(IF(ISNA($H29/VLOOKUP($C29,Données!$C$19:'Données'!$I$48,7,0)*100), ,$H29/VLOOKUP($C29,Données!$C$19:'Données'!$I$48,7,0)*100),"/")))</f>
        <v/>
      </c>
      <c r="L29" s="45" t="str">
        <f>IF($C29="/","",IF($D29=0,"/",IF($C29="","",IFERROR(($H29/$D29),0))))</f>
        <v/>
      </c>
      <c r="M29" s="13"/>
      <c r="N29" s="12"/>
      <c r="O29" s="3"/>
      <c r="P29" s="16"/>
      <c r="Q29" s="1"/>
      <c r="R29" s="1"/>
      <c r="S29" s="54">
        <f>IF($C29="","",IFERROR(IF(ISNA(VLOOKUP($C29,Données!$C$19:'Données'!$I$48,6,0)), ,VLOOKUP($C29,Données!$C$19:'Données'!$I$48,6,0)),"/"))</f>
        <v>0</v>
      </c>
      <c r="T29" s="54">
        <f>IF($C29="","",IFERROR(IF(ISNA(VLOOKUP($C29,Données!$C$19:'Données'!$I$48,7,0)), ,VLOOKUP($C29,Données!$C$19:'Données'!$I$48,7,0)),"/"))</f>
        <v>0</v>
      </c>
      <c r="U29" s="54">
        <f>IF($C29="","",IFERROR(IF(ISNA(VLOOKUP($C29,Données!$C$19:'Données'!$I$48,5,0)), ,VLOOKUP($C29,Données!$C$19:'Données'!$I$48,5,0)),"/"))</f>
        <v>0</v>
      </c>
      <c r="V29" s="54" t="str">
        <f>IF($C29="","",IFERROR(IF(ISNA($D29*$G29), ,$D29*$G29),"/"))</f>
        <v>/</v>
      </c>
    </row>
    <row r="30" spans="1:22" ht="50.1" customHeight="1" x14ac:dyDescent="0.25">
      <c r="A30" s="1"/>
      <c r="B30" s="1"/>
      <c r="C30" s="82" t="str">
        <f>IF('Phase GPA'!$AT30="OF",'Phase GPA'!$C30,"/")</f>
        <v>/</v>
      </c>
      <c r="D30" s="41" t="str">
        <f>IF($C30="/","",IF($C30="","",IFERROR(IF(ISNA(VLOOKUP($C30,'Phase GPA'!$C$29:'Phase GPA'!$U$58,10,0)), ,VLOOKUP($C30,'Phase GPA'!$C$29:'Phase GPA'!$U$58,10,0)),0)))</f>
        <v/>
      </c>
      <c r="E30" s="42" t="str">
        <f>IF($C30="/","",IF($C30="","",IFERROR(IF(ISNA($D30/VLOOKUP($C30,Données!$C$19:'Données'!$I$48,6,0)), ,$D30/VLOOKUP($C30,Données!$C$19:'Données'!$I$48,6,0)),"/")))</f>
        <v/>
      </c>
      <c r="F30" s="42" t="str">
        <f>IF($C30="/","",IF($C30="","",IFERROR(IF(ISNA($D30/VLOOKUP($C30,Données!$C$19:'Données'!$I$48,7,0)*100), ,$D30/VLOOKUP($C30,Données!$C$19:'Données'!$I$48,7,0)*100),"/")))</f>
        <v/>
      </c>
      <c r="G30" s="41" t="str">
        <f>IF($C30="/","",IF($C30="","",IFERROR(IF(ISNA(VLOOKUP($C30,'Phase GPA'!$C$29:'Phase GPA'!$U$58,11,0)), ,VLOOKUP($C30,'Phase GPA'!$C$29:'Phase GPA'!$U$58,11,0)),0)))</f>
        <v/>
      </c>
      <c r="H30" s="44" t="str">
        <f>IF($C30="/","",IF($C30="","",IFERROR(IF(ISNA(VLOOKUP($C30,'Phase GPA'!$C$29:'Phase GPA'!$U$58,12,0)), ,VLOOKUP($C30,'Phase GPA'!$C$29:'Phase GPA'!$U$58,12,0)),0)))</f>
        <v/>
      </c>
      <c r="I30" s="44" t="str">
        <f>IF($C30="/","",IF($C30="","",IFERROR(IF(ISNA($H30/VLOOKUP($C30,Données!$C$19:'Données'!$I$48,5,0)), ,$H30/VLOOKUP($C30,Données!$C$19:'Données'!$I$48,5,0))*100,0)))</f>
        <v/>
      </c>
      <c r="J30" s="44" t="str">
        <f>IF($C30="/","",IF($C30="","",IFERROR(IF(ISNA($H30/VLOOKUP($C30,Données!$C$19:'Données'!$I$48,6,0)), ,$H30/VLOOKUP($C30,Données!$C$19:'Données'!$I$48,6,0)),"/")))</f>
        <v/>
      </c>
      <c r="K30" s="44" t="str">
        <f>IF($C30="/","",IF($C30="","",IFERROR(IF(ISNA($H30/VLOOKUP($C30,Données!$C$19:'Données'!$I$48,7,0)*100), ,$H30/VLOOKUP($C30,Données!$C$19:'Données'!$I$48,7,0)*100),"/")))</f>
        <v/>
      </c>
      <c r="L30" s="45" t="str">
        <f t="shared" ref="L30:L53" si="0">IF($C30="/","",IF($D30=0,"/",IF($C30="","",IFERROR(($H30/$D30),0))))</f>
        <v/>
      </c>
      <c r="M30" s="13"/>
      <c r="N30" s="12"/>
      <c r="O30" s="3"/>
      <c r="P30" s="16"/>
      <c r="Q30" s="1"/>
      <c r="R30" s="1"/>
      <c r="S30" s="54">
        <f>IF($C30="","",IFERROR(IF(ISNA(VLOOKUP($C30,Données!$C$19:'Données'!$I$48,6,0)), ,VLOOKUP($C30,Données!$C$19:'Données'!$I$48,6,0)),"/"))</f>
        <v>0</v>
      </c>
      <c r="T30" s="54">
        <f>IF($C30="","",IFERROR(IF(ISNA(VLOOKUP($C30,Données!$C$19:'Données'!$I$48,7,0)), ,VLOOKUP($C30,Données!$C$19:'Données'!$I$48,7,0)),"/"))</f>
        <v>0</v>
      </c>
      <c r="U30" s="54">
        <f>IF($C30="","",IFERROR(IF(ISNA(VLOOKUP($C30,Données!$C$19:'Données'!$I$48,5,0)), ,VLOOKUP($C30,Données!$C$19:'Données'!$I$48,5,0)),"/"))</f>
        <v>0</v>
      </c>
      <c r="V30" s="54" t="str">
        <f>IF($C30="","",IFERROR(IF(ISNA($D30*$G30), ,$D30*$G30),"/"))</f>
        <v>/</v>
      </c>
    </row>
    <row r="31" spans="1:22" ht="50.1" customHeight="1" x14ac:dyDescent="0.25">
      <c r="A31" s="1"/>
      <c r="B31" s="1"/>
      <c r="C31" s="82" t="str">
        <f>IF('Phase GPA'!$AT31="OF",'Phase GPA'!$C31,"/")</f>
        <v>/</v>
      </c>
      <c r="D31" s="41" t="str">
        <f>IF($C31="/","",IF($C31="","",IFERROR(IF(ISNA(VLOOKUP($C31,'Phase GPA'!$C$29:'Phase GPA'!$U$58,10,0)), ,VLOOKUP($C31,'Phase GPA'!$C$29:'Phase GPA'!$U$58,10,0)),0)))</f>
        <v/>
      </c>
      <c r="E31" s="42" t="str">
        <f>IF($C31="/","",IF($C31="","",IFERROR(IF(ISNA($D31/VLOOKUP($C31,Données!$C$19:'Données'!$I$48,6,0)), ,$D31/VLOOKUP($C31,Données!$C$19:'Données'!$I$48,6,0)),"/")))</f>
        <v/>
      </c>
      <c r="F31" s="42" t="str">
        <f>IF($C31="/","",IF($C31="","",IFERROR(IF(ISNA($D31/VLOOKUP($C31,Données!$C$19:'Données'!$I$48,7,0)*100), ,$D31/VLOOKUP($C31,Données!$C$19:'Données'!$I$48,7,0)*100),"/")))</f>
        <v/>
      </c>
      <c r="G31" s="41" t="str">
        <f>IF($C31="/","",IF($C31="","",IFERROR(IF(ISNA(VLOOKUP($C31,'Phase GPA'!$C$29:'Phase GPA'!$U$58,11,0)), ,VLOOKUP($C31,'Phase GPA'!$C$29:'Phase GPA'!$U$58,11,0)),0)))</f>
        <v/>
      </c>
      <c r="H31" s="44" t="str">
        <f>IF($C31="/","",IF($C31="","",IFERROR(IF(ISNA(VLOOKUP($C31,'Phase GPA'!$C$29:'Phase GPA'!$U$58,12,0)), ,VLOOKUP($C31,'Phase GPA'!$C$29:'Phase GPA'!$U$58,12,0)),0)))</f>
        <v/>
      </c>
      <c r="I31" s="44" t="str">
        <f>IF($C31="/","",IF($C31="","",IFERROR(IF(ISNA($H31/VLOOKUP($C31,Données!$C$19:'Données'!$I$48,5,0)), ,$H31/VLOOKUP($C31,Données!$C$19:'Données'!$I$48,5,0))*100,0)))</f>
        <v/>
      </c>
      <c r="J31" s="44" t="str">
        <f>IF($C31="/","",IF($C31="","",IFERROR(IF(ISNA($H31/VLOOKUP($C31,Données!$C$19:'Données'!$I$48,6,0)), ,$H31/VLOOKUP($C31,Données!$C$19:'Données'!$I$48,6,0)),"/")))</f>
        <v/>
      </c>
      <c r="K31" s="44" t="str">
        <f>IF($C31="/","",IF($C31="","",IFERROR(IF(ISNA($H31/VLOOKUP($C31,Données!$C$19:'Données'!$I$48,7,0)*100), ,$H31/VLOOKUP($C31,Données!$C$19:'Données'!$I$48,7,0)*100),"/")))</f>
        <v/>
      </c>
      <c r="L31" s="45" t="str">
        <f t="shared" si="0"/>
        <v/>
      </c>
      <c r="M31" s="13"/>
      <c r="N31" s="12"/>
      <c r="O31" s="3"/>
      <c r="P31" s="16"/>
      <c r="Q31" s="1"/>
      <c r="R31" s="1"/>
      <c r="S31" s="54">
        <f>IF($C31="","",IFERROR(IF(ISNA(VLOOKUP($C31,Données!$C$19:'Données'!$I$48,6,0)), ,VLOOKUP($C31,Données!$C$19:'Données'!$I$48,6,0)),"/"))</f>
        <v>0</v>
      </c>
      <c r="T31" s="54">
        <f>IF($C31="","",IFERROR(IF(ISNA(VLOOKUP($C31,Données!$C$19:'Données'!$I$48,7,0)), ,VLOOKUP($C31,Données!$C$19:'Données'!$I$48,7,0)),"/"))</f>
        <v>0</v>
      </c>
      <c r="U31" s="54">
        <f>IF($C31="","",IFERROR(IF(ISNA(VLOOKUP($C31,Données!$C$19:'Données'!$I$48,5,0)), ,VLOOKUP($C31,Données!$C$19:'Données'!$I$48,5,0)),"/"))</f>
        <v>0</v>
      </c>
      <c r="V31" s="54" t="str">
        <f t="shared" ref="V31:V53" si="1">IF($C31="","",IFERROR(IF(ISNA($D31*$G31), ,$D31*$G31),"/"))</f>
        <v>/</v>
      </c>
    </row>
    <row r="32" spans="1:22" ht="50.1" customHeight="1" x14ac:dyDescent="0.25">
      <c r="A32" s="1"/>
      <c r="B32" s="1"/>
      <c r="C32" s="82" t="str">
        <f>IF('Phase GPA'!$AT32="OF",'Phase GPA'!$C32,"/")</f>
        <v>/</v>
      </c>
      <c r="D32" s="41" t="str">
        <f>IF($C32="/","",IF($C32="","",IFERROR(IF(ISNA(VLOOKUP($C32,'Phase GPA'!$C$29:'Phase GPA'!$U$58,10,0)), ,VLOOKUP($C32,'Phase GPA'!$C$29:'Phase GPA'!$U$58,10,0)),0)))</f>
        <v/>
      </c>
      <c r="E32" s="42" t="str">
        <f>IF($C32="/","",IF($C32="","",IFERROR(IF(ISNA($D32/VLOOKUP($C32,Données!$C$19:'Données'!$I$48,6,0)), ,$D32/VLOOKUP($C32,Données!$C$19:'Données'!$I$48,6,0)),"/")))</f>
        <v/>
      </c>
      <c r="F32" s="42" t="str">
        <f>IF($C32="/","",IF($C32="","",IFERROR(IF(ISNA($D32/VLOOKUP($C32,Données!$C$19:'Données'!$I$48,7,0)*100), ,$D32/VLOOKUP($C32,Données!$C$19:'Données'!$I$48,7,0)*100),"/")))</f>
        <v/>
      </c>
      <c r="G32" s="41" t="str">
        <f>IF($C32="/","",IF($C32="","",IFERROR(IF(ISNA(VLOOKUP($C32,'Phase GPA'!$C$29:'Phase GPA'!$U$58,11,0)), ,VLOOKUP($C32,'Phase GPA'!$C$29:'Phase GPA'!$U$58,11,0)),0)))</f>
        <v/>
      </c>
      <c r="H32" s="44" t="str">
        <f>IF($C32="/","",IF($C32="","",IFERROR(IF(ISNA(VLOOKUP($C32,'Phase GPA'!$C$29:'Phase GPA'!$U$58,12,0)), ,VLOOKUP($C32,'Phase GPA'!$C$29:'Phase GPA'!$U$58,12,0)),0)))</f>
        <v/>
      </c>
      <c r="I32" s="44" t="str">
        <f>IF($C32="/","",IF($C32="","",IFERROR(IF(ISNA($H32/VLOOKUP($C32,Données!$C$19:'Données'!$I$48,5,0)), ,$H32/VLOOKUP($C32,Données!$C$19:'Données'!$I$48,5,0))*100,0)))</f>
        <v/>
      </c>
      <c r="J32" s="44" t="str">
        <f>IF($C32="/","",IF($C32="","",IFERROR(IF(ISNA($H32/VLOOKUP($C32,Données!$C$19:'Données'!$I$48,6,0)), ,$H32/VLOOKUP($C32,Données!$C$19:'Données'!$I$48,6,0)),"/")))</f>
        <v/>
      </c>
      <c r="K32" s="44" t="str">
        <f>IF($C32="/","",IF($C32="","",IFERROR(IF(ISNA($H32/VLOOKUP($C32,Données!$C$19:'Données'!$I$48,7,0)*100), ,$H32/VLOOKUP($C32,Données!$C$19:'Données'!$I$48,7,0)*100),"/")))</f>
        <v/>
      </c>
      <c r="L32" s="45" t="str">
        <f t="shared" si="0"/>
        <v/>
      </c>
      <c r="M32" s="13"/>
      <c r="N32" s="12"/>
      <c r="O32" s="3"/>
      <c r="P32" s="16"/>
      <c r="Q32" s="1"/>
      <c r="R32" s="1"/>
      <c r="S32" s="54">
        <f>IF($C32="","",IFERROR(IF(ISNA(VLOOKUP($C32,Données!$C$19:'Données'!$I$48,6,0)), ,VLOOKUP($C32,Données!$C$19:'Données'!$I$48,6,0)),"/"))</f>
        <v>0</v>
      </c>
      <c r="T32" s="54">
        <f>IF($C32="","",IFERROR(IF(ISNA(VLOOKUP($C32,Données!$C$19:'Données'!$I$48,7,0)), ,VLOOKUP($C32,Données!$C$19:'Données'!$I$48,7,0)),"/"))</f>
        <v>0</v>
      </c>
      <c r="U32" s="54">
        <f>IF($C32="","",IFERROR(IF(ISNA(VLOOKUP($C32,Données!$C$19:'Données'!$I$48,5,0)), ,VLOOKUP($C32,Données!$C$19:'Données'!$I$48,5,0)),"/"))</f>
        <v>0</v>
      </c>
      <c r="V32" s="54" t="str">
        <f t="shared" si="1"/>
        <v>/</v>
      </c>
    </row>
    <row r="33" spans="1:22" ht="50.1" customHeight="1" x14ac:dyDescent="0.25">
      <c r="A33" s="1"/>
      <c r="B33" s="1"/>
      <c r="C33" s="82" t="str">
        <f>IF('Phase GPA'!$AT33="OF",'Phase GPA'!$C33,"/")</f>
        <v>/</v>
      </c>
      <c r="D33" s="41" t="str">
        <f>IF($C33="/","",IF($C33="","",IFERROR(IF(ISNA(VLOOKUP($C33,'Phase GPA'!$C$29:'Phase GPA'!$U$58,10,0)), ,VLOOKUP($C33,'Phase GPA'!$C$29:'Phase GPA'!$U$58,10,0)),0)))</f>
        <v/>
      </c>
      <c r="E33" s="42" t="str">
        <f>IF($C33="/","",IF($C33="","",IFERROR(IF(ISNA($D33/VLOOKUP($C33,Données!$C$19:'Données'!$I$48,6,0)), ,$D33/VLOOKUP($C33,Données!$C$19:'Données'!$I$48,6,0)),"/")))</f>
        <v/>
      </c>
      <c r="F33" s="42" t="str">
        <f>IF($C33="/","",IF($C33="","",IFERROR(IF(ISNA($D33/VLOOKUP($C33,Données!$C$19:'Données'!$I$48,7,0)*100), ,$D33/VLOOKUP($C33,Données!$C$19:'Données'!$I$48,7,0)*100),"/")))</f>
        <v/>
      </c>
      <c r="G33" s="41" t="str">
        <f>IF($C33="/","",IF($C33="","",IFERROR(IF(ISNA(VLOOKUP($C33,'Phase GPA'!$C$29:'Phase GPA'!$U$58,11,0)), ,VLOOKUP($C33,'Phase GPA'!$C$29:'Phase GPA'!$U$58,11,0)),0)))</f>
        <v/>
      </c>
      <c r="H33" s="44" t="str">
        <f>IF($C33="/","",IF($C33="","",IFERROR(IF(ISNA(VLOOKUP($C33,'Phase GPA'!$C$29:'Phase GPA'!$U$58,12,0)), ,VLOOKUP($C33,'Phase GPA'!$C$29:'Phase GPA'!$U$58,12,0)),0)))</f>
        <v/>
      </c>
      <c r="I33" s="44" t="str">
        <f>IF($C33="/","",IF($C33="","",IFERROR(IF(ISNA($H33/VLOOKUP($C33,Données!$C$19:'Données'!$I$48,5,0)), ,$H33/VLOOKUP($C33,Données!$C$19:'Données'!$I$48,5,0))*100,0)))</f>
        <v/>
      </c>
      <c r="J33" s="44" t="str">
        <f>IF($C33="/","",IF($C33="","",IFERROR(IF(ISNA($H33/VLOOKUP($C33,Données!$C$19:'Données'!$I$48,6,0)), ,$H33/VLOOKUP($C33,Données!$C$19:'Données'!$I$48,6,0)),"/")))</f>
        <v/>
      </c>
      <c r="K33" s="44" t="str">
        <f>IF($C33="/","",IF($C33="","",IFERROR(IF(ISNA($H33/VLOOKUP($C33,Données!$C$19:'Données'!$I$48,7,0)*100), ,$H33/VLOOKUP($C33,Données!$C$19:'Données'!$I$48,7,0)*100),"/")))</f>
        <v/>
      </c>
      <c r="L33" s="45" t="str">
        <f t="shared" si="0"/>
        <v/>
      </c>
      <c r="M33" s="13"/>
      <c r="N33" s="12"/>
      <c r="O33" s="3"/>
      <c r="P33" s="16"/>
      <c r="Q33" s="1"/>
      <c r="R33" s="1"/>
      <c r="S33" s="54">
        <f>IF($C33="","",IFERROR(IF(ISNA(VLOOKUP($C33,Données!$C$19:'Données'!$I$48,6,0)), ,VLOOKUP($C33,Données!$C$19:'Données'!$I$48,6,0)),"/"))</f>
        <v>0</v>
      </c>
      <c r="T33" s="54">
        <f>IF($C33="","",IFERROR(IF(ISNA(VLOOKUP($C33,Données!$C$19:'Données'!$I$48,7,0)), ,VLOOKUP($C33,Données!$C$19:'Données'!$I$48,7,0)),"/"))</f>
        <v>0</v>
      </c>
      <c r="U33" s="54">
        <f>IF($C33="","",IFERROR(IF(ISNA(VLOOKUP($C33,Données!$C$19:'Données'!$I$48,5,0)), ,VLOOKUP($C33,Données!$C$19:'Données'!$I$48,5,0)),"/"))</f>
        <v>0</v>
      </c>
      <c r="V33" s="54" t="str">
        <f t="shared" si="1"/>
        <v>/</v>
      </c>
    </row>
    <row r="34" spans="1:22" ht="50.1" customHeight="1" x14ac:dyDescent="0.25">
      <c r="A34" s="1"/>
      <c r="B34" s="1"/>
      <c r="C34" s="82" t="str">
        <f>IF('Phase GPA'!$AT34="OF",'Phase GPA'!$C34,"/")</f>
        <v>/</v>
      </c>
      <c r="D34" s="41" t="str">
        <f>IF($C34="/","",IF($C34="","",IFERROR(IF(ISNA(VLOOKUP($C34,'Phase GPA'!$C$29:'Phase GPA'!$U$58,10,0)), ,VLOOKUP($C34,'Phase GPA'!$C$29:'Phase GPA'!$U$58,10,0)),0)))</f>
        <v/>
      </c>
      <c r="E34" s="42" t="str">
        <f>IF($C34="/","",IF($C34="","",IFERROR(IF(ISNA($D34/VLOOKUP($C34,Données!$C$19:'Données'!$I$48,6,0)), ,$D34/VLOOKUP($C34,Données!$C$19:'Données'!$I$48,6,0)),"/")))</f>
        <v/>
      </c>
      <c r="F34" s="42" t="str">
        <f>IF($C34="/","",IF($C34="","",IFERROR(IF(ISNA($D34/VLOOKUP($C34,Données!$C$19:'Données'!$I$48,7,0)*100), ,$D34/VLOOKUP($C34,Données!$C$19:'Données'!$I$48,7,0)*100),"/")))</f>
        <v/>
      </c>
      <c r="G34" s="41" t="str">
        <f>IF($C34="/","",IF($C34="","",IFERROR(IF(ISNA(VLOOKUP($C34,'Phase GPA'!$C$29:'Phase GPA'!$U$58,11,0)), ,VLOOKUP($C34,'Phase GPA'!$C$29:'Phase GPA'!$U$58,11,0)),0)))</f>
        <v/>
      </c>
      <c r="H34" s="44" t="str">
        <f>IF($C34="/","",IF($C34="","",IFERROR(IF(ISNA(VLOOKUP($C34,'Phase GPA'!$C$29:'Phase GPA'!$U$58,12,0)), ,VLOOKUP($C34,'Phase GPA'!$C$29:'Phase GPA'!$U$58,12,0)),0)))</f>
        <v/>
      </c>
      <c r="I34" s="44" t="str">
        <f>IF($C34="/","",IF($C34="","",IFERROR(IF(ISNA($H34/VLOOKUP($C34,Données!$C$19:'Données'!$I$48,5,0)), ,$H34/VLOOKUP($C34,Données!$C$19:'Données'!$I$48,5,0))*100,0)))</f>
        <v/>
      </c>
      <c r="J34" s="44" t="str">
        <f>IF($C34="/","",IF($C34="","",IFERROR(IF(ISNA($H34/VLOOKUP($C34,Données!$C$19:'Données'!$I$48,6,0)), ,$H34/VLOOKUP($C34,Données!$C$19:'Données'!$I$48,6,0)),"/")))</f>
        <v/>
      </c>
      <c r="K34" s="44" t="str">
        <f>IF($C34="/","",IF($C34="","",IFERROR(IF(ISNA($H34/VLOOKUP($C34,Données!$C$19:'Données'!$I$48,7,0)*100), ,$H34/VLOOKUP($C34,Données!$C$19:'Données'!$I$48,7,0)*100),"/")))</f>
        <v/>
      </c>
      <c r="L34" s="45" t="str">
        <f t="shared" si="0"/>
        <v/>
      </c>
      <c r="M34" s="13"/>
      <c r="N34" s="12"/>
      <c r="O34" s="3"/>
      <c r="P34" s="16"/>
      <c r="Q34" s="1"/>
      <c r="R34" s="1"/>
      <c r="S34" s="54">
        <f>IF($C34="","",IFERROR(IF(ISNA(VLOOKUP($C34,Données!$C$19:'Données'!$I$48,6,0)), ,VLOOKUP($C34,Données!$C$19:'Données'!$I$48,6,0)),"/"))</f>
        <v>0</v>
      </c>
      <c r="T34" s="54">
        <f>IF($C34="","",IFERROR(IF(ISNA(VLOOKUP($C34,Données!$C$19:'Données'!$I$48,7,0)), ,VLOOKUP($C34,Données!$C$19:'Données'!$I$48,7,0)),"/"))</f>
        <v>0</v>
      </c>
      <c r="U34" s="54">
        <f>IF($C34="","",IFERROR(IF(ISNA(VLOOKUP($C34,Données!$C$19:'Données'!$I$48,5,0)), ,VLOOKUP($C34,Données!$C$19:'Données'!$I$48,5,0)),"/"))</f>
        <v>0</v>
      </c>
      <c r="V34" s="54" t="str">
        <f t="shared" si="1"/>
        <v>/</v>
      </c>
    </row>
    <row r="35" spans="1:22" ht="50.1" customHeight="1" x14ac:dyDescent="0.25">
      <c r="A35" s="1"/>
      <c r="B35" s="1"/>
      <c r="C35" s="82" t="str">
        <f>IF('Phase GPA'!$AT35="OF",'Phase GPA'!$C35,"/")</f>
        <v>/</v>
      </c>
      <c r="D35" s="41" t="str">
        <f>IF($C35="/","",IF($C35="","",IFERROR(IF(ISNA(VLOOKUP($C35,'Phase GPA'!$C$29:'Phase GPA'!$U$58,10,0)), ,VLOOKUP($C35,'Phase GPA'!$C$29:'Phase GPA'!$U$58,10,0)),0)))</f>
        <v/>
      </c>
      <c r="E35" s="42" t="str">
        <f>IF($C35="/","",IF($C35="","",IFERROR(IF(ISNA($D35/VLOOKUP($C35,Données!$C$19:'Données'!$I$48,6,0)), ,$D35/VLOOKUP($C35,Données!$C$19:'Données'!$I$48,6,0)),"/")))</f>
        <v/>
      </c>
      <c r="F35" s="42" t="str">
        <f>IF($C35="/","",IF($C35="","",IFERROR(IF(ISNA($D35/VLOOKUP($C35,Données!$C$19:'Données'!$I$48,7,0)*100), ,$D35/VLOOKUP($C35,Données!$C$19:'Données'!$I$48,7,0)*100),"/")))</f>
        <v/>
      </c>
      <c r="G35" s="41" t="str">
        <f>IF($C35="/","",IF($C35="","",IFERROR(IF(ISNA(VLOOKUP($C35,'Phase GPA'!$C$29:'Phase GPA'!$U$58,11,0)), ,VLOOKUP($C35,'Phase GPA'!$C$29:'Phase GPA'!$U$58,11,0)),0)))</f>
        <v/>
      </c>
      <c r="H35" s="44" t="str">
        <f>IF($C35="/","",IF($C35="","",IFERROR(IF(ISNA(VLOOKUP($C35,'Phase GPA'!$C$29:'Phase GPA'!$U$58,12,0)), ,VLOOKUP($C35,'Phase GPA'!$C$29:'Phase GPA'!$U$58,12,0)),0)))</f>
        <v/>
      </c>
      <c r="I35" s="44" t="str">
        <f>IF($C35="/","",IF($C35="","",IFERROR(IF(ISNA($H35/VLOOKUP($C35,Données!$C$19:'Données'!$I$48,5,0)), ,$H35/VLOOKUP($C35,Données!$C$19:'Données'!$I$48,5,0))*100,0)))</f>
        <v/>
      </c>
      <c r="J35" s="44" t="str">
        <f>IF($C35="/","",IF($C35="","",IFERROR(IF(ISNA($H35/VLOOKUP($C35,Données!$C$19:'Données'!$I$48,6,0)), ,$H35/VLOOKUP($C35,Données!$C$19:'Données'!$I$48,6,0)),"/")))</f>
        <v/>
      </c>
      <c r="K35" s="44" t="str">
        <f>IF($C35="/","",IF($C35="","",IFERROR(IF(ISNA($H35/VLOOKUP($C35,Données!$C$19:'Données'!$I$48,7,0)*100), ,$H35/VLOOKUP($C35,Données!$C$19:'Données'!$I$48,7,0)*100),"/")))</f>
        <v/>
      </c>
      <c r="L35" s="45" t="str">
        <f t="shared" si="0"/>
        <v/>
      </c>
      <c r="M35" s="13"/>
      <c r="N35" s="12"/>
      <c r="O35" s="3"/>
      <c r="P35" s="16"/>
      <c r="Q35" s="1"/>
      <c r="R35" s="1"/>
      <c r="S35" s="54">
        <f>IF($C35="","",IFERROR(IF(ISNA(VLOOKUP($C35,Données!$C$19:'Données'!$I$48,6,0)), ,VLOOKUP($C35,Données!$C$19:'Données'!$I$48,6,0)),"/"))</f>
        <v>0</v>
      </c>
      <c r="T35" s="54">
        <f>IF($C35="","",IFERROR(IF(ISNA(VLOOKUP($C35,Données!$C$19:'Données'!$I$48,7,0)), ,VLOOKUP($C35,Données!$C$19:'Données'!$I$48,7,0)),"/"))</f>
        <v>0</v>
      </c>
      <c r="U35" s="54">
        <f>IF($C35="","",IFERROR(IF(ISNA(VLOOKUP($C35,Données!$C$19:'Données'!$I$48,5,0)), ,VLOOKUP($C35,Données!$C$19:'Données'!$I$48,5,0)),"/"))</f>
        <v>0</v>
      </c>
      <c r="V35" s="54" t="str">
        <f t="shared" si="1"/>
        <v>/</v>
      </c>
    </row>
    <row r="36" spans="1:22" ht="50.1" customHeight="1" x14ac:dyDescent="0.25">
      <c r="A36" s="1"/>
      <c r="B36" s="1"/>
      <c r="C36" s="82" t="str">
        <f>IF('Phase GPA'!$AT36="OF",'Phase GPA'!$C36,"/")</f>
        <v>/</v>
      </c>
      <c r="D36" s="41" t="str">
        <f>IF($C36="/","",IF($C36="","",IFERROR(IF(ISNA(VLOOKUP($C36,'Phase GPA'!$C$29:'Phase GPA'!$U$58,10,0)), ,VLOOKUP($C36,'Phase GPA'!$C$29:'Phase GPA'!$U$58,10,0)),0)))</f>
        <v/>
      </c>
      <c r="E36" s="42" t="str">
        <f>IF($C36="/","",IF($C36="","",IFERROR(IF(ISNA($D36/VLOOKUP($C36,Données!$C$19:'Données'!$I$48,6,0)), ,$D36/VLOOKUP($C36,Données!$C$19:'Données'!$I$48,6,0)),"/")))</f>
        <v/>
      </c>
      <c r="F36" s="42" t="str">
        <f>IF($C36="/","",IF($C36="","",IFERROR(IF(ISNA($D36/VLOOKUP($C36,Données!$C$19:'Données'!$I$48,7,0)*100), ,$D36/VLOOKUP($C36,Données!$C$19:'Données'!$I$48,7,0)*100),"/")))</f>
        <v/>
      </c>
      <c r="G36" s="41" t="str">
        <f>IF($C36="/","",IF($C36="","",IFERROR(IF(ISNA(VLOOKUP($C36,'Phase GPA'!$C$29:'Phase GPA'!$U$58,11,0)), ,VLOOKUP($C36,'Phase GPA'!$C$29:'Phase GPA'!$U$58,11,0)),0)))</f>
        <v/>
      </c>
      <c r="H36" s="44" t="str">
        <f>IF($C36="/","",IF($C36="","",IFERROR(IF(ISNA(VLOOKUP($C36,'Phase GPA'!$C$29:'Phase GPA'!$U$58,12,0)), ,VLOOKUP($C36,'Phase GPA'!$C$29:'Phase GPA'!$U$58,12,0)),0)))</f>
        <v/>
      </c>
      <c r="I36" s="44" t="str">
        <f>IF($C36="/","",IF($C36="","",IFERROR(IF(ISNA($H36/VLOOKUP($C36,Données!$C$19:'Données'!$I$48,5,0)), ,$H36/VLOOKUP($C36,Données!$C$19:'Données'!$I$48,5,0))*100,0)))</f>
        <v/>
      </c>
      <c r="J36" s="44" t="str">
        <f>IF($C36="/","",IF($C36="","",IFERROR(IF(ISNA($H36/VLOOKUP($C36,Données!$C$19:'Données'!$I$48,6,0)), ,$H36/VLOOKUP($C36,Données!$C$19:'Données'!$I$48,6,0)),"/")))</f>
        <v/>
      </c>
      <c r="K36" s="44" t="str">
        <f>IF($C36="/","",IF($C36="","",IFERROR(IF(ISNA($H36/VLOOKUP($C36,Données!$C$19:'Données'!$I$48,7,0)*100), ,$H36/VLOOKUP($C36,Données!$C$19:'Données'!$I$48,7,0)*100),"/")))</f>
        <v/>
      </c>
      <c r="L36" s="45" t="str">
        <f t="shared" si="0"/>
        <v/>
      </c>
      <c r="M36" s="13"/>
      <c r="N36" s="12"/>
      <c r="O36" s="3"/>
      <c r="P36" s="16"/>
      <c r="Q36" s="1"/>
      <c r="R36" s="1"/>
      <c r="S36" s="54">
        <f>IF($C36="","",IFERROR(IF(ISNA(VLOOKUP($C36,Données!$C$19:'Données'!$I$48,6,0)), ,VLOOKUP($C36,Données!$C$19:'Données'!$I$48,6,0)),"/"))</f>
        <v>0</v>
      </c>
      <c r="T36" s="54">
        <f>IF($C36="","",IFERROR(IF(ISNA(VLOOKUP($C36,Données!$C$19:'Données'!$I$48,7,0)), ,VLOOKUP($C36,Données!$C$19:'Données'!$I$48,7,0)),"/"))</f>
        <v>0</v>
      </c>
      <c r="U36" s="54">
        <f>IF($C36="","",IFERROR(IF(ISNA(VLOOKUP($C36,Données!$C$19:'Données'!$I$48,5,0)), ,VLOOKUP($C36,Données!$C$19:'Données'!$I$48,5,0)),"/"))</f>
        <v>0</v>
      </c>
      <c r="V36" s="54" t="str">
        <f t="shared" si="1"/>
        <v>/</v>
      </c>
    </row>
    <row r="37" spans="1:22" ht="50.1" customHeight="1" x14ac:dyDescent="0.25">
      <c r="A37" s="1"/>
      <c r="B37" s="1"/>
      <c r="C37" s="82" t="str">
        <f>IF('Phase GPA'!$AT37="OF",'Phase GPA'!$C37,"/")</f>
        <v>/</v>
      </c>
      <c r="D37" s="41" t="str">
        <f>IF($C37="/","",IF($C37="","",IFERROR(IF(ISNA(VLOOKUP($C37,'Phase GPA'!$C$29:'Phase GPA'!$U$58,10,0)), ,VLOOKUP($C37,'Phase GPA'!$C$29:'Phase GPA'!$U$58,10,0)),0)))</f>
        <v/>
      </c>
      <c r="E37" s="42" t="str">
        <f>IF($C37="/","",IF($C37="","",IFERROR(IF(ISNA($D37/VLOOKUP($C37,Données!$C$19:'Données'!$I$48,6,0)), ,$D37/VLOOKUP($C37,Données!$C$19:'Données'!$I$48,6,0)),"/")))</f>
        <v/>
      </c>
      <c r="F37" s="42" t="str">
        <f>IF($C37="/","",IF($C37="","",IFERROR(IF(ISNA($D37/VLOOKUP($C37,Données!$C$19:'Données'!$I$48,7,0)*100), ,$D37/VLOOKUP($C37,Données!$C$19:'Données'!$I$48,7,0)*100),"/")))</f>
        <v/>
      </c>
      <c r="G37" s="41" t="str">
        <f>IF($C37="/","",IF($C37="","",IFERROR(IF(ISNA(VLOOKUP($C37,'Phase GPA'!$C$29:'Phase GPA'!$U$58,11,0)), ,VLOOKUP($C37,'Phase GPA'!$C$29:'Phase GPA'!$U$58,11,0)),0)))</f>
        <v/>
      </c>
      <c r="H37" s="44" t="str">
        <f>IF($C37="/","",IF($C37="","",IFERROR(IF(ISNA(VLOOKUP($C37,'Phase GPA'!$C$29:'Phase GPA'!$U$58,12,0)), ,VLOOKUP($C37,'Phase GPA'!$C$29:'Phase GPA'!$U$58,12,0)),0)))</f>
        <v/>
      </c>
      <c r="I37" s="44" t="str">
        <f>IF($C37="/","",IF($C37="","",IFERROR(IF(ISNA($H37/VLOOKUP($C37,Données!$C$19:'Données'!$I$48,5,0)), ,$H37/VLOOKUP($C37,Données!$C$19:'Données'!$I$48,5,0))*100,0)))</f>
        <v/>
      </c>
      <c r="J37" s="44" t="str">
        <f>IF($C37="/","",IF($C37="","",IFERROR(IF(ISNA($H37/VLOOKUP($C37,Données!$C$19:'Données'!$I$48,6,0)), ,$H37/VLOOKUP($C37,Données!$C$19:'Données'!$I$48,6,0)),"/")))</f>
        <v/>
      </c>
      <c r="K37" s="44" t="str">
        <f>IF($C37="/","",IF($C37="","",IFERROR(IF(ISNA($H37/VLOOKUP($C37,Données!$C$19:'Données'!$I$48,7,0)*100), ,$H37/VLOOKUP($C37,Données!$C$19:'Données'!$I$48,7,0)*100),"/")))</f>
        <v/>
      </c>
      <c r="L37" s="45" t="str">
        <f t="shared" si="0"/>
        <v/>
      </c>
      <c r="M37" s="13"/>
      <c r="N37" s="12"/>
      <c r="O37" s="3"/>
      <c r="P37" s="16"/>
      <c r="Q37" s="1"/>
      <c r="R37" s="1"/>
      <c r="S37" s="54">
        <f>IF($C37="","",IFERROR(IF(ISNA(VLOOKUP($C37,Données!$C$19:'Données'!$I$48,6,0)), ,VLOOKUP($C37,Données!$C$19:'Données'!$I$48,6,0)),"/"))</f>
        <v>0</v>
      </c>
      <c r="T37" s="54">
        <f>IF($C37="","",IFERROR(IF(ISNA(VLOOKUP($C37,Données!$C$19:'Données'!$I$48,7,0)), ,VLOOKUP($C37,Données!$C$19:'Données'!$I$48,7,0)),"/"))</f>
        <v>0</v>
      </c>
      <c r="U37" s="54">
        <f>IF($C37="","",IFERROR(IF(ISNA(VLOOKUP($C37,Données!$C$19:'Données'!$I$48,5,0)), ,VLOOKUP($C37,Données!$C$19:'Données'!$I$48,5,0)),"/"))</f>
        <v>0</v>
      </c>
      <c r="V37" s="54" t="str">
        <f t="shared" si="1"/>
        <v>/</v>
      </c>
    </row>
    <row r="38" spans="1:22" ht="50.1" customHeight="1" x14ac:dyDescent="0.25">
      <c r="A38" s="1"/>
      <c r="B38" s="1"/>
      <c r="C38" s="82" t="str">
        <f>IF('Phase GPA'!$AT38="OF",'Phase GPA'!$C38,"/")</f>
        <v>/</v>
      </c>
      <c r="D38" s="41" t="str">
        <f>IF($C38="/","",IF($C38="","",IFERROR(IF(ISNA(VLOOKUP($C38,'Phase GPA'!$C$29:'Phase GPA'!$U$58,10,0)), ,VLOOKUP($C38,'Phase GPA'!$C$29:'Phase GPA'!$U$58,10,0)),0)))</f>
        <v/>
      </c>
      <c r="E38" s="42" t="str">
        <f>IF($C38="/","",IF($C38="","",IFERROR(IF(ISNA($D38/VLOOKUP($C38,Données!$C$19:'Données'!$I$48,6,0)), ,$D38/VLOOKUP($C38,Données!$C$19:'Données'!$I$48,6,0)),"/")))</f>
        <v/>
      </c>
      <c r="F38" s="42" t="str">
        <f>IF($C38="/","",IF($C38="","",IFERROR(IF(ISNA($D38/VLOOKUP($C38,Données!$C$19:'Données'!$I$48,7,0)*100), ,$D38/VLOOKUP($C38,Données!$C$19:'Données'!$I$48,7,0)*100),"/")))</f>
        <v/>
      </c>
      <c r="G38" s="41" t="str">
        <f>IF($C38="/","",IF($C38="","",IFERROR(IF(ISNA(VLOOKUP($C38,'Phase GPA'!$C$29:'Phase GPA'!$U$58,11,0)), ,VLOOKUP($C38,'Phase GPA'!$C$29:'Phase GPA'!$U$58,11,0)),0)))</f>
        <v/>
      </c>
      <c r="H38" s="44" t="str">
        <f>IF($C38="/","",IF($C38="","",IFERROR(IF(ISNA(VLOOKUP($C38,'Phase GPA'!$C$29:'Phase GPA'!$U$58,12,0)), ,VLOOKUP($C38,'Phase GPA'!$C$29:'Phase GPA'!$U$58,12,0)),0)))</f>
        <v/>
      </c>
      <c r="I38" s="44" t="str">
        <f>IF($C38="/","",IF($C38="","",IFERROR(IF(ISNA($H38/VLOOKUP($C38,Données!$C$19:'Données'!$I$48,5,0)), ,$H38/VLOOKUP($C38,Données!$C$19:'Données'!$I$48,5,0))*100,0)))</f>
        <v/>
      </c>
      <c r="J38" s="44" t="str">
        <f>IF($C38="/","",IF($C38="","",IFERROR(IF(ISNA($H38/VLOOKUP($C38,Données!$C$19:'Données'!$I$48,6,0)), ,$H38/VLOOKUP($C38,Données!$C$19:'Données'!$I$48,6,0)),"/")))</f>
        <v/>
      </c>
      <c r="K38" s="44" t="str">
        <f>IF($C38="/","",IF($C38="","",IFERROR(IF(ISNA($H38/VLOOKUP($C38,Données!$C$19:'Données'!$I$48,7,0)*100), ,$H38/VLOOKUP($C38,Données!$C$19:'Données'!$I$48,7,0)*100),"/")))</f>
        <v/>
      </c>
      <c r="L38" s="45" t="str">
        <f t="shared" si="0"/>
        <v/>
      </c>
      <c r="M38" s="13"/>
      <c r="N38" s="12"/>
      <c r="O38" s="3"/>
      <c r="P38" s="16"/>
      <c r="Q38" s="1"/>
      <c r="R38" s="1"/>
      <c r="S38" s="54">
        <f>IF($C38="","",IFERROR(IF(ISNA(VLOOKUP($C38,Données!$C$19:'Données'!$I$48,6,0)), ,VLOOKUP($C38,Données!$C$19:'Données'!$I$48,6,0)),"/"))</f>
        <v>0</v>
      </c>
      <c r="T38" s="54">
        <f>IF($C38="","",IFERROR(IF(ISNA(VLOOKUP($C38,Données!$C$19:'Données'!$I$48,7,0)), ,VLOOKUP($C38,Données!$C$19:'Données'!$I$48,7,0)),"/"))</f>
        <v>0</v>
      </c>
      <c r="U38" s="54">
        <f>IF($C38="","",IFERROR(IF(ISNA(VLOOKUP($C38,Données!$C$19:'Données'!$I$48,5,0)), ,VLOOKUP($C38,Données!$C$19:'Données'!$I$48,5,0)),"/"))</f>
        <v>0</v>
      </c>
      <c r="V38" s="54" t="str">
        <f t="shared" si="1"/>
        <v>/</v>
      </c>
    </row>
    <row r="39" spans="1:22" ht="50.1" customHeight="1" x14ac:dyDescent="0.25">
      <c r="A39" s="1"/>
      <c r="B39" s="1"/>
      <c r="C39" s="82" t="str">
        <f>IF('Phase GPA'!$AT39="OF",'Phase GPA'!$C39,"/")</f>
        <v>/</v>
      </c>
      <c r="D39" s="41" t="str">
        <f>IF($C39="/","",IF($C39="","",IFERROR(IF(ISNA(VLOOKUP($C39,'Phase GPA'!$C$29:'Phase GPA'!$U$58,10,0)), ,VLOOKUP($C39,'Phase GPA'!$C$29:'Phase GPA'!$U$58,10,0)),0)))</f>
        <v/>
      </c>
      <c r="E39" s="42" t="str">
        <f>IF($C39="/","",IF($C39="","",IFERROR(IF(ISNA($D39/VLOOKUP($C39,Données!$C$19:'Données'!$I$48,6,0)), ,$D39/VLOOKUP($C39,Données!$C$19:'Données'!$I$48,6,0)),"/")))</f>
        <v/>
      </c>
      <c r="F39" s="42" t="str">
        <f>IF($C39="/","",IF($C39="","",IFERROR(IF(ISNA($D39/VLOOKUP($C39,Données!$C$19:'Données'!$I$48,7,0)*100), ,$D39/VLOOKUP($C39,Données!$C$19:'Données'!$I$48,7,0)*100),"/")))</f>
        <v/>
      </c>
      <c r="G39" s="41" t="str">
        <f>IF($C39="/","",IF($C39="","",IFERROR(IF(ISNA(VLOOKUP($C39,'Phase GPA'!$C$29:'Phase GPA'!$U$58,11,0)), ,VLOOKUP($C39,'Phase GPA'!$C$29:'Phase GPA'!$U$58,11,0)),0)))</f>
        <v/>
      </c>
      <c r="H39" s="44" t="str">
        <f>IF($C39="/","",IF($C39="","",IFERROR(IF(ISNA(VLOOKUP($C39,'Phase GPA'!$C$29:'Phase GPA'!$U$58,12,0)), ,VLOOKUP($C39,'Phase GPA'!$C$29:'Phase GPA'!$U$58,12,0)),0)))</f>
        <v/>
      </c>
      <c r="I39" s="44" t="str">
        <f>IF($C39="/","",IF($C39="","",IFERROR(IF(ISNA($H39/VLOOKUP($C39,Données!$C$19:'Données'!$I$48,5,0)), ,$H39/VLOOKUP($C39,Données!$C$19:'Données'!$I$48,5,0))*100,0)))</f>
        <v/>
      </c>
      <c r="J39" s="44" t="str">
        <f>IF($C39="/","",IF($C39="","",IFERROR(IF(ISNA($H39/VLOOKUP($C39,Données!$C$19:'Données'!$I$48,6,0)), ,$H39/VLOOKUP($C39,Données!$C$19:'Données'!$I$48,6,0)),"/")))</f>
        <v/>
      </c>
      <c r="K39" s="44" t="str">
        <f>IF($C39="/","",IF($C39="","",IFERROR(IF(ISNA($H39/VLOOKUP($C39,Données!$C$19:'Données'!$I$48,7,0)*100), ,$H39/VLOOKUP($C39,Données!$C$19:'Données'!$I$48,7,0)*100),"/")))</f>
        <v/>
      </c>
      <c r="L39" s="45" t="str">
        <f t="shared" si="0"/>
        <v/>
      </c>
      <c r="M39" s="13"/>
      <c r="N39" s="12"/>
      <c r="O39" s="3"/>
      <c r="P39" s="16"/>
      <c r="Q39" s="1"/>
      <c r="R39" s="1"/>
      <c r="S39" s="54">
        <f>IF($C39="","",IFERROR(IF(ISNA(VLOOKUP($C39,Données!$C$19:'Données'!$I$48,6,0)), ,VLOOKUP($C39,Données!$C$19:'Données'!$I$48,6,0)),"/"))</f>
        <v>0</v>
      </c>
      <c r="T39" s="54">
        <f>IF($C39="","",IFERROR(IF(ISNA(VLOOKUP($C39,Données!$C$19:'Données'!$I$48,7,0)), ,VLOOKUP($C39,Données!$C$19:'Données'!$I$48,7,0)),"/"))</f>
        <v>0</v>
      </c>
      <c r="U39" s="54">
        <f>IF($C39="","",IFERROR(IF(ISNA(VLOOKUP($C39,Données!$C$19:'Données'!$I$48,5,0)), ,VLOOKUP($C39,Données!$C$19:'Données'!$I$48,5,0)),"/"))</f>
        <v>0</v>
      </c>
      <c r="V39" s="54" t="str">
        <f t="shared" si="1"/>
        <v>/</v>
      </c>
    </row>
    <row r="40" spans="1:22" ht="50.1" customHeight="1" x14ac:dyDescent="0.25">
      <c r="A40" s="1"/>
      <c r="B40" s="1"/>
      <c r="C40" s="82" t="str">
        <f>IF('Phase GPA'!$AT40="OF",'Phase GPA'!$C40,"/")</f>
        <v>/</v>
      </c>
      <c r="D40" s="41" t="str">
        <f>IF($C40="/","",IF($C40="","",IFERROR(IF(ISNA(VLOOKUP($C40,'Phase GPA'!$C$29:'Phase GPA'!$U$58,10,0)), ,VLOOKUP($C40,'Phase GPA'!$C$29:'Phase GPA'!$U$58,10,0)),0)))</f>
        <v/>
      </c>
      <c r="E40" s="42" t="str">
        <f>IF($C40="/","",IF($C40="","",IFERROR(IF(ISNA($D40/VLOOKUP($C40,Données!$C$19:'Données'!$I$48,6,0)), ,$D40/VLOOKUP($C40,Données!$C$19:'Données'!$I$48,6,0)),"/")))</f>
        <v/>
      </c>
      <c r="F40" s="42" t="str">
        <f>IF($C40="/","",IF($C40="","",IFERROR(IF(ISNA($D40/VLOOKUP($C40,Données!$C$19:'Données'!$I$48,7,0)*100), ,$D40/VLOOKUP($C40,Données!$C$19:'Données'!$I$48,7,0)*100),"/")))</f>
        <v/>
      </c>
      <c r="G40" s="41" t="str">
        <f>IF($C40="/","",IF($C40="","",IFERROR(IF(ISNA(VLOOKUP($C40,'Phase GPA'!$C$29:'Phase GPA'!$U$58,11,0)), ,VLOOKUP($C40,'Phase GPA'!$C$29:'Phase GPA'!$U$58,11,0)),0)))</f>
        <v/>
      </c>
      <c r="H40" s="44" t="str">
        <f>IF($C40="/","",IF($C40="","",IFERROR(IF(ISNA(VLOOKUP($C40,'Phase GPA'!$C$29:'Phase GPA'!$U$58,12,0)), ,VLOOKUP($C40,'Phase GPA'!$C$29:'Phase GPA'!$U$58,12,0)),0)))</f>
        <v/>
      </c>
      <c r="I40" s="44" t="str">
        <f>IF($C40="/","",IF($C40="","",IFERROR(IF(ISNA($H40/VLOOKUP($C40,Données!$C$19:'Données'!$I$48,5,0)), ,$H40/VLOOKUP($C40,Données!$C$19:'Données'!$I$48,5,0))*100,0)))</f>
        <v/>
      </c>
      <c r="J40" s="44" t="str">
        <f>IF($C40="/","",IF($C40="","",IFERROR(IF(ISNA($H40/VLOOKUP($C40,Données!$C$19:'Données'!$I$48,6,0)), ,$H40/VLOOKUP($C40,Données!$C$19:'Données'!$I$48,6,0)),"/")))</f>
        <v/>
      </c>
      <c r="K40" s="44" t="str">
        <f>IF($C40="/","",IF($C40="","",IFERROR(IF(ISNA($H40/VLOOKUP($C40,Données!$C$19:'Données'!$I$48,7,0)*100), ,$H40/VLOOKUP($C40,Données!$C$19:'Données'!$I$48,7,0)*100),"/")))</f>
        <v/>
      </c>
      <c r="L40" s="45" t="str">
        <f t="shared" si="0"/>
        <v/>
      </c>
      <c r="M40" s="13"/>
      <c r="N40" s="12"/>
      <c r="O40" s="3"/>
      <c r="P40" s="16"/>
      <c r="Q40" s="1"/>
      <c r="R40" s="1"/>
      <c r="S40" s="54">
        <f>IF($C40="","",IFERROR(IF(ISNA(VLOOKUP($C40,Données!$C$19:'Données'!$I$48,6,0)), ,VLOOKUP($C40,Données!$C$19:'Données'!$I$48,6,0)),"/"))</f>
        <v>0</v>
      </c>
      <c r="T40" s="54">
        <f>IF($C40="","",IFERROR(IF(ISNA(VLOOKUP($C40,Données!$C$19:'Données'!$I$48,7,0)), ,VLOOKUP($C40,Données!$C$19:'Données'!$I$48,7,0)),"/"))</f>
        <v>0</v>
      </c>
      <c r="U40" s="54">
        <f>IF($C40="","",IFERROR(IF(ISNA(VLOOKUP($C40,Données!$C$19:'Données'!$I$48,5,0)), ,VLOOKUP($C40,Données!$C$19:'Données'!$I$48,5,0)),"/"))</f>
        <v>0</v>
      </c>
      <c r="V40" s="54" t="str">
        <f t="shared" si="1"/>
        <v>/</v>
      </c>
    </row>
    <row r="41" spans="1:22" ht="50.1" customHeight="1" x14ac:dyDescent="0.25">
      <c r="A41" s="1"/>
      <c r="B41" s="1"/>
      <c r="C41" s="82" t="str">
        <f>IF('Phase GPA'!$AT41="OF",'Phase GPA'!$C41,"/")</f>
        <v>/</v>
      </c>
      <c r="D41" s="41" t="str">
        <f>IF($C41="/","",IF($C41="","",IFERROR(IF(ISNA(VLOOKUP($C41,'Phase GPA'!$C$29:'Phase GPA'!$U$58,10,0)), ,VLOOKUP($C41,'Phase GPA'!$C$29:'Phase GPA'!$U$58,10,0)),0)))</f>
        <v/>
      </c>
      <c r="E41" s="42" t="str">
        <f>IF($C41="/","",IF($C41="","",IFERROR(IF(ISNA($D41/VLOOKUP($C41,Données!$C$19:'Données'!$I$48,6,0)), ,$D41/VLOOKUP($C41,Données!$C$19:'Données'!$I$48,6,0)),"/")))</f>
        <v/>
      </c>
      <c r="F41" s="42" t="str">
        <f>IF($C41="/","",IF($C41="","",IFERROR(IF(ISNA($D41/VLOOKUP($C41,Données!$C$19:'Données'!$I$48,7,0)*100), ,$D41/VLOOKUP($C41,Données!$C$19:'Données'!$I$48,7,0)*100),"/")))</f>
        <v/>
      </c>
      <c r="G41" s="41" t="str">
        <f>IF($C41="/","",IF($C41="","",IFERROR(IF(ISNA(VLOOKUP($C41,'Phase GPA'!$C$29:'Phase GPA'!$U$58,11,0)), ,VLOOKUP($C41,'Phase GPA'!$C$29:'Phase GPA'!$U$58,11,0)),0)))</f>
        <v/>
      </c>
      <c r="H41" s="44" t="str">
        <f>IF($C41="/","",IF($C41="","",IFERROR(IF(ISNA(VLOOKUP($C41,'Phase GPA'!$C$29:'Phase GPA'!$U$58,12,0)), ,VLOOKUP($C41,'Phase GPA'!$C$29:'Phase GPA'!$U$58,12,0)),0)))</f>
        <v/>
      </c>
      <c r="I41" s="44" t="str">
        <f>IF($C41="/","",IF($C41="","",IFERROR(IF(ISNA($H41/VLOOKUP($C41,Données!$C$19:'Données'!$I$48,5,0)), ,$H41/VLOOKUP($C41,Données!$C$19:'Données'!$I$48,5,0))*100,0)))</f>
        <v/>
      </c>
      <c r="J41" s="44" t="str">
        <f>IF($C41="/","",IF($C41="","",IFERROR(IF(ISNA($H41/VLOOKUP($C41,Données!$C$19:'Données'!$I$48,6,0)), ,$H41/VLOOKUP($C41,Données!$C$19:'Données'!$I$48,6,0)),"/")))</f>
        <v/>
      </c>
      <c r="K41" s="44" t="str">
        <f>IF($C41="/","",IF($C41="","",IFERROR(IF(ISNA($H41/VLOOKUP($C41,Données!$C$19:'Données'!$I$48,7,0)*100), ,$H41/VLOOKUP($C41,Données!$C$19:'Données'!$I$48,7,0)*100),"/")))</f>
        <v/>
      </c>
      <c r="L41" s="45" t="str">
        <f t="shared" si="0"/>
        <v/>
      </c>
      <c r="M41" s="13"/>
      <c r="N41" s="12"/>
      <c r="O41" s="3"/>
      <c r="P41" s="16"/>
      <c r="Q41" s="1"/>
      <c r="R41" s="1"/>
      <c r="S41" s="54">
        <f>IF($C41="","",IFERROR(IF(ISNA(VLOOKUP($C41,Données!$C$19:'Données'!$I$48,6,0)), ,VLOOKUP($C41,Données!$C$19:'Données'!$I$48,6,0)),"/"))</f>
        <v>0</v>
      </c>
      <c r="T41" s="54">
        <f>IF($C41="","",IFERROR(IF(ISNA(VLOOKUP($C41,Données!$C$19:'Données'!$I$48,7,0)), ,VLOOKUP($C41,Données!$C$19:'Données'!$I$48,7,0)),"/"))</f>
        <v>0</v>
      </c>
      <c r="U41" s="54">
        <f>IF($C41="","",IFERROR(IF(ISNA(VLOOKUP($C41,Données!$C$19:'Données'!$I$48,5,0)), ,VLOOKUP($C41,Données!$C$19:'Données'!$I$48,5,0)),"/"))</f>
        <v>0</v>
      </c>
      <c r="V41" s="54" t="str">
        <f t="shared" si="1"/>
        <v>/</v>
      </c>
    </row>
    <row r="42" spans="1:22" ht="50.1" customHeight="1" x14ac:dyDescent="0.25">
      <c r="A42" s="1"/>
      <c r="B42" s="1"/>
      <c r="C42" s="82" t="str">
        <f>IF('Phase GPA'!$AT42="OF",'Phase GPA'!$C42,"/")</f>
        <v>/</v>
      </c>
      <c r="D42" s="41" t="str">
        <f>IF($C42="/","",IF($C42="","",IFERROR(IF(ISNA(VLOOKUP($C42,'Phase GPA'!$C$29:'Phase GPA'!$U$58,10,0)), ,VLOOKUP($C42,'Phase GPA'!$C$29:'Phase GPA'!$U$58,10,0)),0)))</f>
        <v/>
      </c>
      <c r="E42" s="42" t="str">
        <f>IF($C42="/","",IF($C42="","",IFERROR(IF(ISNA($D42/VLOOKUP($C42,Données!$C$19:'Données'!$I$48,6,0)), ,$D42/VLOOKUP($C42,Données!$C$19:'Données'!$I$48,6,0)),"/")))</f>
        <v/>
      </c>
      <c r="F42" s="42" t="str">
        <f>IF($C42="/","",IF($C42="","",IFERROR(IF(ISNA($D42/VLOOKUP($C42,Données!$C$19:'Données'!$I$48,7,0)*100), ,$D42/VLOOKUP($C42,Données!$C$19:'Données'!$I$48,7,0)*100),"/")))</f>
        <v/>
      </c>
      <c r="G42" s="41" t="str">
        <f>IF($C42="/","",IF($C42="","",IFERROR(IF(ISNA(VLOOKUP($C42,'Phase GPA'!$C$29:'Phase GPA'!$U$58,11,0)), ,VLOOKUP($C42,'Phase GPA'!$C$29:'Phase GPA'!$U$58,11,0)),0)))</f>
        <v/>
      </c>
      <c r="H42" s="44" t="str">
        <f>IF($C42="/","",IF($C42="","",IFERROR(IF(ISNA(VLOOKUP($C42,'Phase GPA'!$C$29:'Phase GPA'!$U$58,12,0)), ,VLOOKUP($C42,'Phase GPA'!$C$29:'Phase GPA'!$U$58,12,0)),0)))</f>
        <v/>
      </c>
      <c r="I42" s="44" t="str">
        <f>IF($C42="/","",IF($C42="","",IFERROR(IF(ISNA($H42/VLOOKUP($C42,Données!$C$19:'Données'!$I$48,5,0)), ,$H42/VLOOKUP($C42,Données!$C$19:'Données'!$I$48,5,0))*100,0)))</f>
        <v/>
      </c>
      <c r="J42" s="44" t="str">
        <f>IF($C42="/","",IF($C42="","",IFERROR(IF(ISNA($H42/VLOOKUP($C42,Données!$C$19:'Données'!$I$48,6,0)), ,$H42/VLOOKUP($C42,Données!$C$19:'Données'!$I$48,6,0)),"/")))</f>
        <v/>
      </c>
      <c r="K42" s="44" t="str">
        <f>IF($C42="/","",IF($C42="","",IFERROR(IF(ISNA($H42/VLOOKUP($C42,Données!$C$19:'Données'!$I$48,7,0)*100), ,$H42/VLOOKUP($C42,Données!$C$19:'Données'!$I$48,7,0)*100),"/")))</f>
        <v/>
      </c>
      <c r="L42" s="45" t="str">
        <f t="shared" si="0"/>
        <v/>
      </c>
      <c r="M42" s="13"/>
      <c r="N42" s="12"/>
      <c r="O42" s="3"/>
      <c r="P42" s="16"/>
      <c r="Q42" s="1"/>
      <c r="R42" s="1"/>
      <c r="S42" s="54">
        <f>IF($C42="","",IFERROR(IF(ISNA(VLOOKUP($C42,Données!$C$19:'Données'!$I$48,6,0)), ,VLOOKUP($C42,Données!$C$19:'Données'!$I$48,6,0)),"/"))</f>
        <v>0</v>
      </c>
      <c r="T42" s="54">
        <f>IF($C42="","",IFERROR(IF(ISNA(VLOOKUP($C42,Données!$C$19:'Données'!$I$48,7,0)), ,VLOOKUP($C42,Données!$C$19:'Données'!$I$48,7,0)),"/"))</f>
        <v>0</v>
      </c>
      <c r="U42" s="54">
        <f>IF($C42="","",IFERROR(IF(ISNA(VLOOKUP($C42,Données!$C$19:'Données'!$I$48,5,0)), ,VLOOKUP($C42,Données!$C$19:'Données'!$I$48,5,0)),"/"))</f>
        <v>0</v>
      </c>
      <c r="V42" s="54" t="str">
        <f t="shared" si="1"/>
        <v>/</v>
      </c>
    </row>
    <row r="43" spans="1:22" ht="50.1" customHeight="1" x14ac:dyDescent="0.25">
      <c r="A43" s="1"/>
      <c r="B43" s="1"/>
      <c r="C43" s="82" t="str">
        <f>IF('Phase GPA'!$AT43="OF",'Phase GPA'!$C43,"/")</f>
        <v>/</v>
      </c>
      <c r="D43" s="41" t="str">
        <f>IF($C43="/","",IF($C43="","",IFERROR(IF(ISNA(VLOOKUP($C43,'Phase GPA'!$C$29:'Phase GPA'!$U$58,10,0)), ,VLOOKUP($C43,'Phase GPA'!$C$29:'Phase GPA'!$U$58,10,0)),0)))</f>
        <v/>
      </c>
      <c r="E43" s="42" t="str">
        <f>IF($C43="/","",IF($C43="","",IFERROR(IF(ISNA($D43/VLOOKUP($C43,Données!$C$19:'Données'!$I$48,6,0)), ,$D43/VLOOKUP($C43,Données!$C$19:'Données'!$I$48,6,0)),"/")))</f>
        <v/>
      </c>
      <c r="F43" s="42" t="str">
        <f>IF($C43="/","",IF($C43="","",IFERROR(IF(ISNA($D43/VLOOKUP($C43,Données!$C$19:'Données'!$I$48,7,0)*100), ,$D43/VLOOKUP($C43,Données!$C$19:'Données'!$I$48,7,0)*100),"/")))</f>
        <v/>
      </c>
      <c r="G43" s="41" t="str">
        <f>IF($C43="/","",IF($C43="","",IFERROR(IF(ISNA(VLOOKUP($C43,'Phase GPA'!$C$29:'Phase GPA'!$U$58,11,0)), ,VLOOKUP($C43,'Phase GPA'!$C$29:'Phase GPA'!$U$58,11,0)),0)))</f>
        <v/>
      </c>
      <c r="H43" s="44" t="str">
        <f>IF($C43="/","",IF($C43="","",IFERROR(IF(ISNA(VLOOKUP($C43,'Phase GPA'!$C$29:'Phase GPA'!$U$58,12,0)), ,VLOOKUP($C43,'Phase GPA'!$C$29:'Phase GPA'!$U$58,12,0)),0)))</f>
        <v/>
      </c>
      <c r="I43" s="44" t="str">
        <f>IF($C43="/","",IF($C43="","",IFERROR(IF(ISNA($H43/VLOOKUP($C43,Données!$C$19:'Données'!$I$48,5,0)), ,$H43/VLOOKUP($C43,Données!$C$19:'Données'!$I$48,5,0))*100,0)))</f>
        <v/>
      </c>
      <c r="J43" s="44" t="str">
        <f>IF($C43="/","",IF($C43="","",IFERROR(IF(ISNA($H43/VLOOKUP($C43,Données!$C$19:'Données'!$I$48,6,0)), ,$H43/VLOOKUP($C43,Données!$C$19:'Données'!$I$48,6,0)),"/")))</f>
        <v/>
      </c>
      <c r="K43" s="44" t="str">
        <f>IF($C43="/","",IF($C43="","",IFERROR(IF(ISNA($H43/VLOOKUP($C43,Données!$C$19:'Données'!$I$48,7,0)*100), ,$H43/VLOOKUP($C43,Données!$C$19:'Données'!$I$48,7,0)*100),"/")))</f>
        <v/>
      </c>
      <c r="L43" s="45" t="str">
        <f t="shared" si="0"/>
        <v/>
      </c>
      <c r="M43" s="13"/>
      <c r="N43" s="12"/>
      <c r="O43" s="3"/>
      <c r="P43" s="16"/>
      <c r="Q43" s="1"/>
      <c r="R43" s="1"/>
      <c r="S43" s="54">
        <f>IF($C43="","",IFERROR(IF(ISNA(VLOOKUP($C43,Données!$C$19:'Données'!$I$48,6,0)), ,VLOOKUP($C43,Données!$C$19:'Données'!$I$48,6,0)),"/"))</f>
        <v>0</v>
      </c>
      <c r="T43" s="54">
        <f>IF($C43="","",IFERROR(IF(ISNA(VLOOKUP($C43,Données!$C$19:'Données'!$I$48,7,0)), ,VLOOKUP($C43,Données!$C$19:'Données'!$I$48,7,0)),"/"))</f>
        <v>0</v>
      </c>
      <c r="U43" s="54">
        <f>IF($C43="","",IFERROR(IF(ISNA(VLOOKUP($C43,Données!$C$19:'Données'!$I$48,5,0)), ,VLOOKUP($C43,Données!$C$19:'Données'!$I$48,5,0)),"/"))</f>
        <v>0</v>
      </c>
      <c r="V43" s="54" t="str">
        <f t="shared" si="1"/>
        <v>/</v>
      </c>
    </row>
    <row r="44" spans="1:22" ht="50.1" customHeight="1" x14ac:dyDescent="0.25">
      <c r="A44" s="1"/>
      <c r="B44" s="1"/>
      <c r="C44" s="82" t="str">
        <f>IF('Phase GPA'!$AT44="OF",'Phase GPA'!$C44,"/")</f>
        <v>/</v>
      </c>
      <c r="D44" s="41" t="str">
        <f>IF($C44="/","",IF($C44="","",IFERROR(IF(ISNA(VLOOKUP($C44,'Phase GPA'!$C$29:'Phase GPA'!$U$58,10,0)), ,VLOOKUP($C44,'Phase GPA'!$C$29:'Phase GPA'!$U$58,10,0)),0)))</f>
        <v/>
      </c>
      <c r="E44" s="42" t="str">
        <f>IF($C44="/","",IF($C44="","",IFERROR(IF(ISNA($D44/VLOOKUP($C44,Données!$C$19:'Données'!$I$48,6,0)), ,$D44/VLOOKUP($C44,Données!$C$19:'Données'!$I$48,6,0)),"/")))</f>
        <v/>
      </c>
      <c r="F44" s="42" t="str">
        <f>IF($C44="/","",IF($C44="","",IFERROR(IF(ISNA($D44/VLOOKUP($C44,Données!$C$19:'Données'!$I$48,7,0)*100), ,$D44/VLOOKUP($C44,Données!$C$19:'Données'!$I$48,7,0)*100),"/")))</f>
        <v/>
      </c>
      <c r="G44" s="41" t="str">
        <f>IF($C44="/","",IF($C44="","",IFERROR(IF(ISNA(VLOOKUP($C44,'Phase GPA'!$C$29:'Phase GPA'!$U$58,11,0)), ,VLOOKUP($C44,'Phase GPA'!$C$29:'Phase GPA'!$U$58,11,0)),0)))</f>
        <v/>
      </c>
      <c r="H44" s="44" t="str">
        <f>IF($C44="/","",IF($C44="","",IFERROR(IF(ISNA(VLOOKUP($C44,'Phase GPA'!$C$29:'Phase GPA'!$U$58,12,0)), ,VLOOKUP($C44,'Phase GPA'!$C$29:'Phase GPA'!$U$58,12,0)),0)))</f>
        <v/>
      </c>
      <c r="I44" s="44" t="str">
        <f>IF($C44="/","",IF($C44="","",IFERROR(IF(ISNA($H44/VLOOKUP($C44,Données!$C$19:'Données'!$I$48,5,0)), ,$H44/VLOOKUP($C44,Données!$C$19:'Données'!$I$48,5,0))*100,0)))</f>
        <v/>
      </c>
      <c r="J44" s="44" t="str">
        <f>IF($C44="/","",IF($C44="","",IFERROR(IF(ISNA($H44/VLOOKUP($C44,Données!$C$19:'Données'!$I$48,6,0)), ,$H44/VLOOKUP($C44,Données!$C$19:'Données'!$I$48,6,0)),"/")))</f>
        <v/>
      </c>
      <c r="K44" s="44" t="str">
        <f>IF($C44="/","",IF($C44="","",IFERROR(IF(ISNA($H44/VLOOKUP($C44,Données!$C$19:'Données'!$I$48,7,0)*100), ,$H44/VLOOKUP($C44,Données!$C$19:'Données'!$I$48,7,0)*100),"/")))</f>
        <v/>
      </c>
      <c r="L44" s="45" t="str">
        <f t="shared" si="0"/>
        <v/>
      </c>
      <c r="M44" s="13"/>
      <c r="N44" s="12"/>
      <c r="O44" s="3"/>
      <c r="P44" s="16"/>
      <c r="Q44" s="1"/>
      <c r="R44" s="1"/>
      <c r="S44" s="54">
        <f>IF($C44="","",IFERROR(IF(ISNA(VLOOKUP($C44,Données!$C$19:'Données'!$I$48,6,0)), ,VLOOKUP($C44,Données!$C$19:'Données'!$I$48,6,0)),"/"))</f>
        <v>0</v>
      </c>
      <c r="T44" s="54">
        <f>IF($C44="","",IFERROR(IF(ISNA(VLOOKUP($C44,Données!$C$19:'Données'!$I$48,7,0)), ,VLOOKUP($C44,Données!$C$19:'Données'!$I$48,7,0)),"/"))</f>
        <v>0</v>
      </c>
      <c r="U44" s="54">
        <f>IF($C44="","",IFERROR(IF(ISNA(VLOOKUP($C44,Données!$C$19:'Données'!$I$48,5,0)), ,VLOOKUP($C44,Données!$C$19:'Données'!$I$48,5,0)),"/"))</f>
        <v>0</v>
      </c>
      <c r="V44" s="54" t="str">
        <f t="shared" si="1"/>
        <v>/</v>
      </c>
    </row>
    <row r="45" spans="1:22" ht="50.1" customHeight="1" x14ac:dyDescent="0.25">
      <c r="A45" s="1"/>
      <c r="B45" s="1"/>
      <c r="C45" s="82" t="str">
        <f>IF('Phase GPA'!$AT45="OF",'Phase GPA'!$C45,"/")</f>
        <v>/</v>
      </c>
      <c r="D45" s="41" t="str">
        <f>IF($C45="/","",IF($C45="","",IFERROR(IF(ISNA(VLOOKUP($C45,'Phase GPA'!$C$29:'Phase GPA'!$U$58,10,0)), ,VLOOKUP($C45,'Phase GPA'!$C$29:'Phase GPA'!$U$58,10,0)),0)))</f>
        <v/>
      </c>
      <c r="E45" s="42" t="str">
        <f>IF($C45="/","",IF($C45="","",IFERROR(IF(ISNA($D45/VLOOKUP($C45,Données!$C$19:'Données'!$I$48,6,0)), ,$D45/VLOOKUP($C45,Données!$C$19:'Données'!$I$48,6,0)),"/")))</f>
        <v/>
      </c>
      <c r="F45" s="42" t="str">
        <f>IF($C45="/","",IF($C45="","",IFERROR(IF(ISNA($D45/VLOOKUP($C45,Données!$C$19:'Données'!$I$48,7,0)*100), ,$D45/VLOOKUP($C45,Données!$C$19:'Données'!$I$48,7,0)*100),"/")))</f>
        <v/>
      </c>
      <c r="G45" s="41" t="str">
        <f>IF($C45="/","",IF($C45="","",IFERROR(IF(ISNA(VLOOKUP($C45,'Phase GPA'!$C$29:'Phase GPA'!$U$58,11,0)), ,VLOOKUP($C45,'Phase GPA'!$C$29:'Phase GPA'!$U$58,11,0)),0)))</f>
        <v/>
      </c>
      <c r="H45" s="44" t="str">
        <f>IF($C45="/","",IF($C45="","",IFERROR(IF(ISNA(VLOOKUP($C45,'Phase GPA'!$C$29:'Phase GPA'!$U$58,12,0)), ,VLOOKUP($C45,'Phase GPA'!$C$29:'Phase GPA'!$U$58,12,0)),0)))</f>
        <v/>
      </c>
      <c r="I45" s="44" t="str">
        <f>IF($C45="/","",IF($C45="","",IFERROR(IF(ISNA($H45/VLOOKUP($C45,Données!$C$19:'Données'!$I$48,5,0)), ,$H45/VLOOKUP($C45,Données!$C$19:'Données'!$I$48,5,0))*100,0)))</f>
        <v/>
      </c>
      <c r="J45" s="44" t="str">
        <f>IF($C45="/","",IF($C45="","",IFERROR(IF(ISNA($H45/VLOOKUP($C45,Données!$C$19:'Données'!$I$48,6,0)), ,$H45/VLOOKUP($C45,Données!$C$19:'Données'!$I$48,6,0)),"/")))</f>
        <v/>
      </c>
      <c r="K45" s="44" t="str">
        <f>IF($C45="/","",IF($C45="","",IFERROR(IF(ISNA($H45/VLOOKUP($C45,Données!$C$19:'Données'!$I$48,7,0)*100), ,$H45/VLOOKUP($C45,Données!$C$19:'Données'!$I$48,7,0)*100),"/")))</f>
        <v/>
      </c>
      <c r="L45" s="45" t="str">
        <f t="shared" si="0"/>
        <v/>
      </c>
      <c r="M45" s="13"/>
      <c r="N45" s="12"/>
      <c r="O45" s="3"/>
      <c r="P45" s="16"/>
      <c r="Q45" s="1"/>
      <c r="R45" s="1"/>
      <c r="S45" s="54">
        <f>IF($C45="","",IFERROR(IF(ISNA(VLOOKUP($C45,Données!$C$19:'Données'!$I$48,6,0)), ,VLOOKUP($C45,Données!$C$19:'Données'!$I$48,6,0)),"/"))</f>
        <v>0</v>
      </c>
      <c r="T45" s="54">
        <f>IF($C45="","",IFERROR(IF(ISNA(VLOOKUP($C45,Données!$C$19:'Données'!$I$48,7,0)), ,VLOOKUP($C45,Données!$C$19:'Données'!$I$48,7,0)),"/"))</f>
        <v>0</v>
      </c>
      <c r="U45" s="54">
        <f>IF($C45="","",IFERROR(IF(ISNA(VLOOKUP($C45,Données!$C$19:'Données'!$I$48,5,0)), ,VLOOKUP($C45,Données!$C$19:'Données'!$I$48,5,0)),"/"))</f>
        <v>0</v>
      </c>
      <c r="V45" s="54" t="str">
        <f t="shared" si="1"/>
        <v>/</v>
      </c>
    </row>
    <row r="46" spans="1:22" ht="50.1" customHeight="1" x14ac:dyDescent="0.25">
      <c r="A46" s="1"/>
      <c r="B46" s="1"/>
      <c r="C46" s="82" t="str">
        <f>IF('Phase GPA'!$AT46="OF",'Phase GPA'!$C46,"/")</f>
        <v>/</v>
      </c>
      <c r="D46" s="41" t="str">
        <f>IF($C46="/","",IF($C46="","",IFERROR(IF(ISNA(VLOOKUP($C46,'Phase GPA'!$C$29:'Phase GPA'!$U$58,10,0)), ,VLOOKUP($C46,'Phase GPA'!$C$29:'Phase GPA'!$U$58,10,0)),0)))</f>
        <v/>
      </c>
      <c r="E46" s="42" t="str">
        <f>IF($C46="/","",IF($C46="","",IFERROR(IF(ISNA($D46/VLOOKUP($C46,Données!$C$19:'Données'!$I$48,6,0)), ,$D46/VLOOKUP($C46,Données!$C$19:'Données'!$I$48,6,0)),"/")))</f>
        <v/>
      </c>
      <c r="F46" s="42" t="str">
        <f>IF($C46="/","",IF($C46="","",IFERROR(IF(ISNA($D46/VLOOKUP($C46,Données!$C$19:'Données'!$I$48,7,0)*100), ,$D46/VLOOKUP($C46,Données!$C$19:'Données'!$I$48,7,0)*100),"/")))</f>
        <v/>
      </c>
      <c r="G46" s="41" t="str">
        <f>IF($C46="/","",IF($C46="","",IFERROR(IF(ISNA(VLOOKUP($C46,'Phase GPA'!$C$29:'Phase GPA'!$U$58,11,0)), ,VLOOKUP($C46,'Phase GPA'!$C$29:'Phase GPA'!$U$58,11,0)),0)))</f>
        <v/>
      </c>
      <c r="H46" s="44" t="str">
        <f>IF($C46="/","",IF($C46="","",IFERROR(IF(ISNA(VLOOKUP($C46,'Phase GPA'!$C$29:'Phase GPA'!$U$58,12,0)), ,VLOOKUP($C46,'Phase GPA'!$C$29:'Phase GPA'!$U$58,12,0)),0)))</f>
        <v/>
      </c>
      <c r="I46" s="44" t="str">
        <f>IF($C46="/","",IF($C46="","",IFERROR(IF(ISNA($H46/VLOOKUP($C46,Données!$C$19:'Données'!$I$48,5,0)), ,$H46/VLOOKUP($C46,Données!$C$19:'Données'!$I$48,5,0))*100,0)))</f>
        <v/>
      </c>
      <c r="J46" s="44" t="str">
        <f>IF($C46="/","",IF($C46="","",IFERROR(IF(ISNA($H46/VLOOKUP($C46,Données!$C$19:'Données'!$I$48,6,0)), ,$H46/VLOOKUP($C46,Données!$C$19:'Données'!$I$48,6,0)),"/")))</f>
        <v/>
      </c>
      <c r="K46" s="44" t="str">
        <f>IF($C46="/","",IF($C46="","",IFERROR(IF(ISNA($H46/VLOOKUP($C46,Données!$C$19:'Données'!$I$48,7,0)*100), ,$H46/VLOOKUP($C46,Données!$C$19:'Données'!$I$48,7,0)*100),"/")))</f>
        <v/>
      </c>
      <c r="L46" s="45" t="str">
        <f t="shared" si="0"/>
        <v/>
      </c>
      <c r="M46" s="13"/>
      <c r="N46" s="12"/>
      <c r="O46" s="3"/>
      <c r="P46" s="16"/>
      <c r="Q46" s="1"/>
      <c r="R46" s="1"/>
      <c r="S46" s="54">
        <f>IF($C46="","",IFERROR(IF(ISNA(VLOOKUP($C46,Données!$C$19:'Données'!$I$48,6,0)), ,VLOOKUP($C46,Données!$C$19:'Données'!$I$48,6,0)),"/"))</f>
        <v>0</v>
      </c>
      <c r="T46" s="54">
        <f>IF($C46="","",IFERROR(IF(ISNA(VLOOKUP($C46,Données!$C$19:'Données'!$I$48,7,0)), ,VLOOKUP($C46,Données!$C$19:'Données'!$I$48,7,0)),"/"))</f>
        <v>0</v>
      </c>
      <c r="U46" s="54">
        <f>IF($C46="","",IFERROR(IF(ISNA(VLOOKUP($C46,Données!$C$19:'Données'!$I$48,5,0)), ,VLOOKUP($C46,Données!$C$19:'Données'!$I$48,5,0)),"/"))</f>
        <v>0</v>
      </c>
      <c r="V46" s="54" t="str">
        <f t="shared" si="1"/>
        <v>/</v>
      </c>
    </row>
    <row r="47" spans="1:22" ht="50.1" customHeight="1" x14ac:dyDescent="0.25">
      <c r="A47" s="1"/>
      <c r="B47" s="1"/>
      <c r="C47" s="82" t="str">
        <f>IF('Phase GPA'!$AT47="OF",'Phase GPA'!$C47,"/")</f>
        <v>/</v>
      </c>
      <c r="D47" s="41" t="str">
        <f>IF($C47="/","",IF($C47="","",IFERROR(IF(ISNA(VLOOKUP($C47,'Phase GPA'!$C$29:'Phase GPA'!$U$58,10,0)), ,VLOOKUP($C47,'Phase GPA'!$C$29:'Phase GPA'!$U$58,10,0)),0)))</f>
        <v/>
      </c>
      <c r="E47" s="42" t="str">
        <f>IF($C47="/","",IF($C47="","",IFERROR(IF(ISNA($D47/VLOOKUP($C47,Données!$C$19:'Données'!$I$48,6,0)), ,$D47/VLOOKUP($C47,Données!$C$19:'Données'!$I$48,6,0)),"/")))</f>
        <v/>
      </c>
      <c r="F47" s="42" t="str">
        <f>IF($C47="/","",IF($C47="","",IFERROR(IF(ISNA($D47/VLOOKUP($C47,Données!$C$19:'Données'!$I$48,7,0)*100), ,$D47/VLOOKUP($C47,Données!$C$19:'Données'!$I$48,7,0)*100),"/")))</f>
        <v/>
      </c>
      <c r="G47" s="41" t="str">
        <f>IF($C47="/","",IF($C47="","",IFERROR(IF(ISNA(VLOOKUP($C47,'Phase GPA'!$C$29:'Phase GPA'!$U$58,11,0)), ,VLOOKUP($C47,'Phase GPA'!$C$29:'Phase GPA'!$U$58,11,0)),0)))</f>
        <v/>
      </c>
      <c r="H47" s="44" t="str">
        <f>IF($C47="/","",IF($C47="","",IFERROR(IF(ISNA(VLOOKUP($C47,'Phase GPA'!$C$29:'Phase GPA'!$U$58,12,0)), ,VLOOKUP($C47,'Phase GPA'!$C$29:'Phase GPA'!$U$58,12,0)),0)))</f>
        <v/>
      </c>
      <c r="I47" s="44" t="str">
        <f>IF($C47="/","",IF($C47="","",IFERROR(IF(ISNA($H47/VLOOKUP($C47,Données!$C$19:'Données'!$I$48,5,0)), ,$H47/VLOOKUP($C47,Données!$C$19:'Données'!$I$48,5,0))*100,0)))</f>
        <v/>
      </c>
      <c r="J47" s="44" t="str">
        <f>IF($C47="/","",IF($C47="","",IFERROR(IF(ISNA($H47/VLOOKUP($C47,Données!$C$19:'Données'!$I$48,6,0)), ,$H47/VLOOKUP($C47,Données!$C$19:'Données'!$I$48,6,0)),"/")))</f>
        <v/>
      </c>
      <c r="K47" s="44" t="str">
        <f>IF($C47="/","",IF($C47="","",IFERROR(IF(ISNA($H47/VLOOKUP($C47,Données!$C$19:'Données'!$I$48,7,0)*100), ,$H47/VLOOKUP($C47,Données!$C$19:'Données'!$I$48,7,0)*100),"/")))</f>
        <v/>
      </c>
      <c r="L47" s="45" t="str">
        <f t="shared" si="0"/>
        <v/>
      </c>
      <c r="M47" s="13"/>
      <c r="N47" s="12"/>
      <c r="O47" s="3"/>
      <c r="P47" s="16"/>
      <c r="Q47" s="1"/>
      <c r="R47" s="1"/>
      <c r="S47" s="54">
        <f>IF($C47="","",IFERROR(IF(ISNA(VLOOKUP($C47,Données!$C$19:'Données'!$I$48,6,0)), ,VLOOKUP($C47,Données!$C$19:'Données'!$I$48,6,0)),"/"))</f>
        <v>0</v>
      </c>
      <c r="T47" s="54">
        <f>IF($C47="","",IFERROR(IF(ISNA(VLOOKUP($C47,Données!$C$19:'Données'!$I$48,7,0)), ,VLOOKUP($C47,Données!$C$19:'Données'!$I$48,7,0)),"/"))</f>
        <v>0</v>
      </c>
      <c r="U47" s="54">
        <f>IF($C47="","",IFERROR(IF(ISNA(VLOOKUP($C47,Données!$C$19:'Données'!$I$48,5,0)), ,VLOOKUP($C47,Données!$C$19:'Données'!$I$48,5,0)),"/"))</f>
        <v>0</v>
      </c>
      <c r="V47" s="54" t="str">
        <f t="shared" si="1"/>
        <v>/</v>
      </c>
    </row>
    <row r="48" spans="1:22" ht="50.1" customHeight="1" x14ac:dyDescent="0.25">
      <c r="A48" s="1"/>
      <c r="B48" s="1"/>
      <c r="C48" s="82" t="str">
        <f>IF('Phase GPA'!$AT48="OF",'Phase GPA'!$C48,"/")</f>
        <v>/</v>
      </c>
      <c r="D48" s="41" t="str">
        <f>IF($C48="/","",IF($C48="","",IFERROR(IF(ISNA(VLOOKUP($C48,'Phase GPA'!$C$29:'Phase GPA'!$U$58,10,0)), ,VLOOKUP($C48,'Phase GPA'!$C$29:'Phase GPA'!$U$58,10,0)),0)))</f>
        <v/>
      </c>
      <c r="E48" s="42" t="str">
        <f>IF($C48="/","",IF($C48="","",IFERROR(IF(ISNA($D48/VLOOKUP($C48,Données!$C$19:'Données'!$I$48,6,0)), ,$D48/VLOOKUP($C48,Données!$C$19:'Données'!$I$48,6,0)),"/")))</f>
        <v/>
      </c>
      <c r="F48" s="42" t="str">
        <f>IF($C48="/","",IF($C48="","",IFERROR(IF(ISNA($D48/VLOOKUP($C48,Données!$C$19:'Données'!$I$48,7,0)*100), ,$D48/VLOOKUP($C48,Données!$C$19:'Données'!$I$48,7,0)*100),"/")))</f>
        <v/>
      </c>
      <c r="G48" s="41" t="str">
        <f>IF($C48="/","",IF($C48="","",IFERROR(IF(ISNA(VLOOKUP($C48,'Phase GPA'!$C$29:'Phase GPA'!$U$58,11,0)), ,VLOOKUP($C48,'Phase GPA'!$C$29:'Phase GPA'!$U$58,11,0)),0)))</f>
        <v/>
      </c>
      <c r="H48" s="44" t="str">
        <f>IF($C48="/","",IF($C48="","",IFERROR(IF(ISNA(VLOOKUP($C48,'Phase GPA'!$C$29:'Phase GPA'!$U$58,12,0)), ,VLOOKUP($C48,'Phase GPA'!$C$29:'Phase GPA'!$U$58,12,0)),0)))</f>
        <v/>
      </c>
      <c r="I48" s="44" t="str">
        <f>IF($C48="/","",IF($C48="","",IFERROR(IF(ISNA($H48/VLOOKUP($C48,Données!$C$19:'Données'!$I$48,5,0)), ,$H48/VLOOKUP($C48,Données!$C$19:'Données'!$I$48,5,0))*100,0)))</f>
        <v/>
      </c>
      <c r="J48" s="44" t="str">
        <f>IF($C48="/","",IF($C48="","",IFERROR(IF(ISNA($H48/VLOOKUP($C48,Données!$C$19:'Données'!$I$48,6,0)), ,$H48/VLOOKUP($C48,Données!$C$19:'Données'!$I$48,6,0)),"/")))</f>
        <v/>
      </c>
      <c r="K48" s="44" t="str">
        <f>IF($C48="/","",IF($C48="","",IFERROR(IF(ISNA($H48/VLOOKUP($C48,Données!$C$19:'Données'!$I$48,7,0)*100), ,$H48/VLOOKUP($C48,Données!$C$19:'Données'!$I$48,7,0)*100),"/")))</f>
        <v/>
      </c>
      <c r="L48" s="45" t="str">
        <f t="shared" si="0"/>
        <v/>
      </c>
      <c r="M48" s="13"/>
      <c r="N48" s="12"/>
      <c r="O48" s="3"/>
      <c r="P48" s="16"/>
      <c r="Q48" s="1"/>
      <c r="R48" s="1"/>
      <c r="S48" s="54">
        <f>IF($C48="","",IFERROR(IF(ISNA(VLOOKUP($C48,Données!$C$19:'Données'!$I$48,6,0)), ,VLOOKUP($C48,Données!$C$19:'Données'!$I$48,6,0)),"/"))</f>
        <v>0</v>
      </c>
      <c r="T48" s="54">
        <f>IF($C48="","",IFERROR(IF(ISNA(VLOOKUP($C48,Données!$C$19:'Données'!$I$48,7,0)), ,VLOOKUP($C48,Données!$C$19:'Données'!$I$48,7,0)),"/"))</f>
        <v>0</v>
      </c>
      <c r="U48" s="54">
        <f>IF($C48="","",IFERROR(IF(ISNA(VLOOKUP($C48,Données!$C$19:'Données'!$I$48,5,0)), ,VLOOKUP($C48,Données!$C$19:'Données'!$I$48,5,0)),"/"))</f>
        <v>0</v>
      </c>
      <c r="V48" s="54" t="str">
        <f t="shared" si="1"/>
        <v>/</v>
      </c>
    </row>
    <row r="49" spans="1:22" ht="50.1" customHeight="1" x14ac:dyDescent="0.25">
      <c r="A49" s="1"/>
      <c r="B49" s="1"/>
      <c r="C49" s="82" t="str">
        <f>IF('Phase GPA'!$AT49="OF",'Phase GPA'!$C49,"/")</f>
        <v>/</v>
      </c>
      <c r="D49" s="41" t="str">
        <f>IF($C49="/","",IF($C49="","",IFERROR(IF(ISNA(VLOOKUP($C49,'Phase GPA'!$C$29:'Phase GPA'!$U$58,10,0)), ,VLOOKUP($C49,'Phase GPA'!$C$29:'Phase GPA'!$U$58,10,0)),0)))</f>
        <v/>
      </c>
      <c r="E49" s="42" t="str">
        <f>IF($C49="/","",IF($C49="","",IFERROR(IF(ISNA($D49/VLOOKUP($C49,Données!$C$19:'Données'!$I$48,6,0)), ,$D49/VLOOKUP($C49,Données!$C$19:'Données'!$I$48,6,0)),"/")))</f>
        <v/>
      </c>
      <c r="F49" s="42" t="str">
        <f>IF($C49="/","",IF($C49="","",IFERROR(IF(ISNA($D49/VLOOKUP($C49,Données!$C$19:'Données'!$I$48,7,0)*100), ,$D49/VLOOKUP($C49,Données!$C$19:'Données'!$I$48,7,0)*100),"/")))</f>
        <v/>
      </c>
      <c r="G49" s="41" t="str">
        <f>IF($C49="/","",IF($C49="","",IFERROR(IF(ISNA(VLOOKUP($C49,'Phase GPA'!$C$29:'Phase GPA'!$U$58,11,0)), ,VLOOKUP($C49,'Phase GPA'!$C$29:'Phase GPA'!$U$58,11,0)),0)))</f>
        <v/>
      </c>
      <c r="H49" s="44" t="str">
        <f>IF($C49="/","",IF($C49="","",IFERROR(IF(ISNA(VLOOKUP($C49,'Phase GPA'!$C$29:'Phase GPA'!$U$58,12,0)), ,VLOOKUP($C49,'Phase GPA'!$C$29:'Phase GPA'!$U$58,12,0)),0)))</f>
        <v/>
      </c>
      <c r="I49" s="44" t="str">
        <f>IF($C49="/","",IF($C49="","",IFERROR(IF(ISNA($H49/VLOOKUP($C49,Données!$C$19:'Données'!$I$48,5,0)), ,$H49/VLOOKUP($C49,Données!$C$19:'Données'!$I$48,5,0))*100,0)))</f>
        <v/>
      </c>
      <c r="J49" s="44" t="str">
        <f>IF($C49="/","",IF($C49="","",IFERROR(IF(ISNA($H49/VLOOKUP($C49,Données!$C$19:'Données'!$I$48,6,0)), ,$H49/VLOOKUP($C49,Données!$C$19:'Données'!$I$48,6,0)),"/")))</f>
        <v/>
      </c>
      <c r="K49" s="44" t="str">
        <f>IF($C49="/","",IF($C49="","",IFERROR(IF(ISNA($H49/VLOOKUP($C49,Données!$C$19:'Données'!$I$48,7,0)*100), ,$H49/VLOOKUP($C49,Données!$C$19:'Données'!$I$48,7,0)*100),"/")))</f>
        <v/>
      </c>
      <c r="L49" s="45" t="str">
        <f t="shared" si="0"/>
        <v/>
      </c>
      <c r="M49" s="13"/>
      <c r="N49" s="12"/>
      <c r="O49" s="3"/>
      <c r="P49" s="16"/>
      <c r="Q49" s="1"/>
      <c r="R49" s="1"/>
      <c r="S49" s="54">
        <f>IF($C49="","",IFERROR(IF(ISNA(VLOOKUP($C49,Données!$C$19:'Données'!$I$48,6,0)), ,VLOOKUP($C49,Données!$C$19:'Données'!$I$48,6,0)),"/"))</f>
        <v>0</v>
      </c>
      <c r="T49" s="54">
        <f>IF($C49="","",IFERROR(IF(ISNA(VLOOKUP($C49,Données!$C$19:'Données'!$I$48,7,0)), ,VLOOKUP($C49,Données!$C$19:'Données'!$I$48,7,0)),"/"))</f>
        <v>0</v>
      </c>
      <c r="U49" s="54">
        <f>IF($C49="","",IFERROR(IF(ISNA(VLOOKUP($C49,Données!$C$19:'Données'!$I$48,5,0)), ,VLOOKUP($C49,Données!$C$19:'Données'!$I$48,5,0)),"/"))</f>
        <v>0</v>
      </c>
      <c r="V49" s="54" t="str">
        <f t="shared" si="1"/>
        <v>/</v>
      </c>
    </row>
    <row r="50" spans="1:22" ht="50.1" customHeight="1" x14ac:dyDescent="0.25">
      <c r="A50" s="1"/>
      <c r="B50" s="1"/>
      <c r="C50" s="82" t="str">
        <f>IF('Phase GPA'!$AT50="OF",'Phase GPA'!$C50,"/")</f>
        <v>/</v>
      </c>
      <c r="D50" s="41" t="str">
        <f>IF($C50="/","",IF($C50="","",IFERROR(IF(ISNA(VLOOKUP($C50,'Phase GPA'!$C$29:'Phase GPA'!$U$58,10,0)), ,VLOOKUP($C50,'Phase GPA'!$C$29:'Phase GPA'!$U$58,10,0)),0)))</f>
        <v/>
      </c>
      <c r="E50" s="42" t="str">
        <f>IF($C50="/","",IF($C50="","",IFERROR(IF(ISNA($D50/VLOOKUP($C50,Données!$C$19:'Données'!$I$48,6,0)), ,$D50/VLOOKUP($C50,Données!$C$19:'Données'!$I$48,6,0)),"/")))</f>
        <v/>
      </c>
      <c r="F50" s="42" t="str">
        <f>IF($C50="/","",IF($C50="","",IFERROR(IF(ISNA($D50/VLOOKUP($C50,Données!$C$19:'Données'!$I$48,7,0)*100), ,$D50/VLOOKUP($C50,Données!$C$19:'Données'!$I$48,7,0)*100),"/")))</f>
        <v/>
      </c>
      <c r="G50" s="41" t="str">
        <f>IF($C50="/","",IF($C50="","",IFERROR(IF(ISNA(VLOOKUP($C50,'Phase GPA'!$C$29:'Phase GPA'!$U$58,11,0)), ,VLOOKUP($C50,'Phase GPA'!$C$29:'Phase GPA'!$U$58,11,0)),0)))</f>
        <v/>
      </c>
      <c r="H50" s="44" t="str">
        <f>IF($C50="/","",IF($C50="","",IFERROR(IF(ISNA(VLOOKUP($C50,'Phase GPA'!$C$29:'Phase GPA'!$U$58,12,0)), ,VLOOKUP($C50,'Phase GPA'!$C$29:'Phase GPA'!$U$58,12,0)),0)))</f>
        <v/>
      </c>
      <c r="I50" s="44" t="str">
        <f>IF($C50="/","",IF($C50="","",IFERROR(IF(ISNA($H50/VLOOKUP($C50,Données!$C$19:'Données'!$I$48,5,0)), ,$H50/VLOOKUP($C50,Données!$C$19:'Données'!$I$48,5,0))*100,0)))</f>
        <v/>
      </c>
      <c r="J50" s="44" t="str">
        <f>IF($C50="/","",IF($C50="","",IFERROR(IF(ISNA($H50/VLOOKUP($C50,Données!$C$19:'Données'!$I$48,6,0)), ,$H50/VLOOKUP($C50,Données!$C$19:'Données'!$I$48,6,0)),"/")))</f>
        <v/>
      </c>
      <c r="K50" s="44" t="str">
        <f>IF($C50="/","",IF($C50="","",IFERROR(IF(ISNA($H50/VLOOKUP($C50,Données!$C$19:'Données'!$I$48,7,0)*100), ,$H50/VLOOKUP($C50,Données!$C$19:'Données'!$I$48,7,0)*100),"/")))</f>
        <v/>
      </c>
      <c r="L50" s="45" t="str">
        <f t="shared" si="0"/>
        <v/>
      </c>
      <c r="M50" s="13"/>
      <c r="N50" s="12"/>
      <c r="O50" s="3"/>
      <c r="P50" s="16"/>
      <c r="Q50" s="1"/>
      <c r="R50" s="1"/>
      <c r="S50" s="54">
        <f>IF($C50="","",IFERROR(IF(ISNA(VLOOKUP($C50,Données!$C$19:'Données'!$I$48,6,0)), ,VLOOKUP($C50,Données!$C$19:'Données'!$I$48,6,0)),"/"))</f>
        <v>0</v>
      </c>
      <c r="T50" s="54">
        <f>IF($C50="","",IFERROR(IF(ISNA(VLOOKUP($C50,Données!$C$19:'Données'!$I$48,7,0)), ,VLOOKUP($C50,Données!$C$19:'Données'!$I$48,7,0)),"/"))</f>
        <v>0</v>
      </c>
      <c r="U50" s="54">
        <f>IF($C50="","",IFERROR(IF(ISNA(VLOOKUP($C50,Données!$C$19:'Données'!$I$48,5,0)), ,VLOOKUP($C50,Données!$C$19:'Données'!$I$48,5,0)),"/"))</f>
        <v>0</v>
      </c>
      <c r="V50" s="54" t="str">
        <f t="shared" si="1"/>
        <v>/</v>
      </c>
    </row>
    <row r="51" spans="1:22" ht="50.1" customHeight="1" x14ac:dyDescent="0.25">
      <c r="A51" s="1"/>
      <c r="B51" s="1"/>
      <c r="C51" s="82" t="str">
        <f>IF('Phase GPA'!$AT51="OF",'Phase GPA'!$C51,"/")</f>
        <v>/</v>
      </c>
      <c r="D51" s="41" t="str">
        <f>IF($C51="/","",IF($C51="","",IFERROR(IF(ISNA(VLOOKUP($C51,'Phase GPA'!$C$29:'Phase GPA'!$U$58,10,0)), ,VLOOKUP($C51,'Phase GPA'!$C$29:'Phase GPA'!$U$58,10,0)),0)))</f>
        <v/>
      </c>
      <c r="E51" s="42" t="str">
        <f>IF($C51="/","",IF($C51="","",IFERROR(IF(ISNA($D51/VLOOKUP($C51,Données!$C$19:'Données'!$I$48,6,0)), ,$D51/VLOOKUP($C51,Données!$C$19:'Données'!$I$48,6,0)),"/")))</f>
        <v/>
      </c>
      <c r="F51" s="42" t="str">
        <f>IF($C51="/","",IF($C51="","",IFERROR(IF(ISNA($D51/VLOOKUP($C51,Données!$C$19:'Données'!$I$48,7,0)*100), ,$D51/VLOOKUP($C51,Données!$C$19:'Données'!$I$48,7,0)*100),"/")))</f>
        <v/>
      </c>
      <c r="G51" s="41" t="str">
        <f>IF($C51="/","",IF($C51="","",IFERROR(IF(ISNA(VLOOKUP($C51,'Phase GPA'!$C$29:'Phase GPA'!$U$58,11,0)), ,VLOOKUP($C51,'Phase GPA'!$C$29:'Phase GPA'!$U$58,11,0)),0)))</f>
        <v/>
      </c>
      <c r="H51" s="44" t="str">
        <f>IF($C51="/","",IF($C51="","",IFERROR(IF(ISNA(VLOOKUP($C51,'Phase GPA'!$C$29:'Phase GPA'!$U$58,12,0)), ,VLOOKUP($C51,'Phase GPA'!$C$29:'Phase GPA'!$U$58,12,0)),0)))</f>
        <v/>
      </c>
      <c r="I51" s="44" t="str">
        <f>IF($C51="/","",IF($C51="","",IFERROR(IF(ISNA($H51/VLOOKUP($C51,Données!$C$19:'Données'!$I$48,5,0)), ,$H51/VLOOKUP($C51,Données!$C$19:'Données'!$I$48,5,0))*100,0)))</f>
        <v/>
      </c>
      <c r="J51" s="44" t="str">
        <f>IF($C51="/","",IF($C51="","",IFERROR(IF(ISNA($H51/VLOOKUP($C51,Données!$C$19:'Données'!$I$48,6,0)), ,$H51/VLOOKUP($C51,Données!$C$19:'Données'!$I$48,6,0)),"/")))</f>
        <v/>
      </c>
      <c r="K51" s="44" t="str">
        <f>IF($C51="/","",IF($C51="","",IFERROR(IF(ISNA($H51/VLOOKUP($C51,Données!$C$19:'Données'!$I$48,7,0)*100), ,$H51/VLOOKUP($C51,Données!$C$19:'Données'!$I$48,7,0)*100),"/")))</f>
        <v/>
      </c>
      <c r="L51" s="45" t="str">
        <f t="shared" si="0"/>
        <v/>
      </c>
      <c r="M51" s="13"/>
      <c r="N51" s="12"/>
      <c r="O51" s="3"/>
      <c r="P51" s="16"/>
      <c r="Q51" s="1"/>
      <c r="R51" s="1"/>
      <c r="S51" s="54">
        <f>IF($C51="","",IFERROR(IF(ISNA(VLOOKUP($C51,Données!$C$19:'Données'!$I$48,6,0)), ,VLOOKUP($C51,Données!$C$19:'Données'!$I$48,6,0)),"/"))</f>
        <v>0</v>
      </c>
      <c r="T51" s="54">
        <f>IF($C51="","",IFERROR(IF(ISNA(VLOOKUP($C51,Données!$C$19:'Données'!$I$48,7,0)), ,VLOOKUP($C51,Données!$C$19:'Données'!$I$48,7,0)),"/"))</f>
        <v>0</v>
      </c>
      <c r="U51" s="54">
        <f>IF($C51="","",IFERROR(IF(ISNA(VLOOKUP($C51,Données!$C$19:'Données'!$I$48,5,0)), ,VLOOKUP($C51,Données!$C$19:'Données'!$I$48,5,0)),"/"))</f>
        <v>0</v>
      </c>
      <c r="V51" s="54" t="str">
        <f t="shared" si="1"/>
        <v>/</v>
      </c>
    </row>
    <row r="52" spans="1:22" ht="50.1" customHeight="1" x14ac:dyDescent="0.25">
      <c r="A52" s="1"/>
      <c r="B52" s="1"/>
      <c r="C52" s="82" t="str">
        <f>IF('Phase GPA'!$AT52="OF",'Phase GPA'!$C52,"/")</f>
        <v>/</v>
      </c>
      <c r="D52" s="41" t="str">
        <f>IF($C52="/","",IF($C52="","",IFERROR(IF(ISNA(VLOOKUP($C52,'Phase GPA'!$C$29:'Phase GPA'!$U$58,10,0)), ,VLOOKUP($C52,'Phase GPA'!$C$29:'Phase GPA'!$U$58,10,0)),0)))</f>
        <v/>
      </c>
      <c r="E52" s="42" t="str">
        <f>IF($C52="/","",IF($C52="","",IFERROR(IF(ISNA($D52/VLOOKUP($C52,Données!$C$19:'Données'!$I$48,6,0)), ,$D52/VLOOKUP($C52,Données!$C$19:'Données'!$I$48,6,0)),"/")))</f>
        <v/>
      </c>
      <c r="F52" s="42" t="str">
        <f>IF($C52="/","",IF($C52="","",IFERROR(IF(ISNA($D52/VLOOKUP($C52,Données!$C$19:'Données'!$I$48,7,0)*100), ,$D52/VLOOKUP($C52,Données!$C$19:'Données'!$I$48,7,0)*100),"/")))</f>
        <v/>
      </c>
      <c r="G52" s="41" t="str">
        <f>IF($C52="/","",IF($C52="","",IFERROR(IF(ISNA(VLOOKUP($C52,'Phase GPA'!$C$29:'Phase GPA'!$U$58,11,0)), ,VLOOKUP($C52,'Phase GPA'!$C$29:'Phase GPA'!$U$58,11,0)),0)))</f>
        <v/>
      </c>
      <c r="H52" s="44" t="str">
        <f>IF($C52="/","",IF($C52="","",IFERROR(IF(ISNA(VLOOKUP($C52,'Phase GPA'!$C$29:'Phase GPA'!$U$58,12,0)), ,VLOOKUP($C52,'Phase GPA'!$C$29:'Phase GPA'!$U$58,12,0)),0)))</f>
        <v/>
      </c>
      <c r="I52" s="44" t="str">
        <f>IF($C52="/","",IF($C52="","",IFERROR(IF(ISNA($H52/VLOOKUP($C52,Données!$C$19:'Données'!$I$48,5,0)), ,$H52/VLOOKUP($C52,Données!$C$19:'Données'!$I$48,5,0))*100,0)))</f>
        <v/>
      </c>
      <c r="J52" s="44" t="str">
        <f>IF($C52="/","",IF($C52="","",IFERROR(IF(ISNA($H52/VLOOKUP($C52,Données!$C$19:'Données'!$I$48,6,0)), ,$H52/VLOOKUP($C52,Données!$C$19:'Données'!$I$48,6,0)),"/")))</f>
        <v/>
      </c>
      <c r="K52" s="44" t="str">
        <f>IF($C52="/","",IF($C52="","",IFERROR(IF(ISNA($H52/VLOOKUP($C52,Données!$C$19:'Données'!$I$48,7,0)*100), ,$H52/VLOOKUP($C52,Données!$C$19:'Données'!$I$48,7,0)*100),"/")))</f>
        <v/>
      </c>
      <c r="L52" s="45" t="str">
        <f t="shared" si="0"/>
        <v/>
      </c>
      <c r="M52" s="13"/>
      <c r="N52" s="12"/>
      <c r="O52" s="3"/>
      <c r="P52" s="16"/>
      <c r="Q52" s="1"/>
      <c r="R52" s="1"/>
      <c r="S52" s="54">
        <f>IF($C52="","",IFERROR(IF(ISNA(VLOOKUP($C52,Données!$C$19:'Données'!$I$48,6,0)), ,VLOOKUP($C52,Données!$C$19:'Données'!$I$48,6,0)),"/"))</f>
        <v>0</v>
      </c>
      <c r="T52" s="54">
        <f>IF($C52="","",IFERROR(IF(ISNA(VLOOKUP($C52,Données!$C$19:'Données'!$I$48,7,0)), ,VLOOKUP($C52,Données!$C$19:'Données'!$I$48,7,0)),"/"))</f>
        <v>0</v>
      </c>
      <c r="U52" s="54">
        <f>IF($C52="","",IFERROR(IF(ISNA(VLOOKUP($C52,Données!$C$19:'Données'!$I$48,5,0)), ,VLOOKUP($C52,Données!$C$19:'Données'!$I$48,5,0)),"/"))</f>
        <v>0</v>
      </c>
      <c r="V52" s="54" t="str">
        <f t="shared" si="1"/>
        <v>/</v>
      </c>
    </row>
    <row r="53" spans="1:22" ht="50.1" customHeight="1" x14ac:dyDescent="0.25">
      <c r="A53" s="1"/>
      <c r="B53" s="1"/>
      <c r="C53" s="82" t="str">
        <f>IF('Phase GPA'!$AT58="OF",'Phase GPA'!$C58,"/")</f>
        <v>/</v>
      </c>
      <c r="D53" s="41" t="str">
        <f>IF($C53="/","",IF($C53="","",IFERROR(IF(ISNA(VLOOKUP($C53,'Phase GPA'!$C$29:'Phase GPA'!$U$58,10,0)), ,VLOOKUP($C53,'Phase GPA'!$C$29:'Phase GPA'!$U$58,10,0)),0)))</f>
        <v/>
      </c>
      <c r="E53" s="42" t="str">
        <f>IF($C53="/","",IF($C53="","",IFERROR(IF(ISNA($D53/VLOOKUP($C53,Données!$C$19:'Données'!$I$48,6,0)), ,$D53/VLOOKUP($C53,Données!$C$19:'Données'!$I$48,6,0)),"/")))</f>
        <v/>
      </c>
      <c r="F53" s="42" t="str">
        <f>IF($C53="/","",IF($C53="","",IFERROR(IF(ISNA($D53/VLOOKUP($C53,Données!$C$19:'Données'!$I$48,7,0)*100), ,$D53/VLOOKUP($C53,Données!$C$19:'Données'!$I$48,7,0)*100),"/")))</f>
        <v/>
      </c>
      <c r="G53" s="41" t="str">
        <f>IF($C53="/","",IF($C53="","",IFERROR(IF(ISNA(VLOOKUP($C53,'Phase GPA'!$C$29:'Phase GPA'!$U$58,11,0)), ,VLOOKUP($C53,'Phase GPA'!$C$29:'Phase GPA'!$U$58,11,0)),0)))</f>
        <v/>
      </c>
      <c r="H53" s="44" t="str">
        <f>IF($C53="/","",IF($C53="","",IFERROR(IF(ISNA(VLOOKUP($C53,'Phase GPA'!$C$29:'Phase GPA'!$U$58,12,0)), ,VLOOKUP($C53,'Phase GPA'!$C$29:'Phase GPA'!$U$58,12,0)),0)))</f>
        <v/>
      </c>
      <c r="I53" s="44" t="str">
        <f>IF($C53="/","",IF($C53="","",IFERROR(IF(ISNA($H53/VLOOKUP($C53,Données!$C$19:'Données'!$I$48,5,0)), ,$H53/VLOOKUP($C53,Données!$C$19:'Données'!$I$48,5,0))*100,0)))</f>
        <v/>
      </c>
      <c r="J53" s="44" t="str">
        <f>IF($C53="/","",IF($C53="","",IFERROR(IF(ISNA($H53/VLOOKUP($C53,Données!$C$19:'Données'!$I$48,6,0)), ,$H53/VLOOKUP($C53,Données!$C$19:'Données'!$I$48,6,0)),"/")))</f>
        <v/>
      </c>
      <c r="K53" s="44" t="str">
        <f>IF($C53="/","",IF($C53="","",IFERROR(IF(ISNA($H53/VLOOKUP($C53,Données!$C$19:'Données'!$I$48,7,0)*100), ,$H53/VLOOKUP($C53,Données!$C$19:'Données'!$I$48,7,0)*100),"/")))</f>
        <v/>
      </c>
      <c r="L53" s="45" t="str">
        <f t="shared" si="0"/>
        <v/>
      </c>
      <c r="M53" s="13"/>
      <c r="N53" s="12"/>
      <c r="O53" s="3"/>
      <c r="P53" s="16"/>
      <c r="Q53" s="1"/>
      <c r="R53" s="1"/>
      <c r="S53" s="54">
        <f>IF($C53="","",IFERROR(IF(ISNA(VLOOKUP($C53,Données!$C$19:'Données'!$I$48,6,0)), ,VLOOKUP($C53,Données!$C$19:'Données'!$I$48,6,0)),"/"))</f>
        <v>0</v>
      </c>
      <c r="T53" s="54">
        <f>IF($C53="","",IFERROR(IF(ISNA(VLOOKUP($C53,Données!$C$19:'Données'!$I$48,7,0)), ,VLOOKUP($C53,Données!$C$19:'Données'!$I$48,7,0)),"/"))</f>
        <v>0</v>
      </c>
      <c r="U53" s="54">
        <f>IF($C53="","",IFERROR(IF(ISNA(VLOOKUP($C53,Données!$C$19:'Données'!$I$48,5,0)), ,VLOOKUP($C53,Données!$C$19:'Données'!$I$48,5,0)),"/"))</f>
        <v>0</v>
      </c>
      <c r="V53" s="54" t="str">
        <f t="shared" si="1"/>
        <v>/</v>
      </c>
    </row>
    <row r="54" spans="1:22" ht="50.1" customHeight="1" x14ac:dyDescent="0.25">
      <c r="A54" s="1"/>
      <c r="B54" s="1"/>
      <c r="C54" s="56" t="s">
        <v>50</v>
      </c>
      <c r="D54" s="57">
        <f>SUM(D29:D53)</f>
        <v>0</v>
      </c>
      <c r="E54" s="58" t="str">
        <f>IF(S54=0,"/",D54/S54)</f>
        <v>/</v>
      </c>
      <c r="F54" s="58" t="str">
        <f>IF(T54=0,"/",D54/T54*100)</f>
        <v>/</v>
      </c>
      <c r="G54" s="57">
        <f>IFERROR(V54/D54,0)</f>
        <v>0</v>
      </c>
      <c r="H54" s="61">
        <f>SUM(H29:H53)</f>
        <v>0</v>
      </c>
      <c r="I54" s="61">
        <f>IFERROR(H54/U54*100,0)</f>
        <v>0</v>
      </c>
      <c r="J54" s="61" t="str">
        <f>IF(S54=0,"/",H54/S54)</f>
        <v>/</v>
      </c>
      <c r="K54" s="58" t="str">
        <f>IF(T54=0,"/",H54/T54*100)</f>
        <v>/</v>
      </c>
      <c r="L54" s="62">
        <f>IFERROR(H54/D54,0)</f>
        <v>0</v>
      </c>
      <c r="M54" s="63"/>
      <c r="N54" s="64"/>
      <c r="O54" s="3"/>
      <c r="P54" s="16"/>
      <c r="Q54" s="1"/>
      <c r="R54" s="1"/>
      <c r="S54" s="55">
        <f>SUM(S29:S53)</f>
        <v>0</v>
      </c>
      <c r="T54" s="55">
        <f>SUM(T29:T53)</f>
        <v>0</v>
      </c>
      <c r="U54" s="55">
        <f>SUM(U29:U53)</f>
        <v>0</v>
      </c>
      <c r="V54" s="39">
        <f>SUM(V29:V53)</f>
        <v>0</v>
      </c>
    </row>
    <row r="55" spans="1:22" ht="15" customHeight="1" x14ac:dyDescent="0.25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4"/>
      <c r="Q55" s="1"/>
      <c r="R55" s="1"/>
    </row>
    <row r="56" spans="1:22" ht="15" customHeight="1" x14ac:dyDescent="0.25">
      <c r="A56" s="1"/>
      <c r="B56" s="1"/>
      <c r="C56" s="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0"/>
      <c r="Q56" s="1"/>
      <c r="R56" s="1"/>
    </row>
    <row r="57" spans="1:22" ht="15" customHeight="1" x14ac:dyDescent="0.25">
      <c r="A57" s="1"/>
      <c r="B57" s="1"/>
      <c r="C57" s="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1"/>
      <c r="P57" s="29"/>
      <c r="Q57" s="1"/>
      <c r="R57" s="1"/>
    </row>
    <row r="58" spans="1:22" ht="15" customHeight="1" x14ac:dyDescent="0.25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  <c r="P58" s="29"/>
      <c r="Q58" s="1"/>
      <c r="R58" s="1"/>
    </row>
    <row r="59" spans="1:22" ht="15" customHeight="1" x14ac:dyDescent="0.25">
      <c r="A59" s="1"/>
      <c r="B59" s="1"/>
      <c r="C59" s="6"/>
      <c r="D59" s="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1"/>
      <c r="P59" s="29"/>
      <c r="Q59" s="1"/>
      <c r="R59" s="1"/>
    </row>
    <row r="60" spans="1:22" ht="5.0999999999999996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sheetProtection algorithmName="SHA-512" hashValue="PuGO2TWaA3WlxBzSyZPCq5sDY0cS43YrD2jv/AOf84ZVTO6xQPlBGSQt7W+EriGMz0TijBDiFw56ja/fDrhmqQ==" saltValue="sv61QL7zykYTezUXRg+DEQ==" spinCount="100000" sheet="1" objects="1" scenarios="1"/>
  <protectedRanges>
    <protectedRange sqref="M29:N53" name="Plage2"/>
    <protectedRange sqref="P29:P54" name="Plage3"/>
  </protectedRanges>
  <mergeCells count="13">
    <mergeCell ref="H25:H28"/>
    <mergeCell ref="C25:C28"/>
    <mergeCell ref="D25:D28"/>
    <mergeCell ref="E25:E28"/>
    <mergeCell ref="F25:F28"/>
    <mergeCell ref="G25:G28"/>
    <mergeCell ref="P25:P28"/>
    <mergeCell ref="I25:I28"/>
    <mergeCell ref="J25:J28"/>
    <mergeCell ref="K25:K28"/>
    <mergeCell ref="L25:L28"/>
    <mergeCell ref="M25:M28"/>
    <mergeCell ref="N25:N28"/>
  </mergeCells>
  <conditionalFormatting sqref="G54">
    <cfRule type="cellIs" dxfId="39" priority="21" operator="lessThanOrEqual">
      <formula>15</formula>
    </cfRule>
    <cfRule type="cellIs" dxfId="38" priority="23" operator="greaterThan">
      <formula>15</formula>
    </cfRule>
  </conditionalFormatting>
  <conditionalFormatting sqref="E54">
    <cfRule type="cellIs" dxfId="37" priority="22" operator="lessThanOrEqual">
      <formula>1</formula>
    </cfRule>
    <cfRule type="containsText" dxfId="36" priority="24" operator="containsText" text="/">
      <formula>NOT(ISERROR(SEARCH("/",E54)))</formula>
    </cfRule>
    <cfRule type="cellIs" dxfId="35" priority="25" operator="greaterThan">
      <formula>1</formula>
    </cfRule>
  </conditionalFormatting>
  <conditionalFormatting sqref="G29">
    <cfRule type="cellIs" dxfId="34" priority="16" operator="lessThanOrEqual">
      <formula>15</formula>
    </cfRule>
    <cfRule type="cellIs" dxfId="33" priority="18" operator="greaterThan">
      <formula>15</formula>
    </cfRule>
  </conditionalFormatting>
  <conditionalFormatting sqref="E29">
    <cfRule type="cellIs" dxfId="32" priority="17" operator="lessThanOrEqual">
      <formula>1</formula>
    </cfRule>
    <cfRule type="containsText" dxfId="31" priority="19" operator="containsText" text="/">
      <formula>NOT(ISERROR(SEARCH("/",E29)))</formula>
    </cfRule>
    <cfRule type="cellIs" dxfId="30" priority="20" operator="greaterThan">
      <formula>1</formula>
    </cfRule>
  </conditionalFormatting>
  <conditionalFormatting sqref="G30:G42">
    <cfRule type="cellIs" dxfId="29" priority="6" operator="lessThanOrEqual">
      <formula>15</formula>
    </cfRule>
    <cfRule type="cellIs" dxfId="28" priority="8" operator="greaterThan">
      <formula>15</formula>
    </cfRule>
  </conditionalFormatting>
  <conditionalFormatting sqref="E30:E42">
    <cfRule type="cellIs" dxfId="27" priority="7" operator="lessThanOrEqual">
      <formula>1</formula>
    </cfRule>
    <cfRule type="containsText" dxfId="26" priority="9" operator="containsText" text="/">
      <formula>NOT(ISERROR(SEARCH("/",E30)))</formula>
    </cfRule>
    <cfRule type="cellIs" dxfId="25" priority="10" operator="greaterThan">
      <formula>1</formula>
    </cfRule>
  </conditionalFormatting>
  <conditionalFormatting sqref="G43:G53">
    <cfRule type="cellIs" dxfId="24" priority="1" operator="lessThanOrEqual">
      <formula>15</formula>
    </cfRule>
    <cfRule type="cellIs" dxfId="23" priority="3" operator="greaterThan">
      <formula>15</formula>
    </cfRule>
  </conditionalFormatting>
  <conditionalFormatting sqref="E43:E53">
    <cfRule type="cellIs" dxfId="22" priority="2" operator="lessThanOrEqual">
      <formula>1</formula>
    </cfRule>
    <cfRule type="containsText" dxfId="21" priority="4" operator="containsText" text="/">
      <formula>NOT(ISERROR(SEARCH("/",E43)))</formula>
    </cfRule>
    <cfRule type="cellIs" dxfId="20" priority="5" operator="greaterThan">
      <formula>1</formula>
    </cfRule>
  </conditionalFormatting>
  <dataValidations count="1">
    <dataValidation type="list" allowBlank="1" showInputMessage="1" showErrorMessage="1" sqref="C5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 r:id="rId3"/>
  <legacyDrawingHF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V61"/>
  <sheetViews>
    <sheetView showGridLines="0" zoomScaleNormal="100" workbookViewId="0"/>
  </sheetViews>
  <sheetFormatPr baseColWidth="10" defaultColWidth="11.42578125" defaultRowHeight="15" x14ac:dyDescent="0.25"/>
  <cols>
    <col min="1" max="2" width="0.85546875" customWidth="1"/>
    <col min="3" max="3" width="55.7109375" customWidth="1"/>
    <col min="4" max="14" width="15.7109375" customWidth="1"/>
    <col min="15" max="15" width="1.7109375" customWidth="1"/>
    <col min="16" max="16" width="104.7109375" customWidth="1"/>
    <col min="17" max="18" width="0.85546875" customWidth="1"/>
  </cols>
  <sheetData>
    <row r="1" spans="1:1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x14ac:dyDescent="0.25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x14ac:dyDescent="0.25">
      <c r="A3" s="1"/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x14ac:dyDescent="0.25">
      <c r="A4" s="1"/>
      <c r="B4" s="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x14ac:dyDescent="0.25">
      <c r="A5" s="1"/>
      <c r="B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x14ac:dyDescent="0.25">
      <c r="A6" s="1"/>
      <c r="B6" s="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</row>
    <row r="7" spans="1:19" x14ac:dyDescent="0.25">
      <c r="A7" s="1"/>
      <c r="B7" s="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1:19" x14ac:dyDescent="0.25">
      <c r="A8" s="1"/>
      <c r="B8" s="1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</row>
    <row r="9" spans="1:19" x14ac:dyDescent="0.25">
      <c r="A9" s="1"/>
      <c r="B9" s="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</row>
    <row r="10" spans="1:19" x14ac:dyDescent="0.25">
      <c r="A10" s="1"/>
      <c r="B10" s="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</row>
    <row r="20" spans="1:22" x14ac:dyDescent="0.25">
      <c r="A20" s="1"/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"/>
      <c r="R20" s="1"/>
      <c r="S20" s="1"/>
    </row>
    <row r="21" spans="1:22" x14ac:dyDescent="0.25">
      <c r="A21" s="1"/>
      <c r="B21" s="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"/>
      <c r="R21" s="1"/>
      <c r="S21" s="1"/>
    </row>
    <row r="22" spans="1:22" x14ac:dyDescent="0.25">
      <c r="A22" s="1"/>
      <c r="B22" s="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"/>
      <c r="R22" s="1"/>
      <c r="S22" s="1"/>
    </row>
    <row r="23" spans="1:22" x14ac:dyDescent="0.25">
      <c r="A23" s="1"/>
      <c r="B23" s="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"/>
      <c r="R23" s="1"/>
      <c r="S23" s="1"/>
    </row>
    <row r="24" spans="1:22" x14ac:dyDescent="0.25">
      <c r="A24" s="1"/>
      <c r="B24" s="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  <c r="S24" s="1"/>
    </row>
    <row r="25" spans="1:22" ht="15" customHeight="1" x14ac:dyDescent="0.25">
      <c r="A25" s="1"/>
      <c r="B25" s="1"/>
      <c r="C25" s="161" t="s">
        <v>7</v>
      </c>
      <c r="D25" s="161" t="s">
        <v>13</v>
      </c>
      <c r="E25" s="161" t="s">
        <v>22</v>
      </c>
      <c r="F25" s="161" t="s">
        <v>67</v>
      </c>
      <c r="G25" s="161" t="s">
        <v>31</v>
      </c>
      <c r="H25" s="161" t="s">
        <v>14</v>
      </c>
      <c r="I25" s="161" t="s">
        <v>20</v>
      </c>
      <c r="J25" s="161" t="s">
        <v>23</v>
      </c>
      <c r="K25" s="161" t="s">
        <v>68</v>
      </c>
      <c r="L25" s="161" t="s">
        <v>15</v>
      </c>
      <c r="M25" s="132" t="s">
        <v>16</v>
      </c>
      <c r="N25" s="132" t="s">
        <v>38</v>
      </c>
      <c r="O25" s="2"/>
      <c r="P25" s="132" t="s">
        <v>43</v>
      </c>
      <c r="Q25" s="1"/>
      <c r="R25" s="1"/>
    </row>
    <row r="26" spans="1:22" x14ac:dyDescent="0.25">
      <c r="A26" s="1"/>
      <c r="B26" s="1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33"/>
      <c r="N26" s="133"/>
      <c r="O26" s="2"/>
      <c r="P26" s="133"/>
      <c r="Q26" s="1"/>
      <c r="R26" s="1"/>
    </row>
    <row r="27" spans="1:22" ht="15" customHeight="1" x14ac:dyDescent="0.25">
      <c r="A27" s="1"/>
      <c r="B27" s="1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33"/>
      <c r="N27" s="133"/>
      <c r="O27" s="9"/>
      <c r="P27" s="133"/>
      <c r="Q27" s="1"/>
      <c r="R27" s="1"/>
    </row>
    <row r="28" spans="1:22" x14ac:dyDescent="0.25">
      <c r="A28" s="1"/>
      <c r="B28" s="1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34"/>
      <c r="N28" s="134"/>
      <c r="O28" s="9"/>
      <c r="P28" s="134"/>
      <c r="Q28" s="1"/>
      <c r="R28" s="1"/>
    </row>
    <row r="29" spans="1:22" ht="50.1" customHeight="1" x14ac:dyDescent="0.25">
      <c r="A29" s="1"/>
      <c r="B29" s="1"/>
      <c r="C29" s="82" t="str">
        <f>IF('Phase GPA'!$AT29="IE",'Phase GPA'!$C29,"/")</f>
        <v>/</v>
      </c>
      <c r="D29" s="41" t="str">
        <f>IF($C29="/","",IF($C29="","",IFERROR(IF(ISNA(VLOOKUP($C29,'Phase GPA'!$C$29:'Phase GPA'!$U$58,10,0)), ,VLOOKUP($C29,'Phase GPA'!$C$29:'Phase GPA'!$U$58,10,0)),0)))</f>
        <v/>
      </c>
      <c r="E29" s="42" t="str">
        <f>IF($C29="/","",IF($C29="","",IFERROR(IF(ISNA($D29/VLOOKUP($C29,Données!$C$19:'Données'!$I$48,6,0)), ,$D29/VLOOKUP($C29,Données!$C$19:'Données'!$I$48,6,0)),"/")))</f>
        <v/>
      </c>
      <c r="F29" s="42" t="str">
        <f>IF($C29="/","",IF($C29="","",IFERROR(IF(ISNA($D29/VLOOKUP($C29,Données!$C$19:'Données'!$I$48,7,0)*100), ,$D29/VLOOKUP($C29,Données!$C$19:'Données'!$I$48,7,0)*100),"/")))</f>
        <v/>
      </c>
      <c r="G29" s="41" t="str">
        <f>IF($C29="/","",IF($C29="","",IFERROR(IF(ISNA(VLOOKUP($C29,'Phase GPA'!$C$29:'Phase GPA'!$U$58,11,0)), ,VLOOKUP($C29,'Phase GPA'!$C$29:'Phase GPA'!$U$58,11,0)),0)))</f>
        <v/>
      </c>
      <c r="H29" s="44" t="str">
        <f>IF($C29="/","",IF($C29="","",IFERROR(IF(ISNA(VLOOKUP($C29,'Phase GPA'!$C$29:'Phase GPA'!$U$58,12,0)), ,VLOOKUP($C29,'Phase GPA'!$C$29:'Phase GPA'!$U$58,12,0)),0)))</f>
        <v/>
      </c>
      <c r="I29" s="44" t="str">
        <f>IF($C29="/","",IF($C29="","",IFERROR(IF(ISNA($H29/VLOOKUP($C29,Données!$C$19:'Données'!$I$48,5,0)), ,$H29/VLOOKUP($C29,Données!$C$19:'Données'!$I$48,5,0))*100,0)))</f>
        <v/>
      </c>
      <c r="J29" s="44" t="str">
        <f>IF($C29="/","",IF($C29="","",IFERROR(IF(ISNA($H29/VLOOKUP($C29,Données!$C$19:'Données'!$I$48,6,0)), ,$H29/VLOOKUP($C29,Données!$C$19:'Données'!$I$48,6,0)),"/")))</f>
        <v/>
      </c>
      <c r="K29" s="44" t="str">
        <f>IF($C29="/","",IF($C29="","",IFERROR(IF(ISNA($H29/VLOOKUP($C29,Données!$C$19:'Données'!$I$48,7,0)*100), ,$H29/VLOOKUP($C29,Données!$C$19:'Données'!$I$48,7,0)*100),"/")))</f>
        <v/>
      </c>
      <c r="L29" s="45" t="str">
        <f>IF($C29="/","",IF($D29=0,"/",IF($C29="","",IFERROR(($H29/$D29),0))))</f>
        <v/>
      </c>
      <c r="M29" s="13"/>
      <c r="N29" s="12"/>
      <c r="O29" s="3"/>
      <c r="P29" s="16"/>
      <c r="Q29" s="1"/>
      <c r="R29" s="1"/>
      <c r="S29" s="54">
        <f>IF($C29="","",IFERROR(IF(ISNA(VLOOKUP($C29,Données!$C$19:'Données'!$I$48,6,0)), ,VLOOKUP($C29,Données!$C$19:'Données'!$I$48,6,0)),"/"))</f>
        <v>0</v>
      </c>
      <c r="T29" s="54">
        <f>IF($C29="","",IFERROR(IF(ISNA(VLOOKUP($C29,Données!$C$19:'Données'!$I$48,7,0)), ,VLOOKUP($C29,Données!$C$19:'Données'!$I$48,7,0)),"/"))</f>
        <v>0</v>
      </c>
      <c r="U29" s="54">
        <f>IF($C29="","",IFERROR(IF(ISNA(VLOOKUP($C29,Données!$C$19:'Données'!$I$48,5,0)), ,VLOOKUP($C29,Données!$C$19:'Données'!$I$48,5,0)),"/"))</f>
        <v>0</v>
      </c>
      <c r="V29" s="54" t="str">
        <f>IF($C29="","",IFERROR(IF(ISNA($D29*$G29), ,$D29*$G29),"/"))</f>
        <v>/</v>
      </c>
    </row>
    <row r="30" spans="1:22" ht="50.1" customHeight="1" x14ac:dyDescent="0.25">
      <c r="A30" s="1"/>
      <c r="B30" s="1"/>
      <c r="C30" s="82" t="str">
        <f>IF('Phase GPA'!$AT30="IE",'Phase GPA'!$C30,"/")</f>
        <v>/</v>
      </c>
      <c r="D30" s="41" t="str">
        <f>IF($C30="/","",IF($C30="","",IFERROR(IF(ISNA(VLOOKUP($C30,'Phase GPA'!$C$29:'Phase GPA'!$U$58,10,0)), ,VLOOKUP($C30,'Phase GPA'!$C$29:'Phase GPA'!$U$58,10,0)),0)))</f>
        <v/>
      </c>
      <c r="E30" s="42" t="str">
        <f>IF($C30="/","",IF($C30="","",IFERROR(IF(ISNA($D30/VLOOKUP($C30,Données!$C$19:'Données'!$I$48,6,0)), ,$D30/VLOOKUP($C30,Données!$C$19:'Données'!$I$48,6,0)),"/")))</f>
        <v/>
      </c>
      <c r="F30" s="42" t="str">
        <f>IF($C30="/","",IF($C30="","",IFERROR(IF(ISNA($D30/VLOOKUP($C30,Données!$C$19:'Données'!$I$48,7,0)*100), ,$D30/VLOOKUP($C30,Données!$C$19:'Données'!$I$48,7,0)*100),"/")))</f>
        <v/>
      </c>
      <c r="G30" s="41" t="str">
        <f>IF($C30="/","",IF($C30="","",IFERROR(IF(ISNA(VLOOKUP($C30,'Phase GPA'!$C$29:'Phase GPA'!$U$58,11,0)), ,VLOOKUP($C30,'Phase GPA'!$C$29:'Phase GPA'!$U$58,11,0)),0)))</f>
        <v/>
      </c>
      <c r="H30" s="44" t="str">
        <f>IF($C30="/","",IF($C30="","",IFERROR(IF(ISNA(VLOOKUP($C30,'Phase GPA'!$C$29:'Phase GPA'!$U$58,12,0)), ,VLOOKUP($C30,'Phase GPA'!$C$29:'Phase GPA'!$U$58,12,0)),0)))</f>
        <v/>
      </c>
      <c r="I30" s="44" t="str">
        <f>IF($C30="/","",IF($C30="","",IFERROR(IF(ISNA($H30/VLOOKUP($C30,Données!$C$19:'Données'!$I$48,5,0)), ,$H30/VLOOKUP($C30,Données!$C$19:'Données'!$I$48,5,0))*100,0)))</f>
        <v/>
      </c>
      <c r="J30" s="44" t="str">
        <f>IF($C30="/","",IF($C30="","",IFERROR(IF(ISNA($H30/VLOOKUP($C30,Données!$C$19:'Données'!$I$48,6,0)), ,$H30/VLOOKUP($C30,Données!$C$19:'Données'!$I$48,6,0)),"/")))</f>
        <v/>
      </c>
      <c r="K30" s="44" t="str">
        <f>IF($C30="/","",IF($C30="","",IFERROR(IF(ISNA($H30/VLOOKUP($C30,Données!$C$19:'Données'!$I$48,7,0)*100), ,$H30/VLOOKUP($C30,Données!$C$19:'Données'!$I$48,7,0)*100),"/")))</f>
        <v/>
      </c>
      <c r="L30" s="45" t="str">
        <f t="shared" ref="L30:L53" si="0">IF($C30="/","",IF($D30=0,"/",IF($C30="","",IFERROR(($H30/$D30),0))))</f>
        <v/>
      </c>
      <c r="M30" s="13"/>
      <c r="N30" s="12"/>
      <c r="O30" s="3"/>
      <c r="P30" s="16"/>
      <c r="Q30" s="1"/>
      <c r="R30" s="1"/>
      <c r="S30" s="54">
        <f>IF($C30="","",IFERROR(IF(ISNA(VLOOKUP($C30,Données!$C$19:'Données'!$I$48,6,0)), ,VLOOKUP($C30,Données!$C$19:'Données'!$I$48,6,0)),"/"))</f>
        <v>0</v>
      </c>
      <c r="T30" s="54">
        <f>IF($C30="","",IFERROR(IF(ISNA(VLOOKUP($C30,Données!$C$19:'Données'!$I$48,7,0)), ,VLOOKUP($C30,Données!$C$19:'Données'!$I$48,7,0)),"/"))</f>
        <v>0</v>
      </c>
      <c r="U30" s="54">
        <f>IF($C30="","",IFERROR(IF(ISNA(VLOOKUP($C30,Données!$C$19:'Données'!$I$48,5,0)), ,VLOOKUP($C30,Données!$C$19:'Données'!$I$48,5,0)),"/"))</f>
        <v>0</v>
      </c>
      <c r="V30" s="54" t="str">
        <f>IF($C30="","",IFERROR(IF(ISNA($D30*$G30), ,$D30*$G30),"/"))</f>
        <v>/</v>
      </c>
    </row>
    <row r="31" spans="1:22" ht="50.1" customHeight="1" x14ac:dyDescent="0.25">
      <c r="A31" s="1"/>
      <c r="B31" s="1"/>
      <c r="C31" s="82" t="str">
        <f>IF('Phase GPA'!$AT31="IE",'Phase GPA'!$C31,"/")</f>
        <v>/</v>
      </c>
      <c r="D31" s="41" t="str">
        <f>IF($C31="/","",IF($C31="","",IFERROR(IF(ISNA(VLOOKUP($C31,'Phase GPA'!$C$29:'Phase GPA'!$U$58,10,0)), ,VLOOKUP($C31,'Phase GPA'!$C$29:'Phase GPA'!$U$58,10,0)),0)))</f>
        <v/>
      </c>
      <c r="E31" s="42" t="str">
        <f>IF($C31="/","",IF($C31="","",IFERROR(IF(ISNA($D31/VLOOKUP($C31,Données!$C$19:'Données'!$I$48,6,0)), ,$D31/VLOOKUP($C31,Données!$C$19:'Données'!$I$48,6,0)),"/")))</f>
        <v/>
      </c>
      <c r="F31" s="42" t="str">
        <f>IF($C31="/","",IF($C31="","",IFERROR(IF(ISNA($D31/VLOOKUP($C31,Données!$C$19:'Données'!$I$48,7,0)*100), ,$D31/VLOOKUP($C31,Données!$C$19:'Données'!$I$48,7,0)*100),"/")))</f>
        <v/>
      </c>
      <c r="G31" s="41" t="str">
        <f>IF($C31="/","",IF($C31="","",IFERROR(IF(ISNA(VLOOKUP($C31,'Phase GPA'!$C$29:'Phase GPA'!$U$58,11,0)), ,VLOOKUP($C31,'Phase GPA'!$C$29:'Phase GPA'!$U$58,11,0)),0)))</f>
        <v/>
      </c>
      <c r="H31" s="44" t="str">
        <f>IF($C31="/","",IF($C31="","",IFERROR(IF(ISNA(VLOOKUP($C31,'Phase GPA'!$C$29:'Phase GPA'!$U$58,12,0)), ,VLOOKUP($C31,'Phase GPA'!$C$29:'Phase GPA'!$U$58,12,0)),0)))</f>
        <v/>
      </c>
      <c r="I31" s="44" t="str">
        <f>IF($C31="/","",IF($C31="","",IFERROR(IF(ISNA($H31/VLOOKUP($C31,Données!$C$19:'Données'!$I$48,5,0)), ,$H31/VLOOKUP($C31,Données!$C$19:'Données'!$I$48,5,0))*100,0)))</f>
        <v/>
      </c>
      <c r="J31" s="44" t="str">
        <f>IF($C31="/","",IF($C31="","",IFERROR(IF(ISNA($H31/VLOOKUP($C31,Données!$C$19:'Données'!$I$48,6,0)), ,$H31/VLOOKUP($C31,Données!$C$19:'Données'!$I$48,6,0)),"/")))</f>
        <v/>
      </c>
      <c r="K31" s="44" t="str">
        <f>IF($C31="/","",IF($C31="","",IFERROR(IF(ISNA($H31/VLOOKUP($C31,Données!$C$19:'Données'!$I$48,7,0)*100), ,$H31/VLOOKUP($C31,Données!$C$19:'Données'!$I$48,7,0)*100),"/")))</f>
        <v/>
      </c>
      <c r="L31" s="45" t="str">
        <f t="shared" si="0"/>
        <v/>
      </c>
      <c r="M31" s="13"/>
      <c r="N31" s="12"/>
      <c r="O31" s="3"/>
      <c r="P31" s="16"/>
      <c r="Q31" s="1"/>
      <c r="R31" s="1"/>
      <c r="S31" s="54">
        <f>IF($C31="","",IFERROR(IF(ISNA(VLOOKUP($C31,Données!$C$19:'Données'!$I$48,6,0)), ,VLOOKUP($C31,Données!$C$19:'Données'!$I$48,6,0)),"/"))</f>
        <v>0</v>
      </c>
      <c r="T31" s="54">
        <f>IF($C31="","",IFERROR(IF(ISNA(VLOOKUP($C31,Données!$C$19:'Données'!$I$48,7,0)), ,VLOOKUP($C31,Données!$C$19:'Données'!$I$48,7,0)),"/"))</f>
        <v>0</v>
      </c>
      <c r="U31" s="54">
        <f>IF($C31="","",IFERROR(IF(ISNA(VLOOKUP($C31,Données!$C$19:'Données'!$I$48,5,0)), ,VLOOKUP($C31,Données!$C$19:'Données'!$I$48,5,0)),"/"))</f>
        <v>0</v>
      </c>
      <c r="V31" s="54" t="str">
        <f t="shared" ref="V31:V53" si="1">IF($C31="","",IFERROR(IF(ISNA($D31*$G31), ,$D31*$G31),"/"))</f>
        <v>/</v>
      </c>
    </row>
    <row r="32" spans="1:22" ht="50.1" customHeight="1" x14ac:dyDescent="0.25">
      <c r="A32" s="1"/>
      <c r="B32" s="1"/>
      <c r="C32" s="82" t="str">
        <f>IF('Phase GPA'!$AT32="IE",'Phase GPA'!$C32,"/")</f>
        <v>/</v>
      </c>
      <c r="D32" s="41" t="str">
        <f>IF($C32="/","",IF($C32="","",IFERROR(IF(ISNA(VLOOKUP($C32,'Phase GPA'!$C$29:'Phase GPA'!$U$58,10,0)), ,VLOOKUP($C32,'Phase GPA'!$C$29:'Phase GPA'!$U$58,10,0)),0)))</f>
        <v/>
      </c>
      <c r="E32" s="42" t="str">
        <f>IF($C32="/","",IF($C32="","",IFERROR(IF(ISNA($D32/VLOOKUP($C32,Données!$C$19:'Données'!$I$48,6,0)), ,$D32/VLOOKUP($C32,Données!$C$19:'Données'!$I$48,6,0)),"/")))</f>
        <v/>
      </c>
      <c r="F32" s="42" t="str">
        <f>IF($C32="/","",IF($C32="","",IFERROR(IF(ISNA($D32/VLOOKUP($C32,Données!$C$19:'Données'!$I$48,7,0)*100), ,$D32/VLOOKUP($C32,Données!$C$19:'Données'!$I$48,7,0)*100),"/")))</f>
        <v/>
      </c>
      <c r="G32" s="41" t="str">
        <f>IF($C32="/","",IF($C32="","",IFERROR(IF(ISNA(VLOOKUP($C32,'Phase GPA'!$C$29:'Phase GPA'!$U$58,11,0)), ,VLOOKUP($C32,'Phase GPA'!$C$29:'Phase GPA'!$U$58,11,0)),0)))</f>
        <v/>
      </c>
      <c r="H32" s="44" t="str">
        <f>IF($C32="/","",IF($C32="","",IFERROR(IF(ISNA(VLOOKUP($C32,'Phase GPA'!$C$29:'Phase GPA'!$U$58,12,0)), ,VLOOKUP($C32,'Phase GPA'!$C$29:'Phase GPA'!$U$58,12,0)),0)))</f>
        <v/>
      </c>
      <c r="I32" s="44" t="str">
        <f>IF($C32="/","",IF($C32="","",IFERROR(IF(ISNA($H32/VLOOKUP($C32,Données!$C$19:'Données'!$I$48,5,0)), ,$H32/VLOOKUP($C32,Données!$C$19:'Données'!$I$48,5,0))*100,0)))</f>
        <v/>
      </c>
      <c r="J32" s="44" t="str">
        <f>IF($C32="/","",IF($C32="","",IFERROR(IF(ISNA($H32/VLOOKUP($C32,Données!$C$19:'Données'!$I$48,6,0)), ,$H32/VLOOKUP($C32,Données!$C$19:'Données'!$I$48,6,0)),"/")))</f>
        <v/>
      </c>
      <c r="K32" s="44" t="str">
        <f>IF($C32="/","",IF($C32="","",IFERROR(IF(ISNA($H32/VLOOKUP($C32,Données!$C$19:'Données'!$I$48,7,0)*100), ,$H32/VLOOKUP($C32,Données!$C$19:'Données'!$I$48,7,0)*100),"/")))</f>
        <v/>
      </c>
      <c r="L32" s="45" t="str">
        <f t="shared" si="0"/>
        <v/>
      </c>
      <c r="M32" s="13"/>
      <c r="N32" s="12"/>
      <c r="O32" s="3"/>
      <c r="P32" s="16"/>
      <c r="Q32" s="1"/>
      <c r="R32" s="1"/>
      <c r="S32" s="54">
        <f>IF($C32="","",IFERROR(IF(ISNA(VLOOKUP($C32,Données!$C$19:'Données'!$I$48,6,0)), ,VLOOKUP($C32,Données!$C$19:'Données'!$I$48,6,0)),"/"))</f>
        <v>0</v>
      </c>
      <c r="T32" s="54">
        <f>IF($C32="","",IFERROR(IF(ISNA(VLOOKUP($C32,Données!$C$19:'Données'!$I$48,7,0)), ,VLOOKUP($C32,Données!$C$19:'Données'!$I$48,7,0)),"/"))</f>
        <v>0</v>
      </c>
      <c r="U32" s="54">
        <f>IF($C32="","",IFERROR(IF(ISNA(VLOOKUP($C32,Données!$C$19:'Données'!$I$48,5,0)), ,VLOOKUP($C32,Données!$C$19:'Données'!$I$48,5,0)),"/"))</f>
        <v>0</v>
      </c>
      <c r="V32" s="54" t="str">
        <f t="shared" si="1"/>
        <v>/</v>
      </c>
    </row>
    <row r="33" spans="1:22" ht="50.1" customHeight="1" x14ac:dyDescent="0.25">
      <c r="A33" s="1"/>
      <c r="B33" s="1"/>
      <c r="C33" s="82" t="str">
        <f>IF('Phase GPA'!$AT33="IE",'Phase GPA'!$C33,"/")</f>
        <v>/</v>
      </c>
      <c r="D33" s="41" t="str">
        <f>IF($C33="/","",IF($C33="","",IFERROR(IF(ISNA(VLOOKUP($C33,'Phase GPA'!$C$29:'Phase GPA'!$U$58,10,0)), ,VLOOKUP($C33,'Phase GPA'!$C$29:'Phase GPA'!$U$58,10,0)),0)))</f>
        <v/>
      </c>
      <c r="E33" s="42" t="str">
        <f>IF($C33="/","",IF($C33="","",IFERROR(IF(ISNA($D33/VLOOKUP($C33,Données!$C$19:'Données'!$I$48,6,0)), ,$D33/VLOOKUP($C33,Données!$C$19:'Données'!$I$48,6,0)),"/")))</f>
        <v/>
      </c>
      <c r="F33" s="42" t="str">
        <f>IF($C33="/","",IF($C33="","",IFERROR(IF(ISNA($D33/VLOOKUP($C33,Données!$C$19:'Données'!$I$48,7,0)*100), ,$D33/VLOOKUP($C33,Données!$C$19:'Données'!$I$48,7,0)*100),"/")))</f>
        <v/>
      </c>
      <c r="G33" s="41" t="str">
        <f>IF($C33="/","",IF($C33="","",IFERROR(IF(ISNA(VLOOKUP($C33,'Phase GPA'!$C$29:'Phase GPA'!$U$58,11,0)), ,VLOOKUP($C33,'Phase GPA'!$C$29:'Phase GPA'!$U$58,11,0)),0)))</f>
        <v/>
      </c>
      <c r="H33" s="44" t="str">
        <f>IF($C33="/","",IF($C33="","",IFERROR(IF(ISNA(VLOOKUP($C33,'Phase GPA'!$C$29:'Phase GPA'!$U$58,12,0)), ,VLOOKUP($C33,'Phase GPA'!$C$29:'Phase GPA'!$U$58,12,0)),0)))</f>
        <v/>
      </c>
      <c r="I33" s="44" t="str">
        <f>IF($C33="/","",IF($C33="","",IFERROR(IF(ISNA($H33/VLOOKUP($C33,Données!$C$19:'Données'!$I$48,5,0)), ,$H33/VLOOKUP($C33,Données!$C$19:'Données'!$I$48,5,0))*100,0)))</f>
        <v/>
      </c>
      <c r="J33" s="44" t="str">
        <f>IF($C33="/","",IF($C33="","",IFERROR(IF(ISNA($H33/VLOOKUP($C33,Données!$C$19:'Données'!$I$48,6,0)), ,$H33/VLOOKUP($C33,Données!$C$19:'Données'!$I$48,6,0)),"/")))</f>
        <v/>
      </c>
      <c r="K33" s="44" t="str">
        <f>IF($C33="/","",IF($C33="","",IFERROR(IF(ISNA($H33/VLOOKUP($C33,Données!$C$19:'Données'!$I$48,7,0)*100), ,$H33/VLOOKUP($C33,Données!$C$19:'Données'!$I$48,7,0)*100),"/")))</f>
        <v/>
      </c>
      <c r="L33" s="45" t="str">
        <f t="shared" si="0"/>
        <v/>
      </c>
      <c r="M33" s="13"/>
      <c r="N33" s="12"/>
      <c r="O33" s="3"/>
      <c r="P33" s="16"/>
      <c r="Q33" s="1"/>
      <c r="R33" s="1"/>
      <c r="S33" s="54">
        <f>IF($C33="","",IFERROR(IF(ISNA(VLOOKUP($C33,Données!$C$19:'Données'!$I$48,6,0)), ,VLOOKUP($C33,Données!$C$19:'Données'!$I$48,6,0)),"/"))</f>
        <v>0</v>
      </c>
      <c r="T33" s="54">
        <f>IF($C33="","",IFERROR(IF(ISNA(VLOOKUP($C33,Données!$C$19:'Données'!$I$48,7,0)), ,VLOOKUP($C33,Données!$C$19:'Données'!$I$48,7,0)),"/"))</f>
        <v>0</v>
      </c>
      <c r="U33" s="54">
        <f>IF($C33="","",IFERROR(IF(ISNA(VLOOKUP($C33,Données!$C$19:'Données'!$I$48,5,0)), ,VLOOKUP($C33,Données!$C$19:'Données'!$I$48,5,0)),"/"))</f>
        <v>0</v>
      </c>
      <c r="V33" s="54" t="str">
        <f t="shared" si="1"/>
        <v>/</v>
      </c>
    </row>
    <row r="34" spans="1:22" ht="50.1" customHeight="1" x14ac:dyDescent="0.25">
      <c r="A34" s="1"/>
      <c r="B34" s="1"/>
      <c r="C34" s="82" t="str">
        <f>IF('Phase GPA'!$AT34="IE",'Phase GPA'!$C34,"/")</f>
        <v>/</v>
      </c>
      <c r="D34" s="41" t="str">
        <f>IF($C34="/","",IF($C34="","",IFERROR(IF(ISNA(VLOOKUP($C34,'Phase GPA'!$C$29:'Phase GPA'!$U$58,10,0)), ,VLOOKUP($C34,'Phase GPA'!$C$29:'Phase GPA'!$U$58,10,0)),0)))</f>
        <v/>
      </c>
      <c r="E34" s="42" t="str">
        <f>IF($C34="/","",IF($C34="","",IFERROR(IF(ISNA($D34/VLOOKUP($C34,Données!$C$19:'Données'!$I$48,6,0)), ,$D34/VLOOKUP($C34,Données!$C$19:'Données'!$I$48,6,0)),"/")))</f>
        <v/>
      </c>
      <c r="F34" s="42" t="str">
        <f>IF($C34="/","",IF($C34="","",IFERROR(IF(ISNA($D34/VLOOKUP($C34,Données!$C$19:'Données'!$I$48,7,0)*100), ,$D34/VLOOKUP($C34,Données!$C$19:'Données'!$I$48,7,0)*100),"/")))</f>
        <v/>
      </c>
      <c r="G34" s="41" t="str">
        <f>IF($C34="/","",IF($C34="","",IFERROR(IF(ISNA(VLOOKUP($C34,'Phase GPA'!$C$29:'Phase GPA'!$U$58,11,0)), ,VLOOKUP($C34,'Phase GPA'!$C$29:'Phase GPA'!$U$58,11,0)),0)))</f>
        <v/>
      </c>
      <c r="H34" s="44" t="str">
        <f>IF($C34="/","",IF($C34="","",IFERROR(IF(ISNA(VLOOKUP($C34,'Phase GPA'!$C$29:'Phase GPA'!$U$58,12,0)), ,VLOOKUP($C34,'Phase GPA'!$C$29:'Phase GPA'!$U$58,12,0)),0)))</f>
        <v/>
      </c>
      <c r="I34" s="44" t="str">
        <f>IF($C34="/","",IF($C34="","",IFERROR(IF(ISNA($H34/VLOOKUP($C34,Données!$C$19:'Données'!$I$48,5,0)), ,$H34/VLOOKUP($C34,Données!$C$19:'Données'!$I$48,5,0))*100,0)))</f>
        <v/>
      </c>
      <c r="J34" s="44" t="str">
        <f>IF($C34="/","",IF($C34="","",IFERROR(IF(ISNA($H34/VLOOKUP($C34,Données!$C$19:'Données'!$I$48,6,0)), ,$H34/VLOOKUP($C34,Données!$C$19:'Données'!$I$48,6,0)),"/")))</f>
        <v/>
      </c>
      <c r="K34" s="44" t="str">
        <f>IF($C34="/","",IF($C34="","",IFERROR(IF(ISNA($H34/VLOOKUP($C34,Données!$C$19:'Données'!$I$48,7,0)*100), ,$H34/VLOOKUP($C34,Données!$C$19:'Données'!$I$48,7,0)*100),"/")))</f>
        <v/>
      </c>
      <c r="L34" s="45" t="str">
        <f t="shared" si="0"/>
        <v/>
      </c>
      <c r="M34" s="13"/>
      <c r="N34" s="12"/>
      <c r="O34" s="3"/>
      <c r="P34" s="16"/>
      <c r="Q34" s="1"/>
      <c r="R34" s="1"/>
      <c r="S34" s="54">
        <f>IF($C34="","",IFERROR(IF(ISNA(VLOOKUP($C34,Données!$C$19:'Données'!$I$48,6,0)), ,VLOOKUP($C34,Données!$C$19:'Données'!$I$48,6,0)),"/"))</f>
        <v>0</v>
      </c>
      <c r="T34" s="54">
        <f>IF($C34="","",IFERROR(IF(ISNA(VLOOKUP($C34,Données!$C$19:'Données'!$I$48,7,0)), ,VLOOKUP($C34,Données!$C$19:'Données'!$I$48,7,0)),"/"))</f>
        <v>0</v>
      </c>
      <c r="U34" s="54">
        <f>IF($C34="","",IFERROR(IF(ISNA(VLOOKUP($C34,Données!$C$19:'Données'!$I$48,5,0)), ,VLOOKUP($C34,Données!$C$19:'Données'!$I$48,5,0)),"/"))</f>
        <v>0</v>
      </c>
      <c r="V34" s="54" t="str">
        <f t="shared" si="1"/>
        <v>/</v>
      </c>
    </row>
    <row r="35" spans="1:22" ht="50.1" customHeight="1" x14ac:dyDescent="0.25">
      <c r="A35" s="1"/>
      <c r="B35" s="1"/>
      <c r="C35" s="82" t="str">
        <f>IF('Phase GPA'!$AT35="IE",'Phase GPA'!$C35,"/")</f>
        <v>/</v>
      </c>
      <c r="D35" s="41" t="str">
        <f>IF($C35="/","",IF($C35="","",IFERROR(IF(ISNA(VLOOKUP($C35,'Phase GPA'!$C$29:'Phase GPA'!$U$58,10,0)), ,VLOOKUP($C35,'Phase GPA'!$C$29:'Phase GPA'!$U$58,10,0)),0)))</f>
        <v/>
      </c>
      <c r="E35" s="42" t="str">
        <f>IF($C35="/","",IF($C35="","",IFERROR(IF(ISNA($D35/VLOOKUP($C35,Données!$C$19:'Données'!$I$48,6,0)), ,$D35/VLOOKUP($C35,Données!$C$19:'Données'!$I$48,6,0)),"/")))</f>
        <v/>
      </c>
      <c r="F35" s="42" t="str">
        <f>IF($C35="/","",IF($C35="","",IFERROR(IF(ISNA($D35/VLOOKUP($C35,Données!$C$19:'Données'!$I$48,7,0)*100), ,$D35/VLOOKUP($C35,Données!$C$19:'Données'!$I$48,7,0)*100),"/")))</f>
        <v/>
      </c>
      <c r="G35" s="41" t="str">
        <f>IF($C35="/","",IF($C35="","",IFERROR(IF(ISNA(VLOOKUP($C35,'Phase GPA'!$C$29:'Phase GPA'!$U$58,11,0)), ,VLOOKUP($C35,'Phase GPA'!$C$29:'Phase GPA'!$U$58,11,0)),0)))</f>
        <v/>
      </c>
      <c r="H35" s="44" t="str">
        <f>IF($C35="/","",IF($C35="","",IFERROR(IF(ISNA(VLOOKUP($C35,'Phase GPA'!$C$29:'Phase GPA'!$U$58,12,0)), ,VLOOKUP($C35,'Phase GPA'!$C$29:'Phase GPA'!$U$58,12,0)),0)))</f>
        <v/>
      </c>
      <c r="I35" s="44" t="str">
        <f>IF($C35="/","",IF($C35="","",IFERROR(IF(ISNA($H35/VLOOKUP($C35,Données!$C$19:'Données'!$I$48,5,0)), ,$H35/VLOOKUP($C35,Données!$C$19:'Données'!$I$48,5,0))*100,0)))</f>
        <v/>
      </c>
      <c r="J35" s="44" t="str">
        <f>IF($C35="/","",IF($C35="","",IFERROR(IF(ISNA($H35/VLOOKUP($C35,Données!$C$19:'Données'!$I$48,6,0)), ,$H35/VLOOKUP($C35,Données!$C$19:'Données'!$I$48,6,0)),"/")))</f>
        <v/>
      </c>
      <c r="K35" s="44" t="str">
        <f>IF($C35="/","",IF($C35="","",IFERROR(IF(ISNA($H35/VLOOKUP($C35,Données!$C$19:'Données'!$I$48,7,0)*100), ,$H35/VLOOKUP($C35,Données!$C$19:'Données'!$I$48,7,0)*100),"/")))</f>
        <v/>
      </c>
      <c r="L35" s="45" t="str">
        <f t="shared" si="0"/>
        <v/>
      </c>
      <c r="M35" s="13"/>
      <c r="N35" s="12"/>
      <c r="O35" s="3"/>
      <c r="P35" s="16"/>
      <c r="Q35" s="1"/>
      <c r="R35" s="1"/>
      <c r="S35" s="54">
        <f>IF($C35="","",IFERROR(IF(ISNA(VLOOKUP($C35,Données!$C$19:'Données'!$I$48,6,0)), ,VLOOKUP($C35,Données!$C$19:'Données'!$I$48,6,0)),"/"))</f>
        <v>0</v>
      </c>
      <c r="T35" s="54">
        <f>IF($C35="","",IFERROR(IF(ISNA(VLOOKUP($C35,Données!$C$19:'Données'!$I$48,7,0)), ,VLOOKUP($C35,Données!$C$19:'Données'!$I$48,7,0)),"/"))</f>
        <v>0</v>
      </c>
      <c r="U35" s="54">
        <f>IF($C35="","",IFERROR(IF(ISNA(VLOOKUP($C35,Données!$C$19:'Données'!$I$48,5,0)), ,VLOOKUP($C35,Données!$C$19:'Données'!$I$48,5,0)),"/"))</f>
        <v>0</v>
      </c>
      <c r="V35" s="54" t="str">
        <f t="shared" si="1"/>
        <v>/</v>
      </c>
    </row>
    <row r="36" spans="1:22" ht="50.1" customHeight="1" x14ac:dyDescent="0.25">
      <c r="A36" s="1"/>
      <c r="B36" s="1"/>
      <c r="C36" s="82" t="str">
        <f>IF('Phase GPA'!$AT36="IE",'Phase GPA'!$C36,"/")</f>
        <v>/</v>
      </c>
      <c r="D36" s="41" t="str">
        <f>IF($C36="/","",IF($C36="","",IFERROR(IF(ISNA(VLOOKUP($C36,'Phase GPA'!$C$29:'Phase GPA'!$U$58,10,0)), ,VLOOKUP($C36,'Phase GPA'!$C$29:'Phase GPA'!$U$58,10,0)),0)))</f>
        <v/>
      </c>
      <c r="E36" s="42" t="str">
        <f>IF($C36="/","",IF($C36="","",IFERROR(IF(ISNA($D36/VLOOKUP($C36,Données!$C$19:'Données'!$I$48,6,0)), ,$D36/VLOOKUP($C36,Données!$C$19:'Données'!$I$48,6,0)),"/")))</f>
        <v/>
      </c>
      <c r="F36" s="42" t="str">
        <f>IF($C36="/","",IF($C36="","",IFERROR(IF(ISNA($D36/VLOOKUP($C36,Données!$C$19:'Données'!$I$48,7,0)*100), ,$D36/VLOOKUP($C36,Données!$C$19:'Données'!$I$48,7,0)*100),"/")))</f>
        <v/>
      </c>
      <c r="G36" s="41" t="str">
        <f>IF($C36="/","",IF($C36="","",IFERROR(IF(ISNA(VLOOKUP($C36,'Phase GPA'!$C$29:'Phase GPA'!$U$58,11,0)), ,VLOOKUP($C36,'Phase GPA'!$C$29:'Phase GPA'!$U$58,11,0)),0)))</f>
        <v/>
      </c>
      <c r="H36" s="44" t="str">
        <f>IF($C36="/","",IF($C36="","",IFERROR(IF(ISNA(VLOOKUP($C36,'Phase GPA'!$C$29:'Phase GPA'!$U$58,12,0)), ,VLOOKUP($C36,'Phase GPA'!$C$29:'Phase GPA'!$U$58,12,0)),0)))</f>
        <v/>
      </c>
      <c r="I36" s="44" t="str">
        <f>IF($C36="/","",IF($C36="","",IFERROR(IF(ISNA($H36/VLOOKUP($C36,Données!$C$19:'Données'!$I$48,5,0)), ,$H36/VLOOKUP($C36,Données!$C$19:'Données'!$I$48,5,0))*100,0)))</f>
        <v/>
      </c>
      <c r="J36" s="44" t="str">
        <f>IF($C36="/","",IF($C36="","",IFERROR(IF(ISNA($H36/VLOOKUP($C36,Données!$C$19:'Données'!$I$48,6,0)), ,$H36/VLOOKUP($C36,Données!$C$19:'Données'!$I$48,6,0)),"/")))</f>
        <v/>
      </c>
      <c r="K36" s="44" t="str">
        <f>IF($C36="/","",IF($C36="","",IFERROR(IF(ISNA($H36/VLOOKUP($C36,Données!$C$19:'Données'!$I$48,7,0)*100), ,$H36/VLOOKUP($C36,Données!$C$19:'Données'!$I$48,7,0)*100),"/")))</f>
        <v/>
      </c>
      <c r="L36" s="45" t="str">
        <f t="shared" si="0"/>
        <v/>
      </c>
      <c r="M36" s="13"/>
      <c r="N36" s="12"/>
      <c r="O36" s="3"/>
      <c r="P36" s="16"/>
      <c r="Q36" s="1"/>
      <c r="R36" s="1"/>
      <c r="S36" s="54">
        <f>IF($C36="","",IFERROR(IF(ISNA(VLOOKUP($C36,Données!$C$19:'Données'!$I$48,6,0)), ,VLOOKUP($C36,Données!$C$19:'Données'!$I$48,6,0)),"/"))</f>
        <v>0</v>
      </c>
      <c r="T36" s="54">
        <f>IF($C36="","",IFERROR(IF(ISNA(VLOOKUP($C36,Données!$C$19:'Données'!$I$48,7,0)), ,VLOOKUP($C36,Données!$C$19:'Données'!$I$48,7,0)),"/"))</f>
        <v>0</v>
      </c>
      <c r="U36" s="54">
        <f>IF($C36="","",IFERROR(IF(ISNA(VLOOKUP($C36,Données!$C$19:'Données'!$I$48,5,0)), ,VLOOKUP($C36,Données!$C$19:'Données'!$I$48,5,0)),"/"))</f>
        <v>0</v>
      </c>
      <c r="V36" s="54" t="str">
        <f t="shared" si="1"/>
        <v>/</v>
      </c>
    </row>
    <row r="37" spans="1:22" ht="50.1" customHeight="1" x14ac:dyDescent="0.25">
      <c r="A37" s="1"/>
      <c r="B37" s="1"/>
      <c r="C37" s="82" t="str">
        <f>IF('Phase GPA'!$AT37="IE",'Phase GPA'!$C37,"/")</f>
        <v>/</v>
      </c>
      <c r="D37" s="41" t="str">
        <f>IF($C37="/","",IF($C37="","",IFERROR(IF(ISNA(VLOOKUP($C37,'Phase GPA'!$C$29:'Phase GPA'!$U$58,10,0)), ,VLOOKUP($C37,'Phase GPA'!$C$29:'Phase GPA'!$U$58,10,0)),0)))</f>
        <v/>
      </c>
      <c r="E37" s="42" t="str">
        <f>IF($C37="/","",IF($C37="","",IFERROR(IF(ISNA($D37/VLOOKUP($C37,Données!$C$19:'Données'!$I$48,6,0)), ,$D37/VLOOKUP($C37,Données!$C$19:'Données'!$I$48,6,0)),"/")))</f>
        <v/>
      </c>
      <c r="F37" s="42" t="str">
        <f>IF($C37="/","",IF($C37="","",IFERROR(IF(ISNA($D37/VLOOKUP($C37,Données!$C$19:'Données'!$I$48,7,0)*100), ,$D37/VLOOKUP($C37,Données!$C$19:'Données'!$I$48,7,0)*100),"/")))</f>
        <v/>
      </c>
      <c r="G37" s="41" t="str">
        <f>IF($C37="/","",IF($C37="","",IFERROR(IF(ISNA(VLOOKUP($C37,'Phase GPA'!$C$29:'Phase GPA'!$U$58,11,0)), ,VLOOKUP($C37,'Phase GPA'!$C$29:'Phase GPA'!$U$58,11,0)),0)))</f>
        <v/>
      </c>
      <c r="H37" s="44" t="str">
        <f>IF($C37="/","",IF($C37="","",IFERROR(IF(ISNA(VLOOKUP($C37,'Phase GPA'!$C$29:'Phase GPA'!$U$58,12,0)), ,VLOOKUP($C37,'Phase GPA'!$C$29:'Phase GPA'!$U$58,12,0)),0)))</f>
        <v/>
      </c>
      <c r="I37" s="44" t="str">
        <f>IF($C37="/","",IF($C37="","",IFERROR(IF(ISNA($H37/VLOOKUP($C37,Données!$C$19:'Données'!$I$48,5,0)), ,$H37/VLOOKUP($C37,Données!$C$19:'Données'!$I$48,5,0))*100,0)))</f>
        <v/>
      </c>
      <c r="J37" s="44" t="str">
        <f>IF($C37="/","",IF($C37="","",IFERROR(IF(ISNA($H37/VLOOKUP($C37,Données!$C$19:'Données'!$I$48,6,0)), ,$H37/VLOOKUP($C37,Données!$C$19:'Données'!$I$48,6,0)),"/")))</f>
        <v/>
      </c>
      <c r="K37" s="44" t="str">
        <f>IF($C37="/","",IF($C37="","",IFERROR(IF(ISNA($H37/VLOOKUP($C37,Données!$C$19:'Données'!$I$48,7,0)*100), ,$H37/VLOOKUP($C37,Données!$C$19:'Données'!$I$48,7,0)*100),"/")))</f>
        <v/>
      </c>
      <c r="L37" s="45" t="str">
        <f t="shared" si="0"/>
        <v/>
      </c>
      <c r="M37" s="13"/>
      <c r="N37" s="12"/>
      <c r="O37" s="3"/>
      <c r="P37" s="16"/>
      <c r="Q37" s="1"/>
      <c r="R37" s="1"/>
      <c r="S37" s="54">
        <f>IF($C37="","",IFERROR(IF(ISNA(VLOOKUP($C37,Données!$C$19:'Données'!$I$48,6,0)), ,VLOOKUP($C37,Données!$C$19:'Données'!$I$48,6,0)),"/"))</f>
        <v>0</v>
      </c>
      <c r="T37" s="54">
        <f>IF($C37="","",IFERROR(IF(ISNA(VLOOKUP($C37,Données!$C$19:'Données'!$I$48,7,0)), ,VLOOKUP($C37,Données!$C$19:'Données'!$I$48,7,0)),"/"))</f>
        <v>0</v>
      </c>
      <c r="U37" s="54">
        <f>IF($C37="","",IFERROR(IF(ISNA(VLOOKUP($C37,Données!$C$19:'Données'!$I$48,5,0)), ,VLOOKUP($C37,Données!$C$19:'Données'!$I$48,5,0)),"/"))</f>
        <v>0</v>
      </c>
      <c r="V37" s="54" t="str">
        <f t="shared" si="1"/>
        <v>/</v>
      </c>
    </row>
    <row r="38" spans="1:22" ht="50.1" customHeight="1" x14ac:dyDescent="0.25">
      <c r="A38" s="1"/>
      <c r="B38" s="1"/>
      <c r="C38" s="82" t="str">
        <f>IF('Phase GPA'!$AT38="IE",'Phase GPA'!$C38,"/")</f>
        <v>/</v>
      </c>
      <c r="D38" s="41" t="str">
        <f>IF($C38="/","",IF($C38="","",IFERROR(IF(ISNA(VLOOKUP($C38,'Phase GPA'!$C$29:'Phase GPA'!$U$58,10,0)), ,VLOOKUP($C38,'Phase GPA'!$C$29:'Phase GPA'!$U$58,10,0)),0)))</f>
        <v/>
      </c>
      <c r="E38" s="42" t="str">
        <f>IF($C38="/","",IF($C38="","",IFERROR(IF(ISNA($D38/VLOOKUP($C38,Données!$C$19:'Données'!$I$48,6,0)), ,$D38/VLOOKUP($C38,Données!$C$19:'Données'!$I$48,6,0)),"/")))</f>
        <v/>
      </c>
      <c r="F38" s="42" t="str">
        <f>IF($C38="/","",IF($C38="","",IFERROR(IF(ISNA($D38/VLOOKUP($C38,Données!$C$19:'Données'!$I$48,7,0)*100), ,$D38/VLOOKUP($C38,Données!$C$19:'Données'!$I$48,7,0)*100),"/")))</f>
        <v/>
      </c>
      <c r="G38" s="41" t="str">
        <f>IF($C38="/","",IF($C38="","",IFERROR(IF(ISNA(VLOOKUP($C38,'Phase GPA'!$C$29:'Phase GPA'!$U$58,11,0)), ,VLOOKUP($C38,'Phase GPA'!$C$29:'Phase GPA'!$U$58,11,0)),0)))</f>
        <v/>
      </c>
      <c r="H38" s="44" t="str">
        <f>IF($C38="/","",IF($C38="","",IFERROR(IF(ISNA(VLOOKUP($C38,'Phase GPA'!$C$29:'Phase GPA'!$U$58,12,0)), ,VLOOKUP($C38,'Phase GPA'!$C$29:'Phase GPA'!$U$58,12,0)),0)))</f>
        <v/>
      </c>
      <c r="I38" s="44" t="str">
        <f>IF($C38="/","",IF($C38="","",IFERROR(IF(ISNA($H38/VLOOKUP($C38,Données!$C$19:'Données'!$I$48,5,0)), ,$H38/VLOOKUP($C38,Données!$C$19:'Données'!$I$48,5,0))*100,0)))</f>
        <v/>
      </c>
      <c r="J38" s="44" t="str">
        <f>IF($C38="/","",IF($C38="","",IFERROR(IF(ISNA($H38/VLOOKUP($C38,Données!$C$19:'Données'!$I$48,6,0)), ,$H38/VLOOKUP($C38,Données!$C$19:'Données'!$I$48,6,0)),"/")))</f>
        <v/>
      </c>
      <c r="K38" s="44" t="str">
        <f>IF($C38="/","",IF($C38="","",IFERROR(IF(ISNA($H38/VLOOKUP($C38,Données!$C$19:'Données'!$I$48,7,0)*100), ,$H38/VLOOKUP($C38,Données!$C$19:'Données'!$I$48,7,0)*100),"/")))</f>
        <v/>
      </c>
      <c r="L38" s="45" t="str">
        <f t="shared" si="0"/>
        <v/>
      </c>
      <c r="M38" s="13"/>
      <c r="N38" s="12"/>
      <c r="O38" s="3"/>
      <c r="P38" s="16"/>
      <c r="Q38" s="1"/>
      <c r="R38" s="1"/>
      <c r="S38" s="54">
        <f>IF($C38="","",IFERROR(IF(ISNA(VLOOKUP($C38,Données!$C$19:'Données'!$I$48,6,0)), ,VLOOKUP($C38,Données!$C$19:'Données'!$I$48,6,0)),"/"))</f>
        <v>0</v>
      </c>
      <c r="T38" s="54">
        <f>IF($C38="","",IFERROR(IF(ISNA(VLOOKUP($C38,Données!$C$19:'Données'!$I$48,7,0)), ,VLOOKUP($C38,Données!$C$19:'Données'!$I$48,7,0)),"/"))</f>
        <v>0</v>
      </c>
      <c r="U38" s="54">
        <f>IF($C38="","",IFERROR(IF(ISNA(VLOOKUP($C38,Données!$C$19:'Données'!$I$48,5,0)), ,VLOOKUP($C38,Données!$C$19:'Données'!$I$48,5,0)),"/"))</f>
        <v>0</v>
      </c>
      <c r="V38" s="54" t="str">
        <f t="shared" si="1"/>
        <v>/</v>
      </c>
    </row>
    <row r="39" spans="1:22" ht="50.1" customHeight="1" x14ac:dyDescent="0.25">
      <c r="A39" s="1"/>
      <c r="B39" s="1"/>
      <c r="C39" s="82" t="str">
        <f>IF('Phase GPA'!$AT39="IE",'Phase GPA'!$C39,"/")</f>
        <v>/</v>
      </c>
      <c r="D39" s="41" t="str">
        <f>IF($C39="/","",IF($C39="","",IFERROR(IF(ISNA(VLOOKUP($C39,'Phase GPA'!$C$29:'Phase GPA'!$U$58,10,0)), ,VLOOKUP($C39,'Phase GPA'!$C$29:'Phase GPA'!$U$58,10,0)),0)))</f>
        <v/>
      </c>
      <c r="E39" s="42" t="str">
        <f>IF($C39="/","",IF($C39="","",IFERROR(IF(ISNA($D39/VLOOKUP($C39,Données!$C$19:'Données'!$I$48,6,0)), ,$D39/VLOOKUP($C39,Données!$C$19:'Données'!$I$48,6,0)),"/")))</f>
        <v/>
      </c>
      <c r="F39" s="42" t="str">
        <f>IF($C39="/","",IF($C39="","",IFERROR(IF(ISNA($D39/VLOOKUP($C39,Données!$C$19:'Données'!$I$48,7,0)*100), ,$D39/VLOOKUP($C39,Données!$C$19:'Données'!$I$48,7,0)*100),"/")))</f>
        <v/>
      </c>
      <c r="G39" s="41" t="str">
        <f>IF($C39="/","",IF($C39="","",IFERROR(IF(ISNA(VLOOKUP($C39,'Phase GPA'!$C$29:'Phase GPA'!$U$58,11,0)), ,VLOOKUP($C39,'Phase GPA'!$C$29:'Phase GPA'!$U$58,11,0)),0)))</f>
        <v/>
      </c>
      <c r="H39" s="44" t="str">
        <f>IF($C39="/","",IF($C39="","",IFERROR(IF(ISNA(VLOOKUP($C39,'Phase GPA'!$C$29:'Phase GPA'!$U$58,12,0)), ,VLOOKUP($C39,'Phase GPA'!$C$29:'Phase GPA'!$U$58,12,0)),0)))</f>
        <v/>
      </c>
      <c r="I39" s="44" t="str">
        <f>IF($C39="/","",IF($C39="","",IFERROR(IF(ISNA($H39/VLOOKUP($C39,Données!$C$19:'Données'!$I$48,5,0)), ,$H39/VLOOKUP($C39,Données!$C$19:'Données'!$I$48,5,0))*100,0)))</f>
        <v/>
      </c>
      <c r="J39" s="44" t="str">
        <f>IF($C39="/","",IF($C39="","",IFERROR(IF(ISNA($H39/VLOOKUP($C39,Données!$C$19:'Données'!$I$48,6,0)), ,$H39/VLOOKUP($C39,Données!$C$19:'Données'!$I$48,6,0)),"/")))</f>
        <v/>
      </c>
      <c r="K39" s="44" t="str">
        <f>IF($C39="/","",IF($C39="","",IFERROR(IF(ISNA($H39/VLOOKUP($C39,Données!$C$19:'Données'!$I$48,7,0)*100), ,$H39/VLOOKUP($C39,Données!$C$19:'Données'!$I$48,7,0)*100),"/")))</f>
        <v/>
      </c>
      <c r="L39" s="45" t="str">
        <f t="shared" si="0"/>
        <v/>
      </c>
      <c r="M39" s="13"/>
      <c r="N39" s="12"/>
      <c r="O39" s="3"/>
      <c r="P39" s="16"/>
      <c r="Q39" s="1"/>
      <c r="R39" s="1"/>
      <c r="S39" s="54">
        <f>IF($C39="","",IFERROR(IF(ISNA(VLOOKUP($C39,Données!$C$19:'Données'!$I$48,6,0)), ,VLOOKUP($C39,Données!$C$19:'Données'!$I$48,6,0)),"/"))</f>
        <v>0</v>
      </c>
      <c r="T39" s="54">
        <f>IF($C39="","",IFERROR(IF(ISNA(VLOOKUP($C39,Données!$C$19:'Données'!$I$48,7,0)), ,VLOOKUP($C39,Données!$C$19:'Données'!$I$48,7,0)),"/"))</f>
        <v>0</v>
      </c>
      <c r="U39" s="54">
        <f>IF($C39="","",IFERROR(IF(ISNA(VLOOKUP($C39,Données!$C$19:'Données'!$I$48,5,0)), ,VLOOKUP($C39,Données!$C$19:'Données'!$I$48,5,0)),"/"))</f>
        <v>0</v>
      </c>
      <c r="V39" s="54" t="str">
        <f t="shared" si="1"/>
        <v>/</v>
      </c>
    </row>
    <row r="40" spans="1:22" ht="50.1" customHeight="1" x14ac:dyDescent="0.25">
      <c r="A40" s="1"/>
      <c r="B40" s="1"/>
      <c r="C40" s="82" t="str">
        <f>IF('Phase GPA'!$AT40="IE",'Phase GPA'!$C40,"/")</f>
        <v>/</v>
      </c>
      <c r="D40" s="41" t="str">
        <f>IF($C40="/","",IF($C40="","",IFERROR(IF(ISNA(VLOOKUP($C40,'Phase GPA'!$C$29:'Phase GPA'!$U$58,10,0)), ,VLOOKUP($C40,'Phase GPA'!$C$29:'Phase GPA'!$U$58,10,0)),0)))</f>
        <v/>
      </c>
      <c r="E40" s="42" t="str">
        <f>IF($C40="/","",IF($C40="","",IFERROR(IF(ISNA($D40/VLOOKUP($C40,Données!$C$19:'Données'!$I$48,6,0)), ,$D40/VLOOKUP($C40,Données!$C$19:'Données'!$I$48,6,0)),"/")))</f>
        <v/>
      </c>
      <c r="F40" s="42" t="str">
        <f>IF($C40="/","",IF($C40="","",IFERROR(IF(ISNA($D40/VLOOKUP($C40,Données!$C$19:'Données'!$I$48,7,0)*100), ,$D40/VLOOKUP($C40,Données!$C$19:'Données'!$I$48,7,0)*100),"/")))</f>
        <v/>
      </c>
      <c r="G40" s="41" t="str">
        <f>IF($C40="/","",IF($C40="","",IFERROR(IF(ISNA(VLOOKUP($C40,'Phase GPA'!$C$29:'Phase GPA'!$U$58,11,0)), ,VLOOKUP($C40,'Phase GPA'!$C$29:'Phase GPA'!$U$58,11,0)),0)))</f>
        <v/>
      </c>
      <c r="H40" s="44" t="str">
        <f>IF($C40="/","",IF($C40="","",IFERROR(IF(ISNA(VLOOKUP($C40,'Phase GPA'!$C$29:'Phase GPA'!$U$58,12,0)), ,VLOOKUP($C40,'Phase GPA'!$C$29:'Phase GPA'!$U$58,12,0)),0)))</f>
        <v/>
      </c>
      <c r="I40" s="44" t="str">
        <f>IF($C40="/","",IF($C40="","",IFERROR(IF(ISNA($H40/VLOOKUP($C40,Données!$C$19:'Données'!$I$48,5,0)), ,$H40/VLOOKUP($C40,Données!$C$19:'Données'!$I$48,5,0))*100,0)))</f>
        <v/>
      </c>
      <c r="J40" s="44" t="str">
        <f>IF($C40="/","",IF($C40="","",IFERROR(IF(ISNA($H40/VLOOKUP($C40,Données!$C$19:'Données'!$I$48,6,0)), ,$H40/VLOOKUP($C40,Données!$C$19:'Données'!$I$48,6,0)),"/")))</f>
        <v/>
      </c>
      <c r="K40" s="44" t="str">
        <f>IF($C40="/","",IF($C40="","",IFERROR(IF(ISNA($H40/VLOOKUP($C40,Données!$C$19:'Données'!$I$48,7,0)*100), ,$H40/VLOOKUP($C40,Données!$C$19:'Données'!$I$48,7,0)*100),"/")))</f>
        <v/>
      </c>
      <c r="L40" s="45" t="str">
        <f t="shared" si="0"/>
        <v/>
      </c>
      <c r="M40" s="13"/>
      <c r="N40" s="12"/>
      <c r="O40" s="3"/>
      <c r="P40" s="16"/>
      <c r="Q40" s="1"/>
      <c r="R40" s="1"/>
      <c r="S40" s="54">
        <f>IF($C40="","",IFERROR(IF(ISNA(VLOOKUP($C40,Données!$C$19:'Données'!$I$48,6,0)), ,VLOOKUP($C40,Données!$C$19:'Données'!$I$48,6,0)),"/"))</f>
        <v>0</v>
      </c>
      <c r="T40" s="54">
        <f>IF($C40="","",IFERROR(IF(ISNA(VLOOKUP($C40,Données!$C$19:'Données'!$I$48,7,0)), ,VLOOKUP($C40,Données!$C$19:'Données'!$I$48,7,0)),"/"))</f>
        <v>0</v>
      </c>
      <c r="U40" s="54">
        <f>IF($C40="","",IFERROR(IF(ISNA(VLOOKUP($C40,Données!$C$19:'Données'!$I$48,5,0)), ,VLOOKUP($C40,Données!$C$19:'Données'!$I$48,5,0)),"/"))</f>
        <v>0</v>
      </c>
      <c r="V40" s="54" t="str">
        <f t="shared" si="1"/>
        <v>/</v>
      </c>
    </row>
    <row r="41" spans="1:22" ht="50.1" customHeight="1" x14ac:dyDescent="0.25">
      <c r="A41" s="1"/>
      <c r="B41" s="1"/>
      <c r="C41" s="82" t="str">
        <f>IF('Phase GPA'!$AT41="IE",'Phase GPA'!$C41,"/")</f>
        <v>/</v>
      </c>
      <c r="D41" s="41" t="str">
        <f>IF($C41="/","",IF($C41="","",IFERROR(IF(ISNA(VLOOKUP($C41,'Phase GPA'!$C$29:'Phase GPA'!$U$58,10,0)), ,VLOOKUP($C41,'Phase GPA'!$C$29:'Phase GPA'!$U$58,10,0)),0)))</f>
        <v/>
      </c>
      <c r="E41" s="42" t="str">
        <f>IF($C41="/","",IF($C41="","",IFERROR(IF(ISNA($D41/VLOOKUP($C41,Données!$C$19:'Données'!$I$48,6,0)), ,$D41/VLOOKUP($C41,Données!$C$19:'Données'!$I$48,6,0)),"/")))</f>
        <v/>
      </c>
      <c r="F41" s="42" t="str">
        <f>IF($C41="/","",IF($C41="","",IFERROR(IF(ISNA($D41/VLOOKUP($C41,Données!$C$19:'Données'!$I$48,7,0)*100), ,$D41/VLOOKUP($C41,Données!$C$19:'Données'!$I$48,7,0)*100),"/")))</f>
        <v/>
      </c>
      <c r="G41" s="41" t="str">
        <f>IF($C41="/","",IF($C41="","",IFERROR(IF(ISNA(VLOOKUP($C41,'Phase GPA'!$C$29:'Phase GPA'!$U$58,11,0)), ,VLOOKUP($C41,'Phase GPA'!$C$29:'Phase GPA'!$U$58,11,0)),0)))</f>
        <v/>
      </c>
      <c r="H41" s="44" t="str">
        <f>IF($C41="/","",IF($C41="","",IFERROR(IF(ISNA(VLOOKUP($C41,'Phase GPA'!$C$29:'Phase GPA'!$U$58,12,0)), ,VLOOKUP($C41,'Phase GPA'!$C$29:'Phase GPA'!$U$58,12,0)),0)))</f>
        <v/>
      </c>
      <c r="I41" s="44" t="str">
        <f>IF($C41="/","",IF($C41="","",IFERROR(IF(ISNA($H41/VLOOKUP($C41,Données!$C$19:'Données'!$I$48,5,0)), ,$H41/VLOOKUP($C41,Données!$C$19:'Données'!$I$48,5,0))*100,0)))</f>
        <v/>
      </c>
      <c r="J41" s="44" t="str">
        <f>IF($C41="/","",IF($C41="","",IFERROR(IF(ISNA($H41/VLOOKUP($C41,Données!$C$19:'Données'!$I$48,6,0)), ,$H41/VLOOKUP($C41,Données!$C$19:'Données'!$I$48,6,0)),"/")))</f>
        <v/>
      </c>
      <c r="K41" s="44" t="str">
        <f>IF($C41="/","",IF($C41="","",IFERROR(IF(ISNA($H41/VLOOKUP($C41,Données!$C$19:'Données'!$I$48,7,0)*100), ,$H41/VLOOKUP($C41,Données!$C$19:'Données'!$I$48,7,0)*100),"/")))</f>
        <v/>
      </c>
      <c r="L41" s="45" t="str">
        <f t="shared" si="0"/>
        <v/>
      </c>
      <c r="M41" s="13"/>
      <c r="N41" s="12"/>
      <c r="O41" s="3"/>
      <c r="P41" s="16"/>
      <c r="Q41" s="1"/>
      <c r="R41" s="1"/>
      <c r="S41" s="54">
        <f>IF($C41="","",IFERROR(IF(ISNA(VLOOKUP($C41,Données!$C$19:'Données'!$I$48,6,0)), ,VLOOKUP($C41,Données!$C$19:'Données'!$I$48,6,0)),"/"))</f>
        <v>0</v>
      </c>
      <c r="T41" s="54">
        <f>IF($C41="","",IFERROR(IF(ISNA(VLOOKUP($C41,Données!$C$19:'Données'!$I$48,7,0)), ,VLOOKUP($C41,Données!$C$19:'Données'!$I$48,7,0)),"/"))</f>
        <v>0</v>
      </c>
      <c r="U41" s="54">
        <f>IF($C41="","",IFERROR(IF(ISNA(VLOOKUP($C41,Données!$C$19:'Données'!$I$48,5,0)), ,VLOOKUP($C41,Données!$C$19:'Données'!$I$48,5,0)),"/"))</f>
        <v>0</v>
      </c>
      <c r="V41" s="54" t="str">
        <f t="shared" si="1"/>
        <v>/</v>
      </c>
    </row>
    <row r="42" spans="1:22" ht="50.1" customHeight="1" x14ac:dyDescent="0.25">
      <c r="A42" s="1"/>
      <c r="B42" s="1"/>
      <c r="C42" s="82" t="str">
        <f>IF('Phase GPA'!$AT42="IE",'Phase GPA'!$C42,"/")</f>
        <v>/</v>
      </c>
      <c r="D42" s="41" t="str">
        <f>IF($C42="/","",IF($C42="","",IFERROR(IF(ISNA(VLOOKUP($C42,'Phase GPA'!$C$29:'Phase GPA'!$U$58,10,0)), ,VLOOKUP($C42,'Phase GPA'!$C$29:'Phase GPA'!$U$58,10,0)),0)))</f>
        <v/>
      </c>
      <c r="E42" s="42" t="str">
        <f>IF($C42="/","",IF($C42="","",IFERROR(IF(ISNA($D42/VLOOKUP($C42,Données!$C$19:'Données'!$I$48,6,0)), ,$D42/VLOOKUP($C42,Données!$C$19:'Données'!$I$48,6,0)),"/")))</f>
        <v/>
      </c>
      <c r="F42" s="42" t="str">
        <f>IF($C42="/","",IF($C42="","",IFERROR(IF(ISNA($D42/VLOOKUP($C42,Données!$C$19:'Données'!$I$48,7,0)*100), ,$D42/VLOOKUP($C42,Données!$C$19:'Données'!$I$48,7,0)*100),"/")))</f>
        <v/>
      </c>
      <c r="G42" s="41" t="str">
        <f>IF($C42="/","",IF($C42="","",IFERROR(IF(ISNA(VLOOKUP($C42,'Phase GPA'!$C$29:'Phase GPA'!$U$58,11,0)), ,VLOOKUP($C42,'Phase GPA'!$C$29:'Phase GPA'!$U$58,11,0)),0)))</f>
        <v/>
      </c>
      <c r="H42" s="44" t="str">
        <f>IF($C42="/","",IF($C42="","",IFERROR(IF(ISNA(VLOOKUP($C42,'Phase GPA'!$C$29:'Phase GPA'!$U$58,12,0)), ,VLOOKUP($C42,'Phase GPA'!$C$29:'Phase GPA'!$U$58,12,0)),0)))</f>
        <v/>
      </c>
      <c r="I42" s="44" t="str">
        <f>IF($C42="/","",IF($C42="","",IFERROR(IF(ISNA($H42/VLOOKUP($C42,Données!$C$19:'Données'!$I$48,5,0)), ,$H42/VLOOKUP($C42,Données!$C$19:'Données'!$I$48,5,0))*100,0)))</f>
        <v/>
      </c>
      <c r="J42" s="44" t="str">
        <f>IF($C42="/","",IF($C42="","",IFERROR(IF(ISNA($H42/VLOOKUP($C42,Données!$C$19:'Données'!$I$48,6,0)), ,$H42/VLOOKUP($C42,Données!$C$19:'Données'!$I$48,6,0)),"/")))</f>
        <v/>
      </c>
      <c r="K42" s="44" t="str">
        <f>IF($C42="/","",IF($C42="","",IFERROR(IF(ISNA($H42/VLOOKUP($C42,Données!$C$19:'Données'!$I$48,7,0)*100), ,$H42/VLOOKUP($C42,Données!$C$19:'Données'!$I$48,7,0)*100),"/")))</f>
        <v/>
      </c>
      <c r="L42" s="45" t="str">
        <f t="shared" si="0"/>
        <v/>
      </c>
      <c r="M42" s="13"/>
      <c r="N42" s="12"/>
      <c r="O42" s="3"/>
      <c r="P42" s="16"/>
      <c r="Q42" s="1"/>
      <c r="R42" s="1"/>
      <c r="S42" s="54">
        <f>IF($C42="","",IFERROR(IF(ISNA(VLOOKUP($C42,Données!$C$19:'Données'!$I$48,6,0)), ,VLOOKUP($C42,Données!$C$19:'Données'!$I$48,6,0)),"/"))</f>
        <v>0</v>
      </c>
      <c r="T42" s="54">
        <f>IF($C42="","",IFERROR(IF(ISNA(VLOOKUP($C42,Données!$C$19:'Données'!$I$48,7,0)), ,VLOOKUP($C42,Données!$C$19:'Données'!$I$48,7,0)),"/"))</f>
        <v>0</v>
      </c>
      <c r="U42" s="54">
        <f>IF($C42="","",IFERROR(IF(ISNA(VLOOKUP($C42,Données!$C$19:'Données'!$I$48,5,0)), ,VLOOKUP($C42,Données!$C$19:'Données'!$I$48,5,0)),"/"))</f>
        <v>0</v>
      </c>
      <c r="V42" s="54" t="str">
        <f t="shared" si="1"/>
        <v>/</v>
      </c>
    </row>
    <row r="43" spans="1:22" ht="50.1" customHeight="1" x14ac:dyDescent="0.25">
      <c r="A43" s="1"/>
      <c r="B43" s="1"/>
      <c r="C43" s="82" t="str">
        <f>IF('Phase GPA'!$AT43="IE",'Phase GPA'!$C43,"/")</f>
        <v>/</v>
      </c>
      <c r="D43" s="41" t="str">
        <f>IF($C43="/","",IF($C43="","",IFERROR(IF(ISNA(VLOOKUP($C43,'Phase GPA'!$C$29:'Phase GPA'!$U$58,10,0)), ,VLOOKUP($C43,'Phase GPA'!$C$29:'Phase GPA'!$U$58,10,0)),0)))</f>
        <v/>
      </c>
      <c r="E43" s="42" t="str">
        <f>IF($C43="/","",IF($C43="","",IFERROR(IF(ISNA($D43/VLOOKUP($C43,Données!$C$19:'Données'!$I$48,6,0)), ,$D43/VLOOKUP($C43,Données!$C$19:'Données'!$I$48,6,0)),"/")))</f>
        <v/>
      </c>
      <c r="F43" s="42" t="str">
        <f>IF($C43="/","",IF($C43="","",IFERROR(IF(ISNA($D43/VLOOKUP($C43,Données!$C$19:'Données'!$I$48,7,0)*100), ,$D43/VLOOKUP($C43,Données!$C$19:'Données'!$I$48,7,0)*100),"/")))</f>
        <v/>
      </c>
      <c r="G43" s="41" t="str">
        <f>IF($C43="/","",IF($C43="","",IFERROR(IF(ISNA(VLOOKUP($C43,'Phase GPA'!$C$29:'Phase GPA'!$U$58,11,0)), ,VLOOKUP($C43,'Phase GPA'!$C$29:'Phase GPA'!$U$58,11,0)),0)))</f>
        <v/>
      </c>
      <c r="H43" s="44" t="str">
        <f>IF($C43="/","",IF($C43="","",IFERROR(IF(ISNA(VLOOKUP($C43,'Phase GPA'!$C$29:'Phase GPA'!$U$58,12,0)), ,VLOOKUP($C43,'Phase GPA'!$C$29:'Phase GPA'!$U$58,12,0)),0)))</f>
        <v/>
      </c>
      <c r="I43" s="44" t="str">
        <f>IF($C43="/","",IF($C43="","",IFERROR(IF(ISNA($H43/VLOOKUP($C43,Données!$C$19:'Données'!$I$48,5,0)), ,$H43/VLOOKUP($C43,Données!$C$19:'Données'!$I$48,5,0))*100,0)))</f>
        <v/>
      </c>
      <c r="J43" s="44" t="str">
        <f>IF($C43="/","",IF($C43="","",IFERROR(IF(ISNA($H43/VLOOKUP($C43,Données!$C$19:'Données'!$I$48,6,0)), ,$H43/VLOOKUP($C43,Données!$C$19:'Données'!$I$48,6,0)),"/")))</f>
        <v/>
      </c>
      <c r="K43" s="44" t="str">
        <f>IF($C43="/","",IF($C43="","",IFERROR(IF(ISNA($H43/VLOOKUP($C43,Données!$C$19:'Données'!$I$48,7,0)*100), ,$H43/VLOOKUP($C43,Données!$C$19:'Données'!$I$48,7,0)*100),"/")))</f>
        <v/>
      </c>
      <c r="L43" s="45" t="str">
        <f t="shared" si="0"/>
        <v/>
      </c>
      <c r="M43" s="13"/>
      <c r="N43" s="12"/>
      <c r="O43" s="3"/>
      <c r="P43" s="16"/>
      <c r="Q43" s="1"/>
      <c r="R43" s="1"/>
      <c r="S43" s="54">
        <f>IF($C43="","",IFERROR(IF(ISNA(VLOOKUP($C43,Données!$C$19:'Données'!$I$48,6,0)), ,VLOOKUP($C43,Données!$C$19:'Données'!$I$48,6,0)),"/"))</f>
        <v>0</v>
      </c>
      <c r="T43" s="54">
        <f>IF($C43="","",IFERROR(IF(ISNA(VLOOKUP($C43,Données!$C$19:'Données'!$I$48,7,0)), ,VLOOKUP($C43,Données!$C$19:'Données'!$I$48,7,0)),"/"))</f>
        <v>0</v>
      </c>
      <c r="U43" s="54">
        <f>IF($C43="","",IFERROR(IF(ISNA(VLOOKUP($C43,Données!$C$19:'Données'!$I$48,5,0)), ,VLOOKUP($C43,Données!$C$19:'Données'!$I$48,5,0)),"/"))</f>
        <v>0</v>
      </c>
      <c r="V43" s="54" t="str">
        <f t="shared" si="1"/>
        <v>/</v>
      </c>
    </row>
    <row r="44" spans="1:22" ht="50.1" customHeight="1" x14ac:dyDescent="0.25">
      <c r="A44" s="1"/>
      <c r="B44" s="1"/>
      <c r="C44" s="82" t="str">
        <f>IF('Phase GPA'!$AT44="IE",'Phase GPA'!$C44,"/")</f>
        <v>/</v>
      </c>
      <c r="D44" s="41" t="str">
        <f>IF($C44="/","",IF($C44="","",IFERROR(IF(ISNA(VLOOKUP($C44,'Phase GPA'!$C$29:'Phase GPA'!$U$58,10,0)), ,VLOOKUP($C44,'Phase GPA'!$C$29:'Phase GPA'!$U$58,10,0)),0)))</f>
        <v/>
      </c>
      <c r="E44" s="42" t="str">
        <f>IF($C44="/","",IF($C44="","",IFERROR(IF(ISNA($D44/VLOOKUP($C44,Données!$C$19:'Données'!$I$48,6,0)), ,$D44/VLOOKUP($C44,Données!$C$19:'Données'!$I$48,6,0)),"/")))</f>
        <v/>
      </c>
      <c r="F44" s="42" t="str">
        <f>IF($C44="/","",IF($C44="","",IFERROR(IF(ISNA($D44/VLOOKUP($C44,Données!$C$19:'Données'!$I$48,7,0)*100), ,$D44/VLOOKUP($C44,Données!$C$19:'Données'!$I$48,7,0)*100),"/")))</f>
        <v/>
      </c>
      <c r="G44" s="41" t="str">
        <f>IF($C44="/","",IF($C44="","",IFERROR(IF(ISNA(VLOOKUP($C44,'Phase GPA'!$C$29:'Phase GPA'!$U$58,11,0)), ,VLOOKUP($C44,'Phase GPA'!$C$29:'Phase GPA'!$U$58,11,0)),0)))</f>
        <v/>
      </c>
      <c r="H44" s="44" t="str">
        <f>IF($C44="/","",IF($C44="","",IFERROR(IF(ISNA(VLOOKUP($C44,'Phase GPA'!$C$29:'Phase GPA'!$U$58,12,0)), ,VLOOKUP($C44,'Phase GPA'!$C$29:'Phase GPA'!$U$58,12,0)),0)))</f>
        <v/>
      </c>
      <c r="I44" s="44" t="str">
        <f>IF($C44="/","",IF($C44="","",IFERROR(IF(ISNA($H44/VLOOKUP($C44,Données!$C$19:'Données'!$I$48,5,0)), ,$H44/VLOOKUP($C44,Données!$C$19:'Données'!$I$48,5,0))*100,0)))</f>
        <v/>
      </c>
      <c r="J44" s="44" t="str">
        <f>IF($C44="/","",IF($C44="","",IFERROR(IF(ISNA($H44/VLOOKUP($C44,Données!$C$19:'Données'!$I$48,6,0)), ,$H44/VLOOKUP($C44,Données!$C$19:'Données'!$I$48,6,0)),"/")))</f>
        <v/>
      </c>
      <c r="K44" s="44" t="str">
        <f>IF($C44="/","",IF($C44="","",IFERROR(IF(ISNA($H44/VLOOKUP($C44,Données!$C$19:'Données'!$I$48,7,0)*100), ,$H44/VLOOKUP($C44,Données!$C$19:'Données'!$I$48,7,0)*100),"/")))</f>
        <v/>
      </c>
      <c r="L44" s="45" t="str">
        <f t="shared" si="0"/>
        <v/>
      </c>
      <c r="M44" s="13"/>
      <c r="N44" s="12"/>
      <c r="O44" s="3"/>
      <c r="P44" s="16"/>
      <c r="Q44" s="1"/>
      <c r="R44" s="1"/>
      <c r="S44" s="54">
        <f>IF($C44="","",IFERROR(IF(ISNA(VLOOKUP($C44,Données!$C$19:'Données'!$I$48,6,0)), ,VLOOKUP($C44,Données!$C$19:'Données'!$I$48,6,0)),"/"))</f>
        <v>0</v>
      </c>
      <c r="T44" s="54">
        <f>IF($C44="","",IFERROR(IF(ISNA(VLOOKUP($C44,Données!$C$19:'Données'!$I$48,7,0)), ,VLOOKUP($C44,Données!$C$19:'Données'!$I$48,7,0)),"/"))</f>
        <v>0</v>
      </c>
      <c r="U44" s="54">
        <f>IF($C44="","",IFERROR(IF(ISNA(VLOOKUP($C44,Données!$C$19:'Données'!$I$48,5,0)), ,VLOOKUP($C44,Données!$C$19:'Données'!$I$48,5,0)),"/"))</f>
        <v>0</v>
      </c>
      <c r="V44" s="54" t="str">
        <f t="shared" si="1"/>
        <v>/</v>
      </c>
    </row>
    <row r="45" spans="1:22" ht="50.1" customHeight="1" x14ac:dyDescent="0.25">
      <c r="A45" s="1"/>
      <c r="B45" s="1"/>
      <c r="C45" s="82" t="str">
        <f>IF('Phase GPA'!$AT45="IE",'Phase GPA'!$C45,"/")</f>
        <v>/</v>
      </c>
      <c r="D45" s="41" t="str">
        <f>IF($C45="/","",IF($C45="","",IFERROR(IF(ISNA(VLOOKUP($C45,'Phase GPA'!$C$29:'Phase GPA'!$U$58,10,0)), ,VLOOKUP($C45,'Phase GPA'!$C$29:'Phase GPA'!$U$58,10,0)),0)))</f>
        <v/>
      </c>
      <c r="E45" s="42" t="str">
        <f>IF($C45="/","",IF($C45="","",IFERROR(IF(ISNA($D45/VLOOKUP($C45,Données!$C$19:'Données'!$I$48,6,0)), ,$D45/VLOOKUP($C45,Données!$C$19:'Données'!$I$48,6,0)),"/")))</f>
        <v/>
      </c>
      <c r="F45" s="42" t="str">
        <f>IF($C45="/","",IF($C45="","",IFERROR(IF(ISNA($D45/VLOOKUP($C45,Données!$C$19:'Données'!$I$48,7,0)*100), ,$D45/VLOOKUP($C45,Données!$C$19:'Données'!$I$48,7,0)*100),"/")))</f>
        <v/>
      </c>
      <c r="G45" s="41" t="str">
        <f>IF($C45="/","",IF($C45="","",IFERROR(IF(ISNA(VLOOKUP($C45,'Phase GPA'!$C$29:'Phase GPA'!$U$58,11,0)), ,VLOOKUP($C45,'Phase GPA'!$C$29:'Phase GPA'!$U$58,11,0)),0)))</f>
        <v/>
      </c>
      <c r="H45" s="44" t="str">
        <f>IF($C45="/","",IF($C45="","",IFERROR(IF(ISNA(VLOOKUP($C45,'Phase GPA'!$C$29:'Phase GPA'!$U$58,12,0)), ,VLOOKUP($C45,'Phase GPA'!$C$29:'Phase GPA'!$U$58,12,0)),0)))</f>
        <v/>
      </c>
      <c r="I45" s="44" t="str">
        <f>IF($C45="/","",IF($C45="","",IFERROR(IF(ISNA($H45/VLOOKUP($C45,Données!$C$19:'Données'!$I$48,5,0)), ,$H45/VLOOKUP($C45,Données!$C$19:'Données'!$I$48,5,0))*100,0)))</f>
        <v/>
      </c>
      <c r="J45" s="44" t="str">
        <f>IF($C45="/","",IF($C45="","",IFERROR(IF(ISNA($H45/VLOOKUP($C45,Données!$C$19:'Données'!$I$48,6,0)), ,$H45/VLOOKUP($C45,Données!$C$19:'Données'!$I$48,6,0)),"/")))</f>
        <v/>
      </c>
      <c r="K45" s="44" t="str">
        <f>IF($C45="/","",IF($C45="","",IFERROR(IF(ISNA($H45/VLOOKUP($C45,Données!$C$19:'Données'!$I$48,7,0)*100), ,$H45/VLOOKUP($C45,Données!$C$19:'Données'!$I$48,7,0)*100),"/")))</f>
        <v/>
      </c>
      <c r="L45" s="45" t="str">
        <f t="shared" si="0"/>
        <v/>
      </c>
      <c r="M45" s="13"/>
      <c r="N45" s="12"/>
      <c r="O45" s="3"/>
      <c r="P45" s="16"/>
      <c r="Q45" s="1"/>
      <c r="R45" s="1"/>
      <c r="S45" s="54">
        <f>IF($C45="","",IFERROR(IF(ISNA(VLOOKUP($C45,Données!$C$19:'Données'!$I$48,6,0)), ,VLOOKUP($C45,Données!$C$19:'Données'!$I$48,6,0)),"/"))</f>
        <v>0</v>
      </c>
      <c r="T45" s="54">
        <f>IF($C45="","",IFERROR(IF(ISNA(VLOOKUP($C45,Données!$C$19:'Données'!$I$48,7,0)), ,VLOOKUP($C45,Données!$C$19:'Données'!$I$48,7,0)),"/"))</f>
        <v>0</v>
      </c>
      <c r="U45" s="54">
        <f>IF($C45="","",IFERROR(IF(ISNA(VLOOKUP($C45,Données!$C$19:'Données'!$I$48,5,0)), ,VLOOKUP($C45,Données!$C$19:'Données'!$I$48,5,0)),"/"))</f>
        <v>0</v>
      </c>
      <c r="V45" s="54" t="str">
        <f t="shared" si="1"/>
        <v>/</v>
      </c>
    </row>
    <row r="46" spans="1:22" ht="50.1" customHeight="1" x14ac:dyDescent="0.25">
      <c r="A46" s="1"/>
      <c r="B46" s="1"/>
      <c r="C46" s="82" t="str">
        <f>IF('Phase GPA'!$AT46="IE",'Phase GPA'!$C46,"/")</f>
        <v>/</v>
      </c>
      <c r="D46" s="41" t="str">
        <f>IF($C46="/","",IF($C46="","",IFERROR(IF(ISNA(VLOOKUP($C46,'Phase GPA'!$C$29:'Phase GPA'!$U$58,10,0)), ,VLOOKUP($C46,'Phase GPA'!$C$29:'Phase GPA'!$U$58,10,0)),0)))</f>
        <v/>
      </c>
      <c r="E46" s="42" t="str">
        <f>IF($C46="/","",IF($C46="","",IFERROR(IF(ISNA($D46/VLOOKUP($C46,Données!$C$19:'Données'!$I$48,6,0)), ,$D46/VLOOKUP($C46,Données!$C$19:'Données'!$I$48,6,0)),"/")))</f>
        <v/>
      </c>
      <c r="F46" s="42" t="str">
        <f>IF($C46="/","",IF($C46="","",IFERROR(IF(ISNA($D46/VLOOKUP($C46,Données!$C$19:'Données'!$I$48,7,0)*100), ,$D46/VLOOKUP($C46,Données!$C$19:'Données'!$I$48,7,0)*100),"/")))</f>
        <v/>
      </c>
      <c r="G46" s="41" t="str">
        <f>IF($C46="/","",IF($C46="","",IFERROR(IF(ISNA(VLOOKUP($C46,'Phase GPA'!$C$29:'Phase GPA'!$U$58,11,0)), ,VLOOKUP($C46,'Phase GPA'!$C$29:'Phase GPA'!$U$58,11,0)),0)))</f>
        <v/>
      </c>
      <c r="H46" s="44" t="str">
        <f>IF($C46="/","",IF($C46="","",IFERROR(IF(ISNA(VLOOKUP($C46,'Phase GPA'!$C$29:'Phase GPA'!$U$58,12,0)), ,VLOOKUP($C46,'Phase GPA'!$C$29:'Phase GPA'!$U$58,12,0)),0)))</f>
        <v/>
      </c>
      <c r="I46" s="44" t="str">
        <f>IF($C46="/","",IF($C46="","",IFERROR(IF(ISNA($H46/VLOOKUP($C46,Données!$C$19:'Données'!$I$48,5,0)), ,$H46/VLOOKUP($C46,Données!$C$19:'Données'!$I$48,5,0))*100,0)))</f>
        <v/>
      </c>
      <c r="J46" s="44" t="str">
        <f>IF($C46="/","",IF($C46="","",IFERROR(IF(ISNA($H46/VLOOKUP($C46,Données!$C$19:'Données'!$I$48,6,0)), ,$H46/VLOOKUP($C46,Données!$C$19:'Données'!$I$48,6,0)),"/")))</f>
        <v/>
      </c>
      <c r="K46" s="44" t="str">
        <f>IF($C46="/","",IF($C46="","",IFERROR(IF(ISNA($H46/VLOOKUP($C46,Données!$C$19:'Données'!$I$48,7,0)*100), ,$H46/VLOOKUP($C46,Données!$C$19:'Données'!$I$48,7,0)*100),"/")))</f>
        <v/>
      </c>
      <c r="L46" s="45" t="str">
        <f t="shared" si="0"/>
        <v/>
      </c>
      <c r="M46" s="13"/>
      <c r="N46" s="12"/>
      <c r="O46" s="3"/>
      <c r="P46" s="16"/>
      <c r="Q46" s="1"/>
      <c r="R46" s="1"/>
      <c r="S46" s="54">
        <f>IF($C46="","",IFERROR(IF(ISNA(VLOOKUP($C46,Données!$C$19:'Données'!$I$48,6,0)), ,VLOOKUP($C46,Données!$C$19:'Données'!$I$48,6,0)),"/"))</f>
        <v>0</v>
      </c>
      <c r="T46" s="54">
        <f>IF($C46="","",IFERROR(IF(ISNA(VLOOKUP($C46,Données!$C$19:'Données'!$I$48,7,0)), ,VLOOKUP($C46,Données!$C$19:'Données'!$I$48,7,0)),"/"))</f>
        <v>0</v>
      </c>
      <c r="U46" s="54">
        <f>IF($C46="","",IFERROR(IF(ISNA(VLOOKUP($C46,Données!$C$19:'Données'!$I$48,5,0)), ,VLOOKUP($C46,Données!$C$19:'Données'!$I$48,5,0)),"/"))</f>
        <v>0</v>
      </c>
      <c r="V46" s="54" t="str">
        <f t="shared" si="1"/>
        <v>/</v>
      </c>
    </row>
    <row r="47" spans="1:22" ht="50.1" customHeight="1" x14ac:dyDescent="0.25">
      <c r="A47" s="1"/>
      <c r="B47" s="1"/>
      <c r="C47" s="82" t="str">
        <f>IF('Phase GPA'!$AT47="IE",'Phase GPA'!$C47,"/")</f>
        <v>/</v>
      </c>
      <c r="D47" s="41" t="str">
        <f>IF($C47="/","",IF($C47="","",IFERROR(IF(ISNA(VLOOKUP($C47,'Phase GPA'!$C$29:'Phase GPA'!$U$58,10,0)), ,VLOOKUP($C47,'Phase GPA'!$C$29:'Phase GPA'!$U$58,10,0)),0)))</f>
        <v/>
      </c>
      <c r="E47" s="42" t="str">
        <f>IF($C47="/","",IF($C47="","",IFERROR(IF(ISNA($D47/VLOOKUP($C47,Données!$C$19:'Données'!$I$48,6,0)), ,$D47/VLOOKUP($C47,Données!$C$19:'Données'!$I$48,6,0)),"/")))</f>
        <v/>
      </c>
      <c r="F47" s="42" t="str">
        <f>IF($C47="/","",IF($C47="","",IFERROR(IF(ISNA($D47/VLOOKUP($C47,Données!$C$19:'Données'!$I$48,7,0)*100), ,$D47/VLOOKUP($C47,Données!$C$19:'Données'!$I$48,7,0)*100),"/")))</f>
        <v/>
      </c>
      <c r="G47" s="41" t="str">
        <f>IF($C47="/","",IF($C47="","",IFERROR(IF(ISNA(VLOOKUP($C47,'Phase GPA'!$C$29:'Phase GPA'!$U$58,11,0)), ,VLOOKUP($C47,'Phase GPA'!$C$29:'Phase GPA'!$U$58,11,0)),0)))</f>
        <v/>
      </c>
      <c r="H47" s="44" t="str">
        <f>IF($C47="/","",IF($C47="","",IFERROR(IF(ISNA(VLOOKUP($C47,'Phase GPA'!$C$29:'Phase GPA'!$U$58,12,0)), ,VLOOKUP($C47,'Phase GPA'!$C$29:'Phase GPA'!$U$58,12,0)),0)))</f>
        <v/>
      </c>
      <c r="I47" s="44" t="str">
        <f>IF($C47="/","",IF($C47="","",IFERROR(IF(ISNA($H47/VLOOKUP($C47,Données!$C$19:'Données'!$I$48,5,0)), ,$H47/VLOOKUP($C47,Données!$C$19:'Données'!$I$48,5,0))*100,0)))</f>
        <v/>
      </c>
      <c r="J47" s="44" t="str">
        <f>IF($C47="/","",IF($C47="","",IFERROR(IF(ISNA($H47/VLOOKUP($C47,Données!$C$19:'Données'!$I$48,6,0)), ,$H47/VLOOKUP($C47,Données!$C$19:'Données'!$I$48,6,0)),"/")))</f>
        <v/>
      </c>
      <c r="K47" s="44" t="str">
        <f>IF($C47="/","",IF($C47="","",IFERROR(IF(ISNA($H47/VLOOKUP($C47,Données!$C$19:'Données'!$I$48,7,0)*100), ,$H47/VLOOKUP($C47,Données!$C$19:'Données'!$I$48,7,0)*100),"/")))</f>
        <v/>
      </c>
      <c r="L47" s="45" t="str">
        <f t="shared" si="0"/>
        <v/>
      </c>
      <c r="M47" s="13"/>
      <c r="N47" s="12"/>
      <c r="O47" s="3"/>
      <c r="P47" s="16"/>
      <c r="Q47" s="1"/>
      <c r="R47" s="1"/>
      <c r="S47" s="54">
        <f>IF($C47="","",IFERROR(IF(ISNA(VLOOKUP($C47,Données!$C$19:'Données'!$I$48,6,0)), ,VLOOKUP($C47,Données!$C$19:'Données'!$I$48,6,0)),"/"))</f>
        <v>0</v>
      </c>
      <c r="T47" s="54">
        <f>IF($C47="","",IFERROR(IF(ISNA(VLOOKUP($C47,Données!$C$19:'Données'!$I$48,7,0)), ,VLOOKUP($C47,Données!$C$19:'Données'!$I$48,7,0)),"/"))</f>
        <v>0</v>
      </c>
      <c r="U47" s="54">
        <f>IF($C47="","",IFERROR(IF(ISNA(VLOOKUP($C47,Données!$C$19:'Données'!$I$48,5,0)), ,VLOOKUP($C47,Données!$C$19:'Données'!$I$48,5,0)),"/"))</f>
        <v>0</v>
      </c>
      <c r="V47" s="54" t="str">
        <f t="shared" si="1"/>
        <v>/</v>
      </c>
    </row>
    <row r="48" spans="1:22" ht="50.1" customHeight="1" x14ac:dyDescent="0.25">
      <c r="A48" s="1"/>
      <c r="B48" s="1"/>
      <c r="C48" s="82" t="str">
        <f>IF('Phase GPA'!$AT48="IE",'Phase GPA'!$C48,"/")</f>
        <v>/</v>
      </c>
      <c r="D48" s="41" t="str">
        <f>IF($C48="/","",IF($C48="","",IFERROR(IF(ISNA(VLOOKUP($C48,'Phase GPA'!$C$29:'Phase GPA'!$U$58,10,0)), ,VLOOKUP($C48,'Phase GPA'!$C$29:'Phase GPA'!$U$58,10,0)),0)))</f>
        <v/>
      </c>
      <c r="E48" s="42" t="str">
        <f>IF($C48="/","",IF($C48="","",IFERROR(IF(ISNA($D48/VLOOKUP($C48,Données!$C$19:'Données'!$I$48,6,0)), ,$D48/VLOOKUP($C48,Données!$C$19:'Données'!$I$48,6,0)),"/")))</f>
        <v/>
      </c>
      <c r="F48" s="42" t="str">
        <f>IF($C48="/","",IF($C48="","",IFERROR(IF(ISNA($D48/VLOOKUP($C48,Données!$C$19:'Données'!$I$48,7,0)*100), ,$D48/VLOOKUP($C48,Données!$C$19:'Données'!$I$48,7,0)*100),"/")))</f>
        <v/>
      </c>
      <c r="G48" s="41" t="str">
        <f>IF($C48="/","",IF($C48="","",IFERROR(IF(ISNA(VLOOKUP($C48,'Phase GPA'!$C$29:'Phase GPA'!$U$58,11,0)), ,VLOOKUP($C48,'Phase GPA'!$C$29:'Phase GPA'!$U$58,11,0)),0)))</f>
        <v/>
      </c>
      <c r="H48" s="44" t="str">
        <f>IF($C48="/","",IF($C48="","",IFERROR(IF(ISNA(VLOOKUP($C48,'Phase GPA'!$C$29:'Phase GPA'!$U$58,12,0)), ,VLOOKUP($C48,'Phase GPA'!$C$29:'Phase GPA'!$U$58,12,0)),0)))</f>
        <v/>
      </c>
      <c r="I48" s="44" t="str">
        <f>IF($C48="/","",IF($C48="","",IFERROR(IF(ISNA($H48/VLOOKUP($C48,Données!$C$19:'Données'!$I$48,5,0)), ,$H48/VLOOKUP($C48,Données!$C$19:'Données'!$I$48,5,0))*100,0)))</f>
        <v/>
      </c>
      <c r="J48" s="44" t="str">
        <f>IF($C48="/","",IF($C48="","",IFERROR(IF(ISNA($H48/VLOOKUP($C48,Données!$C$19:'Données'!$I$48,6,0)), ,$H48/VLOOKUP($C48,Données!$C$19:'Données'!$I$48,6,0)),"/")))</f>
        <v/>
      </c>
      <c r="K48" s="44" t="str">
        <f>IF($C48="/","",IF($C48="","",IFERROR(IF(ISNA($H48/VLOOKUP($C48,Données!$C$19:'Données'!$I$48,7,0)*100), ,$H48/VLOOKUP($C48,Données!$C$19:'Données'!$I$48,7,0)*100),"/")))</f>
        <v/>
      </c>
      <c r="L48" s="45" t="str">
        <f t="shared" si="0"/>
        <v/>
      </c>
      <c r="M48" s="13"/>
      <c r="N48" s="12"/>
      <c r="O48" s="3"/>
      <c r="P48" s="16"/>
      <c r="Q48" s="1"/>
      <c r="R48" s="1"/>
      <c r="S48" s="54">
        <f>IF($C48="","",IFERROR(IF(ISNA(VLOOKUP($C48,Données!$C$19:'Données'!$I$48,6,0)), ,VLOOKUP($C48,Données!$C$19:'Données'!$I$48,6,0)),"/"))</f>
        <v>0</v>
      </c>
      <c r="T48" s="54">
        <f>IF($C48="","",IFERROR(IF(ISNA(VLOOKUP($C48,Données!$C$19:'Données'!$I$48,7,0)), ,VLOOKUP($C48,Données!$C$19:'Données'!$I$48,7,0)),"/"))</f>
        <v>0</v>
      </c>
      <c r="U48" s="54">
        <f>IF($C48="","",IFERROR(IF(ISNA(VLOOKUP($C48,Données!$C$19:'Données'!$I$48,5,0)), ,VLOOKUP($C48,Données!$C$19:'Données'!$I$48,5,0)),"/"))</f>
        <v>0</v>
      </c>
      <c r="V48" s="54" t="str">
        <f t="shared" si="1"/>
        <v>/</v>
      </c>
    </row>
    <row r="49" spans="1:22" ht="50.1" customHeight="1" x14ac:dyDescent="0.25">
      <c r="A49" s="1"/>
      <c r="B49" s="1"/>
      <c r="C49" s="82" t="str">
        <f>IF('Phase GPA'!$AT49="IE",'Phase GPA'!$C49,"/")</f>
        <v>/</v>
      </c>
      <c r="D49" s="41" t="str">
        <f>IF($C49="/","",IF($C49="","",IFERROR(IF(ISNA(VLOOKUP($C49,'Phase GPA'!$C$29:'Phase GPA'!$U$58,10,0)), ,VLOOKUP($C49,'Phase GPA'!$C$29:'Phase GPA'!$U$58,10,0)),0)))</f>
        <v/>
      </c>
      <c r="E49" s="42" t="str">
        <f>IF($C49="/","",IF($C49="","",IFERROR(IF(ISNA($D49/VLOOKUP($C49,Données!$C$19:'Données'!$I$48,6,0)), ,$D49/VLOOKUP($C49,Données!$C$19:'Données'!$I$48,6,0)),"/")))</f>
        <v/>
      </c>
      <c r="F49" s="42" t="str">
        <f>IF($C49="/","",IF($C49="","",IFERROR(IF(ISNA($D49/VLOOKUP($C49,Données!$C$19:'Données'!$I$48,7,0)*100), ,$D49/VLOOKUP($C49,Données!$C$19:'Données'!$I$48,7,0)*100),"/")))</f>
        <v/>
      </c>
      <c r="G49" s="41" t="str">
        <f>IF($C49="/","",IF($C49="","",IFERROR(IF(ISNA(VLOOKUP($C49,'Phase GPA'!$C$29:'Phase GPA'!$U$58,11,0)), ,VLOOKUP($C49,'Phase GPA'!$C$29:'Phase GPA'!$U$58,11,0)),0)))</f>
        <v/>
      </c>
      <c r="H49" s="44" t="str">
        <f>IF($C49="/","",IF($C49="","",IFERROR(IF(ISNA(VLOOKUP($C49,'Phase GPA'!$C$29:'Phase GPA'!$U$58,12,0)), ,VLOOKUP($C49,'Phase GPA'!$C$29:'Phase GPA'!$U$58,12,0)),0)))</f>
        <v/>
      </c>
      <c r="I49" s="44" t="str">
        <f>IF($C49="/","",IF($C49="","",IFERROR(IF(ISNA($H49/VLOOKUP($C49,Données!$C$19:'Données'!$I$48,5,0)), ,$H49/VLOOKUP($C49,Données!$C$19:'Données'!$I$48,5,0))*100,0)))</f>
        <v/>
      </c>
      <c r="J49" s="44" t="str">
        <f>IF($C49="/","",IF($C49="","",IFERROR(IF(ISNA($H49/VLOOKUP($C49,Données!$C$19:'Données'!$I$48,6,0)), ,$H49/VLOOKUP($C49,Données!$C$19:'Données'!$I$48,6,0)),"/")))</f>
        <v/>
      </c>
      <c r="K49" s="44" t="str">
        <f>IF($C49="/","",IF($C49="","",IFERROR(IF(ISNA($H49/VLOOKUP($C49,Données!$C$19:'Données'!$I$48,7,0)*100), ,$H49/VLOOKUP($C49,Données!$C$19:'Données'!$I$48,7,0)*100),"/")))</f>
        <v/>
      </c>
      <c r="L49" s="45" t="str">
        <f t="shared" si="0"/>
        <v/>
      </c>
      <c r="M49" s="13"/>
      <c r="N49" s="12"/>
      <c r="O49" s="3"/>
      <c r="P49" s="16"/>
      <c r="Q49" s="1"/>
      <c r="R49" s="1"/>
      <c r="S49" s="54">
        <f>IF($C49="","",IFERROR(IF(ISNA(VLOOKUP($C49,Données!$C$19:'Données'!$I$48,6,0)), ,VLOOKUP($C49,Données!$C$19:'Données'!$I$48,6,0)),"/"))</f>
        <v>0</v>
      </c>
      <c r="T49" s="54">
        <f>IF($C49="","",IFERROR(IF(ISNA(VLOOKUP($C49,Données!$C$19:'Données'!$I$48,7,0)), ,VLOOKUP($C49,Données!$C$19:'Données'!$I$48,7,0)),"/"))</f>
        <v>0</v>
      </c>
      <c r="U49" s="54">
        <f>IF($C49="","",IFERROR(IF(ISNA(VLOOKUP($C49,Données!$C$19:'Données'!$I$48,5,0)), ,VLOOKUP($C49,Données!$C$19:'Données'!$I$48,5,0)),"/"))</f>
        <v>0</v>
      </c>
      <c r="V49" s="54" t="str">
        <f t="shared" si="1"/>
        <v>/</v>
      </c>
    </row>
    <row r="50" spans="1:22" ht="50.1" customHeight="1" x14ac:dyDescent="0.25">
      <c r="A50" s="1"/>
      <c r="B50" s="1"/>
      <c r="C50" s="82" t="str">
        <f>IF('Phase GPA'!$AT50="IE",'Phase GPA'!$C50,"/")</f>
        <v>/</v>
      </c>
      <c r="D50" s="41" t="str">
        <f>IF($C50="/","",IF($C50="","",IFERROR(IF(ISNA(VLOOKUP($C50,'Phase GPA'!$C$29:'Phase GPA'!$U$58,10,0)), ,VLOOKUP($C50,'Phase GPA'!$C$29:'Phase GPA'!$U$58,10,0)),0)))</f>
        <v/>
      </c>
      <c r="E50" s="42" t="str">
        <f>IF($C50="/","",IF($C50="","",IFERROR(IF(ISNA($D50/VLOOKUP($C50,Données!$C$19:'Données'!$I$48,6,0)), ,$D50/VLOOKUP($C50,Données!$C$19:'Données'!$I$48,6,0)),"/")))</f>
        <v/>
      </c>
      <c r="F50" s="42" t="str">
        <f>IF($C50="/","",IF($C50="","",IFERROR(IF(ISNA($D50/VLOOKUP($C50,Données!$C$19:'Données'!$I$48,7,0)*100), ,$D50/VLOOKUP($C50,Données!$C$19:'Données'!$I$48,7,0)*100),"/")))</f>
        <v/>
      </c>
      <c r="G50" s="41" t="str">
        <f>IF($C50="/","",IF($C50="","",IFERROR(IF(ISNA(VLOOKUP($C50,'Phase GPA'!$C$29:'Phase GPA'!$U$58,11,0)), ,VLOOKUP($C50,'Phase GPA'!$C$29:'Phase GPA'!$U$58,11,0)),0)))</f>
        <v/>
      </c>
      <c r="H50" s="44" t="str">
        <f>IF($C50="/","",IF($C50="","",IFERROR(IF(ISNA(VLOOKUP($C50,'Phase GPA'!$C$29:'Phase GPA'!$U$58,12,0)), ,VLOOKUP($C50,'Phase GPA'!$C$29:'Phase GPA'!$U$58,12,0)),0)))</f>
        <v/>
      </c>
      <c r="I50" s="44" t="str">
        <f>IF($C50="/","",IF($C50="","",IFERROR(IF(ISNA($H50/VLOOKUP($C50,Données!$C$19:'Données'!$I$48,5,0)), ,$H50/VLOOKUP($C50,Données!$C$19:'Données'!$I$48,5,0))*100,0)))</f>
        <v/>
      </c>
      <c r="J50" s="44" t="str">
        <f>IF($C50="/","",IF($C50="","",IFERROR(IF(ISNA($H50/VLOOKUP($C50,Données!$C$19:'Données'!$I$48,6,0)), ,$H50/VLOOKUP($C50,Données!$C$19:'Données'!$I$48,6,0)),"/")))</f>
        <v/>
      </c>
      <c r="K50" s="44" t="str">
        <f>IF($C50="/","",IF($C50="","",IFERROR(IF(ISNA($H50/VLOOKUP($C50,Données!$C$19:'Données'!$I$48,7,0)*100), ,$H50/VLOOKUP($C50,Données!$C$19:'Données'!$I$48,7,0)*100),"/")))</f>
        <v/>
      </c>
      <c r="L50" s="45" t="str">
        <f t="shared" si="0"/>
        <v/>
      </c>
      <c r="M50" s="13"/>
      <c r="N50" s="12"/>
      <c r="O50" s="3"/>
      <c r="P50" s="16"/>
      <c r="Q50" s="1"/>
      <c r="R50" s="1"/>
      <c r="S50" s="54">
        <f>IF($C50="","",IFERROR(IF(ISNA(VLOOKUP($C50,Données!$C$19:'Données'!$I$48,6,0)), ,VLOOKUP($C50,Données!$C$19:'Données'!$I$48,6,0)),"/"))</f>
        <v>0</v>
      </c>
      <c r="T50" s="54">
        <f>IF($C50="","",IFERROR(IF(ISNA(VLOOKUP($C50,Données!$C$19:'Données'!$I$48,7,0)), ,VLOOKUP($C50,Données!$C$19:'Données'!$I$48,7,0)),"/"))</f>
        <v>0</v>
      </c>
      <c r="U50" s="54">
        <f>IF($C50="","",IFERROR(IF(ISNA(VLOOKUP($C50,Données!$C$19:'Données'!$I$48,5,0)), ,VLOOKUP($C50,Données!$C$19:'Données'!$I$48,5,0)),"/"))</f>
        <v>0</v>
      </c>
      <c r="V50" s="54" t="str">
        <f t="shared" si="1"/>
        <v>/</v>
      </c>
    </row>
    <row r="51" spans="1:22" ht="50.1" customHeight="1" x14ac:dyDescent="0.25">
      <c r="A51" s="1"/>
      <c r="B51" s="1"/>
      <c r="C51" s="82" t="str">
        <f>IF('Phase GPA'!$AT51="IE",'Phase GPA'!$C51,"/")</f>
        <v>/</v>
      </c>
      <c r="D51" s="41" t="str">
        <f>IF($C51="/","",IF($C51="","",IFERROR(IF(ISNA(VLOOKUP($C51,'Phase GPA'!$C$29:'Phase GPA'!$U$58,10,0)), ,VLOOKUP($C51,'Phase GPA'!$C$29:'Phase GPA'!$U$58,10,0)),0)))</f>
        <v/>
      </c>
      <c r="E51" s="42" t="str">
        <f>IF($C51="/","",IF($C51="","",IFERROR(IF(ISNA($D51/VLOOKUP($C51,Données!$C$19:'Données'!$I$48,6,0)), ,$D51/VLOOKUP($C51,Données!$C$19:'Données'!$I$48,6,0)),"/")))</f>
        <v/>
      </c>
      <c r="F51" s="42" t="str">
        <f>IF($C51="/","",IF($C51="","",IFERROR(IF(ISNA($D51/VLOOKUP($C51,Données!$C$19:'Données'!$I$48,7,0)*100), ,$D51/VLOOKUP($C51,Données!$C$19:'Données'!$I$48,7,0)*100),"/")))</f>
        <v/>
      </c>
      <c r="G51" s="41" t="str">
        <f>IF($C51="/","",IF($C51="","",IFERROR(IF(ISNA(VLOOKUP($C51,'Phase GPA'!$C$29:'Phase GPA'!$U$58,11,0)), ,VLOOKUP($C51,'Phase GPA'!$C$29:'Phase GPA'!$U$58,11,0)),0)))</f>
        <v/>
      </c>
      <c r="H51" s="44" t="str">
        <f>IF($C51="/","",IF($C51="","",IFERROR(IF(ISNA(VLOOKUP($C51,'Phase GPA'!$C$29:'Phase GPA'!$U$58,12,0)), ,VLOOKUP($C51,'Phase GPA'!$C$29:'Phase GPA'!$U$58,12,0)),0)))</f>
        <v/>
      </c>
      <c r="I51" s="44" t="str">
        <f>IF($C51="/","",IF($C51="","",IFERROR(IF(ISNA($H51/VLOOKUP($C51,Données!$C$19:'Données'!$I$48,5,0)), ,$H51/VLOOKUP($C51,Données!$C$19:'Données'!$I$48,5,0))*100,0)))</f>
        <v/>
      </c>
      <c r="J51" s="44" t="str">
        <f>IF($C51="/","",IF($C51="","",IFERROR(IF(ISNA($H51/VLOOKUP($C51,Données!$C$19:'Données'!$I$48,6,0)), ,$H51/VLOOKUP($C51,Données!$C$19:'Données'!$I$48,6,0)),"/")))</f>
        <v/>
      </c>
      <c r="K51" s="44" t="str">
        <f>IF($C51="/","",IF($C51="","",IFERROR(IF(ISNA($H51/VLOOKUP($C51,Données!$C$19:'Données'!$I$48,7,0)*100), ,$H51/VLOOKUP($C51,Données!$C$19:'Données'!$I$48,7,0)*100),"/")))</f>
        <v/>
      </c>
      <c r="L51" s="45" t="str">
        <f t="shared" si="0"/>
        <v/>
      </c>
      <c r="M51" s="13"/>
      <c r="N51" s="12"/>
      <c r="O51" s="3"/>
      <c r="P51" s="16"/>
      <c r="Q51" s="1"/>
      <c r="R51" s="1"/>
      <c r="S51" s="54">
        <f>IF($C51="","",IFERROR(IF(ISNA(VLOOKUP($C51,Données!$C$19:'Données'!$I$48,6,0)), ,VLOOKUP($C51,Données!$C$19:'Données'!$I$48,6,0)),"/"))</f>
        <v>0</v>
      </c>
      <c r="T51" s="54">
        <f>IF($C51="","",IFERROR(IF(ISNA(VLOOKUP($C51,Données!$C$19:'Données'!$I$48,7,0)), ,VLOOKUP($C51,Données!$C$19:'Données'!$I$48,7,0)),"/"))</f>
        <v>0</v>
      </c>
      <c r="U51" s="54">
        <f>IF($C51="","",IFERROR(IF(ISNA(VLOOKUP($C51,Données!$C$19:'Données'!$I$48,5,0)), ,VLOOKUP($C51,Données!$C$19:'Données'!$I$48,5,0)),"/"))</f>
        <v>0</v>
      </c>
      <c r="V51" s="54" t="str">
        <f t="shared" si="1"/>
        <v>/</v>
      </c>
    </row>
    <row r="52" spans="1:22" ht="50.1" customHeight="1" x14ac:dyDescent="0.25">
      <c r="A52" s="1"/>
      <c r="B52" s="1"/>
      <c r="C52" s="82" t="str">
        <f>IF('Phase GPA'!$AT52="IE",'Phase GPA'!$C52,"/")</f>
        <v>/</v>
      </c>
      <c r="D52" s="41" t="str">
        <f>IF($C52="/","",IF($C52="","",IFERROR(IF(ISNA(VLOOKUP($C52,'Phase GPA'!$C$29:'Phase GPA'!$U$58,10,0)), ,VLOOKUP($C52,'Phase GPA'!$C$29:'Phase GPA'!$U$58,10,0)),0)))</f>
        <v/>
      </c>
      <c r="E52" s="42" t="str">
        <f>IF($C52="/","",IF($C52="","",IFERROR(IF(ISNA($D52/VLOOKUP($C52,Données!$C$19:'Données'!$I$48,6,0)), ,$D52/VLOOKUP($C52,Données!$C$19:'Données'!$I$48,6,0)),"/")))</f>
        <v/>
      </c>
      <c r="F52" s="42" t="str">
        <f>IF($C52="/","",IF($C52="","",IFERROR(IF(ISNA($D52/VLOOKUP($C52,Données!$C$19:'Données'!$I$48,7,0)*100), ,$D52/VLOOKUP($C52,Données!$C$19:'Données'!$I$48,7,0)*100),"/")))</f>
        <v/>
      </c>
      <c r="G52" s="41" t="str">
        <f>IF($C52="/","",IF($C52="","",IFERROR(IF(ISNA(VLOOKUP($C52,'Phase GPA'!$C$29:'Phase GPA'!$U$58,11,0)), ,VLOOKUP($C52,'Phase GPA'!$C$29:'Phase GPA'!$U$58,11,0)),0)))</f>
        <v/>
      </c>
      <c r="H52" s="44" t="str">
        <f>IF($C52="/","",IF($C52="","",IFERROR(IF(ISNA(VLOOKUP($C52,'Phase GPA'!$C$29:'Phase GPA'!$U$58,12,0)), ,VLOOKUP($C52,'Phase GPA'!$C$29:'Phase GPA'!$U$58,12,0)),0)))</f>
        <v/>
      </c>
      <c r="I52" s="44" t="str">
        <f>IF($C52="/","",IF($C52="","",IFERROR(IF(ISNA($H52/VLOOKUP($C52,Données!$C$19:'Données'!$I$48,5,0)), ,$H52/VLOOKUP($C52,Données!$C$19:'Données'!$I$48,5,0))*100,0)))</f>
        <v/>
      </c>
      <c r="J52" s="44" t="str">
        <f>IF($C52="/","",IF($C52="","",IFERROR(IF(ISNA($H52/VLOOKUP($C52,Données!$C$19:'Données'!$I$48,6,0)), ,$H52/VLOOKUP($C52,Données!$C$19:'Données'!$I$48,6,0)),"/")))</f>
        <v/>
      </c>
      <c r="K52" s="44" t="str">
        <f>IF($C52="/","",IF($C52="","",IFERROR(IF(ISNA($H52/VLOOKUP($C52,Données!$C$19:'Données'!$I$48,7,0)*100), ,$H52/VLOOKUP($C52,Données!$C$19:'Données'!$I$48,7,0)*100),"/")))</f>
        <v/>
      </c>
      <c r="L52" s="45" t="str">
        <f t="shared" si="0"/>
        <v/>
      </c>
      <c r="M52" s="13"/>
      <c r="N52" s="12"/>
      <c r="O52" s="3"/>
      <c r="P52" s="16"/>
      <c r="Q52" s="1"/>
      <c r="R52" s="1"/>
      <c r="S52" s="54">
        <f>IF($C52="","",IFERROR(IF(ISNA(VLOOKUP($C52,Données!$C$19:'Données'!$I$48,6,0)), ,VLOOKUP($C52,Données!$C$19:'Données'!$I$48,6,0)),"/"))</f>
        <v>0</v>
      </c>
      <c r="T52" s="54">
        <f>IF($C52="","",IFERROR(IF(ISNA(VLOOKUP($C52,Données!$C$19:'Données'!$I$48,7,0)), ,VLOOKUP($C52,Données!$C$19:'Données'!$I$48,7,0)),"/"))</f>
        <v>0</v>
      </c>
      <c r="U52" s="54">
        <f>IF($C52="","",IFERROR(IF(ISNA(VLOOKUP($C52,Données!$C$19:'Données'!$I$48,5,0)), ,VLOOKUP($C52,Données!$C$19:'Données'!$I$48,5,0)),"/"))</f>
        <v>0</v>
      </c>
      <c r="V52" s="54" t="str">
        <f t="shared" si="1"/>
        <v>/</v>
      </c>
    </row>
    <row r="53" spans="1:22" ht="50.1" customHeight="1" x14ac:dyDescent="0.25">
      <c r="A53" s="1"/>
      <c r="B53" s="1"/>
      <c r="C53" s="82" t="str">
        <f>IF('Phase GPA'!$AT58="IE",'Phase GPA'!$C58,"/")</f>
        <v>/</v>
      </c>
      <c r="D53" s="41" t="str">
        <f>IF($C53="/","",IF($C53="","",IFERROR(IF(ISNA(VLOOKUP($C53,'Phase GPA'!$C$29:'Phase GPA'!$U$58,10,0)), ,VLOOKUP($C53,'Phase GPA'!$C$29:'Phase GPA'!$U$58,10,0)),0)))</f>
        <v/>
      </c>
      <c r="E53" s="42" t="str">
        <f>IF($C53="/","",IF($C53="","",IFERROR(IF(ISNA($D53/VLOOKUP($C53,Données!$C$19:'Données'!$I$48,6,0)), ,$D53/VLOOKUP($C53,Données!$C$19:'Données'!$I$48,6,0)),"/")))</f>
        <v/>
      </c>
      <c r="F53" s="42" t="str">
        <f>IF($C53="/","",IF($C53="","",IFERROR(IF(ISNA($D53/VLOOKUP($C53,Données!$C$19:'Données'!$I$48,7,0)*100), ,$D53/VLOOKUP($C53,Données!$C$19:'Données'!$I$48,7,0)*100),"/")))</f>
        <v/>
      </c>
      <c r="G53" s="41" t="str">
        <f>IF($C53="/","",IF($C53="","",IFERROR(IF(ISNA(VLOOKUP($C53,'Phase GPA'!$C$29:'Phase GPA'!$U$58,11,0)), ,VLOOKUP($C53,'Phase GPA'!$C$29:'Phase GPA'!$U$58,11,0)),0)))</f>
        <v/>
      </c>
      <c r="H53" s="44" t="str">
        <f>IF($C53="/","",IF($C53="","",IFERROR(IF(ISNA(VLOOKUP($C53,'Phase GPA'!$C$29:'Phase GPA'!$U$58,12,0)), ,VLOOKUP($C53,'Phase GPA'!$C$29:'Phase GPA'!$U$58,12,0)),0)))</f>
        <v/>
      </c>
      <c r="I53" s="44" t="str">
        <f>IF($C53="/","",IF($C53="","",IFERROR(IF(ISNA($H53/VLOOKUP($C53,Données!$C$19:'Données'!$I$48,5,0)), ,$H53/VLOOKUP($C53,Données!$C$19:'Données'!$I$48,5,0))*100,0)))</f>
        <v/>
      </c>
      <c r="J53" s="44" t="str">
        <f>IF($C53="/","",IF($C53="","",IFERROR(IF(ISNA($H53/VLOOKUP($C53,Données!$C$19:'Données'!$I$48,6,0)), ,$H53/VLOOKUP($C53,Données!$C$19:'Données'!$I$48,6,0)),"/")))</f>
        <v/>
      </c>
      <c r="K53" s="44" t="str">
        <f>IF($C53="/","",IF($C53="","",IFERROR(IF(ISNA($H53/VLOOKUP($C53,Données!$C$19:'Données'!$I$48,7,0)*100), ,$H53/VLOOKUP($C53,Données!$C$19:'Données'!$I$48,7,0)*100),"/")))</f>
        <v/>
      </c>
      <c r="L53" s="45" t="str">
        <f t="shared" si="0"/>
        <v/>
      </c>
      <c r="M53" s="13"/>
      <c r="N53" s="12"/>
      <c r="O53" s="3"/>
      <c r="P53" s="16"/>
      <c r="Q53" s="1"/>
      <c r="R53" s="1"/>
      <c r="S53" s="54">
        <f>IF($C53="","",IFERROR(IF(ISNA(VLOOKUP($C53,Données!$C$19:'Données'!$I$48,6,0)), ,VLOOKUP($C53,Données!$C$19:'Données'!$I$48,6,0)),"/"))</f>
        <v>0</v>
      </c>
      <c r="T53" s="54">
        <f>IF($C53="","",IFERROR(IF(ISNA(VLOOKUP($C53,Données!$C$19:'Données'!$I$48,7,0)), ,VLOOKUP($C53,Données!$C$19:'Données'!$I$48,7,0)),"/"))</f>
        <v>0</v>
      </c>
      <c r="U53" s="54">
        <f>IF($C53="","",IFERROR(IF(ISNA(VLOOKUP($C53,Données!$C$19:'Données'!$I$48,5,0)), ,VLOOKUP($C53,Données!$C$19:'Données'!$I$48,5,0)),"/"))</f>
        <v>0</v>
      </c>
      <c r="V53" s="54" t="str">
        <f t="shared" si="1"/>
        <v>/</v>
      </c>
    </row>
    <row r="54" spans="1:22" ht="50.1" customHeight="1" x14ac:dyDescent="0.25">
      <c r="A54" s="1"/>
      <c r="B54" s="1"/>
      <c r="C54" s="56" t="s">
        <v>50</v>
      </c>
      <c r="D54" s="57">
        <f>SUM(D29:D53)</f>
        <v>0</v>
      </c>
      <c r="E54" s="58" t="str">
        <f>IF(S54=0,"/",D54/S54)</f>
        <v>/</v>
      </c>
      <c r="F54" s="58" t="str">
        <f>IF(T54=0,"/",D54/T54*100)</f>
        <v>/</v>
      </c>
      <c r="G54" s="57">
        <f>IFERROR(V54/D54,0)</f>
        <v>0</v>
      </c>
      <c r="H54" s="61">
        <f>SUM(H29:H53)</f>
        <v>0</v>
      </c>
      <c r="I54" s="61">
        <f>IFERROR(H54/U54*100,0)</f>
        <v>0</v>
      </c>
      <c r="J54" s="61" t="str">
        <f>IF(S54=0,"/",H54/S54)</f>
        <v>/</v>
      </c>
      <c r="K54" s="58" t="str">
        <f>IF(T54=0,"/",H54/T54*100)</f>
        <v>/</v>
      </c>
      <c r="L54" s="62">
        <f>IFERROR(H54/D54,0)</f>
        <v>0</v>
      </c>
      <c r="M54" s="63"/>
      <c r="N54" s="64"/>
      <c r="O54" s="3"/>
      <c r="P54" s="16"/>
      <c r="Q54" s="1"/>
      <c r="R54" s="1"/>
      <c r="S54" s="55">
        <f>SUM(S29:S53)</f>
        <v>0</v>
      </c>
      <c r="T54" s="55">
        <f>SUM(T29:T53)</f>
        <v>0</v>
      </c>
      <c r="U54" s="55">
        <f>SUM(U29:U53)</f>
        <v>0</v>
      </c>
      <c r="V54" s="39">
        <f>SUM(V29:V53)</f>
        <v>0</v>
      </c>
    </row>
    <row r="55" spans="1:22" ht="15" customHeight="1" x14ac:dyDescent="0.25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1"/>
      <c r="P55" s="4"/>
      <c r="Q55" s="1"/>
      <c r="R55" s="1"/>
    </row>
    <row r="56" spans="1:22" ht="15" customHeight="1" x14ac:dyDescent="0.25">
      <c r="A56" s="1"/>
      <c r="B56" s="1"/>
      <c r="C56" s="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1"/>
      <c r="P56" s="30"/>
      <c r="Q56" s="1"/>
      <c r="R56" s="1"/>
    </row>
    <row r="57" spans="1:22" ht="15" customHeight="1" x14ac:dyDescent="0.25">
      <c r="A57" s="1"/>
      <c r="B57" s="1"/>
      <c r="C57" s="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1"/>
      <c r="P57" s="29"/>
      <c r="Q57" s="1"/>
      <c r="R57" s="1"/>
    </row>
    <row r="58" spans="1:22" ht="15" customHeight="1" x14ac:dyDescent="0.25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  <c r="P58" s="29"/>
      <c r="Q58" s="1"/>
      <c r="R58" s="1"/>
    </row>
    <row r="59" spans="1:22" ht="15" customHeight="1" x14ac:dyDescent="0.25">
      <c r="A59" s="1"/>
      <c r="B59" s="1"/>
      <c r="C59" s="6"/>
      <c r="D59" s="6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1"/>
      <c r="P59" s="29"/>
      <c r="Q59" s="1"/>
      <c r="R59" s="1"/>
    </row>
    <row r="60" spans="1:22" ht="5.0999999999999996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sheetProtection algorithmName="SHA-512" hashValue="98pq+UOqez6DMgfuXEYsTq/+jGRwV+RVH+EFbplhj5Yl+E0UCevuJ/XKXsSZdolMsn5OiMS6aJuyrrJTuLER6Q==" saltValue="srP/Rz6GjZ0y/uoYk/y64g==" spinCount="100000" sheet="1" objects="1" scenarios="1"/>
  <protectedRanges>
    <protectedRange sqref="M29:N53" name="Plage2"/>
    <protectedRange sqref="P29:P54" name="Plage3"/>
  </protectedRanges>
  <mergeCells count="13">
    <mergeCell ref="H25:H28"/>
    <mergeCell ref="C25:C28"/>
    <mergeCell ref="D25:D28"/>
    <mergeCell ref="E25:E28"/>
    <mergeCell ref="F25:F28"/>
    <mergeCell ref="G25:G28"/>
    <mergeCell ref="P25:P28"/>
    <mergeCell ref="I25:I28"/>
    <mergeCell ref="J25:J28"/>
    <mergeCell ref="K25:K28"/>
    <mergeCell ref="L25:L28"/>
    <mergeCell ref="M25:M28"/>
    <mergeCell ref="N25:N28"/>
  </mergeCells>
  <conditionalFormatting sqref="G54">
    <cfRule type="cellIs" dxfId="19" priority="21" operator="lessThanOrEqual">
      <formula>15</formula>
    </cfRule>
    <cfRule type="cellIs" dxfId="18" priority="23" operator="greaterThan">
      <formula>15</formula>
    </cfRule>
  </conditionalFormatting>
  <conditionalFormatting sqref="E54">
    <cfRule type="cellIs" dxfId="17" priority="22" operator="lessThanOrEqual">
      <formula>1</formula>
    </cfRule>
    <cfRule type="containsText" dxfId="16" priority="24" operator="containsText" text="/">
      <formula>NOT(ISERROR(SEARCH("/",E54)))</formula>
    </cfRule>
    <cfRule type="cellIs" dxfId="15" priority="25" operator="greaterThan">
      <formula>1</formula>
    </cfRule>
  </conditionalFormatting>
  <conditionalFormatting sqref="G29">
    <cfRule type="cellIs" dxfId="14" priority="16" operator="lessThanOrEqual">
      <formula>15</formula>
    </cfRule>
    <cfRule type="cellIs" dxfId="13" priority="18" operator="greaterThan">
      <formula>15</formula>
    </cfRule>
  </conditionalFormatting>
  <conditionalFormatting sqref="E29">
    <cfRule type="cellIs" dxfId="12" priority="17" operator="lessThanOrEqual">
      <formula>1</formula>
    </cfRule>
    <cfRule type="containsText" dxfId="11" priority="19" operator="containsText" text="/">
      <formula>NOT(ISERROR(SEARCH("/",E29)))</formula>
    </cfRule>
    <cfRule type="cellIs" dxfId="10" priority="20" operator="greaterThan">
      <formula>1</formula>
    </cfRule>
  </conditionalFormatting>
  <conditionalFormatting sqref="G30:G42">
    <cfRule type="cellIs" dxfId="9" priority="6" operator="lessThanOrEqual">
      <formula>15</formula>
    </cfRule>
    <cfRule type="cellIs" dxfId="8" priority="8" operator="greaterThan">
      <formula>15</formula>
    </cfRule>
  </conditionalFormatting>
  <conditionalFormatting sqref="E30:E42">
    <cfRule type="cellIs" dxfId="7" priority="7" operator="lessThanOrEqual">
      <formula>1</formula>
    </cfRule>
    <cfRule type="containsText" dxfId="6" priority="9" operator="containsText" text="/">
      <formula>NOT(ISERROR(SEARCH("/",E30)))</formula>
    </cfRule>
    <cfRule type="cellIs" dxfId="5" priority="10" operator="greaterThan">
      <formula>1</formula>
    </cfRule>
  </conditionalFormatting>
  <conditionalFormatting sqref="G43:G53">
    <cfRule type="cellIs" dxfId="4" priority="1" operator="lessThanOrEqual">
      <formula>15</formula>
    </cfRule>
    <cfRule type="cellIs" dxfId="3" priority="3" operator="greaterThan">
      <formula>15</formula>
    </cfRule>
  </conditionalFormatting>
  <conditionalFormatting sqref="E43:E53">
    <cfRule type="cellIs" dxfId="2" priority="2" operator="lessThanOrEqual">
      <formula>1</formula>
    </cfRule>
    <cfRule type="containsText" dxfId="1" priority="4" operator="containsText" text="/">
      <formula>NOT(ISERROR(SEARCH("/",E43)))</formula>
    </cfRule>
    <cfRule type="cellIs" dxfId="0" priority="5" operator="greaterThan">
      <formula>1</formula>
    </cfRule>
  </conditionalFormatting>
  <dataValidations count="1">
    <dataValidation type="list" allowBlank="1" showInputMessage="1" showErrorMessage="1" sqref="C55">
      <formula1>#REF!</formula1>
    </dataValidation>
  </dataValidations>
  <printOptions horizontalCentered="1" verticalCentered="1"/>
  <pageMargins left="0" right="0" top="0" bottom="1.3779527559055118" header="0.31496062992125984" footer="0.31496062992125984"/>
  <pageSetup paperSize="8" scale="58" orientation="landscape" r:id="rId1"/>
  <headerFooter>
    <oddFooter>&amp;C&amp;G</oddFooter>
  </headerFooter>
  <drawing r:id="rId2"/>
  <legacyDrawing r:id="rId3"/>
  <legacyDrawingHF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E24"/>
  <sheetViews>
    <sheetView workbookViewId="0">
      <selection activeCell="J16" sqref="J16"/>
    </sheetView>
  </sheetViews>
  <sheetFormatPr baseColWidth="10" defaultRowHeight="15" outlineLevelCol="1" x14ac:dyDescent="0.25"/>
  <cols>
    <col min="1" max="1" width="24.140625" customWidth="1"/>
    <col min="2" max="2" width="16.5703125" customWidth="1"/>
    <col min="5" max="5" width="97" customWidth="1" outlineLevel="1"/>
  </cols>
  <sheetData>
    <row r="1" spans="1:5" x14ac:dyDescent="0.25">
      <c r="E1" s="27" t="s">
        <v>34</v>
      </c>
    </row>
    <row r="2" spans="1:5" ht="30" customHeight="1" x14ac:dyDescent="0.25">
      <c r="E2" s="25" t="str">
        <f>CONCATENATE("Agence : ",B3)&amp;CHAR(10)&amp;CONCATENATE("Date : ",TEXT(B4,"jj/mm/aaaa"))</f>
        <v>Agence : XXXX
Date : 20/02/2019</v>
      </c>
    </row>
    <row r="3" spans="1:5" ht="30" customHeight="1" x14ac:dyDescent="0.25">
      <c r="A3" t="s">
        <v>33</v>
      </c>
      <c r="B3" s="17" t="s">
        <v>70</v>
      </c>
      <c r="E3" s="26"/>
    </row>
    <row r="4" spans="1:5" ht="30" customHeight="1" x14ac:dyDescent="0.25">
      <c r="A4" t="s">
        <v>32</v>
      </c>
      <c r="B4" s="28">
        <v>43516</v>
      </c>
      <c r="E4" s="25" t="str">
        <f>CONCATENATE("Présents : ",B5)&amp;CHAR(10)&amp;CONCATENATE("Destinataires : ",B6)</f>
        <v>Présents : XXXX
Destinataires : XXXX</v>
      </c>
    </row>
    <row r="5" spans="1:5" ht="30" customHeight="1" x14ac:dyDescent="0.25">
      <c r="A5" t="s">
        <v>35</v>
      </c>
      <c r="B5" s="17" t="s">
        <v>70</v>
      </c>
      <c r="E5" s="26"/>
    </row>
    <row r="6" spans="1:5" ht="30" customHeight="1" x14ac:dyDescent="0.25">
      <c r="A6" t="s">
        <v>36</v>
      </c>
      <c r="B6" s="17" t="s">
        <v>70</v>
      </c>
      <c r="E6" s="26"/>
    </row>
    <row r="7" spans="1:5" x14ac:dyDescent="0.25">
      <c r="E7" s="26"/>
    </row>
    <row r="8" spans="1:5" x14ac:dyDescent="0.25">
      <c r="B8" s="93"/>
      <c r="E8" s="26"/>
    </row>
    <row r="9" spans="1:5" x14ac:dyDescent="0.25">
      <c r="E9" s="26"/>
    </row>
    <row r="10" spans="1:5" x14ac:dyDescent="0.25">
      <c r="B10" t="str">
        <f>CONCATENATE("CR Point bimestriel PA Version 22.5_",$B$3,"_",TEXT($B$4,"aaaa/mm/jj"))</f>
        <v>CR Point bimestriel PA Version 22.5_XXXX_2019/02/20</v>
      </c>
      <c r="E10" s="26"/>
    </row>
    <row r="11" spans="1:5" x14ac:dyDescent="0.25">
      <c r="E11" s="26"/>
    </row>
    <row r="12" spans="1:5" x14ac:dyDescent="0.25">
      <c r="E12" s="26"/>
    </row>
    <row r="13" spans="1:5" x14ac:dyDescent="0.25">
      <c r="E13" s="26"/>
    </row>
    <row r="14" spans="1:5" x14ac:dyDescent="0.25">
      <c r="E14" s="26"/>
    </row>
    <row r="15" spans="1:5" x14ac:dyDescent="0.25">
      <c r="E15" s="26"/>
    </row>
    <row r="16" spans="1:5" x14ac:dyDescent="0.25">
      <c r="E16" s="26"/>
    </row>
    <row r="17" spans="5:5" x14ac:dyDescent="0.25">
      <c r="E17" s="26"/>
    </row>
    <row r="18" spans="5:5" x14ac:dyDescent="0.25">
      <c r="E18" s="26"/>
    </row>
    <row r="19" spans="5:5" x14ac:dyDescent="0.25">
      <c r="E19" s="26"/>
    </row>
    <row r="20" spans="5:5" x14ac:dyDescent="0.25">
      <c r="E20" s="26"/>
    </row>
    <row r="21" spans="5:5" x14ac:dyDescent="0.25">
      <c r="E21" s="26"/>
    </row>
    <row r="22" spans="5:5" x14ac:dyDescent="0.25">
      <c r="E22" s="26"/>
    </row>
    <row r="23" spans="5:5" x14ac:dyDescent="0.25">
      <c r="E23" s="26"/>
    </row>
    <row r="24" spans="5:5" x14ac:dyDescent="0.25">
      <c r="E24" s="26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052ae6ce5fe48d585b4ce219bb73d0e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Post site services</TermName>
          <TermId xmlns="http://schemas.microsoft.com/office/infopath/2007/PartnerControls">b6212d0e-b9cf-4b29-96b5-0c3b89096ae1</TermId>
        </TermInfo>
      </Terms>
    </n052ae6ce5fe48d585b4ce219bb73d0e>
    <b7665f99c0fe44919cb3218cc8e5302c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00 00 A classer</TermName>
          <TermId xmlns="http://schemas.microsoft.com/office/infopath/2007/PartnerControls">06ef1ee2-e7bf-4474-9d1e-c5fbf4f3b42b</TermId>
        </TermInfo>
      </Terms>
    </b7665f99c0fe44919cb3218cc8e5302c>
    <TaxCatchAll xmlns="95235cfd-2d18-42eb-8ffc-01f090d3b392">
      <Value>4</Value>
      <Value>3</Value>
      <Value>2</Value>
      <Value>1</Value>
    </TaxCatchAll>
    <ComUnityFolder xmlns="95235cfd-2d18-42eb-8ffc-01f090d3b392">
      <Url xsi:nil="true"/>
      <Description xsi:nil="true"/>
    </ComUnityFolder>
    <b1c94e71d43e47329629adb2299a7407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Team</TermName>
          <TermId xmlns="http://schemas.microsoft.com/office/infopath/2007/PartnerControls">bc73f5d6-c9a9-432f-8ea2-31c33c131b8b</TermId>
        </TermInfo>
      </Terms>
    </b1c94e71d43e47329629adb2299a7407>
    <aa574486944c4b4183531de588537b4d xmlns="95235cfd-2d18-42eb-8ffc-01f090d3b392">
      <Terms xmlns="http://schemas.microsoft.com/office/infopath/2007/PartnerControls"/>
    </aa574486944c4b4183531de588537b4d>
    <bc25f8494e694b549ba275b5de656855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BYBAT GO</TermName>
          <TermId xmlns="http://schemas.microsoft.com/office/infopath/2007/PartnerControls">e034adac-5b50-4921-bbe0-8da480d557cc</TermId>
        </TermInfo>
      </Terms>
    </bc25f8494e694b549ba275b5de656855>
    <_dlc_DocId xmlns="055a4a28-9959-41a1-a37f-980566fa25d5">CWKSP-1548756382-22271</_dlc_DocId>
    <_dlc_DocIdUrl xmlns="055a4a28-9959-41a1-a37f-980566fa25d5">
      <Url>https://bouyguesconstruction.sharepoint.com/sites/bybatgodavp/_layouts/15/DocIdRedir.aspx?ID=CWKSP-1548756382-22271</Url>
      <Description>CWKSP-1548756382-22271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 BYCN" ma:contentTypeID="0x01010004BBCBFDEBB3864BA0EFED7044CA4B280057D3FA1D9199CD4E8DCA0F91F17412CD" ma:contentTypeVersion="8" ma:contentTypeDescription="Create a new document." ma:contentTypeScope="" ma:versionID="b077eaec85cdfd45798ec9cbf15e4811">
  <xsd:schema xmlns:xsd="http://www.w3.org/2001/XMLSchema" xmlns:xs="http://www.w3.org/2001/XMLSchema" xmlns:p="http://schemas.microsoft.com/office/2006/metadata/properties" xmlns:ns2="95235cfd-2d18-42eb-8ffc-01f090d3b392" xmlns:ns3="055a4a28-9959-41a1-a37f-980566fa25d5" targetNamespace="http://schemas.microsoft.com/office/2006/metadata/properties" ma:root="true" ma:fieldsID="9bbc5cec530ab153f41e16bb564e21d6" ns2:_="" ns3:_="">
    <xsd:import namespace="95235cfd-2d18-42eb-8ffc-01f090d3b392"/>
    <xsd:import namespace="055a4a28-9959-41a1-a37f-980566fa25d5"/>
    <xsd:element name="properties">
      <xsd:complexType>
        <xsd:sequence>
          <xsd:element name="documentManagement">
            <xsd:complexType>
              <xsd:all>
                <xsd:element ref="ns2:b7665f99c0fe44919cb3218cc8e5302c" minOccurs="0"/>
                <xsd:element ref="ns2:TaxCatchAll" minOccurs="0"/>
                <xsd:element ref="ns2:TaxCatchAllLabel" minOccurs="0"/>
                <xsd:element ref="ns2:ComUnityFolder" minOccurs="0"/>
                <xsd:element ref="ns2:bc25f8494e694b549ba275b5de656855" minOccurs="0"/>
                <xsd:element ref="ns2:b1c94e71d43e47329629adb2299a7407" minOccurs="0"/>
                <xsd:element ref="ns2:n052ae6ce5fe48d585b4ce219bb73d0e" minOccurs="0"/>
                <xsd:element ref="ns2:aa574486944c4b4183531de588537b4d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35cfd-2d18-42eb-8ffc-01f090d3b392" elementFormDefault="qualified">
    <xsd:import namespace="http://schemas.microsoft.com/office/2006/documentManagement/types"/>
    <xsd:import namespace="http://schemas.microsoft.com/office/infopath/2007/PartnerControls"/>
    <xsd:element name="b7665f99c0fe44919cb3218cc8e5302c" ma:index="8" nillable="true" ma:taxonomy="true" ma:internalName="b7665f99c0fe44919cb3218cc8e5302c" ma:taxonomyFieldName="ArchiveClassificationPlan" ma:displayName="Archive Classification Plan" ma:default="1;#00 00 A classer|06ef1ee2-e7bf-4474-9d1e-c5fbf4f3b42b" ma:fieldId="{b7665f99-c0fe-4491-9cb3-218cc8e5302c}" ma:sspId="18ace0e7-60a4-4acf-87da-1c47a991bb86" ma:termSetId="26353664-7461-4f07-87dd-daa2874ea87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description="" ma:hidden="true" ma:list="{1e2e4fca-82b7-4de8-b976-6283ad5f127b}" ma:internalName="TaxCatchAll" ma:showField="CatchAllData" ma:web="055a4a28-9959-41a1-a37f-980566fa25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description="" ma:hidden="true" ma:list="{1e2e4fca-82b7-4de8-b976-6283ad5f127b}" ma:internalName="TaxCatchAllLabel" ma:readOnly="true" ma:showField="CatchAllDataLabel" ma:web="055a4a28-9959-41a1-a37f-980566fa25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ComUnityFolder" ma:index="12" nillable="true" ma:displayName="Folder" ma:internalName="ComUnityFolder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bc25f8494e694b549ba275b5de656855" ma:index="13" nillable="true" ma:taxonomy="true" ma:internalName="bc25f8494e694b549ba275b5de656855" ma:taxonomyFieldName="Organisation" ma:displayName="Organisation" ma:fieldId="{bc25f849-4e69-4b54-9ba2-75b5de656855}" ma:sspId="18ace0e7-60a4-4acf-87da-1c47a991bb86" ma:termSetId="45cd4057-b767-4ebf-98f6-4028b8e5bef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1c94e71d43e47329629adb2299a7407" ma:index="15" nillable="true" ma:taxonomy="true" ma:internalName="b1c94e71d43e47329629adb2299a7407" ma:taxonomyFieldName="WorkspaceClassification" ma:displayName="Workspace classification" ma:fieldId="{b1c94e71-d43e-4732-9629-adb2299a7407}" ma:sspId="18ace0e7-60a4-4acf-87da-1c47a991bb86" ma:termSetId="22f1860e-f59a-4db1-b21a-a41c5c8ed1e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052ae6ce5fe48d585b4ce219bb73d0e" ma:index="17" nillable="true" ma:taxonomy="true" ma:internalName="n052ae6ce5fe48d585b4ce219bb73d0e" ma:taxonomyFieldName="SupportServices" ma:displayName="Support services" ma:fieldId="{7052ae6c-e5fe-48d5-85b4-ce219bb73d0e}" ma:sspId="18ace0e7-60a4-4acf-87da-1c47a991bb86" ma:termSetId="813098a9-32ee-4127-b4ec-488cb7a2546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a574486944c4b4183531de588537b4d" ma:index="19" nillable="true" ma:taxonomy="true" ma:internalName="aa574486944c4b4183531de588537b4d" ma:taxonomyFieldName="ClassificationLevel" ma:displayName="Classification level" ma:fieldId="{aa574486-944c-4b41-8353-1de588537b4d}" ma:sspId="18ace0e7-60a4-4acf-87da-1c47a991bb86" ma:termSetId="b84a82df-7dfe-42a8-9650-82042eeb9fd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5a4a28-9959-41a1-a37f-980566fa25d5" elementFormDefault="qualified">
    <xsd:import namespace="http://schemas.microsoft.com/office/2006/documentManagement/types"/>
    <xsd:import namespace="http://schemas.microsoft.com/office/infopath/2007/PartnerControls"/>
    <xsd:element name="_dlc_DocId" ma:index="21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2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3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18ace0e7-60a4-4acf-87da-1c47a991bb86" ContentTypeId="0x01010004BBCBFDEBB3864BA0EFED7044CA4B28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138555-99AD-491B-90E3-D9F2155D9E0A}">
  <ds:schemaRefs>
    <ds:schemaRef ds:uri="http://purl.org/dc/elements/1.1/"/>
    <ds:schemaRef ds:uri="http://schemas.microsoft.com/office/2006/metadata/properties"/>
    <ds:schemaRef ds:uri="055a4a28-9959-41a1-a37f-980566fa25d5"/>
    <ds:schemaRef ds:uri="http://purl.org/dc/terms/"/>
    <ds:schemaRef ds:uri="http://schemas.openxmlformats.org/package/2006/metadata/core-properties"/>
    <ds:schemaRef ds:uri="95235cfd-2d18-42eb-8ffc-01f090d3b392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D9274D2-A8ED-4B00-B55E-A8753414B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235cfd-2d18-42eb-8ffc-01f090d3b392"/>
    <ds:schemaRef ds:uri="055a4a28-9959-41a1-a37f-980566fa25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AE0F35-2CAE-4847-A34A-9C4835F46DB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53300A7E-11E2-413B-A8A3-B9885FDED0B8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599CFD48-36A5-4143-AE2A-9A1934ACC1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27</vt:i4>
      </vt:variant>
    </vt:vector>
  </HeadingPairs>
  <TitlesOfParts>
    <vt:vector size="41" baseType="lpstr">
      <vt:lpstr>Données</vt:lpstr>
      <vt:lpstr>Phase GPA</vt:lpstr>
      <vt:lpstr>Bilan final GPA HN</vt:lpstr>
      <vt:lpstr>Bilan final GPA HR</vt:lpstr>
      <vt:lpstr>Bilan final GPA OF</vt:lpstr>
      <vt:lpstr>Bilan final GPA IE</vt:lpstr>
      <vt:lpstr>Plan d'actions</vt:lpstr>
      <vt:lpstr>Onglet vierge</vt:lpstr>
      <vt:lpstr>Indicateurs</vt:lpstr>
      <vt:lpstr>Bilan intermédiaire GPA HN</vt:lpstr>
      <vt:lpstr>Bilan intermédiaire GPA HR</vt:lpstr>
      <vt:lpstr>Bilan intermédiaire GPA OF</vt:lpstr>
      <vt:lpstr>Bilan intermédiaire GPA IE</vt:lpstr>
      <vt:lpstr>Feuille Saisie</vt:lpstr>
      <vt:lpstr>DateReunion</vt:lpstr>
      <vt:lpstr>Données!Impression_des_titres</vt:lpstr>
      <vt:lpstr>'Phase GPA'!Impression_des_titres</vt:lpstr>
      <vt:lpstr>NomAgence</vt:lpstr>
      <vt:lpstr>Nomdesdestinataires</vt:lpstr>
      <vt:lpstr>nomdesprésents</vt:lpstr>
      <vt:lpstr>'Bilan final GPA HN'!Print_Area</vt:lpstr>
      <vt:lpstr>'Bilan final GPA HR'!Print_Area</vt:lpstr>
      <vt:lpstr>'Bilan final GPA IE'!Print_Area</vt:lpstr>
      <vt:lpstr>'Bilan final GPA OF'!Print_Area</vt:lpstr>
      <vt:lpstr>'Bilan intermédiaire GPA HN'!Print_Area</vt:lpstr>
      <vt:lpstr>'Bilan intermédiaire GPA HR'!Print_Area</vt:lpstr>
      <vt:lpstr>'Bilan intermédiaire GPA IE'!Print_Area</vt:lpstr>
      <vt:lpstr>'Bilan intermédiaire GPA OF'!Print_Area</vt:lpstr>
      <vt:lpstr>Données!Print_Area</vt:lpstr>
      <vt:lpstr>'Phase GPA'!Print_Area</vt:lpstr>
      <vt:lpstr>'Bilan final GPA HN'!Zone_d_impression</vt:lpstr>
      <vt:lpstr>'Bilan final GPA HR'!Zone_d_impression</vt:lpstr>
      <vt:lpstr>'Bilan final GPA IE'!Zone_d_impression</vt:lpstr>
      <vt:lpstr>'Bilan final GPA OF'!Zone_d_impression</vt:lpstr>
      <vt:lpstr>'Bilan intermédiaire GPA HN'!Zone_d_impression</vt:lpstr>
      <vt:lpstr>'Bilan intermédiaire GPA HR'!Zone_d_impression</vt:lpstr>
      <vt:lpstr>'Bilan intermédiaire GPA IE'!Zone_d_impression</vt:lpstr>
      <vt:lpstr>'Bilan intermédiaire GPA OF'!Zone_d_impression</vt:lpstr>
      <vt:lpstr>Données!Zone_d_impression</vt:lpstr>
      <vt:lpstr>'Phase GPA'!Zone_d_impression</vt:lpstr>
      <vt:lpstr>'Plan d''actions'!Zone_d_impression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GillesC</dc:creator>
  <cp:lastModifiedBy>DEGREVE, Vincent</cp:lastModifiedBy>
  <cp:lastPrinted>2019-10-23T12:28:46Z</cp:lastPrinted>
  <dcterms:created xsi:type="dcterms:W3CDTF">2017-09-29T07:31:12Z</dcterms:created>
  <dcterms:modified xsi:type="dcterms:W3CDTF">2019-10-25T11:11:22Z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0x01010004BBCBFDEBB3864BA0EFED7044CA4B280057D3FA1D9199CD4E8DCA0F91F17412CD</vt:lpwstr>
  </property>
  <property fmtid="{D5CDD505-2E9C-101B-9397-08002B2CF9AE}" pid="3" name="ClassificationLevel">
    <vt:lpwstr/>
  </property>
  <property fmtid="{D5CDD505-2E9C-101B-9397-08002B2CF9AE}" pid="4" name="ArchiveClassificationPlan">
    <vt:lpwstr>1;#00 00 A classer|06ef1ee2-e7bf-4474-9d1e-c5fbf4f3b42b</vt:lpwstr>
  </property>
  <property fmtid="{D5CDD505-2E9C-101B-9397-08002B2CF9AE}" pid="5" name="SupportServices">
    <vt:lpwstr>4;#Post site services|b6212d0e-b9cf-4b29-96b5-0c3b89096ae1</vt:lpwstr>
  </property>
  <property fmtid="{D5CDD505-2E9C-101B-9397-08002B2CF9AE}" pid="6" name="Organisation">
    <vt:lpwstr>3;#BYBAT GO|e034adac-5b50-4921-bbe0-8da480d557cc</vt:lpwstr>
  </property>
  <property fmtid="{D5CDD505-2E9C-101B-9397-08002B2CF9AE}" pid="7" name="WorkspaceClassification">
    <vt:lpwstr>2;#Team|bc73f5d6-c9a9-432f-8ea2-31c33c131b8b</vt:lpwstr>
  </property>
  <property fmtid="{D5CDD505-2E9C-101B-9397-08002B2CF9AE}" pid="8" name="_dlc_DocIdItemGuid">
    <vt:lpwstr>ff082eaa-4487-4770-ab04-949229b3d0fa</vt:lpwstr>
  </property>
</Properties>
</file>