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autoCompressPictures="0"/>
  <bookViews>
    <workbookView xWindow="0" yWindow="120" windowWidth="15600" windowHeight="11640" tabRatio="690" activeTab="6"/>
  </bookViews>
  <sheets>
    <sheet name="Parameters" sheetId="18" r:id="rId1"/>
    <sheet name="Days off" sheetId="19" r:id="rId2"/>
    <sheet name="January" sheetId="1" r:id="rId3"/>
    <sheet name="February" sheetId="6" r:id="rId4"/>
    <sheet name="March" sheetId="7" r:id="rId5"/>
    <sheet name="April" sheetId="8" r:id="rId6"/>
    <sheet name="May" sheetId="9" r:id="rId7"/>
    <sheet name="June" sheetId="10" r:id="rId8"/>
    <sheet name="July" sheetId="11" r:id="rId9"/>
    <sheet name="August" sheetId="12" r:id="rId10"/>
    <sheet name="September" sheetId="13" r:id="rId11"/>
    <sheet name="October" sheetId="14" r:id="rId12"/>
    <sheet name="November" sheetId="15" r:id="rId13"/>
    <sheet name="December" sheetId="16" r:id="rId14"/>
  </sheets>
  <definedNames>
    <definedName name="AprSun1">DATE(CalendarYear,4,1)-WEEKDAY(DATE(CalendarYear,4,1))+1</definedName>
    <definedName name="AugSun1">DATE(CalendarYear,8,1)-WEEKDAY(DATE(CalendarYear,8,1))+1</definedName>
    <definedName name="CalendarYear">January!$W$1</definedName>
    <definedName name="DecSun1">DATE(CalendarYear,12,1)-WEEKDAY(DATE(CalendarYear,12,1))+1</definedName>
    <definedName name="FebSun1">DATE(CalendarYear,2,1)-WEEKDAY(DATE(CalendarYear,2,1))+1</definedName>
    <definedName name="JanSun1" localSheetId="0">DATE([0]!CalendarYear,1,1)-WEEKDAY(DATE([0]!CalendarYear,1,1))+1</definedName>
    <definedName name="JanSun1">DATE(CalendarYear,1,1)-WEEKDAY(DATE(CalendarYear,1,1))+1</definedName>
    <definedName name="JulSun1">DATE(CalendarYear,7,1)-WEEKDAY(DATE(CalendarYear,7,1))+1</definedName>
    <definedName name="JunSun1">DATE(CalendarYear,6,1)-WEEKDAY(DATE(CalendarYear,6,1))+1</definedName>
    <definedName name="Mar_Dim1">DATE(Année_Calendaire,3,1)-WEEKDAY(DATE(Année_Calendaire,3,1))+1</definedName>
    <definedName name="MarSun1">DATE(CalendarYear,3,1)-WEEKDAY(DATE(CalendarYear,3,1))+1</definedName>
    <definedName name="MaySun1">DATE(CalendarYear,5,1)-WEEKDAY(DATE(CalendarYear,5,1))+1</definedName>
    <definedName name="NovSun1">DATE(CalendarYear,11,1)-WEEKDAY(DATE(CalendarYear,11,1))+1</definedName>
    <definedName name="OctSun1">DATE(CalendarYear,10,1)-WEEKDAY(DATE(CalendarYear,10,1))+1</definedName>
    <definedName name="_xlnm.Print_Area" localSheetId="2">January!$A$1:$T$16</definedName>
    <definedName name="SepSun1">DATE(CalendarYear,9,1)-WEEKDAY(DATE(CalendarYear,9,1))+1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9" l="1"/>
  <c r="C19" i="18" l="1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C46" i="18"/>
  <c r="C47" i="18"/>
  <c r="C48" i="18"/>
  <c r="C49" i="18"/>
  <c r="C6" i="9"/>
  <c r="L53" i="18" l="1"/>
  <c r="L54" i="18" s="1"/>
  <c r="J53" i="18"/>
  <c r="J54" i="18" s="1"/>
  <c r="H53" i="18"/>
  <c r="H54" i="18" s="1"/>
  <c r="F53" i="18"/>
  <c r="F54" i="18" s="1"/>
  <c r="D53" i="18"/>
  <c r="D54" i="18" s="1"/>
  <c r="B53" i="18"/>
  <c r="B54" i="18" s="1"/>
  <c r="L18" i="18"/>
  <c r="L19" i="18" s="1"/>
  <c r="J18" i="18"/>
  <c r="J19" i="18" s="1"/>
  <c r="H18" i="18"/>
  <c r="H19" i="18" s="1"/>
  <c r="F18" i="18"/>
  <c r="F19" i="18" s="1"/>
  <c r="B18" i="18"/>
  <c r="B19" i="18" s="1"/>
  <c r="D18" i="18"/>
  <c r="D19" i="18" s="1"/>
  <c r="M19" i="18" l="1"/>
  <c r="I54" i="18"/>
  <c r="G19" i="18"/>
  <c r="C54" i="18"/>
  <c r="K54" i="18"/>
  <c r="I19" i="18"/>
  <c r="E54" i="18"/>
  <c r="M54" i="18"/>
  <c r="E19" i="18"/>
  <c r="K19" i="18"/>
  <c r="G54" i="18"/>
  <c r="B2" i="16"/>
  <c r="B2" i="15"/>
  <c r="B2" i="14"/>
  <c r="B2" i="13"/>
  <c r="B2" i="12"/>
  <c r="B2" i="11"/>
  <c r="B2" i="10"/>
  <c r="B2" i="9"/>
  <c r="B2" i="8"/>
  <c r="B2" i="7"/>
  <c r="B2" i="6"/>
  <c r="B2" i="1"/>
  <c r="O12" i="18"/>
  <c r="P12" i="18" s="1"/>
  <c r="J55" i="18" s="1"/>
  <c r="O13" i="18"/>
  <c r="P13" i="18" s="1"/>
  <c r="L55" i="18" s="1"/>
  <c r="W1" i="1"/>
  <c r="I12" i="16" s="1"/>
  <c r="O11" i="18"/>
  <c r="P11" i="18" s="1"/>
  <c r="H55" i="18" s="1"/>
  <c r="O10" i="18"/>
  <c r="P10" i="18" s="1"/>
  <c r="F55" i="18" s="1"/>
  <c r="O9" i="18"/>
  <c r="P9" i="18" s="1"/>
  <c r="D55" i="18" s="1"/>
  <c r="O8" i="18"/>
  <c r="P8" i="18" s="1"/>
  <c r="B55" i="18" s="1"/>
  <c r="O7" i="18"/>
  <c r="P7" i="18" s="1"/>
  <c r="L20" i="18" s="1"/>
  <c r="O6" i="18"/>
  <c r="P6" i="18" s="1"/>
  <c r="J20" i="18" s="1"/>
  <c r="O5" i="18"/>
  <c r="P5" i="18" s="1"/>
  <c r="H20" i="18" s="1"/>
  <c r="O4" i="18"/>
  <c r="P4" i="18" s="1"/>
  <c r="F20" i="18" s="1"/>
  <c r="O3" i="18"/>
  <c r="P3" i="18" s="1"/>
  <c r="D20" i="18" s="1"/>
  <c r="O2" i="18"/>
  <c r="P2" i="18" s="1"/>
  <c r="B20" i="18" s="1"/>
  <c r="C5" i="1" l="1"/>
  <c r="K4" i="6"/>
  <c r="D21" i="18"/>
  <c r="E20" i="18"/>
  <c r="L21" i="18"/>
  <c r="M20" i="18"/>
  <c r="H56" i="18"/>
  <c r="I55" i="18"/>
  <c r="F21" i="18"/>
  <c r="G20" i="18"/>
  <c r="B56" i="18"/>
  <c r="C55" i="18"/>
  <c r="H21" i="18"/>
  <c r="I20" i="18"/>
  <c r="D56" i="18"/>
  <c r="E55" i="18"/>
  <c r="L56" i="18"/>
  <c r="M55" i="18"/>
  <c r="B21" i="18"/>
  <c r="J21" i="18"/>
  <c r="K20" i="18"/>
  <c r="F56" i="18"/>
  <c r="G55" i="18"/>
  <c r="J56" i="18"/>
  <c r="K55" i="18"/>
  <c r="O10" i="13"/>
  <c r="K6" i="13"/>
  <c r="O14" i="13"/>
  <c r="K10" i="13"/>
  <c r="G6" i="13"/>
  <c r="C14" i="13"/>
  <c r="M8" i="13"/>
  <c r="I4" i="13"/>
  <c r="M12" i="13"/>
  <c r="I8" i="13"/>
  <c r="E4" i="13"/>
  <c r="K14" i="13"/>
  <c r="I12" i="13"/>
  <c r="G10" i="13"/>
  <c r="E8" i="13"/>
  <c r="C6" i="13"/>
  <c r="G14" i="13"/>
  <c r="E12" i="13"/>
  <c r="C10" i="13"/>
  <c r="O6" i="13"/>
  <c r="M4" i="13"/>
  <c r="M14" i="13"/>
  <c r="E14" i="13"/>
  <c r="K12" i="13"/>
  <c r="C12" i="13"/>
  <c r="I10" i="13"/>
  <c r="O8" i="13"/>
  <c r="G8" i="13"/>
  <c r="M6" i="13"/>
  <c r="E6" i="13"/>
  <c r="K4" i="13"/>
  <c r="C4" i="13"/>
  <c r="I14" i="13"/>
  <c r="O12" i="13"/>
  <c r="G12" i="13"/>
  <c r="M10" i="13"/>
  <c r="E10" i="13"/>
  <c r="K8" i="13"/>
  <c r="C8" i="13"/>
  <c r="I6" i="13"/>
  <c r="O4" i="13"/>
  <c r="G4" i="13"/>
  <c r="O14" i="8"/>
  <c r="M14" i="8"/>
  <c r="K14" i="8"/>
  <c r="I14" i="8"/>
  <c r="G14" i="8"/>
  <c r="E14" i="8"/>
  <c r="C14" i="8"/>
  <c r="O12" i="8"/>
  <c r="M12" i="8"/>
  <c r="K12" i="8"/>
  <c r="I12" i="8"/>
  <c r="G12" i="8"/>
  <c r="E12" i="8"/>
  <c r="C12" i="8"/>
  <c r="O10" i="8"/>
  <c r="M10" i="8"/>
  <c r="K10" i="8"/>
  <c r="I10" i="8"/>
  <c r="G10" i="8"/>
  <c r="E10" i="8"/>
  <c r="C10" i="8"/>
  <c r="O8" i="8"/>
  <c r="M8" i="8"/>
  <c r="K8" i="8"/>
  <c r="I8" i="8"/>
  <c r="G8" i="8"/>
  <c r="E8" i="8"/>
  <c r="C8" i="8"/>
  <c r="O6" i="8"/>
  <c r="M6" i="8"/>
  <c r="K6" i="8"/>
  <c r="I6" i="8"/>
  <c r="G6" i="8"/>
  <c r="E6" i="8"/>
  <c r="C6" i="8"/>
  <c r="O4" i="8"/>
  <c r="M4" i="8"/>
  <c r="K4" i="8"/>
  <c r="I4" i="8"/>
  <c r="G4" i="8"/>
  <c r="E4" i="8"/>
  <c r="C4" i="8"/>
  <c r="O14" i="16"/>
  <c r="M14" i="16"/>
  <c r="K14" i="16"/>
  <c r="I14" i="16"/>
  <c r="G14" i="16"/>
  <c r="E14" i="16"/>
  <c r="C14" i="16"/>
  <c r="O12" i="16"/>
  <c r="M12" i="16"/>
  <c r="K12" i="16"/>
  <c r="G12" i="16"/>
  <c r="E12" i="16"/>
  <c r="C12" i="16"/>
  <c r="O10" i="16"/>
  <c r="M10" i="16"/>
  <c r="K10" i="16"/>
  <c r="I10" i="16"/>
  <c r="G10" i="16"/>
  <c r="E10" i="16"/>
  <c r="C10" i="16"/>
  <c r="O8" i="16"/>
  <c r="M8" i="16"/>
  <c r="K8" i="16"/>
  <c r="I8" i="16"/>
  <c r="G8" i="16"/>
  <c r="E8" i="16"/>
  <c r="C8" i="16"/>
  <c r="O6" i="16"/>
  <c r="M6" i="16"/>
  <c r="K6" i="16"/>
  <c r="I6" i="16"/>
  <c r="G6" i="16"/>
  <c r="E6" i="16"/>
  <c r="C6" i="16"/>
  <c r="O4" i="16"/>
  <c r="M4" i="16"/>
  <c r="K4" i="16"/>
  <c r="I4" i="16"/>
  <c r="G4" i="16"/>
  <c r="E4" i="16"/>
  <c r="C4" i="16"/>
  <c r="O14" i="15"/>
  <c r="M14" i="15"/>
  <c r="K14" i="15"/>
  <c r="I14" i="15"/>
  <c r="G14" i="15"/>
  <c r="E14" i="15"/>
  <c r="C14" i="15"/>
  <c r="O12" i="15"/>
  <c r="M12" i="15"/>
  <c r="K12" i="15"/>
  <c r="I12" i="15"/>
  <c r="G12" i="15"/>
  <c r="E12" i="15"/>
  <c r="C12" i="15"/>
  <c r="O10" i="15"/>
  <c r="M10" i="15"/>
  <c r="K10" i="15"/>
  <c r="I10" i="15"/>
  <c r="G10" i="15"/>
  <c r="E10" i="15"/>
  <c r="C10" i="15"/>
  <c r="O8" i="15"/>
  <c r="M8" i="15"/>
  <c r="K8" i="15"/>
  <c r="I8" i="15"/>
  <c r="G8" i="15"/>
  <c r="E8" i="15"/>
  <c r="C8" i="15"/>
  <c r="O6" i="15"/>
  <c r="M6" i="15"/>
  <c r="K6" i="15"/>
  <c r="I6" i="15"/>
  <c r="G6" i="15"/>
  <c r="E6" i="15"/>
  <c r="C6" i="15"/>
  <c r="O4" i="15"/>
  <c r="M4" i="15"/>
  <c r="K4" i="15"/>
  <c r="I4" i="15"/>
  <c r="G4" i="15"/>
  <c r="E4" i="15"/>
  <c r="C4" i="15"/>
  <c r="O14" i="14"/>
  <c r="M14" i="14"/>
  <c r="K14" i="14"/>
  <c r="I14" i="14"/>
  <c r="G14" i="14"/>
  <c r="E14" i="14"/>
  <c r="C14" i="14"/>
  <c r="O12" i="14"/>
  <c r="M12" i="14"/>
  <c r="K12" i="14"/>
  <c r="I12" i="14"/>
  <c r="G12" i="14"/>
  <c r="E12" i="14"/>
  <c r="C12" i="14"/>
  <c r="O10" i="14"/>
  <c r="M10" i="14"/>
  <c r="K10" i="14"/>
  <c r="I10" i="14"/>
  <c r="G10" i="14"/>
  <c r="E10" i="14"/>
  <c r="C10" i="14"/>
  <c r="O8" i="14"/>
  <c r="M8" i="14"/>
  <c r="K8" i="14"/>
  <c r="I8" i="14"/>
  <c r="G8" i="14"/>
  <c r="E8" i="14"/>
  <c r="C8" i="14"/>
  <c r="O6" i="14"/>
  <c r="M6" i="14"/>
  <c r="K6" i="14"/>
  <c r="I6" i="14"/>
  <c r="G6" i="14"/>
  <c r="E6" i="14"/>
  <c r="C6" i="14"/>
  <c r="O4" i="14"/>
  <c r="M4" i="14"/>
  <c r="K4" i="14"/>
  <c r="I4" i="14"/>
  <c r="G4" i="14"/>
  <c r="E4" i="14"/>
  <c r="C4" i="14"/>
  <c r="O14" i="12"/>
  <c r="M14" i="12"/>
  <c r="K14" i="12"/>
  <c r="I14" i="12"/>
  <c r="G14" i="12"/>
  <c r="E14" i="12"/>
  <c r="C14" i="12"/>
  <c r="O12" i="12"/>
  <c r="M12" i="12"/>
  <c r="K12" i="12"/>
  <c r="I12" i="12"/>
  <c r="G12" i="12"/>
  <c r="E12" i="12"/>
  <c r="C12" i="12"/>
  <c r="O10" i="12"/>
  <c r="M10" i="12"/>
  <c r="K10" i="12"/>
  <c r="I10" i="12"/>
  <c r="G10" i="12"/>
  <c r="E10" i="12"/>
  <c r="C10" i="12"/>
  <c r="O8" i="12"/>
  <c r="M8" i="12"/>
  <c r="K8" i="12"/>
  <c r="I8" i="12"/>
  <c r="G8" i="12"/>
  <c r="E8" i="12"/>
  <c r="C8" i="12"/>
  <c r="O6" i="12"/>
  <c r="M6" i="12"/>
  <c r="K6" i="12"/>
  <c r="I6" i="12"/>
  <c r="G6" i="12"/>
  <c r="E6" i="12"/>
  <c r="C6" i="12"/>
  <c r="O4" i="12"/>
  <c r="M4" i="12"/>
  <c r="K4" i="12"/>
  <c r="I4" i="12"/>
  <c r="G4" i="12"/>
  <c r="E4" i="12"/>
  <c r="C4" i="12"/>
  <c r="O14" i="11"/>
  <c r="M14" i="11"/>
  <c r="K14" i="11"/>
  <c r="I14" i="11"/>
  <c r="G14" i="11"/>
  <c r="E14" i="11"/>
  <c r="C14" i="11"/>
  <c r="O12" i="11"/>
  <c r="M12" i="11"/>
  <c r="K12" i="11"/>
  <c r="I12" i="11"/>
  <c r="G12" i="11"/>
  <c r="E12" i="11"/>
  <c r="C12" i="11"/>
  <c r="O10" i="11"/>
  <c r="M10" i="11"/>
  <c r="K10" i="11"/>
  <c r="I10" i="11"/>
  <c r="G10" i="11"/>
  <c r="E10" i="11"/>
  <c r="C10" i="11"/>
  <c r="O8" i="11"/>
  <c r="M8" i="11"/>
  <c r="K8" i="11"/>
  <c r="I8" i="11"/>
  <c r="G8" i="11"/>
  <c r="E8" i="11"/>
  <c r="C8" i="11"/>
  <c r="O6" i="11"/>
  <c r="M6" i="11"/>
  <c r="K6" i="11"/>
  <c r="I6" i="11"/>
  <c r="G6" i="11"/>
  <c r="E6" i="11"/>
  <c r="C6" i="11"/>
  <c r="O4" i="11"/>
  <c r="M4" i="11"/>
  <c r="K4" i="11"/>
  <c r="I4" i="11"/>
  <c r="G4" i="11"/>
  <c r="E4" i="11"/>
  <c r="C4" i="11"/>
  <c r="O14" i="10"/>
  <c r="M14" i="10"/>
  <c r="K14" i="10"/>
  <c r="I14" i="10"/>
  <c r="G14" i="10"/>
  <c r="E14" i="10"/>
  <c r="C14" i="10"/>
  <c r="O12" i="10"/>
  <c r="M12" i="10"/>
  <c r="K12" i="10"/>
  <c r="I12" i="10"/>
  <c r="G12" i="10"/>
  <c r="E12" i="10"/>
  <c r="C12" i="10"/>
  <c r="O10" i="10"/>
  <c r="M10" i="10"/>
  <c r="K10" i="10"/>
  <c r="I10" i="10"/>
  <c r="G10" i="10"/>
  <c r="E10" i="10"/>
  <c r="C10" i="10"/>
  <c r="O8" i="10"/>
  <c r="M8" i="10"/>
  <c r="K8" i="10"/>
  <c r="I8" i="10"/>
  <c r="G8" i="10"/>
  <c r="E8" i="10"/>
  <c r="C8" i="10"/>
  <c r="O6" i="10"/>
  <c r="M6" i="10"/>
  <c r="K6" i="10"/>
  <c r="I6" i="10"/>
  <c r="G6" i="10"/>
  <c r="E6" i="10"/>
  <c r="C6" i="10"/>
  <c r="O4" i="10"/>
  <c r="M4" i="10"/>
  <c r="K4" i="10"/>
  <c r="I4" i="10"/>
  <c r="G4" i="10"/>
  <c r="E4" i="10"/>
  <c r="C4" i="10"/>
  <c r="O14" i="9"/>
  <c r="M14" i="9"/>
  <c r="K14" i="9"/>
  <c r="I14" i="9"/>
  <c r="G14" i="9"/>
  <c r="E14" i="9"/>
  <c r="C14" i="9"/>
  <c r="O12" i="9"/>
  <c r="M12" i="9"/>
  <c r="K12" i="9"/>
  <c r="I12" i="9"/>
  <c r="G12" i="9"/>
  <c r="E12" i="9"/>
  <c r="C12" i="9"/>
  <c r="O10" i="9"/>
  <c r="M10" i="9"/>
  <c r="K10" i="9"/>
  <c r="I10" i="9"/>
  <c r="G10" i="9"/>
  <c r="E10" i="9"/>
  <c r="C10" i="9"/>
  <c r="O8" i="9"/>
  <c r="M8" i="9"/>
  <c r="K8" i="9"/>
  <c r="I8" i="9"/>
  <c r="G8" i="9"/>
  <c r="E8" i="9"/>
  <c r="C8" i="9"/>
  <c r="O6" i="9"/>
  <c r="M6" i="9"/>
  <c r="K6" i="9"/>
  <c r="I6" i="9"/>
  <c r="G6" i="9"/>
  <c r="E6" i="9"/>
  <c r="O4" i="9"/>
  <c r="M4" i="9"/>
  <c r="K4" i="9"/>
  <c r="I4" i="9"/>
  <c r="G4" i="9"/>
  <c r="E4" i="9"/>
  <c r="C4" i="9"/>
  <c r="O14" i="7"/>
  <c r="M14" i="7"/>
  <c r="K14" i="7"/>
  <c r="I14" i="7"/>
  <c r="G14" i="7"/>
  <c r="E14" i="7"/>
  <c r="C14" i="7"/>
  <c r="O12" i="7"/>
  <c r="M12" i="7"/>
  <c r="K12" i="7"/>
  <c r="I12" i="7"/>
  <c r="G12" i="7"/>
  <c r="E12" i="7"/>
  <c r="C12" i="7"/>
  <c r="O10" i="7"/>
  <c r="M10" i="7"/>
  <c r="K10" i="7"/>
  <c r="I10" i="7"/>
  <c r="G10" i="7"/>
  <c r="E10" i="7"/>
  <c r="C10" i="7"/>
  <c r="O8" i="7"/>
  <c r="M8" i="7"/>
  <c r="K8" i="7"/>
  <c r="I8" i="7"/>
  <c r="G8" i="7"/>
  <c r="E8" i="7"/>
  <c r="C8" i="7"/>
  <c r="O6" i="7"/>
  <c r="M6" i="7"/>
  <c r="K6" i="7"/>
  <c r="I6" i="7"/>
  <c r="G6" i="7"/>
  <c r="E6" i="7"/>
  <c r="C6" i="7"/>
  <c r="O4" i="7"/>
  <c r="M4" i="7"/>
  <c r="K4" i="7"/>
  <c r="I4" i="7"/>
  <c r="G4" i="7"/>
  <c r="E4" i="7"/>
  <c r="C4" i="7"/>
  <c r="O14" i="6"/>
  <c r="M14" i="6"/>
  <c r="K14" i="6"/>
  <c r="I14" i="6"/>
  <c r="G14" i="6"/>
  <c r="E14" i="6"/>
  <c r="C14" i="6"/>
  <c r="O12" i="6"/>
  <c r="M12" i="6"/>
  <c r="K12" i="6"/>
  <c r="I12" i="6"/>
  <c r="G12" i="6"/>
  <c r="E12" i="6"/>
  <c r="C12" i="6"/>
  <c r="O10" i="6"/>
  <c r="M10" i="6"/>
  <c r="K10" i="6"/>
  <c r="I10" i="6"/>
  <c r="G10" i="6"/>
  <c r="E10" i="6"/>
  <c r="C10" i="6"/>
  <c r="O8" i="6"/>
  <c r="M8" i="6"/>
  <c r="K8" i="6"/>
  <c r="I8" i="6"/>
  <c r="G8" i="6"/>
  <c r="E8" i="6"/>
  <c r="C8" i="6"/>
  <c r="O6" i="6"/>
  <c r="M6" i="6"/>
  <c r="K6" i="6"/>
  <c r="I6" i="6"/>
  <c r="G6" i="6"/>
  <c r="E6" i="6"/>
  <c r="C6" i="6"/>
  <c r="O4" i="6"/>
  <c r="M4" i="6"/>
  <c r="I4" i="6"/>
  <c r="G4" i="6"/>
  <c r="E4" i="6"/>
  <c r="C4" i="6"/>
  <c r="F22" i="18" l="1"/>
  <c r="G21" i="18"/>
  <c r="L22" i="18"/>
  <c r="M21" i="18"/>
  <c r="F57" i="18"/>
  <c r="G56" i="18"/>
  <c r="B22" i="18"/>
  <c r="D57" i="18"/>
  <c r="E56" i="18"/>
  <c r="J57" i="18"/>
  <c r="K56" i="18"/>
  <c r="J22" i="18"/>
  <c r="K21" i="18"/>
  <c r="L57" i="18"/>
  <c r="M56" i="18"/>
  <c r="H22" i="18"/>
  <c r="I21" i="18"/>
  <c r="B57" i="18"/>
  <c r="C56" i="18"/>
  <c r="H57" i="18"/>
  <c r="I56" i="18"/>
  <c r="D22" i="18"/>
  <c r="E21" i="18"/>
  <c r="M5" i="1"/>
  <c r="D58" i="18" l="1"/>
  <c r="E57" i="18"/>
  <c r="F58" i="18"/>
  <c r="G57" i="18"/>
  <c r="D23" i="18"/>
  <c r="E22" i="18"/>
  <c r="B58" i="18"/>
  <c r="C57" i="18"/>
  <c r="H23" i="18"/>
  <c r="I22" i="18"/>
  <c r="J23" i="18"/>
  <c r="K22" i="18"/>
  <c r="L23" i="18"/>
  <c r="M22" i="18"/>
  <c r="B23" i="18"/>
  <c r="H58" i="18"/>
  <c r="I57" i="18"/>
  <c r="L58" i="18"/>
  <c r="M57" i="18"/>
  <c r="J58" i="18"/>
  <c r="K57" i="18"/>
  <c r="F23" i="18"/>
  <c r="G22" i="18"/>
  <c r="O15" i="1"/>
  <c r="M15" i="1"/>
  <c r="K15" i="1"/>
  <c r="I15" i="1"/>
  <c r="G15" i="1"/>
  <c r="E15" i="1"/>
  <c r="C15" i="1"/>
  <c r="O13" i="1"/>
  <c r="M13" i="1"/>
  <c r="K13" i="1"/>
  <c r="I13" i="1"/>
  <c r="G13" i="1"/>
  <c r="E13" i="1"/>
  <c r="C13" i="1"/>
  <c r="O11" i="1"/>
  <c r="M11" i="1"/>
  <c r="K11" i="1"/>
  <c r="I11" i="1"/>
  <c r="G11" i="1"/>
  <c r="E11" i="1"/>
  <c r="C11" i="1"/>
  <c r="O9" i="1"/>
  <c r="M9" i="1"/>
  <c r="K9" i="1"/>
  <c r="I9" i="1"/>
  <c r="G9" i="1"/>
  <c r="E9" i="1"/>
  <c r="C9" i="1"/>
  <c r="O7" i="1"/>
  <c r="M7" i="1"/>
  <c r="K7" i="1"/>
  <c r="I7" i="1"/>
  <c r="G7" i="1"/>
  <c r="E7" i="1"/>
  <c r="C7" i="1"/>
  <c r="O5" i="1"/>
  <c r="K5" i="1"/>
  <c r="I5" i="1"/>
  <c r="G5" i="1"/>
  <c r="E5" i="1"/>
  <c r="J59" i="18" l="1"/>
  <c r="K58" i="18"/>
  <c r="B24" i="18"/>
  <c r="B59" i="18"/>
  <c r="C58" i="18"/>
  <c r="F59" i="18"/>
  <c r="G58" i="18"/>
  <c r="F24" i="18"/>
  <c r="G23" i="18"/>
  <c r="H59" i="18"/>
  <c r="I58" i="18"/>
  <c r="H24" i="18"/>
  <c r="I23" i="18"/>
  <c r="L24" i="18"/>
  <c r="M23" i="18"/>
  <c r="J24" i="18"/>
  <c r="K23" i="18"/>
  <c r="L59" i="18"/>
  <c r="M58" i="18"/>
  <c r="D24" i="18"/>
  <c r="E23" i="18"/>
  <c r="D59" i="18"/>
  <c r="E58" i="18"/>
  <c r="H25" i="18" l="1"/>
  <c r="I24" i="18"/>
  <c r="D60" i="18"/>
  <c r="E59" i="18"/>
  <c r="J25" i="18"/>
  <c r="K24" i="18"/>
  <c r="F25" i="18"/>
  <c r="G24" i="18"/>
  <c r="B60" i="18"/>
  <c r="C59" i="18"/>
  <c r="J60" i="18"/>
  <c r="K59" i="18"/>
  <c r="L60" i="18"/>
  <c r="M59" i="18"/>
  <c r="D25" i="18"/>
  <c r="E24" i="18"/>
  <c r="L25" i="18"/>
  <c r="M24" i="18"/>
  <c r="H60" i="18"/>
  <c r="I59" i="18"/>
  <c r="F60" i="18"/>
  <c r="G59" i="18"/>
  <c r="B25" i="18"/>
  <c r="F61" i="18" l="1"/>
  <c r="G60" i="18"/>
  <c r="L26" i="18"/>
  <c r="M25" i="18"/>
  <c r="D26" i="18"/>
  <c r="E25" i="18"/>
  <c r="J61" i="18"/>
  <c r="K60" i="18"/>
  <c r="F26" i="18"/>
  <c r="G25" i="18"/>
  <c r="H26" i="18"/>
  <c r="I25" i="18"/>
  <c r="B26" i="18"/>
  <c r="H61" i="18"/>
  <c r="I60" i="18"/>
  <c r="L61" i="18"/>
  <c r="M60" i="18"/>
  <c r="B61" i="18"/>
  <c r="C60" i="18"/>
  <c r="D61" i="18"/>
  <c r="E60" i="18"/>
  <c r="J26" i="18"/>
  <c r="K25" i="18"/>
  <c r="J62" i="18" l="1"/>
  <c r="K61" i="18"/>
  <c r="D27" i="18"/>
  <c r="E26" i="18"/>
  <c r="F62" i="18"/>
  <c r="G61" i="18"/>
  <c r="B62" i="18"/>
  <c r="C61" i="18"/>
  <c r="B27" i="18"/>
  <c r="F27" i="18"/>
  <c r="G26" i="18"/>
  <c r="L27" i="18"/>
  <c r="M26" i="18"/>
  <c r="J27" i="18"/>
  <c r="K26" i="18"/>
  <c r="D62" i="18"/>
  <c r="E61" i="18"/>
  <c r="L62" i="18"/>
  <c r="M61" i="18"/>
  <c r="H62" i="18"/>
  <c r="I61" i="18"/>
  <c r="H27" i="18"/>
  <c r="I26" i="18"/>
  <c r="H28" i="18" l="1"/>
  <c r="I27" i="18"/>
  <c r="H63" i="18"/>
  <c r="I62" i="18"/>
  <c r="D63" i="18"/>
  <c r="E62" i="18"/>
  <c r="L28" i="18"/>
  <c r="M27" i="18"/>
  <c r="F28" i="18"/>
  <c r="G27" i="18"/>
  <c r="B28" i="18"/>
  <c r="D28" i="18"/>
  <c r="E27" i="18"/>
  <c r="F63" i="18"/>
  <c r="G62" i="18"/>
  <c r="L63" i="18"/>
  <c r="M62" i="18"/>
  <c r="J28" i="18"/>
  <c r="K27" i="18"/>
  <c r="B63" i="18"/>
  <c r="C62" i="18"/>
  <c r="J63" i="18"/>
  <c r="K62" i="18"/>
  <c r="F29" i="18" l="1"/>
  <c r="G28" i="18"/>
  <c r="D64" i="18"/>
  <c r="E63" i="18"/>
  <c r="H29" i="18"/>
  <c r="I28" i="18"/>
  <c r="J64" i="18"/>
  <c r="K63" i="18"/>
  <c r="J29" i="18"/>
  <c r="K28" i="18"/>
  <c r="F64" i="18"/>
  <c r="G63" i="18"/>
  <c r="D29" i="18"/>
  <c r="E28" i="18"/>
  <c r="B29" i="18"/>
  <c r="L29" i="18"/>
  <c r="M28" i="18"/>
  <c r="H64" i="18"/>
  <c r="I63" i="18"/>
  <c r="B64" i="18"/>
  <c r="C63" i="18"/>
  <c r="L64" i="18"/>
  <c r="M63" i="18"/>
  <c r="D30" i="18" l="1"/>
  <c r="E29" i="18"/>
  <c r="B65" i="18"/>
  <c r="C64" i="18"/>
  <c r="L30" i="18"/>
  <c r="M29" i="18"/>
  <c r="B30" i="18"/>
  <c r="L65" i="18"/>
  <c r="M64" i="18"/>
  <c r="H65" i="18"/>
  <c r="I64" i="18"/>
  <c r="F65" i="18"/>
  <c r="G64" i="18"/>
  <c r="J65" i="18"/>
  <c r="K64" i="18"/>
  <c r="D65" i="18"/>
  <c r="E64" i="18"/>
  <c r="J30" i="18"/>
  <c r="K29" i="18"/>
  <c r="H30" i="18"/>
  <c r="I29" i="18"/>
  <c r="F30" i="18"/>
  <c r="G29" i="18"/>
  <c r="F31" i="18" l="1"/>
  <c r="G30" i="18"/>
  <c r="J66" i="18"/>
  <c r="K65" i="18"/>
  <c r="B31" i="18"/>
  <c r="H31" i="18"/>
  <c r="I30" i="18"/>
  <c r="D66" i="18"/>
  <c r="E65" i="18"/>
  <c r="F66" i="18"/>
  <c r="G65" i="18"/>
  <c r="L66" i="18"/>
  <c r="M65" i="18"/>
  <c r="L31" i="18"/>
  <c r="M30" i="18"/>
  <c r="J31" i="18"/>
  <c r="K30" i="18"/>
  <c r="H66" i="18"/>
  <c r="I65" i="18"/>
  <c r="B66" i="18"/>
  <c r="C65" i="18"/>
  <c r="D31" i="18"/>
  <c r="E30" i="18"/>
  <c r="B32" i="18" l="1"/>
  <c r="F32" i="18"/>
  <c r="G31" i="18"/>
  <c r="B67" i="18"/>
  <c r="C66" i="18"/>
  <c r="F67" i="18"/>
  <c r="G66" i="18"/>
  <c r="H32" i="18"/>
  <c r="I31" i="18"/>
  <c r="J67" i="18"/>
  <c r="K66" i="18"/>
  <c r="D32" i="18"/>
  <c r="E31" i="18"/>
  <c r="H67" i="18"/>
  <c r="I66" i="18"/>
  <c r="L32" i="18"/>
  <c r="M31" i="18"/>
  <c r="L67" i="18"/>
  <c r="M66" i="18"/>
  <c r="D67" i="18"/>
  <c r="E66" i="18"/>
  <c r="J32" i="18"/>
  <c r="K31" i="18"/>
  <c r="L33" i="18" l="1"/>
  <c r="M32" i="18"/>
  <c r="J33" i="18"/>
  <c r="K32" i="18"/>
  <c r="L68" i="18"/>
  <c r="M67" i="18"/>
  <c r="H68" i="18"/>
  <c r="I67" i="18"/>
  <c r="J68" i="18"/>
  <c r="K67" i="18"/>
  <c r="F68" i="18"/>
  <c r="G67" i="18"/>
  <c r="F33" i="18"/>
  <c r="G32" i="18"/>
  <c r="D68" i="18"/>
  <c r="E67" i="18"/>
  <c r="D33" i="18"/>
  <c r="E32" i="18"/>
  <c r="H33" i="18"/>
  <c r="I32" i="18"/>
  <c r="B68" i="18"/>
  <c r="C67" i="18"/>
  <c r="B33" i="18"/>
  <c r="B69" i="18" l="1"/>
  <c r="C68" i="18"/>
  <c r="D34" i="18"/>
  <c r="E33" i="18"/>
  <c r="F34" i="18"/>
  <c r="G33" i="18"/>
  <c r="J69" i="18"/>
  <c r="K68" i="18"/>
  <c r="L34" i="18"/>
  <c r="M33" i="18"/>
  <c r="B34" i="18"/>
  <c r="H34" i="18"/>
  <c r="I33" i="18"/>
  <c r="D69" i="18"/>
  <c r="E68" i="18"/>
  <c r="F69" i="18"/>
  <c r="G68" i="18"/>
  <c r="H69" i="18"/>
  <c r="I68" i="18"/>
  <c r="J34" i="18"/>
  <c r="K33" i="18"/>
  <c r="L69" i="18"/>
  <c r="M68" i="18"/>
  <c r="L70" i="18" l="1"/>
  <c r="M69" i="18"/>
  <c r="H70" i="18"/>
  <c r="I69" i="18"/>
  <c r="D70" i="18"/>
  <c r="E69" i="18"/>
  <c r="B35" i="18"/>
  <c r="J70" i="18"/>
  <c r="K69" i="18"/>
  <c r="D35" i="18"/>
  <c r="E34" i="18"/>
  <c r="J35" i="18"/>
  <c r="K34" i="18"/>
  <c r="F70" i="18"/>
  <c r="G69" i="18"/>
  <c r="H35" i="18"/>
  <c r="I34" i="18"/>
  <c r="L35" i="18"/>
  <c r="M34" i="18"/>
  <c r="F35" i="18"/>
  <c r="G34" i="18"/>
  <c r="B70" i="18"/>
  <c r="C69" i="18"/>
  <c r="B71" i="18" l="1"/>
  <c r="C70" i="18"/>
  <c r="L36" i="18"/>
  <c r="M35" i="18"/>
  <c r="F71" i="18"/>
  <c r="G70" i="18"/>
  <c r="D36" i="18"/>
  <c r="E35" i="18"/>
  <c r="B36" i="18"/>
  <c r="H71" i="18"/>
  <c r="I70" i="18"/>
  <c r="F36" i="18"/>
  <c r="G35" i="18"/>
  <c r="H36" i="18"/>
  <c r="I35" i="18"/>
  <c r="J36" i="18"/>
  <c r="K35" i="18"/>
  <c r="J71" i="18"/>
  <c r="K70" i="18"/>
  <c r="D71" i="18"/>
  <c r="E70" i="18"/>
  <c r="L71" i="18"/>
  <c r="M70" i="18"/>
  <c r="D72" i="18" l="1"/>
  <c r="E71" i="18"/>
  <c r="L72" i="18"/>
  <c r="M71" i="18"/>
  <c r="J72" i="18"/>
  <c r="K71" i="18"/>
  <c r="H37" i="18"/>
  <c r="I36" i="18"/>
  <c r="H72" i="18"/>
  <c r="I71" i="18"/>
  <c r="D37" i="18"/>
  <c r="E36" i="18"/>
  <c r="L37" i="18"/>
  <c r="M36" i="18"/>
  <c r="J37" i="18"/>
  <c r="K36" i="18"/>
  <c r="F37" i="18"/>
  <c r="G36" i="18"/>
  <c r="B37" i="18"/>
  <c r="F72" i="18"/>
  <c r="G71" i="18"/>
  <c r="B72" i="18"/>
  <c r="C71" i="18"/>
  <c r="F73" i="18" l="1"/>
  <c r="G72" i="18"/>
  <c r="B73" i="18"/>
  <c r="C72" i="18"/>
  <c r="B38" i="18"/>
  <c r="J38" i="18"/>
  <c r="K37" i="18"/>
  <c r="D38" i="18"/>
  <c r="E37" i="18"/>
  <c r="H38" i="18"/>
  <c r="I37" i="18"/>
  <c r="L73" i="18"/>
  <c r="M72" i="18"/>
  <c r="F38" i="18"/>
  <c r="G37" i="18"/>
  <c r="L38" i="18"/>
  <c r="M37" i="18"/>
  <c r="H73" i="18"/>
  <c r="I72" i="18"/>
  <c r="J73" i="18"/>
  <c r="K72" i="18"/>
  <c r="D73" i="18"/>
  <c r="E72" i="18"/>
  <c r="L39" i="18" l="1"/>
  <c r="M38" i="18"/>
  <c r="D74" i="18"/>
  <c r="E73" i="18"/>
  <c r="H74" i="18"/>
  <c r="I73" i="18"/>
  <c r="F39" i="18"/>
  <c r="G38" i="18"/>
  <c r="H39" i="18"/>
  <c r="I38" i="18"/>
  <c r="J39" i="18"/>
  <c r="K38" i="18"/>
  <c r="B74" i="18"/>
  <c r="C73" i="18"/>
  <c r="J74" i="18"/>
  <c r="K73" i="18"/>
  <c r="L74" i="18"/>
  <c r="M73" i="18"/>
  <c r="D39" i="18"/>
  <c r="E38" i="18"/>
  <c r="B39" i="18"/>
  <c r="F74" i="18"/>
  <c r="G73" i="18"/>
  <c r="F75" i="18" l="1"/>
  <c r="G74" i="18"/>
  <c r="D40" i="18"/>
  <c r="E39" i="18"/>
  <c r="J75" i="18"/>
  <c r="K74" i="18"/>
  <c r="J40" i="18"/>
  <c r="K39" i="18"/>
  <c r="F40" i="18"/>
  <c r="G39" i="18"/>
  <c r="D75" i="18"/>
  <c r="E74" i="18"/>
  <c r="B40" i="18"/>
  <c r="L75" i="18"/>
  <c r="M74" i="18"/>
  <c r="B75" i="18"/>
  <c r="C74" i="18"/>
  <c r="H40" i="18"/>
  <c r="I39" i="18"/>
  <c r="H75" i="18"/>
  <c r="I74" i="18"/>
  <c r="L40" i="18"/>
  <c r="M39" i="18"/>
  <c r="L41" i="18" l="1"/>
  <c r="M40" i="18"/>
  <c r="H41" i="18"/>
  <c r="I40" i="18"/>
  <c r="L76" i="18"/>
  <c r="M75" i="18"/>
  <c r="D76" i="18"/>
  <c r="E75" i="18"/>
  <c r="J41" i="18"/>
  <c r="K40" i="18"/>
  <c r="D41" i="18"/>
  <c r="E40" i="18"/>
  <c r="H76" i="18"/>
  <c r="I75" i="18"/>
  <c r="B76" i="18"/>
  <c r="C75" i="18"/>
  <c r="B41" i="18"/>
  <c r="F41" i="18"/>
  <c r="G40" i="18"/>
  <c r="J76" i="18"/>
  <c r="K75" i="18"/>
  <c r="F76" i="18"/>
  <c r="G75" i="18"/>
  <c r="F77" i="18" l="1"/>
  <c r="G76" i="18"/>
  <c r="F42" i="18"/>
  <c r="G41" i="18"/>
  <c r="D42" i="18"/>
  <c r="E41" i="18"/>
  <c r="D77" i="18"/>
  <c r="E76" i="18"/>
  <c r="H42" i="18"/>
  <c r="I41" i="18"/>
  <c r="B77" i="18"/>
  <c r="C76" i="18"/>
  <c r="J77" i="18"/>
  <c r="K76" i="18"/>
  <c r="B42" i="18"/>
  <c r="H77" i="18"/>
  <c r="I76" i="18"/>
  <c r="J42" i="18"/>
  <c r="K41" i="18"/>
  <c r="L77" i="18"/>
  <c r="M76" i="18"/>
  <c r="L42" i="18"/>
  <c r="M41" i="18"/>
  <c r="L43" i="18" l="1"/>
  <c r="M42" i="18"/>
  <c r="J43" i="18"/>
  <c r="K42" i="18"/>
  <c r="B43" i="18"/>
  <c r="B78" i="18"/>
  <c r="C77" i="18"/>
  <c r="D78" i="18"/>
  <c r="E77" i="18"/>
  <c r="F43" i="18"/>
  <c r="G42" i="18"/>
  <c r="L78" i="18"/>
  <c r="M77" i="18"/>
  <c r="H78" i="18"/>
  <c r="I77" i="18"/>
  <c r="J78" i="18"/>
  <c r="K77" i="18"/>
  <c r="H43" i="18"/>
  <c r="I42" i="18"/>
  <c r="D43" i="18"/>
  <c r="E42" i="18"/>
  <c r="F78" i="18"/>
  <c r="G77" i="18"/>
  <c r="F79" i="18" l="1"/>
  <c r="G78" i="18"/>
  <c r="H44" i="18"/>
  <c r="I43" i="18"/>
  <c r="H79" i="18"/>
  <c r="I78" i="18"/>
  <c r="F44" i="18"/>
  <c r="G43" i="18"/>
  <c r="B79" i="18"/>
  <c r="C78" i="18"/>
  <c r="J44" i="18"/>
  <c r="K43" i="18"/>
  <c r="D44" i="18"/>
  <c r="E43" i="18"/>
  <c r="J79" i="18"/>
  <c r="K78" i="18"/>
  <c r="L79" i="18"/>
  <c r="M78" i="18"/>
  <c r="D79" i="18"/>
  <c r="E78" i="18"/>
  <c r="B44" i="18"/>
  <c r="L44" i="18"/>
  <c r="M43" i="18"/>
  <c r="L45" i="18" l="1"/>
  <c r="M44" i="18"/>
  <c r="D80" i="18"/>
  <c r="E79" i="18"/>
  <c r="J80" i="18"/>
  <c r="K79" i="18"/>
  <c r="J45" i="18"/>
  <c r="K44" i="18"/>
  <c r="F45" i="18"/>
  <c r="G44" i="18"/>
  <c r="H45" i="18"/>
  <c r="I44" i="18"/>
  <c r="B45" i="18"/>
  <c r="L80" i="18"/>
  <c r="M79" i="18"/>
  <c r="D45" i="18"/>
  <c r="E44" i="18"/>
  <c r="B80" i="18"/>
  <c r="C79" i="18"/>
  <c r="H80" i="18"/>
  <c r="I79" i="18"/>
  <c r="F80" i="18"/>
  <c r="G79" i="18"/>
  <c r="F81" i="18" l="1"/>
  <c r="G80" i="18"/>
  <c r="B81" i="18"/>
  <c r="C80" i="18"/>
  <c r="L81" i="18"/>
  <c r="M80" i="18"/>
  <c r="H46" i="18"/>
  <c r="I45" i="18"/>
  <c r="J46" i="18"/>
  <c r="K45" i="18"/>
  <c r="D81" i="18"/>
  <c r="E80" i="18"/>
  <c r="H81" i="18"/>
  <c r="I80" i="18"/>
  <c r="D46" i="18"/>
  <c r="E45" i="18"/>
  <c r="B46" i="18"/>
  <c r="F46" i="18"/>
  <c r="G45" i="18"/>
  <c r="J81" i="18"/>
  <c r="K80" i="18"/>
  <c r="L46" i="18"/>
  <c r="M45" i="18"/>
  <c r="L47" i="18" l="1"/>
  <c r="M46" i="18"/>
  <c r="F47" i="18"/>
  <c r="G46" i="18"/>
  <c r="D47" i="18"/>
  <c r="E46" i="18"/>
  <c r="D82" i="18"/>
  <c r="E81" i="18"/>
  <c r="H47" i="18"/>
  <c r="I46" i="18"/>
  <c r="B82" i="18"/>
  <c r="C81" i="18"/>
  <c r="J82" i="18"/>
  <c r="K81" i="18"/>
  <c r="B47" i="18"/>
  <c r="H82" i="18"/>
  <c r="I81" i="18"/>
  <c r="J47" i="18"/>
  <c r="K46" i="18"/>
  <c r="L82" i="18"/>
  <c r="M81" i="18"/>
  <c r="F82" i="18"/>
  <c r="G81" i="18"/>
  <c r="F83" i="18" l="1"/>
  <c r="G82" i="18"/>
  <c r="J48" i="18"/>
  <c r="K47" i="18"/>
  <c r="B48" i="18"/>
  <c r="B83" i="18"/>
  <c r="C82" i="18"/>
  <c r="D83" i="18"/>
  <c r="E82" i="18"/>
  <c r="F48" i="18"/>
  <c r="G47" i="18"/>
  <c r="L83" i="18"/>
  <c r="M82" i="18"/>
  <c r="H83" i="18"/>
  <c r="I82" i="18"/>
  <c r="J83" i="18"/>
  <c r="K82" i="18"/>
  <c r="H48" i="18"/>
  <c r="I47" i="18"/>
  <c r="D48" i="18"/>
  <c r="E47" i="18"/>
  <c r="L48" i="18"/>
  <c r="M47" i="18"/>
  <c r="L49" i="18" l="1"/>
  <c r="M49" i="18" s="1"/>
  <c r="M48" i="18"/>
  <c r="H49" i="18"/>
  <c r="I48" i="18"/>
  <c r="H84" i="18"/>
  <c r="I84" i="18" s="1"/>
  <c r="I83" i="18"/>
  <c r="F49" i="18"/>
  <c r="G49" i="18" s="1"/>
  <c r="G48" i="18"/>
  <c r="B84" i="18"/>
  <c r="C84" i="18" s="1"/>
  <c r="C83" i="18"/>
  <c r="J49" i="18"/>
  <c r="K49" i="18" s="1"/>
  <c r="K48" i="18"/>
  <c r="D49" i="18"/>
  <c r="E49" i="18" s="1"/>
  <c r="E48" i="18"/>
  <c r="J84" i="18"/>
  <c r="K84" i="18" s="1"/>
  <c r="K83" i="18"/>
  <c r="L84" i="18"/>
  <c r="M84" i="18" s="1"/>
  <c r="M83" i="18"/>
  <c r="D84" i="18"/>
  <c r="E84" i="18" s="1"/>
  <c r="E83" i="18"/>
  <c r="B49" i="18"/>
  <c r="F84" i="18"/>
  <c r="G84" i="18" s="1"/>
  <c r="G83" i="18"/>
  <c r="D14" i="10" l="1"/>
  <c r="D4" i="11"/>
  <c r="F4" i="11" s="1"/>
  <c r="H4" i="11" s="1"/>
  <c r="J4" i="11" s="1"/>
  <c r="L4" i="11" s="1"/>
  <c r="D6" i="11" s="1"/>
  <c r="F6" i="11" s="1"/>
  <c r="H6" i="11" s="1"/>
  <c r="D4" i="16"/>
  <c r="F4" i="16" s="1"/>
  <c r="H4" i="16" s="1"/>
  <c r="J4" i="16" s="1"/>
  <c r="L4" i="16" s="1"/>
  <c r="D6" i="16" s="1"/>
  <c r="F6" i="16" s="1"/>
  <c r="H6" i="16" s="1"/>
  <c r="J6" i="16" s="1"/>
  <c r="L6" i="16" s="1"/>
  <c r="D8" i="16" s="1"/>
  <c r="F8" i="16" s="1"/>
  <c r="H8" i="16" s="1"/>
  <c r="J8" i="16" s="1"/>
  <c r="L8" i="16" s="1"/>
  <c r="D10" i="16" s="1"/>
  <c r="F10" i="16" s="1"/>
  <c r="H10" i="16" s="1"/>
  <c r="J10" i="16" s="1"/>
  <c r="L10" i="16" s="1"/>
  <c r="D12" i="16" s="1"/>
  <c r="F12" i="16" s="1"/>
  <c r="J14" i="16"/>
  <c r="L14" i="16"/>
  <c r="H14" i="16"/>
  <c r="D4" i="14"/>
  <c r="F4" i="14" s="1"/>
  <c r="H4" i="14" s="1"/>
  <c r="J4" i="14" s="1"/>
  <c r="L4" i="14" s="1"/>
  <c r="D6" i="14" s="1"/>
  <c r="F6" i="14" s="1"/>
  <c r="H6" i="14" s="1"/>
  <c r="J6" i="14" s="1"/>
  <c r="L6" i="14" s="1"/>
  <c r="D8" i="14" s="1"/>
  <c r="F8" i="14" s="1"/>
  <c r="H8" i="14" s="1"/>
  <c r="J8" i="14" s="1"/>
  <c r="L8" i="14" s="1"/>
  <c r="H14" i="14"/>
  <c r="J14" i="14"/>
  <c r="L14" i="14"/>
  <c r="F14" i="13"/>
  <c r="F4" i="13"/>
  <c r="H4" i="13" s="1"/>
  <c r="J4" i="13" s="1"/>
  <c r="L4" i="13" s="1"/>
  <c r="D6" i="13" s="1"/>
  <c r="F6" i="13" s="1"/>
  <c r="H6" i="13" s="1"/>
  <c r="J6" i="13" s="1"/>
  <c r="L6" i="13" s="1"/>
  <c r="D8" i="13" s="1"/>
  <c r="F8" i="13" s="1"/>
  <c r="H8" i="13" s="1"/>
  <c r="J8" i="13" s="1"/>
  <c r="L8" i="13" s="1"/>
  <c r="D10" i="13" s="1"/>
  <c r="F10" i="13" s="1"/>
  <c r="H10" i="13" s="1"/>
  <c r="J10" i="13" s="1"/>
  <c r="L10" i="13" s="1"/>
  <c r="D12" i="13" s="1"/>
  <c r="F12" i="13" s="1"/>
  <c r="H12" i="13" s="1"/>
  <c r="J12" i="13" s="1"/>
  <c r="L12" i="13" s="1"/>
  <c r="D14" i="13" s="1"/>
  <c r="D4" i="13"/>
  <c r="H14" i="13"/>
  <c r="L14" i="13"/>
  <c r="J14" i="13"/>
  <c r="D4" i="15"/>
  <c r="F4" i="15" s="1"/>
  <c r="H4" i="15" s="1"/>
  <c r="J4" i="15" s="1"/>
  <c r="L4" i="15" s="1"/>
  <c r="D6" i="15" s="1"/>
  <c r="F6" i="15" s="1"/>
  <c r="H6" i="15" s="1"/>
  <c r="J6" i="15" s="1"/>
  <c r="L6" i="15" s="1"/>
  <c r="D8" i="15" s="1"/>
  <c r="F8" i="15" s="1"/>
  <c r="H8" i="15" s="1"/>
  <c r="J8" i="15" s="1"/>
  <c r="L8" i="15" s="1"/>
  <c r="D10" i="15" s="1"/>
  <c r="F10" i="15" s="1"/>
  <c r="H10" i="15" s="1"/>
  <c r="J10" i="15" s="1"/>
  <c r="L10" i="15" s="1"/>
  <c r="D12" i="15" s="1"/>
  <c r="F12" i="15" s="1"/>
  <c r="H12" i="15" s="1"/>
  <c r="J12" i="15" s="1"/>
  <c r="L12" i="15" s="1"/>
  <c r="D14" i="15" s="1"/>
  <c r="H14" i="15"/>
  <c r="F14" i="15"/>
  <c r="L14" i="15"/>
  <c r="J14" i="15"/>
  <c r="D4" i="12"/>
  <c r="F4" i="12" s="1"/>
  <c r="H4" i="12" s="1"/>
  <c r="J4" i="12" s="1"/>
  <c r="L4" i="12" s="1"/>
  <c r="D6" i="12" s="1"/>
  <c r="F6" i="12" s="1"/>
  <c r="H6" i="12" s="1"/>
  <c r="J6" i="12" s="1"/>
  <c r="J14" i="12"/>
  <c r="L14" i="12"/>
  <c r="H14" i="12"/>
  <c r="L14" i="9"/>
  <c r="J14" i="9"/>
  <c r="H14" i="9"/>
  <c r="H14" i="10"/>
  <c r="J14" i="10"/>
  <c r="F14" i="10"/>
  <c r="D4" i="10"/>
  <c r="F4" i="10" s="1"/>
  <c r="H4" i="10" s="1"/>
  <c r="J4" i="10" s="1"/>
  <c r="L4" i="10" s="1"/>
  <c r="L14" i="10"/>
  <c r="J14" i="11"/>
  <c r="H14" i="11"/>
  <c r="L14" i="11"/>
  <c r="D5" i="1"/>
  <c r="D4" i="6"/>
  <c r="F4" i="6" s="1"/>
  <c r="H4" i="6" s="1"/>
  <c r="J4" i="6" s="1"/>
  <c r="L4" i="6" s="1"/>
  <c r="D14" i="6"/>
  <c r="D4" i="9"/>
  <c r="F4" i="9" s="1"/>
  <c r="H4" i="9" s="1"/>
  <c r="J4" i="9" s="1"/>
  <c r="L4" i="9" s="1"/>
  <c r="D6" i="9" s="1"/>
  <c r="I49" i="18"/>
  <c r="J14" i="7"/>
  <c r="D4" i="7"/>
  <c r="F4" i="7" s="1"/>
  <c r="H4" i="7" s="1"/>
  <c r="J4" i="7" s="1"/>
  <c r="L4" i="7" s="1"/>
  <c r="D6" i="7" s="1"/>
  <c r="F6" i="7" s="1"/>
  <c r="H6" i="7" s="1"/>
  <c r="J6" i="7" s="1"/>
  <c r="L6" i="7" s="1"/>
  <c r="D8" i="7" s="1"/>
  <c r="H14" i="7"/>
  <c r="L14" i="7"/>
  <c r="H14" i="6"/>
  <c r="J14" i="6"/>
  <c r="L14" i="6"/>
  <c r="F14" i="6"/>
  <c r="L15" i="1"/>
  <c r="H15" i="1"/>
  <c r="J15" i="1"/>
  <c r="F5" i="1" l="1"/>
  <c r="H5" i="1" s="1"/>
  <c r="J5" i="1" s="1"/>
  <c r="L5" i="1" s="1"/>
  <c r="D7" i="1" s="1"/>
  <c r="F7" i="1" s="1"/>
  <c r="H7" i="1" s="1"/>
  <c r="J7" i="1" s="1"/>
  <c r="L7" i="1" s="1"/>
  <c r="D9" i="1" s="1"/>
  <c r="F9" i="1" s="1"/>
  <c r="H9" i="1" s="1"/>
  <c r="J9" i="1" s="1"/>
  <c r="L9" i="1" s="1"/>
  <c r="D11" i="1" s="1"/>
  <c r="F11" i="1" s="1"/>
  <c r="H11" i="1" s="1"/>
  <c r="J11" i="1" s="1"/>
  <c r="L11" i="1" s="1"/>
  <c r="D13" i="1" s="1"/>
  <c r="F13" i="1" s="1"/>
  <c r="H13" i="1" s="1"/>
  <c r="J13" i="1" s="1"/>
  <c r="L13" i="1" s="1"/>
  <c r="D15" i="1" s="1"/>
  <c r="F15" i="1" s="1"/>
  <c r="H12" i="16"/>
  <c r="J12" i="16" s="1"/>
  <c r="L12" i="16" s="1"/>
  <c r="D14" i="16" s="1"/>
  <c r="F14" i="16" s="1"/>
  <c r="H14" i="8"/>
  <c r="L14" i="8"/>
  <c r="J14" i="8"/>
  <c r="F14" i="8"/>
  <c r="N8" i="14"/>
  <c r="D10" i="14"/>
  <c r="F10" i="14" s="1"/>
  <c r="H10" i="14" s="1"/>
  <c r="J10" i="14" s="1"/>
  <c r="L10" i="14" s="1"/>
  <c r="D12" i="14" s="1"/>
  <c r="F12" i="14" s="1"/>
  <c r="H12" i="14" s="1"/>
  <c r="J12" i="14" s="1"/>
  <c r="L12" i="14" s="1"/>
  <c r="D14" i="14" s="1"/>
  <c r="F14" i="14" s="1"/>
  <c r="D6" i="10"/>
  <c r="F6" i="10" s="1"/>
  <c r="H6" i="10" s="1"/>
  <c r="J6" i="10" s="1"/>
  <c r="L6" i="10" s="1"/>
  <c r="L6" i="12"/>
  <c r="J6" i="11"/>
  <c r="L6" i="11" s="1"/>
  <c r="D8" i="11" s="1"/>
  <c r="F8" i="11" s="1"/>
  <c r="N4" i="11"/>
  <c r="F6" i="9"/>
  <c r="D4" i="8"/>
  <c r="F4" i="8" s="1"/>
  <c r="D6" i="6"/>
  <c r="F6" i="6" s="1"/>
  <c r="F8" i="7"/>
  <c r="H8" i="7" s="1"/>
  <c r="J8" i="7" s="1"/>
  <c r="L8" i="7" s="1"/>
  <c r="D10" i="7" s="1"/>
  <c r="H4" i="8" l="1"/>
  <c r="J4" i="8" s="1"/>
  <c r="L4" i="8" s="1"/>
  <c r="D6" i="8" s="1"/>
  <c r="F6" i="8" s="1"/>
  <c r="H6" i="8" s="1"/>
  <c r="J6" i="8" s="1"/>
  <c r="L6" i="8" s="1"/>
  <c r="D8" i="8" s="1"/>
  <c r="F8" i="8" s="1"/>
  <c r="H8" i="8" s="1"/>
  <c r="J8" i="8" s="1"/>
  <c r="L8" i="8" s="1"/>
  <c r="D10" i="8" s="1"/>
  <c r="D8" i="12"/>
  <c r="F8" i="12" s="1"/>
  <c r="D8" i="10"/>
  <c r="F8" i="10" s="1"/>
  <c r="H8" i="10" s="1"/>
  <c r="J8" i="10" s="1"/>
  <c r="L8" i="10" s="1"/>
  <c r="H8" i="11"/>
  <c r="J8" i="11" s="1"/>
  <c r="L8" i="11" s="1"/>
  <c r="H6" i="9"/>
  <c r="J6" i="9" s="1"/>
  <c r="H6" i="6"/>
  <c r="J6" i="6" s="1"/>
  <c r="L6" i="6" s="1"/>
  <c r="D8" i="6" s="1"/>
  <c r="F8" i="6" s="1"/>
  <c r="H8" i="6" s="1"/>
  <c r="J8" i="6" s="1"/>
  <c r="L8" i="6" s="1"/>
  <c r="D10" i="6" s="1"/>
  <c r="F10" i="6" s="1"/>
  <c r="H10" i="6" s="1"/>
  <c r="J10" i="6" s="1"/>
  <c r="L10" i="6" s="1"/>
  <c r="D12" i="6" s="1"/>
  <c r="F12" i="6" s="1"/>
  <c r="H12" i="6" s="1"/>
  <c r="J12" i="6" s="1"/>
  <c r="L12" i="6" s="1"/>
  <c r="F10" i="7"/>
  <c r="H10" i="7" s="1"/>
  <c r="J10" i="7" l="1"/>
  <c r="L10" i="7" s="1"/>
  <c r="D12" i="7" s="1"/>
  <c r="F12" i="7" s="1"/>
  <c r="H12" i="7" s="1"/>
  <c r="J12" i="7" s="1"/>
  <c r="L12" i="7" s="1"/>
  <c r="D14" i="7" s="1"/>
  <c r="F14" i="7" s="1"/>
  <c r="H8" i="12"/>
  <c r="J8" i="12" s="1"/>
  <c r="D10" i="10"/>
  <c r="F10" i="10" s="1"/>
  <c r="H10" i="10" s="1"/>
  <c r="D10" i="11"/>
  <c r="L6" i="9"/>
  <c r="J10" i="10" l="1"/>
  <c r="L10" i="10" s="1"/>
  <c r="D12" i="10" s="1"/>
  <c r="F12" i="10" s="1"/>
  <c r="H12" i="10" s="1"/>
  <c r="J12" i="10" s="1"/>
  <c r="L12" i="10" s="1"/>
  <c r="F8" i="9"/>
  <c r="H8" i="9" s="1"/>
  <c r="J8" i="9" s="1"/>
  <c r="L8" i="9" s="1"/>
  <c r="D10" i="9" s="1"/>
  <c r="F10" i="8"/>
  <c r="L8" i="12"/>
  <c r="D10" i="12" s="1"/>
  <c r="F10" i="12" s="1"/>
  <c r="H10" i="12" s="1"/>
  <c r="J10" i="12" s="1"/>
  <c r="L10" i="12" s="1"/>
  <c r="D12" i="12" s="1"/>
  <c r="F12" i="12" s="1"/>
  <c r="H12" i="12" s="1"/>
  <c r="J12" i="12" s="1"/>
  <c r="L12" i="12" s="1"/>
  <c r="D14" i="12" s="1"/>
  <c r="F14" i="12" s="1"/>
  <c r="F10" i="11"/>
  <c r="H10" i="11" s="1"/>
  <c r="J10" i="11" s="1"/>
  <c r="L10" i="11" s="1"/>
  <c r="D12" i="11" s="1"/>
  <c r="F12" i="11" s="1"/>
  <c r="H12" i="11" s="1"/>
  <c r="J12" i="11" s="1"/>
  <c r="L12" i="11" s="1"/>
  <c r="F10" i="9" l="1"/>
  <c r="H10" i="9" s="1"/>
  <c r="J10" i="9" s="1"/>
  <c r="L10" i="9" s="1"/>
  <c r="D12" i="9" s="1"/>
  <c r="F12" i="9" s="1"/>
  <c r="H12" i="9" s="1"/>
  <c r="J12" i="9" s="1"/>
  <c r="L12" i="9" s="1"/>
  <c r="D14" i="9" s="1"/>
  <c r="F14" i="9" s="1"/>
  <c r="H10" i="8"/>
  <c r="D14" i="11"/>
  <c r="F14" i="11" s="1"/>
  <c r="J10" i="8" l="1"/>
  <c r="L10" i="8" s="1"/>
  <c r="D12" i="8" s="1"/>
  <c r="F12" i="8" s="1"/>
  <c r="H12" i="8" s="1"/>
  <c r="J12" i="8" s="1"/>
  <c r="L12" i="8" s="1"/>
  <c r="D14" i="8" s="1"/>
</calcChain>
</file>

<file path=xl/sharedStrings.xml><?xml version="1.0" encoding="utf-8"?>
<sst xmlns="http://schemas.openxmlformats.org/spreadsheetml/2006/main" count="116" uniqueCount="29">
  <si>
    <t>Year</t>
  </si>
  <si>
    <t>Mon</t>
  </si>
  <si>
    <t>Tue</t>
  </si>
  <si>
    <t>Wed</t>
  </si>
  <si>
    <t>Thu</t>
  </si>
  <si>
    <t>Fri</t>
  </si>
  <si>
    <t>Sat</t>
  </si>
  <si>
    <t>Sun</t>
  </si>
  <si>
    <t>Tues</t>
  </si>
  <si>
    <t>January</t>
  </si>
  <si>
    <t>Days Off</t>
  </si>
  <si>
    <t>1st day</t>
  </si>
  <si>
    <t>Last day</t>
  </si>
  <si>
    <t>Month</t>
  </si>
  <si>
    <t>N° month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</si>
  <si>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</si>
  <si>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</si>
  <si>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</si>
  <si>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</si>
  <si>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</si>
  <si>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</si>
  <si>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</si>
  <si>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</si>
  <si>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</si>
  <si>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</si>
  <si>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</si>
  <si>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Maintenance</t>
  </si>
  <si>
    <t>Flash 12pm</t>
  </si>
  <si>
    <t>Bank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</si>
</sst>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&quot;D+&quot;0"/>
    <numFmt numFmtId="166" formatCode="mmmm"/>
    <numFmt numFmtId="167" formatCode="[$-F800]dddd\,\ mmmm\ dd\,\ yyyy"/>
  </numFmts>
  <fonts count="26" x14ac:knownFonts="1"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indexed="63"/>
      <name val="Calibri"/>
      <family val="4"/>
      <scheme val="minor"/>
    </font>
    <font>
      <b/>
      <sz val="28"/>
      <color theme="1" tint="0.34998626667073579"/>
      <name val="Calibri"/>
      <family val="2"/>
      <scheme val="minor"/>
    </font>
    <font>
      <b/>
      <sz val="12"/>
      <color theme="4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b/>
      <sz val="17"/>
      <color theme="4"/>
      <name val="Calibri"/>
      <family val="4"/>
      <scheme val="minor"/>
    </font>
    <font>
      <b/>
      <sz val="17"/>
      <color theme="4"/>
      <name val="Calibri Light"/>
      <family val="2"/>
      <scheme val="major"/>
    </font>
    <font>
      <sz val="10"/>
      <color theme="1" tint="0.249977111117893"/>
      <name val="Calibri"/>
      <family val="2"/>
      <scheme val="minor"/>
    </font>
    <font>
      <sz val="10.5"/>
      <color theme="1" tint="0.249977111117893"/>
      <name val="Calibri"/>
      <family val="2"/>
      <scheme val="minor"/>
    </font>
    <font>
      <b/>
      <sz val="10.5"/>
      <name val="Calibri"/>
      <family val="2"/>
      <scheme val="minor"/>
    </font>
    <font>
      <b/>
      <sz val="24"/>
      <color theme="4"/>
      <name val="Calibri Light"/>
      <family val="2"/>
      <scheme val="major"/>
    </font>
    <font>
      <sz val="10.5"/>
      <color theme="0" tint="-0.249977111117893"/>
      <name val="Calibri"/>
      <family val="2"/>
      <scheme val="minor"/>
    </font>
    <font>
      <b/>
      <sz val="16"/>
      <color theme="1"/>
      <name val="Arial Rounded MT Bold"/>
      <family val="2"/>
    </font>
    <font>
      <b/>
      <sz val="10"/>
      <color theme="2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14"/>
      <color theme="2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b/>
      <sz val="10.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3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5" fillId="0" borderId="0" applyNumberFormat="0" applyFill="0" applyAlignment="0" applyProtection="0"/>
  </cellStyleXfs>
  <cellXfs count="80">
    <xf numFmtId="0" fontId="0" fillId="0" borderId="0" xfId="0"/>
    <xf numFmtId="0" fontId="0" fillId="0" borderId="0" xfId="0" applyFont="1"/>
    <xf numFmtId="164" fontId="11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textRotation="90"/>
    </xf>
    <xf numFmtId="0" fontId="7" fillId="0" borderId="0" xfId="0" applyFont="1" applyBorder="1" applyAlignment="1">
      <alignment horizontal="right" vertical="center"/>
    </xf>
    <xf numFmtId="0" fontId="0" fillId="0" borderId="0" xfId="0" applyFont="1" applyBorder="1"/>
    <xf numFmtId="0" fontId="0" fillId="0" borderId="0" xfId="0" applyBorder="1"/>
    <xf numFmtId="0" fontId="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164" fontId="11" fillId="0" borderId="3" xfId="0" applyNumberFormat="1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11" fillId="0" borderId="6" xfId="0" applyNumberFormat="1" applyFont="1" applyFill="1" applyBorder="1" applyAlignment="1">
      <alignment horizontal="center" vertical="center" wrapText="1"/>
    </xf>
    <xf numFmtId="164" fontId="11" fillId="0" borderId="7" xfId="0" applyNumberFormat="1" applyFont="1" applyFill="1" applyBorder="1" applyAlignment="1">
      <alignment horizontal="center" vertical="center" wrapText="1"/>
    </xf>
    <xf numFmtId="164" fontId="11" fillId="0" borderId="8" xfId="0" applyNumberFormat="1" applyFont="1" applyFill="1" applyBorder="1" applyAlignment="1">
      <alignment horizontal="center" vertical="center" wrapText="1"/>
    </xf>
    <xf numFmtId="165" fontId="14" fillId="0" borderId="3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5" fillId="0" borderId="0" xfId="0" applyFont="1" applyAlignment="1">
      <alignment horizontal="center" vertical="center"/>
    </xf>
    <xf numFmtId="164" fontId="11" fillId="0" borderId="9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165" fontId="14" fillId="0" borderId="7" xfId="0" applyNumberFormat="1" applyFont="1" applyFill="1" applyBorder="1" applyAlignment="1">
      <alignment horizontal="center" vertical="center" wrapText="1"/>
    </xf>
    <xf numFmtId="164" fontId="11" fillId="0" borderId="14" xfId="0" applyNumberFormat="1" applyFont="1" applyFill="1" applyBorder="1" applyAlignment="1">
      <alignment horizontal="center" vertical="center" wrapText="1"/>
    </xf>
    <xf numFmtId="0" fontId="0" fillId="0" borderId="15" xfId="0" applyFont="1" applyBorder="1"/>
    <xf numFmtId="164" fontId="11" fillId="0" borderId="16" xfId="0" applyNumberFormat="1" applyFont="1" applyFill="1" applyBorder="1" applyAlignment="1">
      <alignment horizontal="center" vertical="center" wrapText="1"/>
    </xf>
    <xf numFmtId="0" fontId="0" fillId="0" borderId="17" xfId="0" applyFont="1" applyBorder="1"/>
    <xf numFmtId="0" fontId="0" fillId="0" borderId="19" xfId="0" applyFont="1" applyBorder="1"/>
    <xf numFmtId="164" fontId="12" fillId="0" borderId="20" xfId="0" applyNumberFormat="1" applyFont="1" applyFill="1" applyBorder="1" applyAlignment="1">
      <alignment horizontal="left" vertical="center" wrapText="1" indent="1"/>
    </xf>
    <xf numFmtId="164" fontId="12" fillId="0" borderId="21" xfId="0" applyNumberFormat="1" applyFont="1" applyFill="1" applyBorder="1" applyAlignment="1">
      <alignment horizontal="left" vertical="center" wrapText="1" indent="1"/>
    </xf>
    <xf numFmtId="164" fontId="12" fillId="0" borderId="22" xfId="0" applyNumberFormat="1" applyFont="1" applyFill="1" applyBorder="1" applyAlignment="1">
      <alignment horizontal="left" vertical="center" wrapText="1" indent="1"/>
    </xf>
    <xf numFmtId="0" fontId="0" fillId="0" borderId="23" xfId="0" applyFont="1" applyBorder="1"/>
    <xf numFmtId="164" fontId="12" fillId="0" borderId="24" xfId="0" applyNumberFormat="1" applyFont="1" applyFill="1" applyBorder="1" applyAlignment="1">
      <alignment horizontal="left" vertical="center" wrapText="1" indent="1"/>
    </xf>
    <xf numFmtId="0" fontId="17" fillId="0" borderId="0" xfId="0" applyFont="1" applyAlignment="1">
      <alignment horizontal="center" vertical="center"/>
    </xf>
    <xf numFmtId="164" fontId="11" fillId="0" borderId="16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7" xfId="0" applyFont="1" applyBorder="1" applyProtection="1">
      <protection locked="0"/>
    </xf>
    <xf numFmtId="164" fontId="12" fillId="0" borderId="20" xfId="0" applyNumberFormat="1" applyFont="1" applyFill="1" applyBorder="1" applyAlignment="1" applyProtection="1">
      <alignment horizontal="left" vertical="center" wrapText="1" indent="1"/>
      <protection locked="0"/>
    </xf>
    <xf numFmtId="164" fontId="12" fillId="0" borderId="21" xfId="0" applyNumberFormat="1" applyFont="1" applyFill="1" applyBorder="1" applyAlignment="1" applyProtection="1">
      <alignment horizontal="left" vertical="center" wrapText="1" indent="1"/>
      <protection locked="0"/>
    </xf>
    <xf numFmtId="164" fontId="12" fillId="0" borderId="22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23" xfId="0" applyFont="1" applyBorder="1" applyProtection="1">
      <protection locked="0"/>
    </xf>
    <xf numFmtId="164" fontId="18" fillId="0" borderId="8" xfId="0" applyNumberFormat="1" applyFont="1" applyFill="1" applyBorder="1" applyAlignment="1">
      <alignment horizontal="center" vertical="center" wrapText="1"/>
    </xf>
    <xf numFmtId="164" fontId="18" fillId="0" borderId="14" xfId="0" applyNumberFormat="1" applyFont="1" applyFill="1" applyBorder="1" applyAlignment="1">
      <alignment horizontal="center" vertical="center" wrapText="1"/>
    </xf>
    <xf numFmtId="164" fontId="18" fillId="0" borderId="18" xfId="0" applyNumberFormat="1" applyFont="1" applyFill="1" applyBorder="1" applyAlignment="1">
      <alignment horizontal="center" vertical="center" wrapText="1"/>
    </xf>
    <xf numFmtId="164" fontId="18" fillId="0" borderId="2" xfId="0" applyNumberFormat="1" applyFont="1" applyFill="1" applyBorder="1" applyAlignment="1">
      <alignment horizontal="center" vertical="center" wrapText="1"/>
    </xf>
    <xf numFmtId="164" fontId="1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Font="1" applyBorder="1" applyProtection="1">
      <protection locked="0"/>
    </xf>
    <xf numFmtId="164" fontId="11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4" fontId="18" fillId="0" borderId="0" xfId="0" applyNumberFormat="1" applyFont="1" applyFill="1" applyBorder="1" applyAlignment="1">
      <alignment horizontal="center" vertical="center" wrapText="1"/>
    </xf>
    <xf numFmtId="164" fontId="18" fillId="0" borderId="6" xfId="0" applyNumberFormat="1" applyFont="1" applyFill="1" applyBorder="1" applyAlignment="1">
      <alignment horizontal="center" vertical="center" wrapText="1"/>
    </xf>
    <xf numFmtId="14" fontId="0" fillId="0" borderId="0" xfId="0" applyNumberFormat="1" applyFill="1"/>
    <xf numFmtId="166" fontId="19" fillId="0" borderId="0" xfId="0" applyNumberFormat="1" applyFont="1"/>
    <xf numFmtId="0" fontId="20" fillId="4" borderId="0" xfId="0" applyFont="1" applyFill="1"/>
    <xf numFmtId="166" fontId="21" fillId="4" borderId="0" xfId="0" applyNumberFormat="1" applyFont="1" applyFill="1"/>
    <xf numFmtId="164" fontId="18" fillId="0" borderId="25" xfId="0" applyNumberFormat="1" applyFont="1" applyFill="1" applyBorder="1" applyAlignment="1">
      <alignment horizontal="center" vertical="center" wrapText="1"/>
    </xf>
    <xf numFmtId="165" fontId="14" fillId="0" borderId="26" xfId="0" applyNumberFormat="1" applyFont="1" applyFill="1" applyBorder="1" applyAlignment="1">
      <alignment horizontal="center" vertical="center" wrapText="1"/>
    </xf>
    <xf numFmtId="164" fontId="18" fillId="0" borderId="27" xfId="0" applyNumberFormat="1" applyFont="1" applyFill="1" applyBorder="1" applyAlignment="1">
      <alignment horizontal="center" vertical="center" wrapText="1"/>
    </xf>
    <xf numFmtId="164" fontId="18" fillId="0" borderId="28" xfId="0" applyNumberFormat="1" applyFont="1" applyFill="1" applyBorder="1" applyAlignment="1">
      <alignment horizontal="center" vertical="center" wrapText="1"/>
    </xf>
    <xf numFmtId="164" fontId="11" fillId="0" borderId="26" xfId="0" applyNumberFormat="1" applyFont="1" applyFill="1" applyBorder="1" applyAlignment="1">
      <alignment horizontal="center" vertical="center" wrapText="1"/>
    </xf>
    <xf numFmtId="0" fontId="0" fillId="0" borderId="29" xfId="0" applyFont="1" applyBorder="1"/>
    <xf numFmtId="164" fontId="23" fillId="0" borderId="2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164" fontId="24" fillId="0" borderId="18" xfId="0" applyNumberFormat="1" applyFont="1" applyFill="1" applyBorder="1" applyAlignment="1">
      <alignment horizontal="center" vertical="center" wrapText="1"/>
    </xf>
    <xf numFmtId="164" fontId="11" fillId="5" borderId="4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4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1" fillId="5" borderId="16" xfId="0" applyNumberFormat="1" applyFont="1" applyFill="1" applyBorder="1" applyAlignment="1" applyProtection="1">
      <alignment horizontal="center" vertical="center" wrapText="1"/>
      <protection locked="0"/>
    </xf>
    <xf numFmtId="164" fontId="25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horizontal="center" vertical="center" textRotation="90"/>
    </xf>
    <xf numFmtId="0" fontId="10" fillId="0" borderId="0" xfId="0" applyFont="1" applyBorder="1" applyAlignment="1">
      <alignment horizontal="left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6" fillId="0" borderId="1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indent="2"/>
    </xf>
    <xf numFmtId="0" fontId="6" fillId="0" borderId="0" xfId="0" applyFont="1" applyBorder="1" applyAlignment="1">
      <alignment horizontal="right" vertical="center" textRotation="90"/>
    </xf>
    <xf numFmtId="167" fontId="0" fillId="0" borderId="0" xfId="0" applyNumberFormat="1" applyFont="1"/>
  </cellXfs>
  <cellStyles count="5">
    <cellStyle name="40% - Accent1 2" xfId="3"/>
    <cellStyle name="Accent1 2" xfId="2"/>
    <cellStyle name="Heading 1 2" xfId="4"/>
    <cellStyle name="Normal" xfId="0" builtinId="0" customBuiltin="1"/>
    <cellStyle name="Normal 2" xfId="1"/>
  </cellStyles>
  <dxfs count="80"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79"/>
      <tableStyleElement type="headerRow" dxfId="78"/>
      <tableStyleElement type="totalRow" dxfId="77"/>
      <tableStyleElement type="firstColumn" dxfId="76"/>
      <tableStyleElement type="lastColumn" dxfId="75"/>
      <tableStyleElement type="firstRowStripe" dxfId="74"/>
      <tableStyleElement type="firstColumnStripe" dxfId="73"/>
    </tableStyle>
    <tableStyle name="TableStyleLight9 2" pivot="0" count="4">
      <tableStyleElement type="wholeTable" dxfId="72"/>
      <tableStyleElement type="headerRow" dxfId="71"/>
      <tableStyleElement type="totalRow" dxfId="70"/>
      <tableStyleElement type="firstColumn" dxfId="6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Spin" dx="16" fmlaLink="$B$14" max="30000" page="10" val="201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12</xdr:row>
          <xdr:rowOff>66675</xdr:rowOff>
        </xdr:from>
        <xdr:to>
          <xdr:col>3</xdr:col>
          <xdr:colOff>161925</xdr:colOff>
          <xdr:row>14</xdr:row>
          <xdr:rowOff>123825</xdr:rowOff>
        </xdr:to>
        <xdr:sp macro="" textlink="">
          <xdr:nvSpPr>
            <xdr:cNvPr id="14337" name="Spinner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152400</xdr:colOff>
      <xdr:row>0</xdr:row>
      <xdr:rowOff>85725</xdr:rowOff>
    </xdr:from>
    <xdr:to>
      <xdr:col>10</xdr:col>
      <xdr:colOff>609600</xdr:colOff>
      <xdr:row>11</xdr:row>
      <xdr:rowOff>123825</xdr:rowOff>
    </xdr:to>
    <xdr:sp macro="" textlink="">
      <xdr:nvSpPr>
        <xdr:cNvPr id="2" name="Rectangle 1"/>
        <xdr:cNvSpPr/>
      </xdr:nvSpPr>
      <xdr:spPr>
        <a:xfrm>
          <a:off x="152400" y="85725"/>
          <a:ext cx="8077200" cy="181927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600" b="1" u="sng">
              <a:solidFill>
                <a:schemeClr val="bg2"/>
              </a:solidFill>
            </a:rPr>
            <a:t>HOW</a:t>
          </a:r>
          <a:r>
            <a:rPr lang="en-US" sz="1600" b="1" u="sng" baseline="0">
              <a:solidFill>
                <a:schemeClr val="bg2"/>
              </a:solidFill>
            </a:rPr>
            <a:t> TO USE THIS FILE :</a:t>
          </a:r>
        </a:p>
        <a:p>
          <a:pPr algn="l"/>
          <a:endParaRPr lang="en-US" sz="1100" baseline="0">
            <a:solidFill>
              <a:schemeClr val="bg2"/>
            </a:solidFill>
          </a:endParaRPr>
        </a:p>
        <a:p>
          <a:pPr algn="l"/>
          <a:r>
            <a:rPr lang="en-US" sz="1100" baseline="0">
              <a:solidFill>
                <a:schemeClr val="bg2"/>
              </a:solidFill>
            </a:rPr>
            <a:t>1st : Change the </a:t>
          </a:r>
          <a:r>
            <a:rPr lang="en-US" sz="1100" i="1" baseline="0">
              <a:solidFill>
                <a:schemeClr val="bg2"/>
              </a:solidFill>
            </a:rPr>
            <a:t>Year</a:t>
          </a:r>
          <a:r>
            <a:rPr lang="en-US" sz="1100" baseline="0">
              <a:solidFill>
                <a:schemeClr val="bg2"/>
              </a:solidFill>
            </a:rPr>
            <a:t> that you want with arrows, </a:t>
          </a:r>
        </a:p>
        <a:p>
          <a:pPr algn="l"/>
          <a:endParaRPr lang="en-US" sz="1100" baseline="0">
            <a:solidFill>
              <a:schemeClr val="bg2"/>
            </a:solidFill>
          </a:endParaRPr>
        </a:p>
        <a:p>
          <a:pPr algn="l"/>
          <a:r>
            <a:rPr lang="en-US" sz="1100" baseline="0">
              <a:solidFill>
                <a:schemeClr val="bg2"/>
              </a:solidFill>
            </a:rPr>
            <a:t>2nd : Fill "</a:t>
          </a:r>
          <a:r>
            <a:rPr lang="en-US" sz="1100" i="1" u="sng" baseline="0">
              <a:solidFill>
                <a:schemeClr val="bg2"/>
              </a:solidFill>
            </a:rPr>
            <a:t>day off</a:t>
          </a:r>
          <a:r>
            <a:rPr lang="en-US" sz="1100" baseline="0">
              <a:solidFill>
                <a:schemeClr val="bg2"/>
              </a:solidFill>
            </a:rPr>
            <a:t>" sheet (date format)</a:t>
          </a:r>
        </a:p>
        <a:p>
          <a:pPr algn="l"/>
          <a:endParaRPr lang="en-US" sz="1100" baseline="0">
            <a:solidFill>
              <a:schemeClr val="bg2"/>
            </a:solidFill>
          </a:endParaRPr>
        </a:p>
        <a:p>
          <a:pPr algn="l"/>
          <a:r>
            <a:rPr lang="en-US" sz="1100" baseline="0">
              <a:solidFill>
                <a:schemeClr val="bg2"/>
              </a:solidFill>
            </a:rPr>
            <a:t>3rd : Have a look to the corresponding monthly closing</a:t>
          </a:r>
        </a:p>
        <a:p>
          <a:pPr algn="l"/>
          <a:endParaRPr lang="en-US" sz="1100" baseline="0">
            <a:solidFill>
              <a:schemeClr val="bg2"/>
            </a:solidFill>
          </a:endParaRPr>
        </a:p>
        <a:p>
          <a:pPr algn="l"/>
          <a:endParaRPr lang="en-US" sz="1100" baseline="0">
            <a:solidFill>
              <a:schemeClr val="bg2"/>
            </a:solidFill>
          </a:endParaRPr>
        </a:p>
      </xdr:txBody>
    </xdr:sp>
    <xdr:clientData/>
  </xdr:twoCellAnchor>
  <xdr:twoCellAnchor>
    <xdr:from>
      <xdr:col>6</xdr:col>
      <xdr:colOff>238125</xdr:colOff>
      <xdr:row>0</xdr:row>
      <xdr:rowOff>95250</xdr:rowOff>
    </xdr:from>
    <xdr:to>
      <xdr:col>10</xdr:col>
      <xdr:colOff>600075</xdr:colOff>
      <xdr:row>11</xdr:row>
      <xdr:rowOff>114300</xdr:rowOff>
    </xdr:to>
    <xdr:sp macro="" textlink="">
      <xdr:nvSpPr>
        <xdr:cNvPr id="3" name="Rectangle 2"/>
        <xdr:cNvSpPr/>
      </xdr:nvSpPr>
      <xdr:spPr>
        <a:xfrm>
          <a:off x="4810125" y="95250"/>
          <a:ext cx="3409950" cy="18002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bg2"/>
              </a:solidFill>
            </a:rPr>
            <a:t>Please note : </a:t>
          </a:r>
        </a:p>
        <a:p>
          <a:pPr algn="l"/>
          <a:endParaRPr lang="en-US" sz="1100">
            <a:solidFill>
              <a:schemeClr val="bg2"/>
            </a:solidFill>
          </a:endParaRPr>
        </a:p>
        <a:p>
          <a:pPr algn="l"/>
          <a:r>
            <a:rPr lang="en-US" sz="1100">
              <a:solidFill>
                <a:schemeClr val="bg2"/>
              </a:solidFill>
            </a:rPr>
            <a:t>WD = Working day</a:t>
          </a:r>
        </a:p>
        <a:p>
          <a:pPr algn="l"/>
          <a:endParaRPr lang="en-US" sz="1100">
            <a:solidFill>
              <a:schemeClr val="bg2"/>
            </a:solidFill>
          </a:endParaRPr>
        </a:p>
        <a:p>
          <a:pPr algn="l"/>
          <a:r>
            <a:rPr lang="en-US" sz="1200" b="1" u="sng">
              <a:solidFill>
                <a:schemeClr val="bg2"/>
              </a:solidFill>
            </a:rPr>
            <a:t>Do</a:t>
          </a:r>
          <a:r>
            <a:rPr lang="en-US" sz="1200" b="1" u="sng" baseline="0">
              <a:solidFill>
                <a:schemeClr val="bg2"/>
              </a:solidFill>
            </a:rPr>
            <a:t> not edit anything in parameters except the year</a:t>
          </a:r>
          <a:endParaRPr lang="en-US" sz="1100" b="1" u="sng">
            <a:solidFill>
              <a:schemeClr val="bg2"/>
            </a:solidFill>
          </a:endParaRPr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Faurecia">
  <a:themeElements>
    <a:clrScheme name="Faurecia">
      <a:dk1>
        <a:srgbClr val="001884"/>
      </a:dk1>
      <a:lt1>
        <a:srgbClr val="FFFFFF"/>
      </a:lt1>
      <a:dk2>
        <a:srgbClr val="575756"/>
      </a:dk2>
      <a:lt2>
        <a:srgbClr val="FA0057"/>
      </a:lt2>
      <a:accent1>
        <a:srgbClr val="00AAA8"/>
      </a:accent1>
      <a:accent2>
        <a:srgbClr val="FFCC00"/>
      </a:accent2>
      <a:accent3>
        <a:srgbClr val="CF122E"/>
      </a:accent3>
      <a:accent4>
        <a:srgbClr val="458AC9"/>
      </a:accent4>
      <a:accent5>
        <a:srgbClr val="B4DEDF"/>
      </a:accent5>
      <a:accent6>
        <a:srgbClr val="FFF29A"/>
      </a:accent6>
      <a:hlink>
        <a:srgbClr val="F1896E"/>
      </a:hlink>
      <a:folHlink>
        <a:srgbClr val="AEC9E8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interiors 4 3" id="{B0474000-8490-45CE-B9BB-965B74870235}" vid="{DA6163C5-3154-42F5-B62E-FBECD08C1BDC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P84"/>
  <sheetViews>
    <sheetView topLeftCell="A10" workbookViewId="0">
      <selection activeCell="O27" sqref="O27"/>
    </sheetView>
  </sheetViews>
  <sheetFormatPr defaultColWidth="11.42578125" defaultRowHeight="12.75" x14ac:dyDescent="0.2"/>
  <sheetData>
    <row r="1" spans="1:16" x14ac:dyDescent="0.2">
      <c r="M1" s="52" t="s">
        <v>14</v>
      </c>
      <c r="N1" s="52" t="s">
        <v>13</v>
      </c>
      <c r="O1" s="52" t="s">
        <v>11</v>
      </c>
      <c r="P1" s="52" t="s">
        <v>12</v>
      </c>
    </row>
    <row r="2" spans="1:16" x14ac:dyDescent="0.2">
      <c r="M2">
        <v>1</v>
      </c>
      <c r="N2" t="s">
        <v>9</v>
      </c>
      <c r="O2" s="16">
        <f>DATE($B$14,M2,1)</f>
        <v>43466</v>
      </c>
      <c r="P2" s="16">
        <f>EOMONTH(O2,0)</f>
        <v>43496</v>
      </c>
    </row>
    <row r="3" spans="1:16" x14ac:dyDescent="0.2">
      <c r="M3">
        <v>2</v>
      </c>
      <c r="N3" t="s">
        <v>15</v>
      </c>
      <c r="O3" s="16">
        <f t="shared" ref="O3:O11" si="0">DATE($B$14,M3,1)</f>
        <v>43497</v>
      </c>
      <c r="P3" s="16">
        <f t="shared" ref="P3:P12" si="1">EOMONTH(O3,0)</f>
        <v>43524</v>
      </c>
    </row>
    <row r="4" spans="1:16" x14ac:dyDescent="0.2">
      <c r="M4">
        <v>3</v>
      </c>
      <c r="N4" t="s">
        <v>16</v>
      </c>
      <c r="O4" s="16">
        <f t="shared" si="0"/>
        <v>43525</v>
      </c>
      <c r="P4" s="16">
        <f t="shared" si="1"/>
        <v>43555</v>
      </c>
    </row>
    <row r="5" spans="1:16" x14ac:dyDescent="0.2">
      <c r="M5">
        <v>4</v>
      </c>
      <c r="N5" t="s">
        <v>17</v>
      </c>
      <c r="O5" s="16">
        <f t="shared" si="0"/>
        <v>43556</v>
      </c>
      <c r="P5" s="16">
        <f t="shared" si="1"/>
        <v>43585</v>
      </c>
    </row>
    <row r="6" spans="1:16" x14ac:dyDescent="0.2">
      <c r="M6">
        <v>5</v>
      </c>
      <c r="N6" t="s">
        <v>18</v>
      </c>
      <c r="O6" s="16">
        <f t="shared" si="0"/>
        <v>43586</v>
      </c>
      <c r="P6" s="16">
        <f t="shared" si="1"/>
        <v>43616</v>
      </c>
    </row>
    <row r="7" spans="1:16" x14ac:dyDescent="0.2">
      <c r="M7">
        <v>6</v>
      </c>
      <c r="N7" t="s">
        <v>19</v>
      </c>
      <c r="O7" s="16">
        <f t="shared" si="0"/>
        <v>43617</v>
      </c>
      <c r="P7" s="16">
        <f t="shared" si="1"/>
        <v>43646</v>
      </c>
    </row>
    <row r="8" spans="1:16" x14ac:dyDescent="0.2">
      <c r="M8">
        <v>7</v>
      </c>
      <c r="N8" t="s">
        <v>20</v>
      </c>
      <c r="O8" s="16">
        <f t="shared" si="0"/>
        <v>43647</v>
      </c>
      <c r="P8" s="16">
        <f t="shared" si="1"/>
        <v>43677</v>
      </c>
    </row>
    <row r="9" spans="1:16" x14ac:dyDescent="0.2">
      <c r="M9">
        <v>8</v>
      </c>
      <c r="N9" t="s">
        <v>21</v>
      </c>
      <c r="O9" s="16">
        <f t="shared" si="0"/>
        <v>43678</v>
      </c>
      <c r="P9" s="16">
        <f t="shared" si="1"/>
        <v>43708</v>
      </c>
    </row>
    <row r="10" spans="1:16" x14ac:dyDescent="0.2">
      <c r="M10">
        <v>9</v>
      </c>
      <c r="N10" t="s">
        <v>22</v>
      </c>
      <c r="O10" s="16">
        <f t="shared" si="0"/>
        <v>43709</v>
      </c>
      <c r="P10" s="16">
        <f t="shared" si="1"/>
        <v>43738</v>
      </c>
    </row>
    <row r="11" spans="1:16" x14ac:dyDescent="0.2">
      <c r="M11">
        <v>10</v>
      </c>
      <c r="N11" t="s">
        <v>23</v>
      </c>
      <c r="O11" s="16">
        <f t="shared" si="0"/>
        <v>43739</v>
      </c>
      <c r="P11" s="16">
        <f t="shared" si="1"/>
        <v>43769</v>
      </c>
    </row>
    <row r="12" spans="1:16" x14ac:dyDescent="0.2">
      <c r="M12">
        <v>11</v>
      </c>
      <c r="N12" t="s">
        <v>24</v>
      </c>
      <c r="O12" s="16">
        <f>DATE($B$14,M12,1)</f>
        <v>43770</v>
      </c>
      <c r="P12" s="16">
        <f t="shared" si="1"/>
        <v>43799</v>
      </c>
    </row>
    <row r="13" spans="1:16" x14ac:dyDescent="0.2">
      <c r="M13">
        <v>12</v>
      </c>
      <c r="N13" t="s">
        <v>25</v>
      </c>
      <c r="O13" s="16">
        <f>DATE($B$14,M13,1)</f>
        <v>43800</v>
      </c>
      <c r="P13" s="16">
        <f>EOMONTH(O13,0)</f>
        <v>43830</v>
      </c>
    </row>
    <row r="14" spans="1:16" ht="35.25" customHeight="1" x14ac:dyDescent="0.2">
      <c r="A14" s="31" t="s">
        <v>0</v>
      </c>
      <c r="B14" s="17">
        <v>2019</v>
      </c>
      <c r="C14" s="17"/>
    </row>
    <row r="16" spans="1:16" x14ac:dyDescent="0.2">
      <c r="B16" s="69" t="s">
        <v>10</v>
      </c>
      <c r="C16" s="69"/>
      <c r="D16" s="69"/>
      <c r="E16" s="69"/>
      <c r="F16" s="69"/>
      <c r="G16" s="69"/>
      <c r="H16" s="69"/>
      <c r="I16" s="69"/>
      <c r="J16" s="69"/>
      <c r="K16" s="69"/>
      <c r="L16" s="69"/>
    </row>
    <row r="17" spans="2:13" x14ac:dyDescent="0.2"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</row>
    <row r="18" spans="2:13" x14ac:dyDescent="0.2">
      <c r="B18" s="53">
        <f>DATE(B14,M2,1)</f>
        <v>43466</v>
      </c>
      <c r="C18" s="51"/>
      <c r="D18" s="53">
        <f>DATE(B14,M3,1)</f>
        <v>43497</v>
      </c>
      <c r="E18" s="51"/>
      <c r="F18" s="53">
        <f>DATE($B$14,$M4,1)</f>
        <v>43525</v>
      </c>
      <c r="G18" s="51"/>
      <c r="H18" s="53">
        <f>DATE($B$14,$M5,1)</f>
        <v>43556</v>
      </c>
      <c r="I18" s="51"/>
      <c r="J18" s="53">
        <f>DATE($B$14,$M6,1)</f>
        <v>43586</v>
      </c>
      <c r="K18" s="51"/>
      <c r="L18" s="53">
        <f>DATE($B$14,$M7,1)</f>
        <v>43617</v>
      </c>
    </row>
    <row r="19" spans="2:13" x14ac:dyDescent="0.2">
      <c r="B19" s="16">
        <f>B18</f>
        <v>43466</v>
      </c>
      <c r="C19" s="16" t="str">
        <f>IFERROR(IF(B19="","",IF(VLOOKUP(B19,'Days off'!$B$2:$B$19,1,FALSE)=B19,"DayOff","WD")),"WD")</f>
        <v>DayOff</v>
      </c>
      <c r="D19" s="50">
        <f>D18</f>
        <v>43497</v>
      </c>
      <c r="E19" s="16" t="str">
        <f>IFERROR(IF(D19="","",IF(VLOOKUP(D19,'Days off'!$B$2:$B$19,1,FALSE)=D19,"DayOff","WD")),"WD")</f>
        <v>WD</v>
      </c>
      <c r="F19" s="50">
        <f t="shared" ref="F19:L19" si="2">F18</f>
        <v>43525</v>
      </c>
      <c r="G19" s="16" t="str">
        <f>IFERROR(IF(F19="","",IF(VLOOKUP(F19,'Days off'!$B$2:$B$19,1,FALSE)=F19,"DayOff","WD")),"WD")</f>
        <v>WD</v>
      </c>
      <c r="H19" s="50">
        <f t="shared" si="2"/>
        <v>43556</v>
      </c>
      <c r="I19" s="16" t="str">
        <f>IFERROR(IF(H19="","",IF(VLOOKUP(H19,'Days off'!$B$2:$B$19,1,FALSE)=H19,"DayOff","WD")),"WD")</f>
        <v>WD</v>
      </c>
      <c r="J19" s="50">
        <f t="shared" si="2"/>
        <v>43586</v>
      </c>
      <c r="K19" s="16" t="str">
        <f>IFERROR(IF(J19="","",IF(VLOOKUP(J19,'Days off'!$B$2:$B$19,1,FALSE)=J19,"DayOff","WD")),"WD")</f>
        <v>DayOff</v>
      </c>
      <c r="L19" s="50">
        <f t="shared" si="2"/>
        <v>43617</v>
      </c>
      <c r="M19" s="16" t="str">
        <f>IFERROR(IF(L19="","",IF(VLOOKUP(L19,'Days off'!$B$2:$B$19,1,FALSE)=L19,"DayOff","WD")),"WD")</f>
        <v>WD</v>
      </c>
    </row>
    <row r="20" spans="2:13" x14ac:dyDescent="0.2">
      <c r="B20" s="16">
        <f t="shared" ref="B20:B49" si="3">IFERROR(IF(B19+1&gt;$P$2,"",B19+1),"")</f>
        <v>43467</v>
      </c>
      <c r="C20" s="16" t="str">
        <f>IFERROR(IF(B20="","",IF(VLOOKUP(B20,'Days off'!$B$2:$B$19,1,FALSE)=B20,"DayOff","WD")),"WD")</f>
        <v>WD</v>
      </c>
      <c r="D20" s="16">
        <f t="shared" ref="D20:D49" si="4">IFERROR(IF(D19+1&gt;$P$3,"",D19+1),"")</f>
        <v>43498</v>
      </c>
      <c r="E20" s="16" t="str">
        <f>IFERROR(IF(D20="","",IF(VLOOKUP(D20,'Days off'!$B$2:$B$19,1,FALSE)=D20,"DayOff","WD")),"WD")</f>
        <v>WD</v>
      </c>
      <c r="F20" s="16">
        <f t="shared" ref="F20:F49" si="5">IFERROR(IF(F19+1&gt;$P$4,"",F19+1),"")</f>
        <v>43526</v>
      </c>
      <c r="G20" s="16" t="str">
        <f>IFERROR(IF(F20="","",IF(VLOOKUP(F20,'Days off'!$B$2:$B$19,1,FALSE)=F20,"DayOff","WD")),"WD")</f>
        <v>WD</v>
      </c>
      <c r="H20" s="16">
        <f t="shared" ref="H20:H49" si="6">IFERROR(IF(H19+1&gt;$P$5,"",H19+1),"")</f>
        <v>43557</v>
      </c>
      <c r="I20" s="16" t="str">
        <f>IFERROR(IF(H20="","",IF(VLOOKUP(H20,'Days off'!$B$2:$B$19,1,FALSE)=H20,"DayOff","WD")),"WD")</f>
        <v>DayOff</v>
      </c>
      <c r="J20" s="16">
        <f t="shared" ref="J20:J49" si="7">IFERROR(IF(J19+1&gt;$P$6,"",J19+1),"")</f>
        <v>43587</v>
      </c>
      <c r="K20" s="16" t="str">
        <f>IFERROR(IF(J20="","",IF(VLOOKUP(J20,'Days off'!$B$2:$B$19,1,FALSE)=J20,"DayOff","WD")),"WD")</f>
        <v>WD</v>
      </c>
      <c r="L20" s="16">
        <f t="shared" ref="L20:L49" si="8">IFERROR(IF(L19+1&gt;$P$7,"",L19+1),"")</f>
        <v>43618</v>
      </c>
      <c r="M20" s="16" t="str">
        <f>IFERROR(IF(L20="","",IF(VLOOKUP(L20,'Days off'!$B$2:$B$19,1,FALSE)=L20,"DayOff","WD")),"WD")</f>
        <v>WD</v>
      </c>
    </row>
    <row r="21" spans="2:13" x14ac:dyDescent="0.2">
      <c r="B21" s="16">
        <f t="shared" si="3"/>
        <v>43468</v>
      </c>
      <c r="C21" s="16" t="str">
        <f>IFERROR(IF(B21="","",IF(VLOOKUP(B21,'Days off'!$B$2:$B$19,1,FALSE)=B21,"DayOff","WD")),"WD")</f>
        <v>WD</v>
      </c>
      <c r="D21" s="16">
        <f t="shared" si="4"/>
        <v>43499</v>
      </c>
      <c r="E21" s="16" t="str">
        <f>IFERROR(IF(D21="","",IF(VLOOKUP(D21,'Days off'!$B$2:$B$19,1,FALSE)=D21,"DayOff","WD")),"WD")</f>
        <v>WD</v>
      </c>
      <c r="F21" s="16">
        <f t="shared" si="5"/>
        <v>43527</v>
      </c>
      <c r="G21" s="16" t="str">
        <f>IFERROR(IF(F21="","",IF(VLOOKUP(F21,'Days off'!$B$2:$B$19,1,FALSE)=F21,"DayOff","WD")),"WD")</f>
        <v>WD</v>
      </c>
      <c r="H21" s="16">
        <f t="shared" si="6"/>
        <v>43558</v>
      </c>
      <c r="I21" s="16" t="str">
        <f>IFERROR(IF(H21="","",IF(VLOOKUP(H21,'Days off'!$B$2:$B$19,1,FALSE)=H21,"DayOff","WD")),"WD")</f>
        <v>WD</v>
      </c>
      <c r="J21" s="16">
        <f t="shared" si="7"/>
        <v>43588</v>
      </c>
      <c r="K21" s="16" t="str">
        <f>IFERROR(IF(J21="","",IF(VLOOKUP(J21,'Days off'!$B$2:$B$19,1,FALSE)=J21,"DayOff","WD")),"WD")</f>
        <v>WD</v>
      </c>
      <c r="L21" s="16">
        <f t="shared" si="8"/>
        <v>43619</v>
      </c>
      <c r="M21" s="16" t="str">
        <f>IFERROR(IF(L21="","",IF(VLOOKUP(L21,'Days off'!$B$2:$B$19,1,FALSE)=L21,"DayOff","WD")),"WD")</f>
        <v>WD</v>
      </c>
    </row>
    <row r="22" spans="2:13" x14ac:dyDescent="0.2">
      <c r="B22" s="16">
        <f t="shared" si="3"/>
        <v>43469</v>
      </c>
      <c r="C22" s="16" t="str">
        <f>IFERROR(IF(B22="","",IF(VLOOKUP(B22,'Days off'!$B$2:$B$19,1,FALSE)=B22,"DayOff","WD")),"WD")</f>
        <v>WD</v>
      </c>
      <c r="D22" s="16">
        <f t="shared" si="4"/>
        <v>43500</v>
      </c>
      <c r="E22" s="16" t="str">
        <f>IFERROR(IF(D22="","",IF(VLOOKUP(D22,'Days off'!$B$2:$B$19,1,FALSE)=D22,"DayOff","WD")),"WD")</f>
        <v>WD</v>
      </c>
      <c r="F22" s="16">
        <f t="shared" si="5"/>
        <v>43528</v>
      </c>
      <c r="G22" s="16" t="str">
        <f>IFERROR(IF(F22="","",IF(VLOOKUP(F22,'Days off'!$B$2:$B$19,1,FALSE)=F22,"DayOff","WD")),"WD")</f>
        <v>WD</v>
      </c>
      <c r="H22" s="16">
        <f t="shared" si="6"/>
        <v>43559</v>
      </c>
      <c r="I22" s="16" t="str">
        <f>IFERROR(IF(H22="","",IF(VLOOKUP(H22,'Days off'!$B$2:$B$19,1,FALSE)=H22,"DayOff","WD")),"WD")</f>
        <v>WD</v>
      </c>
      <c r="J22" s="16">
        <f t="shared" si="7"/>
        <v>43589</v>
      </c>
      <c r="K22" s="16" t="str">
        <f>IFERROR(IF(J22="","",IF(VLOOKUP(J22,'Days off'!$B$2:$B$19,1,FALSE)=J22,"DayOff","WD")),"WD")</f>
        <v>WD</v>
      </c>
      <c r="L22" s="16">
        <f t="shared" si="8"/>
        <v>43620</v>
      </c>
      <c r="M22" s="16" t="str">
        <f>IFERROR(IF(L22="","",IF(VLOOKUP(L22,'Days off'!$B$2:$B$19,1,FALSE)=L22,"DayOff","WD")),"WD")</f>
        <v>WD</v>
      </c>
    </row>
    <row r="23" spans="2:13" x14ac:dyDescent="0.2">
      <c r="B23" s="16">
        <f t="shared" si="3"/>
        <v>43470</v>
      </c>
      <c r="C23" s="16" t="str">
        <f>IFERROR(IF(B23="","",IF(VLOOKUP(B23,'Days off'!$B$2:$B$19,1,FALSE)=B23,"DayOff","WD")),"WD")</f>
        <v>WD</v>
      </c>
      <c r="D23" s="16">
        <f t="shared" si="4"/>
        <v>43501</v>
      </c>
      <c r="E23" s="16" t="str">
        <f>IFERROR(IF(D23="","",IF(VLOOKUP(D23,'Days off'!$B$2:$B$19,1,FALSE)=D23,"DayOff","WD")),"WD")</f>
        <v>WD</v>
      </c>
      <c r="F23" s="16">
        <f t="shared" si="5"/>
        <v>43529</v>
      </c>
      <c r="G23" s="16" t="str">
        <f>IFERROR(IF(F23="","",IF(VLOOKUP(F23,'Days off'!$B$2:$B$19,1,FALSE)=F23,"DayOff","WD")),"WD")</f>
        <v>WD</v>
      </c>
      <c r="H23" s="16">
        <f t="shared" si="6"/>
        <v>43560</v>
      </c>
      <c r="I23" s="16" t="str">
        <f>IFERROR(IF(H23="","",IF(VLOOKUP(H23,'Days off'!$B$2:$B$19,1,FALSE)=H23,"DayOff","WD")),"WD")</f>
        <v>WD</v>
      </c>
      <c r="J23" s="16">
        <f t="shared" si="7"/>
        <v>43590</v>
      </c>
      <c r="K23" s="16" t="str">
        <f>IFERROR(IF(J23="","",IF(VLOOKUP(J23,'Days off'!$B$2:$B$19,1,FALSE)=J23,"DayOff","WD")),"WD")</f>
        <v>WD</v>
      </c>
      <c r="L23" s="16">
        <f t="shared" si="8"/>
        <v>43621</v>
      </c>
      <c r="M23" s="16" t="str">
        <f>IFERROR(IF(L23="","",IF(VLOOKUP(L23,'Days off'!$B$2:$B$19,1,FALSE)=L23,"DayOff","WD")),"WD")</f>
        <v>WD</v>
      </c>
    </row>
    <row r="24" spans="2:13" x14ac:dyDescent="0.2">
      <c r="B24" s="16">
        <f t="shared" si="3"/>
        <v>43471</v>
      </c>
      <c r="C24" s="16" t="str">
        <f>IFERROR(IF(B24="","",IF(VLOOKUP(B24,'Days off'!$B$2:$B$19,1,FALSE)=B24,"DayOff","WD")),"WD")</f>
        <v>WD</v>
      </c>
      <c r="D24" s="16">
        <f t="shared" si="4"/>
        <v>43502</v>
      </c>
      <c r="E24" s="16" t="str">
        <f>IFERROR(IF(D24="","",IF(VLOOKUP(D24,'Days off'!$B$2:$B$19,1,FALSE)=D24,"DayOff","WD")),"WD")</f>
        <v>WD</v>
      </c>
      <c r="F24" s="16">
        <f t="shared" si="5"/>
        <v>43530</v>
      </c>
      <c r="G24" s="16" t="str">
        <f>IFERROR(IF(F24="","",IF(VLOOKUP(F24,'Days off'!$B$2:$B$19,1,FALSE)=F24,"DayOff","WD")),"WD")</f>
        <v>WD</v>
      </c>
      <c r="H24" s="16">
        <f t="shared" si="6"/>
        <v>43561</v>
      </c>
      <c r="I24" s="16" t="str">
        <f>IFERROR(IF(H24="","",IF(VLOOKUP(H24,'Days off'!$B$2:$B$19,1,FALSE)=H24,"DayOff","WD")),"WD")</f>
        <v>WD</v>
      </c>
      <c r="J24" s="16">
        <f t="shared" si="7"/>
        <v>43591</v>
      </c>
      <c r="K24" s="16" t="str">
        <f>IFERROR(IF(J24="","",IF(VLOOKUP(J24,'Days off'!$B$2:$B$19,1,FALSE)=J24,"DayOff","WD")),"WD")</f>
        <v>WD</v>
      </c>
      <c r="L24" s="16">
        <f t="shared" si="8"/>
        <v>43622</v>
      </c>
      <c r="M24" s="16" t="str">
        <f>IFERROR(IF(L24="","",IF(VLOOKUP(L24,'Days off'!$B$2:$B$19,1,FALSE)=L24,"DayOff","WD")),"WD")</f>
        <v>WD</v>
      </c>
    </row>
    <row r="25" spans="2:13" x14ac:dyDescent="0.2">
      <c r="B25" s="16">
        <f t="shared" si="3"/>
        <v>43472</v>
      </c>
      <c r="C25" s="16" t="str">
        <f>IFERROR(IF(B25="","",IF(VLOOKUP(B25,'Days off'!$B$2:$B$19,1,FALSE)=B25,"DayOff","WD")),"WD")</f>
        <v>WD</v>
      </c>
      <c r="D25" s="16">
        <f t="shared" si="4"/>
        <v>43503</v>
      </c>
      <c r="E25" s="16" t="str">
        <f>IFERROR(IF(D25="","",IF(VLOOKUP(D25,'Days off'!$B$2:$B$19,1,FALSE)=D25,"DayOff","WD")),"WD")</f>
        <v>WD</v>
      </c>
      <c r="F25" s="16">
        <f t="shared" si="5"/>
        <v>43531</v>
      </c>
      <c r="G25" s="16" t="str">
        <f>IFERROR(IF(F25="","",IF(VLOOKUP(F25,'Days off'!$B$2:$B$19,1,FALSE)=F25,"DayOff","WD")),"WD")</f>
        <v>WD</v>
      </c>
      <c r="H25" s="16">
        <f t="shared" si="6"/>
        <v>43562</v>
      </c>
      <c r="I25" s="16" t="str">
        <f>IFERROR(IF(H25="","",IF(VLOOKUP(H25,'Days off'!$B$2:$B$19,1,FALSE)=H25,"DayOff","WD")),"WD")</f>
        <v>WD</v>
      </c>
      <c r="J25" s="16">
        <f t="shared" si="7"/>
        <v>43592</v>
      </c>
      <c r="K25" s="16" t="str">
        <f>IFERROR(IF(J25="","",IF(VLOOKUP(J25,'Days off'!$B$2:$B$19,1,FALSE)=J25,"DayOff","WD")),"WD")</f>
        <v>WD</v>
      </c>
      <c r="L25" s="16">
        <f t="shared" si="8"/>
        <v>43623</v>
      </c>
      <c r="M25" s="16" t="str">
        <f>IFERROR(IF(L25="","",IF(VLOOKUP(L25,'Days off'!$B$2:$B$19,1,FALSE)=L25,"DayOff","WD")),"WD")</f>
        <v>WD</v>
      </c>
    </row>
    <row r="26" spans="2:13" x14ac:dyDescent="0.2">
      <c r="B26" s="16">
        <f t="shared" si="3"/>
        <v>43473</v>
      </c>
      <c r="C26" s="16" t="str">
        <f>IFERROR(IF(B26="","",IF(VLOOKUP(B26,'Days off'!$B$2:$B$19,1,FALSE)=B26,"DayOff","WD")),"WD")</f>
        <v>WD</v>
      </c>
      <c r="D26" s="16">
        <f t="shared" si="4"/>
        <v>43504</v>
      </c>
      <c r="E26" s="16" t="str">
        <f>IFERROR(IF(D26="","",IF(VLOOKUP(D26,'Days off'!$B$2:$B$19,1,FALSE)=D26,"DayOff","WD")),"WD")</f>
        <v>WD</v>
      </c>
      <c r="F26" s="16">
        <f t="shared" si="5"/>
        <v>43532</v>
      </c>
      <c r="G26" s="16" t="str">
        <f>IFERROR(IF(F26="","",IF(VLOOKUP(F26,'Days off'!$B$2:$B$19,1,FALSE)=F26,"DayOff","WD")),"WD")</f>
        <v>WD</v>
      </c>
      <c r="H26" s="16">
        <f t="shared" si="6"/>
        <v>43563</v>
      </c>
      <c r="I26" s="16" t="str">
        <f>IFERROR(IF(H26="","",IF(VLOOKUP(H26,'Days off'!$B$2:$B$19,1,FALSE)=H26,"DayOff","WD")),"WD")</f>
        <v>WD</v>
      </c>
      <c r="J26" s="16">
        <f t="shared" si="7"/>
        <v>43593</v>
      </c>
      <c r="K26" s="16" t="str">
        <f>IFERROR(IF(J26="","",IF(VLOOKUP(J26,'Days off'!$B$2:$B$19,1,FALSE)=J26,"DayOff","WD")),"WD")</f>
        <v>DayOff</v>
      </c>
      <c r="L26" s="16">
        <f t="shared" si="8"/>
        <v>43624</v>
      </c>
      <c r="M26" s="16" t="str">
        <f>IFERROR(IF(L26="","",IF(VLOOKUP(L26,'Days off'!$B$2:$B$19,1,FALSE)=L26,"DayOff","WD")),"WD")</f>
        <v>WD</v>
      </c>
    </row>
    <row r="27" spans="2:13" x14ac:dyDescent="0.2">
      <c r="B27" s="16">
        <f t="shared" si="3"/>
        <v>43474</v>
      </c>
      <c r="C27" s="16" t="str">
        <f>IFERROR(IF(B27="","",IF(VLOOKUP(B27,'Days off'!$B$2:$B$19,1,FALSE)=B27,"DayOff","WD")),"WD")</f>
        <v>WD</v>
      </c>
      <c r="D27" s="16">
        <f t="shared" si="4"/>
        <v>43505</v>
      </c>
      <c r="E27" s="16" t="str">
        <f>IFERROR(IF(D27="","",IF(VLOOKUP(D27,'Days off'!$B$2:$B$19,1,FALSE)=D27,"DayOff","WD")),"WD")</f>
        <v>WD</v>
      </c>
      <c r="F27" s="16">
        <f t="shared" si="5"/>
        <v>43533</v>
      </c>
      <c r="G27" s="16" t="str">
        <f>IFERROR(IF(F27="","",IF(VLOOKUP(F27,'Days off'!$B$2:$B$19,1,FALSE)=F27,"DayOff","WD")),"WD")</f>
        <v>WD</v>
      </c>
      <c r="H27" s="16">
        <f t="shared" si="6"/>
        <v>43564</v>
      </c>
      <c r="I27" s="16" t="str">
        <f>IFERROR(IF(H27="","",IF(VLOOKUP(H27,'Days off'!$B$2:$B$19,1,FALSE)=H27,"DayOff","WD")),"WD")</f>
        <v>WD</v>
      </c>
      <c r="J27" s="16">
        <f t="shared" si="7"/>
        <v>43594</v>
      </c>
      <c r="K27" s="16" t="str">
        <f>IFERROR(IF(J27="","",IF(VLOOKUP(J27,'Days off'!$B$2:$B$19,1,FALSE)=J27,"DayOff","WD")),"WD")</f>
        <v>WD</v>
      </c>
      <c r="L27" s="16">
        <f t="shared" si="8"/>
        <v>43625</v>
      </c>
      <c r="M27" s="16" t="str">
        <f>IFERROR(IF(L27="","",IF(VLOOKUP(L27,'Days off'!$B$2:$B$19,1,FALSE)=L27,"DayOff","WD")),"WD")</f>
        <v>WD</v>
      </c>
    </row>
    <row r="28" spans="2:13" x14ac:dyDescent="0.2">
      <c r="B28" s="16">
        <f t="shared" si="3"/>
        <v>43475</v>
      </c>
      <c r="C28" s="16" t="str">
        <f>IFERROR(IF(B28="","",IF(VLOOKUP(B28,'Days off'!$B$2:$B$19,1,FALSE)=B28,"DayOff","WD")),"WD")</f>
        <v>WD</v>
      </c>
      <c r="D28" s="16">
        <f t="shared" si="4"/>
        <v>43506</v>
      </c>
      <c r="E28" s="16" t="str">
        <f>IFERROR(IF(D28="","",IF(VLOOKUP(D28,'Days off'!$B$2:$B$19,1,FALSE)=D28,"DayOff","WD")),"WD")</f>
        <v>WD</v>
      </c>
      <c r="F28" s="16">
        <f t="shared" si="5"/>
        <v>43534</v>
      </c>
      <c r="G28" s="16" t="str">
        <f>IFERROR(IF(F28="","",IF(VLOOKUP(F28,'Days off'!$B$2:$B$19,1,FALSE)=F28,"DayOff","WD")),"WD")</f>
        <v>WD</v>
      </c>
      <c r="H28" s="16">
        <f t="shared" si="6"/>
        <v>43565</v>
      </c>
      <c r="I28" s="16" t="str">
        <f>IFERROR(IF(H28="","",IF(VLOOKUP(H28,'Days off'!$B$2:$B$19,1,FALSE)=H28,"DayOff","WD")),"WD")</f>
        <v>WD</v>
      </c>
      <c r="J28" s="16">
        <f t="shared" si="7"/>
        <v>43595</v>
      </c>
      <c r="K28" s="16" t="str">
        <f>IFERROR(IF(J28="","",IF(VLOOKUP(J28,'Days off'!$B$2:$B$19,1,FALSE)=J28,"DayOff","WD")),"WD")</f>
        <v>DayOff</v>
      </c>
      <c r="L28" s="16">
        <f t="shared" si="8"/>
        <v>43626</v>
      </c>
      <c r="M28" s="16" t="str">
        <f>IFERROR(IF(L28="","",IF(VLOOKUP(L28,'Days off'!$B$2:$B$19,1,FALSE)=L28,"DayOff","WD")),"WD")</f>
        <v>WD</v>
      </c>
    </row>
    <row r="29" spans="2:13" x14ac:dyDescent="0.2">
      <c r="B29" s="16">
        <f t="shared" si="3"/>
        <v>43476</v>
      </c>
      <c r="C29" s="16" t="str">
        <f>IFERROR(IF(B29="","",IF(VLOOKUP(B29,'Days off'!$B$2:$B$19,1,FALSE)=B29,"DayOff","WD")),"WD")</f>
        <v>WD</v>
      </c>
      <c r="D29" s="16">
        <f t="shared" si="4"/>
        <v>43507</v>
      </c>
      <c r="E29" s="16" t="str">
        <f>IFERROR(IF(D29="","",IF(VLOOKUP(D29,'Days off'!$B$2:$B$19,1,FALSE)=D29,"DayOff","WD")),"WD")</f>
        <v>WD</v>
      </c>
      <c r="F29" s="16">
        <f t="shared" si="5"/>
        <v>43535</v>
      </c>
      <c r="G29" s="16" t="str">
        <f>IFERROR(IF(F29="","",IF(VLOOKUP(F29,'Days off'!$B$2:$B$19,1,FALSE)=F29,"DayOff","WD")),"WD")</f>
        <v>WD</v>
      </c>
      <c r="H29" s="16">
        <f t="shared" si="6"/>
        <v>43566</v>
      </c>
      <c r="I29" s="16" t="str">
        <f>IFERROR(IF(H29="","",IF(VLOOKUP(H29,'Days off'!$B$2:$B$19,1,FALSE)=H29,"DayOff","WD")),"WD")</f>
        <v>WD</v>
      </c>
      <c r="J29" s="16">
        <f t="shared" si="7"/>
        <v>43596</v>
      </c>
      <c r="K29" s="16" t="str">
        <f>IFERROR(IF(J29="","",IF(VLOOKUP(J29,'Days off'!$B$2:$B$19,1,FALSE)=J29,"DayOff","WD")),"WD")</f>
        <v>WD</v>
      </c>
      <c r="L29" s="16">
        <f t="shared" si="8"/>
        <v>43627</v>
      </c>
      <c r="M29" s="16" t="str">
        <f>IFERROR(IF(L29="","",IF(VLOOKUP(L29,'Days off'!$B$2:$B$19,1,FALSE)=L29,"DayOff","WD")),"WD")</f>
        <v>WD</v>
      </c>
    </row>
    <row r="30" spans="2:13" x14ac:dyDescent="0.2">
      <c r="B30" s="16">
        <f t="shared" si="3"/>
        <v>43477</v>
      </c>
      <c r="C30" s="16" t="str">
        <f>IFERROR(IF(B30="","",IF(VLOOKUP(B30,'Days off'!$B$2:$B$19,1,FALSE)=B30,"DayOff","WD")),"WD")</f>
        <v>WD</v>
      </c>
      <c r="D30" s="16">
        <f t="shared" si="4"/>
        <v>43508</v>
      </c>
      <c r="E30" s="16" t="str">
        <f>IFERROR(IF(D30="","",IF(VLOOKUP(D30,'Days off'!$B$2:$B$19,1,FALSE)=D30,"DayOff","WD")),"WD")</f>
        <v>WD</v>
      </c>
      <c r="F30" s="16">
        <f t="shared" si="5"/>
        <v>43536</v>
      </c>
      <c r="G30" s="16" t="str">
        <f>IFERROR(IF(F30="","",IF(VLOOKUP(F30,'Days off'!$B$2:$B$19,1,FALSE)=F30,"DayOff","WD")),"WD")</f>
        <v>WD</v>
      </c>
      <c r="H30" s="16">
        <f t="shared" si="6"/>
        <v>43567</v>
      </c>
      <c r="I30" s="16" t="str">
        <f>IFERROR(IF(H30="","",IF(VLOOKUP(H30,'Days off'!$B$2:$B$19,1,FALSE)=H30,"DayOff","WD")),"WD")</f>
        <v>WD</v>
      </c>
      <c r="J30" s="16">
        <f t="shared" si="7"/>
        <v>43597</v>
      </c>
      <c r="K30" s="16" t="str">
        <f>IFERROR(IF(J30="","",IF(VLOOKUP(J30,'Days off'!$B$2:$B$19,1,FALSE)=J30,"DayOff","WD")),"WD")</f>
        <v>WD</v>
      </c>
      <c r="L30" s="16">
        <f t="shared" si="8"/>
        <v>43628</v>
      </c>
      <c r="M30" s="16" t="str">
        <f>IFERROR(IF(L30="","",IF(VLOOKUP(L30,'Days off'!$B$2:$B$19,1,FALSE)=L30,"DayOff","WD")),"WD")</f>
        <v>WD</v>
      </c>
    </row>
    <row r="31" spans="2:13" x14ac:dyDescent="0.2">
      <c r="B31" s="16">
        <f t="shared" si="3"/>
        <v>43478</v>
      </c>
      <c r="C31" s="16" t="str">
        <f>IFERROR(IF(B31="","",IF(VLOOKUP(B31,'Days off'!$B$2:$B$19,1,FALSE)=B31,"DayOff","WD")),"WD")</f>
        <v>WD</v>
      </c>
      <c r="D31" s="16">
        <f t="shared" si="4"/>
        <v>43509</v>
      </c>
      <c r="E31" s="16" t="str">
        <f>IFERROR(IF(D31="","",IF(VLOOKUP(D31,'Days off'!$B$2:$B$19,1,FALSE)=D31,"DayOff","WD")),"WD")</f>
        <v>WD</v>
      </c>
      <c r="F31" s="16">
        <f t="shared" si="5"/>
        <v>43537</v>
      </c>
      <c r="G31" s="16" t="str">
        <f>IFERROR(IF(F31="","",IF(VLOOKUP(F31,'Days off'!$B$2:$B$19,1,FALSE)=F31,"DayOff","WD")),"WD")</f>
        <v>WD</v>
      </c>
      <c r="H31" s="16">
        <f t="shared" si="6"/>
        <v>43568</v>
      </c>
      <c r="I31" s="16" t="str">
        <f>IFERROR(IF(H31="","",IF(VLOOKUP(H31,'Days off'!$B$2:$B$19,1,FALSE)=H31,"DayOff","WD")),"WD")</f>
        <v>WD</v>
      </c>
      <c r="J31" s="16">
        <f t="shared" si="7"/>
        <v>43598</v>
      </c>
      <c r="K31" s="16" t="str">
        <f>IFERROR(IF(J31="","",IF(VLOOKUP(J31,'Days off'!$B$2:$B$19,1,FALSE)=J31,"DayOff","WD")),"WD")</f>
        <v>WD</v>
      </c>
      <c r="L31" s="16">
        <f t="shared" si="8"/>
        <v>43629</v>
      </c>
      <c r="M31" s="16" t="str">
        <f>IFERROR(IF(L31="","",IF(VLOOKUP(L31,'Days off'!$B$2:$B$19,1,FALSE)=L31,"DayOff","WD")),"WD")</f>
        <v>WD</v>
      </c>
    </row>
    <row r="32" spans="2:13" x14ac:dyDescent="0.2">
      <c r="B32" s="16">
        <f t="shared" si="3"/>
        <v>43479</v>
      </c>
      <c r="C32" s="16" t="str">
        <f>IFERROR(IF(B32="","",IF(VLOOKUP(B32,'Days off'!$B$2:$B$19,1,FALSE)=B32,"DayOff","WD")),"WD")</f>
        <v>WD</v>
      </c>
      <c r="D32" s="16">
        <f t="shared" si="4"/>
        <v>43510</v>
      </c>
      <c r="E32" s="16" t="str">
        <f>IFERROR(IF(D32="","",IF(VLOOKUP(D32,'Days off'!$B$2:$B$19,1,FALSE)=D32,"DayOff","WD")),"WD")</f>
        <v>WD</v>
      </c>
      <c r="F32" s="16">
        <f t="shared" si="5"/>
        <v>43538</v>
      </c>
      <c r="G32" s="16" t="str">
        <f>IFERROR(IF(F32="","",IF(VLOOKUP(F32,'Days off'!$B$2:$B$19,1,FALSE)=F32,"DayOff","WD")),"WD")</f>
        <v>WD</v>
      </c>
      <c r="H32" s="16">
        <f t="shared" si="6"/>
        <v>43569</v>
      </c>
      <c r="I32" s="16" t="str">
        <f>IFERROR(IF(H32="","",IF(VLOOKUP(H32,'Days off'!$B$2:$B$19,1,FALSE)=H32,"DayOff","WD")),"WD")</f>
        <v>WD</v>
      </c>
      <c r="J32" s="16">
        <f t="shared" si="7"/>
        <v>43599</v>
      </c>
      <c r="K32" s="16" t="str">
        <f>IFERROR(IF(J32="","",IF(VLOOKUP(J32,'Days off'!$B$2:$B$19,1,FALSE)=J32,"DayOff","WD")),"WD")</f>
        <v>WD</v>
      </c>
      <c r="L32" s="16">
        <f t="shared" si="8"/>
        <v>43630</v>
      </c>
      <c r="M32" s="16" t="str">
        <f>IFERROR(IF(L32="","",IF(VLOOKUP(L32,'Days off'!$B$2:$B$19,1,FALSE)=L32,"DayOff","WD")),"WD")</f>
        <v>WD</v>
      </c>
    </row>
    <row r="33" spans="2:13" x14ac:dyDescent="0.2">
      <c r="B33" s="16">
        <f t="shared" si="3"/>
        <v>43480</v>
      </c>
      <c r="C33" s="16" t="str">
        <f>IFERROR(IF(B33="","",IF(VLOOKUP(B33,'Days off'!$B$2:$B$19,1,FALSE)=B33,"DayOff","WD")),"WD")</f>
        <v>WD</v>
      </c>
      <c r="D33" s="16">
        <f t="shared" si="4"/>
        <v>43511</v>
      </c>
      <c r="E33" s="16" t="str">
        <f>IFERROR(IF(D33="","",IF(VLOOKUP(D33,'Days off'!$B$2:$B$19,1,FALSE)=D33,"DayOff","WD")),"WD")</f>
        <v>WD</v>
      </c>
      <c r="F33" s="16">
        <f t="shared" si="5"/>
        <v>43539</v>
      </c>
      <c r="G33" s="16" t="str">
        <f>IFERROR(IF(F33="","",IF(VLOOKUP(F33,'Days off'!$B$2:$B$19,1,FALSE)=F33,"DayOff","WD")),"WD")</f>
        <v>WD</v>
      </c>
      <c r="H33" s="16">
        <f t="shared" si="6"/>
        <v>43570</v>
      </c>
      <c r="I33" s="16" t="str">
        <f>IFERROR(IF(H33="","",IF(VLOOKUP(H33,'Days off'!$B$2:$B$19,1,FALSE)=H33,"DayOff","WD")),"WD")</f>
        <v>WD</v>
      </c>
      <c r="J33" s="16">
        <f t="shared" si="7"/>
        <v>43600</v>
      </c>
      <c r="K33" s="16" t="str">
        <f>IFERROR(IF(J33="","",IF(VLOOKUP(J33,'Days off'!$B$2:$B$19,1,FALSE)=J33,"DayOff","WD")),"WD")</f>
        <v>WD</v>
      </c>
      <c r="L33" s="16">
        <f t="shared" si="8"/>
        <v>43631</v>
      </c>
      <c r="M33" s="16" t="str">
        <f>IFERROR(IF(L33="","",IF(VLOOKUP(L33,'Days off'!$B$2:$B$19,1,FALSE)=L33,"DayOff","WD")),"WD")</f>
        <v>WD</v>
      </c>
    </row>
    <row r="34" spans="2:13" x14ac:dyDescent="0.2">
      <c r="B34" s="16">
        <f t="shared" si="3"/>
        <v>43481</v>
      </c>
      <c r="C34" s="16" t="str">
        <f>IFERROR(IF(B34="","",IF(VLOOKUP(B34,'Days off'!$B$2:$B$19,1,FALSE)=B34,"DayOff","WD")),"WD")</f>
        <v>WD</v>
      </c>
      <c r="D34" s="16">
        <f t="shared" si="4"/>
        <v>43512</v>
      </c>
      <c r="E34" s="16" t="str">
        <f>IFERROR(IF(D34="","",IF(VLOOKUP(D34,'Days off'!$B$2:$B$19,1,FALSE)=D34,"DayOff","WD")),"WD")</f>
        <v>WD</v>
      </c>
      <c r="F34" s="16">
        <f t="shared" si="5"/>
        <v>43540</v>
      </c>
      <c r="G34" s="16" t="str">
        <f>IFERROR(IF(F34="","",IF(VLOOKUP(F34,'Days off'!$B$2:$B$19,1,FALSE)=F34,"DayOff","WD")),"WD")</f>
        <v>WD</v>
      </c>
      <c r="H34" s="16">
        <f t="shared" si="6"/>
        <v>43571</v>
      </c>
      <c r="I34" s="16" t="str">
        <f>IFERROR(IF(H34="","",IF(VLOOKUP(H34,'Days off'!$B$2:$B$19,1,FALSE)=H34,"DayOff","WD")),"WD")</f>
        <v>WD</v>
      </c>
      <c r="J34" s="16">
        <f t="shared" si="7"/>
        <v>43601</v>
      </c>
      <c r="K34" s="16" t="str">
        <f>IFERROR(IF(J34="","",IF(VLOOKUP(J34,'Days off'!$B$2:$B$19,1,FALSE)=J34,"DayOff","WD")),"WD")</f>
        <v>WD</v>
      </c>
      <c r="L34" s="16">
        <f t="shared" si="8"/>
        <v>43632</v>
      </c>
      <c r="M34" s="16" t="str">
        <f>IFERROR(IF(L34="","",IF(VLOOKUP(L34,'Days off'!$B$2:$B$19,1,FALSE)=L34,"DayOff","WD")),"WD")</f>
        <v>WD</v>
      </c>
    </row>
    <row r="35" spans="2:13" x14ac:dyDescent="0.2">
      <c r="B35" s="16">
        <f t="shared" si="3"/>
        <v>43482</v>
      </c>
      <c r="C35" s="16" t="str">
        <f>IFERROR(IF(B35="","",IF(VLOOKUP(B35,'Days off'!$B$2:$B$19,1,FALSE)=B35,"DayOff","WD")),"WD")</f>
        <v>WD</v>
      </c>
      <c r="D35" s="16">
        <f t="shared" si="4"/>
        <v>43513</v>
      </c>
      <c r="E35" s="16" t="str">
        <f>IFERROR(IF(D35="","",IF(VLOOKUP(D35,'Days off'!$B$2:$B$19,1,FALSE)=D35,"DayOff","WD")),"WD")</f>
        <v>WD</v>
      </c>
      <c r="F35" s="16">
        <f t="shared" si="5"/>
        <v>43541</v>
      </c>
      <c r="G35" s="16" t="str">
        <f>IFERROR(IF(F35="","",IF(VLOOKUP(F35,'Days off'!$B$2:$B$19,1,FALSE)=F35,"DayOff","WD")),"WD")</f>
        <v>WD</v>
      </c>
      <c r="H35" s="16">
        <f t="shared" si="6"/>
        <v>43572</v>
      </c>
      <c r="I35" s="16" t="str">
        <f>IFERROR(IF(H35="","",IF(VLOOKUP(H35,'Days off'!$B$2:$B$19,1,FALSE)=H35,"DayOff","WD")),"WD")</f>
        <v>WD</v>
      </c>
      <c r="J35" s="16">
        <f t="shared" si="7"/>
        <v>43602</v>
      </c>
      <c r="K35" s="16" t="str">
        <f>IFERROR(IF(J35="","",IF(VLOOKUP(J35,'Days off'!$B$2:$B$19,1,FALSE)=J35,"DayOff","WD")),"WD")</f>
        <v>WD</v>
      </c>
      <c r="L35" s="16">
        <f t="shared" si="8"/>
        <v>43633</v>
      </c>
      <c r="M35" s="16" t="str">
        <f>IFERROR(IF(L35="","",IF(VLOOKUP(L35,'Days off'!$B$2:$B$19,1,FALSE)=L35,"DayOff","WD")),"WD")</f>
        <v>WD</v>
      </c>
    </row>
    <row r="36" spans="2:13" x14ac:dyDescent="0.2">
      <c r="B36" s="16">
        <f t="shared" si="3"/>
        <v>43483</v>
      </c>
      <c r="C36" s="16" t="str">
        <f>IFERROR(IF(B36="","",IF(VLOOKUP(B36,'Days off'!$B$2:$B$19,1,FALSE)=B36,"DayOff","WD")),"WD")</f>
        <v>WD</v>
      </c>
      <c r="D36" s="16">
        <f t="shared" si="4"/>
        <v>43514</v>
      </c>
      <c r="E36" s="16" t="str">
        <f>IFERROR(IF(D36="","",IF(VLOOKUP(D36,'Days off'!$B$2:$B$19,1,FALSE)=D36,"DayOff","WD")),"WD")</f>
        <v>WD</v>
      </c>
      <c r="F36" s="16">
        <f t="shared" si="5"/>
        <v>43542</v>
      </c>
      <c r="G36" s="16" t="str">
        <f>IFERROR(IF(F36="","",IF(VLOOKUP(F36,'Days off'!$B$2:$B$19,1,FALSE)=F36,"DayOff","WD")),"WD")</f>
        <v>WD</v>
      </c>
      <c r="H36" s="16">
        <f t="shared" si="6"/>
        <v>43573</v>
      </c>
      <c r="I36" s="16" t="str">
        <f>IFERROR(IF(H36="","",IF(VLOOKUP(H36,'Days off'!$B$2:$B$19,1,FALSE)=H36,"DayOff","WD")),"WD")</f>
        <v>WD</v>
      </c>
      <c r="J36" s="16">
        <f t="shared" si="7"/>
        <v>43603</v>
      </c>
      <c r="K36" s="16" t="str">
        <f>IFERROR(IF(J36="","",IF(VLOOKUP(J36,'Days off'!$B$2:$B$19,1,FALSE)=J36,"DayOff","WD")),"WD")</f>
        <v>WD</v>
      </c>
      <c r="L36" s="16">
        <f t="shared" si="8"/>
        <v>43634</v>
      </c>
      <c r="M36" s="16" t="str">
        <f>IFERROR(IF(L36="","",IF(VLOOKUP(L36,'Days off'!$B$2:$B$19,1,FALSE)=L36,"DayOff","WD")),"WD")</f>
        <v>WD</v>
      </c>
    </row>
    <row r="37" spans="2:13" x14ac:dyDescent="0.2">
      <c r="B37" s="16">
        <f t="shared" si="3"/>
        <v>43484</v>
      </c>
      <c r="C37" s="16" t="str">
        <f>IFERROR(IF(B37="","",IF(VLOOKUP(B37,'Days off'!$B$2:$B$19,1,FALSE)=B37,"DayOff","WD")),"WD")</f>
        <v>WD</v>
      </c>
      <c r="D37" s="16">
        <f t="shared" si="4"/>
        <v>43515</v>
      </c>
      <c r="E37" s="16" t="str">
        <f>IFERROR(IF(D37="","",IF(VLOOKUP(D37,'Days off'!$B$2:$B$19,1,FALSE)=D37,"DayOff","WD")),"WD")</f>
        <v>WD</v>
      </c>
      <c r="F37" s="16">
        <f t="shared" si="5"/>
        <v>43543</v>
      </c>
      <c r="G37" s="16" t="str">
        <f>IFERROR(IF(F37="","",IF(VLOOKUP(F37,'Days off'!$B$2:$B$19,1,FALSE)=F37,"DayOff","WD")),"WD")</f>
        <v>WD</v>
      </c>
      <c r="H37" s="16">
        <f t="shared" si="6"/>
        <v>43574</v>
      </c>
      <c r="I37" s="16" t="str">
        <f>IFERROR(IF(H37="","",IF(VLOOKUP(H37,'Days off'!$B$2:$B$19,1,FALSE)=H37,"DayOff","WD")),"WD")</f>
        <v>WD</v>
      </c>
      <c r="J37" s="16">
        <f t="shared" si="7"/>
        <v>43604</v>
      </c>
      <c r="K37" s="16" t="str">
        <f>IFERROR(IF(J37="","",IF(VLOOKUP(J37,'Days off'!$B$2:$B$19,1,FALSE)=J37,"DayOff","WD")),"WD")</f>
        <v>WD</v>
      </c>
      <c r="L37" s="16">
        <f t="shared" si="8"/>
        <v>43635</v>
      </c>
      <c r="M37" s="16" t="str">
        <f>IFERROR(IF(L37="","",IF(VLOOKUP(L37,'Days off'!$B$2:$B$19,1,FALSE)=L37,"DayOff","WD")),"WD")</f>
        <v>WD</v>
      </c>
    </row>
    <row r="38" spans="2:13" x14ac:dyDescent="0.2">
      <c r="B38" s="16">
        <f t="shared" si="3"/>
        <v>43485</v>
      </c>
      <c r="C38" s="16" t="str">
        <f>IFERROR(IF(B38="","",IF(VLOOKUP(B38,'Days off'!$B$2:$B$19,1,FALSE)=B38,"DayOff","WD")),"WD")</f>
        <v>WD</v>
      </c>
      <c r="D38" s="16">
        <f t="shared" si="4"/>
        <v>43516</v>
      </c>
      <c r="E38" s="16" t="str">
        <f>IFERROR(IF(D38="","",IF(VLOOKUP(D38,'Days off'!$B$2:$B$19,1,FALSE)=D38,"DayOff","WD")),"WD")</f>
        <v>WD</v>
      </c>
      <c r="F38" s="16">
        <f t="shared" si="5"/>
        <v>43544</v>
      </c>
      <c r="G38" s="16" t="str">
        <f>IFERROR(IF(F38="","",IF(VLOOKUP(F38,'Days off'!$B$2:$B$19,1,FALSE)=F38,"DayOff","WD")),"WD")</f>
        <v>WD</v>
      </c>
      <c r="H38" s="16">
        <f t="shared" si="6"/>
        <v>43575</v>
      </c>
      <c r="I38" s="16" t="str">
        <f>IFERROR(IF(H38="","",IF(VLOOKUP(H38,'Days off'!$B$2:$B$19,1,FALSE)=H38,"DayOff","WD")),"WD")</f>
        <v>WD</v>
      </c>
      <c r="J38" s="16">
        <f t="shared" si="7"/>
        <v>43605</v>
      </c>
      <c r="K38" s="16" t="str">
        <f>IFERROR(IF(J38="","",IF(VLOOKUP(J38,'Days off'!$B$2:$B$19,1,FALSE)=J38,"DayOff","WD")),"WD")</f>
        <v>WD</v>
      </c>
      <c r="L38" s="16">
        <f t="shared" si="8"/>
        <v>43636</v>
      </c>
      <c r="M38" s="16" t="str">
        <f>IFERROR(IF(L38="","",IF(VLOOKUP(L38,'Days off'!$B$2:$B$19,1,FALSE)=L38,"DayOff","WD")),"WD")</f>
        <v>WD</v>
      </c>
    </row>
    <row r="39" spans="2:13" x14ac:dyDescent="0.2">
      <c r="B39" s="16">
        <f t="shared" si="3"/>
        <v>43486</v>
      </c>
      <c r="C39" s="16" t="str">
        <f>IFERROR(IF(B39="","",IF(VLOOKUP(B39,'Days off'!$B$2:$B$19,1,FALSE)=B39,"DayOff","WD")),"WD")</f>
        <v>WD</v>
      </c>
      <c r="D39" s="16">
        <f t="shared" si="4"/>
        <v>43517</v>
      </c>
      <c r="E39" s="16" t="str">
        <f>IFERROR(IF(D39="","",IF(VLOOKUP(D39,'Days off'!$B$2:$B$19,1,FALSE)=D39,"DayOff","WD")),"WD")</f>
        <v>WD</v>
      </c>
      <c r="F39" s="16">
        <f t="shared" si="5"/>
        <v>43545</v>
      </c>
      <c r="G39" s="16" t="str">
        <f>IFERROR(IF(F39="","",IF(VLOOKUP(F39,'Days off'!$B$2:$B$19,1,FALSE)=F39,"DayOff","WD")),"WD")</f>
        <v>WD</v>
      </c>
      <c r="H39" s="16">
        <f t="shared" si="6"/>
        <v>43576</v>
      </c>
      <c r="I39" s="16" t="str">
        <f>IFERROR(IF(H39="","",IF(VLOOKUP(H39,'Days off'!$B$2:$B$19,1,FALSE)=H39,"DayOff","WD")),"WD")</f>
        <v>WD</v>
      </c>
      <c r="J39" s="16">
        <f t="shared" si="7"/>
        <v>43606</v>
      </c>
      <c r="K39" s="16" t="str">
        <f>IFERROR(IF(J39="","",IF(VLOOKUP(J39,'Days off'!$B$2:$B$19,1,FALSE)=J39,"DayOff","WD")),"WD")</f>
        <v>DayOff</v>
      </c>
      <c r="L39" s="16">
        <f t="shared" si="8"/>
        <v>43637</v>
      </c>
      <c r="M39" s="16" t="str">
        <f>IFERROR(IF(L39="","",IF(VLOOKUP(L39,'Days off'!$B$2:$B$19,1,FALSE)=L39,"DayOff","WD")),"WD")</f>
        <v>WD</v>
      </c>
    </row>
    <row r="40" spans="2:13" x14ac:dyDescent="0.2">
      <c r="B40" s="16">
        <f t="shared" si="3"/>
        <v>43487</v>
      </c>
      <c r="C40" s="16" t="str">
        <f>IFERROR(IF(B40="","",IF(VLOOKUP(B40,'Days off'!$B$2:$B$19,1,FALSE)=B40,"DayOff","WD")),"WD")</f>
        <v>WD</v>
      </c>
      <c r="D40" s="16">
        <f t="shared" si="4"/>
        <v>43518</v>
      </c>
      <c r="E40" s="16" t="str">
        <f>IFERROR(IF(D40="","",IF(VLOOKUP(D40,'Days off'!$B$2:$B$19,1,FALSE)=D40,"DayOff","WD")),"WD")</f>
        <v>WD</v>
      </c>
      <c r="F40" s="16">
        <f t="shared" si="5"/>
        <v>43546</v>
      </c>
      <c r="G40" s="16" t="str">
        <f>IFERROR(IF(F40="","",IF(VLOOKUP(F40,'Days off'!$B$2:$B$19,1,FALSE)=F40,"DayOff","WD")),"WD")</f>
        <v>WD</v>
      </c>
      <c r="H40" s="16">
        <f t="shared" si="6"/>
        <v>43577</v>
      </c>
      <c r="I40" s="16" t="str">
        <f>IFERROR(IF(H40="","",IF(VLOOKUP(H40,'Days off'!$B$2:$B$19,1,FALSE)=H40,"DayOff","WD")),"WD")</f>
        <v>WD</v>
      </c>
      <c r="J40" s="16">
        <f t="shared" si="7"/>
        <v>43607</v>
      </c>
      <c r="K40" s="16" t="str">
        <f>IFERROR(IF(J40="","",IF(VLOOKUP(J40,'Days off'!$B$2:$B$19,1,FALSE)=J40,"DayOff","WD")),"WD")</f>
        <v>WD</v>
      </c>
      <c r="L40" s="16">
        <f t="shared" si="8"/>
        <v>43638</v>
      </c>
      <c r="M40" s="16" t="str">
        <f>IFERROR(IF(L40="","",IF(VLOOKUP(L40,'Days off'!$B$2:$B$19,1,FALSE)=L40,"DayOff","WD")),"WD")</f>
        <v>WD</v>
      </c>
    </row>
    <row r="41" spans="2:13" x14ac:dyDescent="0.2">
      <c r="B41" s="16">
        <f t="shared" si="3"/>
        <v>43488</v>
      </c>
      <c r="C41" s="16" t="str">
        <f>IFERROR(IF(B41="","",IF(VLOOKUP(B41,'Days off'!$B$2:$B$19,1,FALSE)=B41,"DayOff","WD")),"WD")</f>
        <v>WD</v>
      </c>
      <c r="D41" s="16">
        <f t="shared" si="4"/>
        <v>43519</v>
      </c>
      <c r="E41" s="16" t="str">
        <f>IFERROR(IF(D41="","",IF(VLOOKUP(D41,'Days off'!$B$2:$B$19,1,FALSE)=D41,"DayOff","WD")),"WD")</f>
        <v>WD</v>
      </c>
      <c r="F41" s="16">
        <f t="shared" si="5"/>
        <v>43547</v>
      </c>
      <c r="G41" s="16" t="str">
        <f>IFERROR(IF(F41="","",IF(VLOOKUP(F41,'Days off'!$B$2:$B$19,1,FALSE)=F41,"DayOff","WD")),"WD")</f>
        <v>WD</v>
      </c>
      <c r="H41" s="16">
        <f t="shared" si="6"/>
        <v>43578</v>
      </c>
      <c r="I41" s="16" t="str">
        <f>IFERROR(IF(H41="","",IF(VLOOKUP(H41,'Days off'!$B$2:$B$19,1,FALSE)=H41,"DayOff","WD")),"WD")</f>
        <v>WD</v>
      </c>
      <c r="J41" s="16">
        <f t="shared" si="7"/>
        <v>43608</v>
      </c>
      <c r="K41" s="16" t="str">
        <f>IFERROR(IF(J41="","",IF(VLOOKUP(J41,'Days off'!$B$2:$B$19,1,FALSE)=J41,"DayOff","WD")),"WD")</f>
        <v>WD</v>
      </c>
      <c r="L41" s="16">
        <f t="shared" si="8"/>
        <v>43639</v>
      </c>
      <c r="M41" s="16" t="str">
        <f>IFERROR(IF(L41="","",IF(VLOOKUP(L41,'Days off'!$B$2:$B$19,1,FALSE)=L41,"DayOff","WD")),"WD")</f>
        <v>WD</v>
      </c>
    </row>
    <row r="42" spans="2:13" x14ac:dyDescent="0.2">
      <c r="B42" s="16">
        <f t="shared" si="3"/>
        <v>43489</v>
      </c>
      <c r="C42" s="16" t="str">
        <f>IFERROR(IF(B42="","",IF(VLOOKUP(B42,'Days off'!$B$2:$B$19,1,FALSE)=B42,"DayOff","WD")),"WD")</f>
        <v>WD</v>
      </c>
      <c r="D42" s="16">
        <f t="shared" si="4"/>
        <v>43520</v>
      </c>
      <c r="E42" s="16" t="str">
        <f>IFERROR(IF(D42="","",IF(VLOOKUP(D42,'Days off'!$B$2:$B$19,1,FALSE)=D42,"DayOff","WD")),"WD")</f>
        <v>WD</v>
      </c>
      <c r="F42" s="16">
        <f t="shared" si="5"/>
        <v>43548</v>
      </c>
      <c r="G42" s="16" t="str">
        <f>IFERROR(IF(F42="","",IF(VLOOKUP(F42,'Days off'!$B$2:$B$19,1,FALSE)=F42,"DayOff","WD")),"WD")</f>
        <v>WD</v>
      </c>
      <c r="H42" s="16">
        <f t="shared" si="6"/>
        <v>43579</v>
      </c>
      <c r="I42" s="16" t="str">
        <f>IFERROR(IF(H42="","",IF(VLOOKUP(H42,'Days off'!$B$2:$B$19,1,FALSE)=H42,"DayOff","WD")),"WD")</f>
        <v>WD</v>
      </c>
      <c r="J42" s="16">
        <f t="shared" si="7"/>
        <v>43609</v>
      </c>
      <c r="K42" s="16" t="str">
        <f>IFERROR(IF(J42="","",IF(VLOOKUP(J42,'Days off'!$B$2:$B$19,1,FALSE)=J42,"DayOff","WD")),"WD")</f>
        <v>WD</v>
      </c>
      <c r="L42" s="16">
        <f t="shared" si="8"/>
        <v>43640</v>
      </c>
      <c r="M42" s="16" t="str">
        <f>IFERROR(IF(L42="","",IF(VLOOKUP(L42,'Days off'!$B$2:$B$19,1,FALSE)=L42,"DayOff","WD")),"WD")</f>
        <v>WD</v>
      </c>
    </row>
    <row r="43" spans="2:13" x14ac:dyDescent="0.2">
      <c r="B43" s="16">
        <f t="shared" si="3"/>
        <v>43490</v>
      </c>
      <c r="C43" s="16" t="str">
        <f>IFERROR(IF(B43="","",IF(VLOOKUP(B43,'Days off'!$B$2:$B$19,1,FALSE)=B43,"DayOff","WD")),"WD")</f>
        <v>WD</v>
      </c>
      <c r="D43" s="16">
        <f t="shared" si="4"/>
        <v>43521</v>
      </c>
      <c r="E43" s="16" t="str">
        <f>IFERROR(IF(D43="","",IF(VLOOKUP(D43,'Days off'!$B$2:$B$19,1,FALSE)=D43,"DayOff","WD")),"WD")</f>
        <v>WD</v>
      </c>
      <c r="F43" s="16">
        <f t="shared" si="5"/>
        <v>43549</v>
      </c>
      <c r="G43" s="16" t="str">
        <f>IFERROR(IF(F43="","",IF(VLOOKUP(F43,'Days off'!$B$2:$B$19,1,FALSE)=F43,"DayOff","WD")),"WD")</f>
        <v>WD</v>
      </c>
      <c r="H43" s="16">
        <f t="shared" si="6"/>
        <v>43580</v>
      </c>
      <c r="I43" s="16" t="str">
        <f>IFERROR(IF(H43="","",IF(VLOOKUP(H43,'Days off'!$B$2:$B$19,1,FALSE)=H43,"DayOff","WD")),"WD")</f>
        <v>WD</v>
      </c>
      <c r="J43" s="16">
        <f t="shared" si="7"/>
        <v>43610</v>
      </c>
      <c r="K43" s="16" t="str">
        <f>IFERROR(IF(J43="","",IF(VLOOKUP(J43,'Days off'!$B$2:$B$19,1,FALSE)=J43,"DayOff","WD")),"WD")</f>
        <v>WD</v>
      </c>
      <c r="L43" s="16">
        <f t="shared" si="8"/>
        <v>43641</v>
      </c>
      <c r="M43" s="16" t="str">
        <f>IFERROR(IF(L43="","",IF(VLOOKUP(L43,'Days off'!$B$2:$B$19,1,FALSE)=L43,"DayOff","WD")),"WD")</f>
        <v>WD</v>
      </c>
    </row>
    <row r="44" spans="2:13" x14ac:dyDescent="0.2">
      <c r="B44" s="16">
        <f t="shared" si="3"/>
        <v>43491</v>
      </c>
      <c r="C44" s="16" t="str">
        <f>IFERROR(IF(B44="","",IF(VLOOKUP(B44,'Days off'!$B$2:$B$19,1,FALSE)=B44,"DayOff","WD")),"WD")</f>
        <v>WD</v>
      </c>
      <c r="D44" s="16">
        <f t="shared" si="4"/>
        <v>43522</v>
      </c>
      <c r="E44" s="16" t="str">
        <f>IFERROR(IF(D44="","",IF(VLOOKUP(D44,'Days off'!$B$2:$B$19,1,FALSE)=D44,"DayOff","WD")),"WD")</f>
        <v>WD</v>
      </c>
      <c r="F44" s="16">
        <f t="shared" si="5"/>
        <v>43550</v>
      </c>
      <c r="G44" s="16" t="str">
        <f>IFERROR(IF(F44="","",IF(VLOOKUP(F44,'Days off'!$B$2:$B$19,1,FALSE)=F44,"DayOff","WD")),"WD")</f>
        <v>WD</v>
      </c>
      <c r="H44" s="16">
        <f t="shared" si="6"/>
        <v>43581</v>
      </c>
      <c r="I44" s="16" t="str">
        <f>IFERROR(IF(H44="","",IF(VLOOKUP(H44,'Days off'!$B$2:$B$19,1,FALSE)=H44,"DayOff","WD")),"WD")</f>
        <v>WD</v>
      </c>
      <c r="J44" s="16">
        <f t="shared" si="7"/>
        <v>43611</v>
      </c>
      <c r="K44" s="16" t="str">
        <f>IFERROR(IF(J44="","",IF(VLOOKUP(J44,'Days off'!$B$2:$B$19,1,FALSE)=J44,"DayOff","WD")),"WD")</f>
        <v>WD</v>
      </c>
      <c r="L44" s="16">
        <f t="shared" si="8"/>
        <v>43642</v>
      </c>
      <c r="M44" s="16" t="str">
        <f>IFERROR(IF(L44="","",IF(VLOOKUP(L44,'Days off'!$B$2:$B$19,1,FALSE)=L44,"DayOff","WD")),"WD")</f>
        <v>WD</v>
      </c>
    </row>
    <row r="45" spans="2:13" x14ac:dyDescent="0.2">
      <c r="B45" s="16">
        <f t="shared" si="3"/>
        <v>43492</v>
      </c>
      <c r="C45" s="16" t="str">
        <f>IFERROR(IF(B45="","",IF(VLOOKUP(B45,'Days off'!$B$2:$B$19,1,FALSE)=B45,"DayOff","WD")),"WD")</f>
        <v>WD</v>
      </c>
      <c r="D45" s="16">
        <f t="shared" si="4"/>
        <v>43523</v>
      </c>
      <c r="E45" s="16" t="str">
        <f>IFERROR(IF(D45="","",IF(VLOOKUP(D45,'Days off'!$B$2:$B$19,1,FALSE)=D45,"DayOff","WD")),"WD")</f>
        <v>WD</v>
      </c>
      <c r="F45" s="16">
        <f t="shared" si="5"/>
        <v>43551</v>
      </c>
      <c r="G45" s="16" t="str">
        <f>IFERROR(IF(F45="","",IF(VLOOKUP(F45,'Days off'!$B$2:$B$19,1,FALSE)=F45,"DayOff","WD")),"WD")</f>
        <v>WD</v>
      </c>
      <c r="H45" s="16">
        <f t="shared" si="6"/>
        <v>43582</v>
      </c>
      <c r="I45" s="16" t="str">
        <f>IFERROR(IF(H45="","",IF(VLOOKUP(H45,'Days off'!$B$2:$B$19,1,FALSE)=H45,"DayOff","WD")),"WD")</f>
        <v>WD</v>
      </c>
      <c r="J45" s="16">
        <f t="shared" si="7"/>
        <v>43612</v>
      </c>
      <c r="K45" s="16" t="str">
        <f>IFERROR(IF(J45="","",IF(VLOOKUP(J45,'Days off'!$B$2:$B$19,1,FALSE)=J45,"DayOff","WD")),"WD")</f>
        <v>WD</v>
      </c>
      <c r="L45" s="16">
        <f t="shared" si="8"/>
        <v>43643</v>
      </c>
      <c r="M45" s="16" t="str">
        <f>IFERROR(IF(L45="","",IF(VLOOKUP(L45,'Days off'!$B$2:$B$19,1,FALSE)=L45,"DayOff","WD")),"WD")</f>
        <v>WD</v>
      </c>
    </row>
    <row r="46" spans="2:13" x14ac:dyDescent="0.2">
      <c r="B46" s="16">
        <f t="shared" si="3"/>
        <v>43493</v>
      </c>
      <c r="C46" s="16" t="str">
        <f>IFERROR(IF(B46="","",IF(VLOOKUP(B46,'Days off'!$B$2:$B$19,1,FALSE)=B46,"DayOff","WD")),"WD")</f>
        <v>WD</v>
      </c>
      <c r="D46" s="16">
        <f t="shared" si="4"/>
        <v>43524</v>
      </c>
      <c r="E46" s="16" t="str">
        <f>IFERROR(IF(D46="","",IF(VLOOKUP(D46,'Days off'!$B$2:$B$19,1,FALSE)=D46,"DayOff","WD")),"WD")</f>
        <v>WD</v>
      </c>
      <c r="F46" s="16">
        <f t="shared" si="5"/>
        <v>43552</v>
      </c>
      <c r="G46" s="16" t="str">
        <f>IFERROR(IF(F46="","",IF(VLOOKUP(F46,'Days off'!$B$2:$B$19,1,FALSE)=F46,"DayOff","WD")),"WD")</f>
        <v>WD</v>
      </c>
      <c r="H46" s="16">
        <f t="shared" si="6"/>
        <v>43583</v>
      </c>
      <c r="I46" s="16" t="str">
        <f>IFERROR(IF(H46="","",IF(VLOOKUP(H46,'Days off'!$B$2:$B$19,1,FALSE)=H46,"DayOff","WD")),"WD")</f>
        <v>WD</v>
      </c>
      <c r="J46" s="16">
        <f t="shared" si="7"/>
        <v>43613</v>
      </c>
      <c r="K46" s="16" t="str">
        <f>IFERROR(IF(J46="","",IF(VLOOKUP(J46,'Days off'!$B$2:$B$19,1,FALSE)=J46,"DayOff","WD")),"WD")</f>
        <v>WD</v>
      </c>
      <c r="L46" s="16">
        <f t="shared" si="8"/>
        <v>43644</v>
      </c>
      <c r="M46" s="16" t="str">
        <f>IFERROR(IF(L46="","",IF(VLOOKUP(L46,'Days off'!$B$2:$B$19,1,FALSE)=L46,"DayOff","WD")),"WD")</f>
        <v>WD</v>
      </c>
    </row>
    <row r="47" spans="2:13" x14ac:dyDescent="0.2">
      <c r="B47" s="16">
        <f t="shared" si="3"/>
        <v>43494</v>
      </c>
      <c r="C47" s="16" t="str">
        <f>IFERROR(IF(B47="","",IF(VLOOKUP(B47,'Days off'!$B$2:$B$19,1,FALSE)=B47,"DayOff","WD")),"WD")</f>
        <v>WD</v>
      </c>
      <c r="D47" s="16" t="str">
        <f t="shared" si="4"/>
        <v/>
      </c>
      <c r="E47" s="16" t="str">
        <f>IFERROR(IF(D47="","",IF(VLOOKUP(D47,'Days off'!$B$2:$B$19,1,FALSE)=D47,"DayOff","WD")),"WD")</f>
        <v/>
      </c>
      <c r="F47" s="16">
        <f t="shared" si="5"/>
        <v>43553</v>
      </c>
      <c r="G47" s="16" t="str">
        <f>IFERROR(IF(F47="","",IF(VLOOKUP(F47,'Days off'!$B$2:$B$19,1,FALSE)=F47,"DayOff","WD")),"WD")</f>
        <v>WD</v>
      </c>
      <c r="H47" s="16">
        <f t="shared" si="6"/>
        <v>43584</v>
      </c>
      <c r="I47" s="16" t="str">
        <f>IFERROR(IF(H47="","",IF(VLOOKUP(H47,'Days off'!$B$2:$B$19,1,FALSE)=H47,"DayOff","WD")),"WD")</f>
        <v>WD</v>
      </c>
      <c r="J47" s="16">
        <f t="shared" si="7"/>
        <v>43614</v>
      </c>
      <c r="K47" s="16" t="str">
        <f>IFERROR(IF(J47="","",IF(VLOOKUP(J47,'Days off'!$B$2:$B$19,1,FALSE)=J47,"DayOff","WD")),"WD")</f>
        <v>WD</v>
      </c>
      <c r="L47" s="16">
        <f t="shared" si="8"/>
        <v>43645</v>
      </c>
      <c r="M47" s="16" t="str">
        <f>IFERROR(IF(L47="","",IF(VLOOKUP(L47,'Days off'!$B$2:$B$19,1,FALSE)=L47,"DayOff","WD")),"WD")</f>
        <v>WD</v>
      </c>
    </row>
    <row r="48" spans="2:13" x14ac:dyDescent="0.2">
      <c r="B48" s="16">
        <f t="shared" si="3"/>
        <v>43495</v>
      </c>
      <c r="C48" s="16" t="str">
        <f>IFERROR(IF(B48="","",IF(VLOOKUP(B48,'Days off'!$B$2:$B$19,1,FALSE)=B48,"DayOff","WD")),"WD")</f>
        <v>WD</v>
      </c>
      <c r="D48" s="16" t="str">
        <f t="shared" si="4"/>
        <v/>
      </c>
      <c r="E48" s="16" t="str">
        <f>IFERROR(IF(D48="","",IF(VLOOKUP(D48,'Days off'!$B$2:$B$19,1,FALSE)=D48,"DayOff","WD")),"WD")</f>
        <v/>
      </c>
      <c r="F48" s="16">
        <f t="shared" si="5"/>
        <v>43554</v>
      </c>
      <c r="G48" s="16" t="str">
        <f>IFERROR(IF(F48="","",IF(VLOOKUP(F48,'Days off'!$B$2:$B$19,1,FALSE)=F48,"DayOff","WD")),"WD")</f>
        <v>WD</v>
      </c>
      <c r="H48" s="16">
        <f t="shared" si="6"/>
        <v>43585</v>
      </c>
      <c r="I48" s="16" t="str">
        <f>IFERROR(IF(H48="","",IF(VLOOKUP(H48,'Days off'!$B$2:$B$19,1,FALSE)=H48,"DayOff","WD")),"WD")</f>
        <v>WD</v>
      </c>
      <c r="J48" s="16">
        <f t="shared" si="7"/>
        <v>43615</v>
      </c>
      <c r="K48" s="16" t="str">
        <f>IFERROR(IF(J48="","",IF(VLOOKUP(J48,'Days off'!$B$2:$B$19,1,FALSE)=J48,"DayOff","WD")),"WD")</f>
        <v>WD</v>
      </c>
      <c r="L48" s="16">
        <f t="shared" si="8"/>
        <v>43646</v>
      </c>
      <c r="M48" s="16" t="str">
        <f>IFERROR(IF(L48="","",IF(VLOOKUP(L48,'Days off'!$B$2:$B$19,1,FALSE)=L48,"DayOff","WD")),"WD")</f>
        <v>WD</v>
      </c>
    </row>
    <row r="49" spans="2:13" x14ac:dyDescent="0.2">
      <c r="B49" s="16">
        <f t="shared" si="3"/>
        <v>43496</v>
      </c>
      <c r="C49" s="16" t="str">
        <f>IFERROR(IF(B49="","",IF(VLOOKUP(B49,'Days off'!$B$2:$B$19,1,FALSE)=B49,"DayOff","WD")),"WD")</f>
        <v>WD</v>
      </c>
      <c r="D49" s="16" t="str">
        <f t="shared" si="4"/>
        <v/>
      </c>
      <c r="E49" s="16" t="str">
        <f>IFERROR(IF(D49="","",IF(VLOOKUP(D49,'Days off'!$B$2:$B$19,1,FALSE)=D49,"DayOff","WD")),"WD")</f>
        <v/>
      </c>
      <c r="F49" s="16">
        <f t="shared" si="5"/>
        <v>43555</v>
      </c>
      <c r="G49" s="16" t="str">
        <f>IFERROR(IF(F49="","",IF(VLOOKUP(F49,'Days off'!$B$2:$B$19,1,FALSE)=F49,"DayOff","WD")),"WD")</f>
        <v>WD</v>
      </c>
      <c r="H49" s="16" t="str">
        <f t="shared" si="6"/>
        <v/>
      </c>
      <c r="I49" s="16" t="str">
        <f>IFERROR(IF(H49="","",IF(VLOOKUP(H49,'Days off'!$B$2:$B$19,1,FALSE)=H49,"DayOff","WD")),"WD")</f>
        <v/>
      </c>
      <c r="J49" s="16">
        <f t="shared" si="7"/>
        <v>43616</v>
      </c>
      <c r="K49" s="16" t="str">
        <f>IFERROR(IF(J49="","",IF(VLOOKUP(J49,'Days off'!$B$2:$B$19,1,FALSE)=J49,"DayOff","WD")),"WD")</f>
        <v>WD</v>
      </c>
      <c r="L49" s="16" t="str">
        <f t="shared" si="8"/>
        <v/>
      </c>
      <c r="M49" s="16" t="str">
        <f>IFERROR(IF(L49="","",IF(VLOOKUP(L49,'Days off'!$B$2:$B$19,1,FALSE)=L49,"DayOff","WD")),"WD")</f>
        <v/>
      </c>
    </row>
    <row r="53" spans="2:13" x14ac:dyDescent="0.2">
      <c r="B53" s="53">
        <f>DATE($B$14,$M8,1)</f>
        <v>43647</v>
      </c>
      <c r="C53" s="51"/>
      <c r="D53" s="53">
        <f>DATE($B$14,$M9,1)</f>
        <v>43678</v>
      </c>
      <c r="E53" s="51"/>
      <c r="F53" s="53">
        <f>DATE($B$14,$M10,1)</f>
        <v>43709</v>
      </c>
      <c r="G53" s="51"/>
      <c r="H53" s="53">
        <f>DATE($B$14,$M11,1)</f>
        <v>43739</v>
      </c>
      <c r="J53" s="53">
        <f>DATE($B$14,$M12,1)</f>
        <v>43770</v>
      </c>
      <c r="L53" s="53">
        <f>DATE($B$14,$M13,1)</f>
        <v>43800</v>
      </c>
    </row>
    <row r="54" spans="2:13" x14ac:dyDescent="0.2">
      <c r="B54" s="50">
        <f>B53</f>
        <v>43647</v>
      </c>
      <c r="C54" s="16" t="str">
        <f>IFERROR(IF(B54="","",IF(VLOOKUP(B54,'Days off'!$B$2:$B$19,1,FALSE)=B54,"DayOff","WD")),"WD")</f>
        <v>WD</v>
      </c>
      <c r="D54" s="50">
        <f>D53</f>
        <v>43678</v>
      </c>
      <c r="E54" s="16" t="str">
        <f>IFERROR(IF(D54="","",IF(VLOOKUP(D54,'Days off'!$B$2:$B$19,1,FALSE)=D54,"DayOff","WD")),"WD")</f>
        <v>WD</v>
      </c>
      <c r="F54" s="50">
        <f>F53</f>
        <v>43709</v>
      </c>
      <c r="G54" s="16" t="str">
        <f>IFERROR(IF(F54="","",IF(VLOOKUP(F54,'Days off'!$B$2:$B$19,1,FALSE)=F54,"DayOff","WD")),"WD")</f>
        <v>WD</v>
      </c>
      <c r="H54" s="50">
        <f>H53</f>
        <v>43739</v>
      </c>
      <c r="I54" s="16" t="str">
        <f>IFERROR(IF(H54="","",IF(VLOOKUP(H54,'Days off'!$B$2:$B$19,1,FALSE)=H54,"DayOff","WD")),"WD")</f>
        <v>WD</v>
      </c>
      <c r="J54" s="50">
        <f>J53</f>
        <v>43770</v>
      </c>
      <c r="K54" s="16" t="str">
        <f>IFERROR(IF(J54="","",IF(VLOOKUP(J54,'Days off'!$B$2:$B$19,1,FALSE)=J54,"DayOff","WD")),"WD")</f>
        <v>DayOff</v>
      </c>
      <c r="L54" s="50">
        <f>L53</f>
        <v>43800</v>
      </c>
      <c r="M54" s="16" t="str">
        <f>IFERROR(IF(L54="","",IF(VLOOKUP(L54,'Days off'!$B$2:$B$19,1,FALSE)=L54,"DayOff","WD")),"WD")</f>
        <v>WD</v>
      </c>
    </row>
    <row r="55" spans="2:13" x14ac:dyDescent="0.2">
      <c r="B55" s="16">
        <f t="shared" ref="B55:B84" si="9">IF(B54+1&gt;$P$8,"",B54+1)</f>
        <v>43648</v>
      </c>
      <c r="C55" s="16" t="str">
        <f>IFERROR(IF(B55="","",IF(VLOOKUP(B55,'Days off'!$B$2:$B$19,1,FALSE)=B55,"DayOff","WD")),"WD")</f>
        <v>WD</v>
      </c>
      <c r="D55" s="16">
        <f t="shared" ref="D55:D84" si="10">IF(D54+1&gt;$P$9,"",D54+1)</f>
        <v>43679</v>
      </c>
      <c r="E55" s="16" t="str">
        <f>IFERROR(IF(D55="","",IF(VLOOKUP(D55,'Days off'!$B$2:$B$19,1,FALSE)=D55,"DayOff","WD")),"WD")</f>
        <v>WD</v>
      </c>
      <c r="F55" s="16">
        <f t="shared" ref="F55:F84" si="11">IF(F54+1&gt;$P$10,"",F54+1)</f>
        <v>43710</v>
      </c>
      <c r="G55" s="16" t="str">
        <f>IFERROR(IF(F55="","",IF(VLOOKUP(F55,'Days off'!$B$2:$B$19,1,FALSE)=F55,"DayOff","WD")),"WD")</f>
        <v>WD</v>
      </c>
      <c r="H55" s="16">
        <f t="shared" ref="H55:H84" si="12">IF(H54+1&gt;$P$11,"",H54+1)</f>
        <v>43740</v>
      </c>
      <c r="I55" s="16" t="str">
        <f>IFERROR(IF(H55="","",IF(VLOOKUP(H55,'Days off'!$B$2:$B$19,1,FALSE)=H55,"DayOff","WD")),"WD")</f>
        <v>WD</v>
      </c>
      <c r="J55" s="16">
        <f t="shared" ref="J55:J84" si="13">IF(J54+1&gt;$P$12,"",J54+1)</f>
        <v>43771</v>
      </c>
      <c r="K55" s="16" t="str">
        <f>IFERROR(IF(J55="","",IF(VLOOKUP(J55,'Days off'!$B$2:$B$19,1,FALSE)=J55,"DayOff","WD")),"WD")</f>
        <v>WD</v>
      </c>
      <c r="L55" s="16">
        <f t="shared" ref="L55:L84" si="14">IF(L54+1&gt;$P$13,"",L54+1)</f>
        <v>43801</v>
      </c>
      <c r="M55" s="16" t="str">
        <f>IFERROR(IF(L55="","",IF(VLOOKUP(L55,'Days off'!$B$2:$B$19,1,FALSE)=L55,"DayOff","WD")),"WD")</f>
        <v>WD</v>
      </c>
    </row>
    <row r="56" spans="2:13" x14ac:dyDescent="0.2">
      <c r="B56" s="16">
        <f t="shared" si="9"/>
        <v>43649</v>
      </c>
      <c r="C56" s="16" t="str">
        <f>IFERROR(IF(B56="","",IF(VLOOKUP(B56,'Days off'!$B$2:$B$19,1,FALSE)=B56,"DayOff","WD")),"WD")</f>
        <v>WD</v>
      </c>
      <c r="D56" s="16">
        <f t="shared" si="10"/>
        <v>43680</v>
      </c>
      <c r="E56" s="16" t="str">
        <f>IFERROR(IF(D56="","",IF(VLOOKUP(D56,'Days off'!$B$2:$B$19,1,FALSE)=D56,"DayOff","WD")),"WD")</f>
        <v>WD</v>
      </c>
      <c r="F56" s="16">
        <f t="shared" si="11"/>
        <v>43711</v>
      </c>
      <c r="G56" s="16" t="str">
        <f>IFERROR(IF(F56="","",IF(VLOOKUP(F56,'Days off'!$B$2:$B$19,1,FALSE)=F56,"DayOff","WD")),"WD")</f>
        <v>WD</v>
      </c>
      <c r="H56" s="16">
        <f t="shared" si="12"/>
        <v>43741</v>
      </c>
      <c r="I56" s="16" t="str">
        <f>IFERROR(IF(H56="","",IF(VLOOKUP(H56,'Days off'!$B$2:$B$19,1,FALSE)=H56,"DayOff","WD")),"WD")</f>
        <v>WD</v>
      </c>
      <c r="J56" s="16">
        <f t="shared" si="13"/>
        <v>43772</v>
      </c>
      <c r="K56" s="16" t="str">
        <f>IFERROR(IF(J56="","",IF(VLOOKUP(J56,'Days off'!$B$2:$B$19,1,FALSE)=J56,"DayOff","WD")),"WD")</f>
        <v>WD</v>
      </c>
      <c r="L56" s="16">
        <f t="shared" si="14"/>
        <v>43802</v>
      </c>
      <c r="M56" s="16" t="str">
        <f>IFERROR(IF(L56="","",IF(VLOOKUP(L56,'Days off'!$B$2:$B$19,1,FALSE)=L56,"DayOff","WD")),"WD")</f>
        <v>WD</v>
      </c>
    </row>
    <row r="57" spans="2:13" x14ac:dyDescent="0.2">
      <c r="B57" s="16">
        <f t="shared" si="9"/>
        <v>43650</v>
      </c>
      <c r="C57" s="16" t="str">
        <f>IFERROR(IF(B57="","",IF(VLOOKUP(B57,'Days off'!$B$2:$B$19,1,FALSE)=B57,"DayOff","WD")),"WD")</f>
        <v>WD</v>
      </c>
      <c r="D57" s="16">
        <f t="shared" si="10"/>
        <v>43681</v>
      </c>
      <c r="E57" s="16" t="str">
        <f>IFERROR(IF(D57="","",IF(VLOOKUP(D57,'Days off'!$B$2:$B$19,1,FALSE)=D57,"DayOff","WD")),"WD")</f>
        <v>WD</v>
      </c>
      <c r="F57" s="16">
        <f t="shared" si="11"/>
        <v>43712</v>
      </c>
      <c r="G57" s="16" t="str">
        <f>IFERROR(IF(F57="","",IF(VLOOKUP(F57,'Days off'!$B$2:$B$19,1,FALSE)=F57,"DayOff","WD")),"WD")</f>
        <v>WD</v>
      </c>
      <c r="H57" s="16">
        <f t="shared" si="12"/>
        <v>43742</v>
      </c>
      <c r="I57" s="16" t="str">
        <f>IFERROR(IF(H57="","",IF(VLOOKUP(H57,'Days off'!$B$2:$B$19,1,FALSE)=H57,"DayOff","WD")),"WD")</f>
        <v>WD</v>
      </c>
      <c r="J57" s="16">
        <f t="shared" si="13"/>
        <v>43773</v>
      </c>
      <c r="K57" s="16" t="str">
        <f>IFERROR(IF(J57="","",IF(VLOOKUP(J57,'Days off'!$B$2:$B$19,1,FALSE)=J57,"DayOff","WD")),"WD")</f>
        <v>WD</v>
      </c>
      <c r="L57" s="16">
        <f t="shared" si="14"/>
        <v>43803</v>
      </c>
      <c r="M57" s="16" t="str">
        <f>IFERROR(IF(L57="","",IF(VLOOKUP(L57,'Days off'!$B$2:$B$19,1,FALSE)=L57,"DayOff","WD")),"WD")</f>
        <v>WD</v>
      </c>
    </row>
    <row r="58" spans="2:13" x14ac:dyDescent="0.2">
      <c r="B58" s="16">
        <f t="shared" si="9"/>
        <v>43651</v>
      </c>
      <c r="C58" s="16" t="str">
        <f>IFERROR(IF(B58="","",IF(VLOOKUP(B58,'Days off'!$B$2:$B$19,1,FALSE)=B58,"DayOff","WD")),"WD")</f>
        <v>WD</v>
      </c>
      <c r="D58" s="16">
        <f t="shared" si="10"/>
        <v>43682</v>
      </c>
      <c r="E58" s="16" t="str">
        <f>IFERROR(IF(D58="","",IF(VLOOKUP(D58,'Days off'!$B$2:$B$19,1,FALSE)=D58,"DayOff","WD")),"WD")</f>
        <v>WD</v>
      </c>
      <c r="F58" s="16">
        <f t="shared" si="11"/>
        <v>43713</v>
      </c>
      <c r="G58" s="16" t="str">
        <f>IFERROR(IF(F58="","",IF(VLOOKUP(F58,'Days off'!$B$2:$B$19,1,FALSE)=F58,"DayOff","WD")),"WD")</f>
        <v>WD</v>
      </c>
      <c r="H58" s="16">
        <f t="shared" si="12"/>
        <v>43743</v>
      </c>
      <c r="I58" s="16" t="str">
        <f>IFERROR(IF(H58="","",IF(VLOOKUP(H58,'Days off'!$B$2:$B$19,1,FALSE)=H58,"DayOff","WD")),"WD")</f>
        <v>WD</v>
      </c>
      <c r="J58" s="16">
        <f t="shared" si="13"/>
        <v>43774</v>
      </c>
      <c r="K58" s="16" t="str">
        <f>IFERROR(IF(J58="","",IF(VLOOKUP(J58,'Days off'!$B$2:$B$19,1,FALSE)=J58,"DayOff","WD")),"WD")</f>
        <v>WD</v>
      </c>
      <c r="L58" s="16">
        <f t="shared" si="14"/>
        <v>43804</v>
      </c>
      <c r="M58" s="16" t="str">
        <f>IFERROR(IF(L58="","",IF(VLOOKUP(L58,'Days off'!$B$2:$B$19,1,FALSE)=L58,"DayOff","WD")),"WD")</f>
        <v>WD</v>
      </c>
    </row>
    <row r="59" spans="2:13" x14ac:dyDescent="0.2">
      <c r="B59" s="16">
        <f t="shared" si="9"/>
        <v>43652</v>
      </c>
      <c r="C59" s="16" t="str">
        <f>IFERROR(IF(B59="","",IF(VLOOKUP(B59,'Days off'!$B$2:$B$19,1,FALSE)=B59,"DayOff","WD")),"WD")</f>
        <v>WD</v>
      </c>
      <c r="D59" s="16">
        <f t="shared" si="10"/>
        <v>43683</v>
      </c>
      <c r="E59" s="16" t="str">
        <f>IFERROR(IF(D59="","",IF(VLOOKUP(D59,'Days off'!$B$2:$B$19,1,FALSE)=D59,"DayOff","WD")),"WD")</f>
        <v>WD</v>
      </c>
      <c r="F59" s="16">
        <f t="shared" si="11"/>
        <v>43714</v>
      </c>
      <c r="G59" s="16" t="str">
        <f>IFERROR(IF(F59="","",IF(VLOOKUP(F59,'Days off'!$B$2:$B$19,1,FALSE)=F59,"DayOff","WD")),"WD")</f>
        <v>WD</v>
      </c>
      <c r="H59" s="16">
        <f t="shared" si="12"/>
        <v>43744</v>
      </c>
      <c r="I59" s="16" t="str">
        <f>IFERROR(IF(H59="","",IF(VLOOKUP(H59,'Days off'!$B$2:$B$19,1,FALSE)=H59,"DayOff","WD")),"WD")</f>
        <v>WD</v>
      </c>
      <c r="J59" s="16">
        <f t="shared" si="13"/>
        <v>43775</v>
      </c>
      <c r="K59" s="16" t="str">
        <f>IFERROR(IF(J59="","",IF(VLOOKUP(J59,'Days off'!$B$2:$B$19,1,FALSE)=J59,"DayOff","WD")),"WD")</f>
        <v>WD</v>
      </c>
      <c r="L59" s="16">
        <f t="shared" si="14"/>
        <v>43805</v>
      </c>
      <c r="M59" s="16" t="str">
        <f>IFERROR(IF(L59="","",IF(VLOOKUP(L59,'Days off'!$B$2:$B$19,1,FALSE)=L59,"DayOff","WD")),"WD")</f>
        <v>WD</v>
      </c>
    </row>
    <row r="60" spans="2:13" x14ac:dyDescent="0.2">
      <c r="B60" s="16">
        <f t="shared" si="9"/>
        <v>43653</v>
      </c>
      <c r="C60" s="16" t="str">
        <f>IFERROR(IF(B60="","",IF(VLOOKUP(B60,'Days off'!$B$2:$B$19,1,FALSE)=B60,"DayOff","WD")),"WD")</f>
        <v>WD</v>
      </c>
      <c r="D60" s="16">
        <f t="shared" si="10"/>
        <v>43684</v>
      </c>
      <c r="E60" s="16" t="str">
        <f>IFERROR(IF(D60="","",IF(VLOOKUP(D60,'Days off'!$B$2:$B$19,1,FALSE)=D60,"DayOff","WD")),"WD")</f>
        <v>WD</v>
      </c>
      <c r="F60" s="16">
        <f t="shared" si="11"/>
        <v>43715</v>
      </c>
      <c r="G60" s="16" t="str">
        <f>IFERROR(IF(F60="","",IF(VLOOKUP(F60,'Days off'!$B$2:$B$19,1,FALSE)=F60,"DayOff","WD")),"WD")</f>
        <v>WD</v>
      </c>
      <c r="H60" s="16">
        <f t="shared" si="12"/>
        <v>43745</v>
      </c>
      <c r="I60" s="16" t="str">
        <f>IFERROR(IF(H60="","",IF(VLOOKUP(H60,'Days off'!$B$2:$B$19,1,FALSE)=H60,"DayOff","WD")),"WD")</f>
        <v>WD</v>
      </c>
      <c r="J60" s="16">
        <f t="shared" si="13"/>
        <v>43776</v>
      </c>
      <c r="K60" s="16" t="str">
        <f>IFERROR(IF(J60="","",IF(VLOOKUP(J60,'Days off'!$B$2:$B$19,1,FALSE)=J60,"DayOff","WD")),"WD")</f>
        <v>WD</v>
      </c>
      <c r="L60" s="16">
        <f t="shared" si="14"/>
        <v>43806</v>
      </c>
      <c r="M60" s="16" t="str">
        <f>IFERROR(IF(L60="","",IF(VLOOKUP(L60,'Days off'!$B$2:$B$19,1,FALSE)=L60,"DayOff","WD")),"WD")</f>
        <v>WD</v>
      </c>
    </row>
    <row r="61" spans="2:13" x14ac:dyDescent="0.2">
      <c r="B61" s="16">
        <f t="shared" si="9"/>
        <v>43654</v>
      </c>
      <c r="C61" s="16" t="str">
        <f>IFERROR(IF(B61="","",IF(VLOOKUP(B61,'Days off'!$B$2:$B$19,1,FALSE)=B61,"DayOff","WD")),"WD")</f>
        <v>WD</v>
      </c>
      <c r="D61" s="16">
        <f t="shared" si="10"/>
        <v>43685</v>
      </c>
      <c r="E61" s="16" t="str">
        <f>IFERROR(IF(D61="","",IF(VLOOKUP(D61,'Days off'!$B$2:$B$19,1,FALSE)=D61,"DayOff","WD")),"WD")</f>
        <v>WD</v>
      </c>
      <c r="F61" s="16">
        <f t="shared" si="11"/>
        <v>43716</v>
      </c>
      <c r="G61" s="16" t="str">
        <f>IFERROR(IF(F61="","",IF(VLOOKUP(F61,'Days off'!$B$2:$B$19,1,FALSE)=F61,"DayOff","WD")),"WD")</f>
        <v>WD</v>
      </c>
      <c r="H61" s="16">
        <f t="shared" si="12"/>
        <v>43746</v>
      </c>
      <c r="I61" s="16" t="str">
        <f>IFERROR(IF(H61="","",IF(VLOOKUP(H61,'Days off'!$B$2:$B$19,1,FALSE)=H61,"DayOff","WD")),"WD")</f>
        <v>WD</v>
      </c>
      <c r="J61" s="16">
        <f t="shared" si="13"/>
        <v>43777</v>
      </c>
      <c r="K61" s="16" t="str">
        <f>IFERROR(IF(J61="","",IF(VLOOKUP(J61,'Days off'!$B$2:$B$19,1,FALSE)=J61,"DayOff","WD")),"WD")</f>
        <v>WD</v>
      </c>
      <c r="L61" s="16">
        <f t="shared" si="14"/>
        <v>43807</v>
      </c>
      <c r="M61" s="16" t="str">
        <f>IFERROR(IF(L61="","",IF(VLOOKUP(L61,'Days off'!$B$2:$B$19,1,FALSE)=L61,"DayOff","WD")),"WD")</f>
        <v>WD</v>
      </c>
    </row>
    <row r="62" spans="2:13" x14ac:dyDescent="0.2">
      <c r="B62" s="16">
        <f t="shared" si="9"/>
        <v>43655</v>
      </c>
      <c r="C62" s="16" t="str">
        <f>IFERROR(IF(B62="","",IF(VLOOKUP(B62,'Days off'!$B$2:$B$19,1,FALSE)=B62,"DayOff","WD")),"WD")</f>
        <v>WD</v>
      </c>
      <c r="D62" s="16">
        <f t="shared" si="10"/>
        <v>43686</v>
      </c>
      <c r="E62" s="16" t="str">
        <f>IFERROR(IF(D62="","",IF(VLOOKUP(D62,'Days off'!$B$2:$B$19,1,FALSE)=D62,"DayOff","WD")),"WD")</f>
        <v>WD</v>
      </c>
      <c r="F62" s="16">
        <f t="shared" si="11"/>
        <v>43717</v>
      </c>
      <c r="G62" s="16" t="str">
        <f>IFERROR(IF(F62="","",IF(VLOOKUP(F62,'Days off'!$B$2:$B$19,1,FALSE)=F62,"DayOff","WD")),"WD")</f>
        <v>WD</v>
      </c>
      <c r="H62" s="16">
        <f t="shared" si="12"/>
        <v>43747</v>
      </c>
      <c r="I62" s="16" t="str">
        <f>IFERROR(IF(H62="","",IF(VLOOKUP(H62,'Days off'!$B$2:$B$19,1,FALSE)=H62,"DayOff","WD")),"WD")</f>
        <v>WD</v>
      </c>
      <c r="J62" s="16">
        <f t="shared" si="13"/>
        <v>43778</v>
      </c>
      <c r="K62" s="16" t="str">
        <f>IFERROR(IF(J62="","",IF(VLOOKUP(J62,'Days off'!$B$2:$B$19,1,FALSE)=J62,"DayOff","WD")),"WD")</f>
        <v>WD</v>
      </c>
      <c r="L62" s="16">
        <f t="shared" si="14"/>
        <v>43808</v>
      </c>
      <c r="M62" s="16" t="str">
        <f>IFERROR(IF(L62="","",IF(VLOOKUP(L62,'Days off'!$B$2:$B$19,1,FALSE)=L62,"DayOff","WD")),"WD")</f>
        <v>WD</v>
      </c>
    </row>
    <row r="63" spans="2:13" x14ac:dyDescent="0.2">
      <c r="B63" s="16">
        <f t="shared" si="9"/>
        <v>43656</v>
      </c>
      <c r="C63" s="16" t="str">
        <f>IFERROR(IF(B63="","",IF(VLOOKUP(B63,'Days off'!$B$2:$B$19,1,FALSE)=B63,"DayOff","WD")),"WD")</f>
        <v>WD</v>
      </c>
      <c r="D63" s="16">
        <f t="shared" si="10"/>
        <v>43687</v>
      </c>
      <c r="E63" s="16" t="str">
        <f>IFERROR(IF(D63="","",IF(VLOOKUP(D63,'Days off'!$B$2:$B$19,1,FALSE)=D63,"DayOff","WD")),"WD")</f>
        <v>WD</v>
      </c>
      <c r="F63" s="16">
        <f t="shared" si="11"/>
        <v>43718</v>
      </c>
      <c r="G63" s="16" t="str">
        <f>IFERROR(IF(F63="","",IF(VLOOKUP(F63,'Days off'!$B$2:$B$19,1,FALSE)=F63,"DayOff","WD")),"WD")</f>
        <v>WD</v>
      </c>
      <c r="H63" s="16">
        <f t="shared" si="12"/>
        <v>43748</v>
      </c>
      <c r="I63" s="16" t="str">
        <f>IFERROR(IF(H63="","",IF(VLOOKUP(H63,'Days off'!$B$2:$B$19,1,FALSE)=H63,"DayOff","WD")),"WD")</f>
        <v>WD</v>
      </c>
      <c r="J63" s="16">
        <f t="shared" si="13"/>
        <v>43779</v>
      </c>
      <c r="K63" s="16" t="str">
        <f>IFERROR(IF(J63="","",IF(VLOOKUP(J63,'Days off'!$B$2:$B$19,1,FALSE)=J63,"DayOff","WD")),"WD")</f>
        <v>WD</v>
      </c>
      <c r="L63" s="16">
        <f t="shared" si="14"/>
        <v>43809</v>
      </c>
      <c r="M63" s="16" t="str">
        <f>IFERROR(IF(L63="","",IF(VLOOKUP(L63,'Days off'!$B$2:$B$19,1,FALSE)=L63,"DayOff","WD")),"WD")</f>
        <v>WD</v>
      </c>
    </row>
    <row r="64" spans="2:13" x14ac:dyDescent="0.2">
      <c r="B64" s="16">
        <f t="shared" si="9"/>
        <v>43657</v>
      </c>
      <c r="C64" s="16" t="str">
        <f>IFERROR(IF(B64="","",IF(VLOOKUP(B64,'Days off'!$B$2:$B$19,1,FALSE)=B64,"DayOff","WD")),"WD")</f>
        <v>WD</v>
      </c>
      <c r="D64" s="16">
        <f t="shared" si="10"/>
        <v>43688</v>
      </c>
      <c r="E64" s="16" t="str">
        <f>IFERROR(IF(D64="","",IF(VLOOKUP(D64,'Days off'!$B$2:$B$19,1,FALSE)=D64,"DayOff","WD")),"WD")</f>
        <v>WD</v>
      </c>
      <c r="F64" s="16">
        <f t="shared" si="11"/>
        <v>43719</v>
      </c>
      <c r="G64" s="16" t="str">
        <f>IFERROR(IF(F64="","",IF(VLOOKUP(F64,'Days off'!$B$2:$B$19,1,FALSE)=F64,"DayOff","WD")),"WD")</f>
        <v>WD</v>
      </c>
      <c r="H64" s="16">
        <f t="shared" si="12"/>
        <v>43749</v>
      </c>
      <c r="I64" s="16" t="str">
        <f>IFERROR(IF(H64="","",IF(VLOOKUP(H64,'Days off'!$B$2:$B$19,1,FALSE)=H64,"DayOff","WD")),"WD")</f>
        <v>WD</v>
      </c>
      <c r="J64" s="16">
        <f t="shared" si="13"/>
        <v>43780</v>
      </c>
      <c r="K64" s="16" t="str">
        <f>IFERROR(IF(J64="","",IF(VLOOKUP(J64,'Days off'!$B$2:$B$19,1,FALSE)=J64,"DayOff","WD")),"WD")</f>
        <v>DayOff</v>
      </c>
      <c r="L64" s="16">
        <f t="shared" si="14"/>
        <v>43810</v>
      </c>
      <c r="M64" s="16" t="str">
        <f>IFERROR(IF(L64="","",IF(VLOOKUP(L64,'Days off'!$B$2:$B$19,1,FALSE)=L64,"DayOff","WD")),"WD")</f>
        <v>WD</v>
      </c>
    </row>
    <row r="65" spans="2:13" x14ac:dyDescent="0.2">
      <c r="B65" s="16">
        <f t="shared" si="9"/>
        <v>43658</v>
      </c>
      <c r="C65" s="16" t="str">
        <f>IFERROR(IF(B65="","",IF(VLOOKUP(B65,'Days off'!$B$2:$B$19,1,FALSE)=B65,"DayOff","WD")),"WD")</f>
        <v>WD</v>
      </c>
      <c r="D65" s="16">
        <f t="shared" si="10"/>
        <v>43689</v>
      </c>
      <c r="E65" s="16" t="str">
        <f>IFERROR(IF(D65="","",IF(VLOOKUP(D65,'Days off'!$B$2:$B$19,1,FALSE)=D65,"DayOff","WD")),"WD")</f>
        <v>WD</v>
      </c>
      <c r="F65" s="16">
        <f t="shared" si="11"/>
        <v>43720</v>
      </c>
      <c r="G65" s="16" t="str">
        <f>IFERROR(IF(F65="","",IF(VLOOKUP(F65,'Days off'!$B$2:$B$19,1,FALSE)=F65,"DayOff","WD")),"WD")</f>
        <v>WD</v>
      </c>
      <c r="H65" s="16">
        <f t="shared" si="12"/>
        <v>43750</v>
      </c>
      <c r="I65" s="16" t="str">
        <f>IFERROR(IF(H65="","",IF(VLOOKUP(H65,'Days off'!$B$2:$B$19,1,FALSE)=H65,"DayOff","WD")),"WD")</f>
        <v>WD</v>
      </c>
      <c r="J65" s="16">
        <f t="shared" si="13"/>
        <v>43781</v>
      </c>
      <c r="K65" s="16" t="str">
        <f>IFERROR(IF(J65="","",IF(VLOOKUP(J65,'Days off'!$B$2:$B$19,1,FALSE)=J65,"DayOff","WD")),"WD")</f>
        <v>WD</v>
      </c>
      <c r="L65" s="16">
        <f t="shared" si="14"/>
        <v>43811</v>
      </c>
      <c r="M65" s="16" t="str">
        <f>IFERROR(IF(L65="","",IF(VLOOKUP(L65,'Days off'!$B$2:$B$19,1,FALSE)=L65,"DayOff","WD")),"WD")</f>
        <v>WD</v>
      </c>
    </row>
    <row r="66" spans="2:13" x14ac:dyDescent="0.2">
      <c r="B66" s="16">
        <f t="shared" si="9"/>
        <v>43659</v>
      </c>
      <c r="C66" s="16" t="str">
        <f>IFERROR(IF(B66="","",IF(VLOOKUP(B66,'Days off'!$B$2:$B$19,1,FALSE)=B66,"DayOff","WD")),"WD")</f>
        <v>WD</v>
      </c>
      <c r="D66" s="16">
        <f t="shared" si="10"/>
        <v>43690</v>
      </c>
      <c r="E66" s="16" t="str">
        <f>IFERROR(IF(D66="","",IF(VLOOKUP(D66,'Days off'!$B$2:$B$19,1,FALSE)=D66,"DayOff","WD")),"WD")</f>
        <v>WD</v>
      </c>
      <c r="F66" s="16">
        <f t="shared" si="11"/>
        <v>43721</v>
      </c>
      <c r="G66" s="16" t="str">
        <f>IFERROR(IF(F66="","",IF(VLOOKUP(F66,'Days off'!$B$2:$B$19,1,FALSE)=F66,"DayOff","WD")),"WD")</f>
        <v>WD</v>
      </c>
      <c r="H66" s="16">
        <f t="shared" si="12"/>
        <v>43751</v>
      </c>
      <c r="I66" s="16" t="str">
        <f>IFERROR(IF(H66="","",IF(VLOOKUP(H66,'Days off'!$B$2:$B$19,1,FALSE)=H66,"DayOff","WD")),"WD")</f>
        <v>WD</v>
      </c>
      <c r="J66" s="16">
        <f t="shared" si="13"/>
        <v>43782</v>
      </c>
      <c r="K66" s="16" t="str">
        <f>IFERROR(IF(J66="","",IF(VLOOKUP(J66,'Days off'!$B$2:$B$19,1,FALSE)=J66,"DayOff","WD")),"WD")</f>
        <v>WD</v>
      </c>
      <c r="L66" s="16">
        <f t="shared" si="14"/>
        <v>43812</v>
      </c>
      <c r="M66" s="16" t="str">
        <f>IFERROR(IF(L66="","",IF(VLOOKUP(L66,'Days off'!$B$2:$B$19,1,FALSE)=L66,"DayOff","WD")),"WD")</f>
        <v>WD</v>
      </c>
    </row>
    <row r="67" spans="2:13" x14ac:dyDescent="0.2">
      <c r="B67" s="16">
        <f t="shared" si="9"/>
        <v>43660</v>
      </c>
      <c r="C67" s="16" t="str">
        <f>IFERROR(IF(B67="","",IF(VLOOKUP(B67,'Days off'!$B$2:$B$19,1,FALSE)=B67,"DayOff","WD")),"WD")</f>
        <v>DayOff</v>
      </c>
      <c r="D67" s="16">
        <f t="shared" si="10"/>
        <v>43691</v>
      </c>
      <c r="E67" s="16" t="str">
        <f>IFERROR(IF(D67="","",IF(VLOOKUP(D67,'Days off'!$B$2:$B$19,1,FALSE)=D67,"DayOff","WD")),"WD")</f>
        <v>WD</v>
      </c>
      <c r="F67" s="16">
        <f t="shared" si="11"/>
        <v>43722</v>
      </c>
      <c r="G67" s="16" t="str">
        <f>IFERROR(IF(F67="","",IF(VLOOKUP(F67,'Days off'!$B$2:$B$19,1,FALSE)=F67,"DayOff","WD")),"WD")</f>
        <v>WD</v>
      </c>
      <c r="H67" s="16">
        <f t="shared" si="12"/>
        <v>43752</v>
      </c>
      <c r="I67" s="16" t="str">
        <f>IFERROR(IF(H67="","",IF(VLOOKUP(H67,'Days off'!$B$2:$B$19,1,FALSE)=H67,"DayOff","WD")),"WD")</f>
        <v>WD</v>
      </c>
      <c r="J67" s="16">
        <f t="shared" si="13"/>
        <v>43783</v>
      </c>
      <c r="K67" s="16" t="str">
        <f>IFERROR(IF(J67="","",IF(VLOOKUP(J67,'Days off'!$B$2:$B$19,1,FALSE)=J67,"DayOff","WD")),"WD")</f>
        <v>WD</v>
      </c>
      <c r="L67" s="16">
        <f t="shared" si="14"/>
        <v>43813</v>
      </c>
      <c r="M67" s="16" t="str">
        <f>IFERROR(IF(L67="","",IF(VLOOKUP(L67,'Days off'!$B$2:$B$19,1,FALSE)=L67,"DayOff","WD")),"WD")</f>
        <v>WD</v>
      </c>
    </row>
    <row r="68" spans="2:13" x14ac:dyDescent="0.2">
      <c r="B68" s="16">
        <f t="shared" si="9"/>
        <v>43661</v>
      </c>
      <c r="C68" s="16" t="str">
        <f>IFERROR(IF(B68="","",IF(VLOOKUP(B68,'Days off'!$B$2:$B$19,1,FALSE)=B68,"DayOff","WD")),"WD")</f>
        <v>WD</v>
      </c>
      <c r="D68" s="16">
        <f t="shared" si="10"/>
        <v>43692</v>
      </c>
      <c r="E68" s="16" t="str">
        <f>IFERROR(IF(D68="","",IF(VLOOKUP(D68,'Days off'!$B$2:$B$19,1,FALSE)=D68,"DayOff","WD")),"WD")</f>
        <v>DayOff</v>
      </c>
      <c r="F68" s="16">
        <f t="shared" si="11"/>
        <v>43723</v>
      </c>
      <c r="G68" s="16" t="str">
        <f>IFERROR(IF(F68="","",IF(VLOOKUP(F68,'Days off'!$B$2:$B$19,1,FALSE)=F68,"DayOff","WD")),"WD")</f>
        <v>WD</v>
      </c>
      <c r="H68" s="16">
        <f t="shared" si="12"/>
        <v>43753</v>
      </c>
      <c r="I68" s="16" t="str">
        <f>IFERROR(IF(H68="","",IF(VLOOKUP(H68,'Days off'!$B$2:$B$19,1,FALSE)=H68,"DayOff","WD")),"WD")</f>
        <v>WD</v>
      </c>
      <c r="J68" s="16">
        <f t="shared" si="13"/>
        <v>43784</v>
      </c>
      <c r="K68" s="16" t="str">
        <f>IFERROR(IF(J68="","",IF(VLOOKUP(J68,'Days off'!$B$2:$B$19,1,FALSE)=J68,"DayOff","WD")),"WD")</f>
        <v>WD</v>
      </c>
      <c r="L68" s="16">
        <f t="shared" si="14"/>
        <v>43814</v>
      </c>
      <c r="M68" s="16" t="str">
        <f>IFERROR(IF(L68="","",IF(VLOOKUP(L68,'Days off'!$B$2:$B$19,1,FALSE)=L68,"DayOff","WD")),"WD")</f>
        <v>WD</v>
      </c>
    </row>
    <row r="69" spans="2:13" x14ac:dyDescent="0.2">
      <c r="B69" s="16">
        <f t="shared" si="9"/>
        <v>43662</v>
      </c>
      <c r="C69" s="16" t="str">
        <f>IFERROR(IF(B69="","",IF(VLOOKUP(B69,'Days off'!$B$2:$B$19,1,FALSE)=B69,"DayOff","WD")),"WD")</f>
        <v>WD</v>
      </c>
      <c r="D69" s="16">
        <f t="shared" si="10"/>
        <v>43693</v>
      </c>
      <c r="E69" s="16" t="str">
        <f>IFERROR(IF(D69="","",IF(VLOOKUP(D69,'Days off'!$B$2:$B$19,1,FALSE)=D69,"DayOff","WD")),"WD")</f>
        <v>WD</v>
      </c>
      <c r="F69" s="16">
        <f t="shared" si="11"/>
        <v>43724</v>
      </c>
      <c r="G69" s="16" t="str">
        <f>IFERROR(IF(F69="","",IF(VLOOKUP(F69,'Days off'!$B$2:$B$19,1,FALSE)=F69,"DayOff","WD")),"WD")</f>
        <v>WD</v>
      </c>
      <c r="H69" s="16">
        <f t="shared" si="12"/>
        <v>43754</v>
      </c>
      <c r="I69" s="16" t="str">
        <f>IFERROR(IF(H69="","",IF(VLOOKUP(H69,'Days off'!$B$2:$B$19,1,FALSE)=H69,"DayOff","WD")),"WD")</f>
        <v>WD</v>
      </c>
      <c r="J69" s="16">
        <f t="shared" si="13"/>
        <v>43785</v>
      </c>
      <c r="K69" s="16" t="str">
        <f>IFERROR(IF(J69="","",IF(VLOOKUP(J69,'Days off'!$B$2:$B$19,1,FALSE)=J69,"DayOff","WD")),"WD")</f>
        <v>WD</v>
      </c>
      <c r="L69" s="16">
        <f t="shared" si="14"/>
        <v>43815</v>
      </c>
      <c r="M69" s="16" t="str">
        <f>IFERROR(IF(L69="","",IF(VLOOKUP(L69,'Days off'!$B$2:$B$19,1,FALSE)=L69,"DayOff","WD")),"WD")</f>
        <v>WD</v>
      </c>
    </row>
    <row r="70" spans="2:13" x14ac:dyDescent="0.2">
      <c r="B70" s="16">
        <f t="shared" si="9"/>
        <v>43663</v>
      </c>
      <c r="C70" s="16" t="str">
        <f>IFERROR(IF(B70="","",IF(VLOOKUP(B70,'Days off'!$B$2:$B$19,1,FALSE)=B70,"DayOff","WD")),"WD")</f>
        <v>WD</v>
      </c>
      <c r="D70" s="16">
        <f t="shared" si="10"/>
        <v>43694</v>
      </c>
      <c r="E70" s="16" t="str">
        <f>IFERROR(IF(D70="","",IF(VLOOKUP(D70,'Days off'!$B$2:$B$19,1,FALSE)=D70,"DayOff","WD")),"WD")</f>
        <v>WD</v>
      </c>
      <c r="F70" s="16">
        <f t="shared" si="11"/>
        <v>43725</v>
      </c>
      <c r="G70" s="16" t="str">
        <f>IFERROR(IF(F70="","",IF(VLOOKUP(F70,'Days off'!$B$2:$B$19,1,FALSE)=F70,"DayOff","WD")),"WD")</f>
        <v>WD</v>
      </c>
      <c r="H70" s="16">
        <f t="shared" si="12"/>
        <v>43755</v>
      </c>
      <c r="I70" s="16" t="str">
        <f>IFERROR(IF(H70="","",IF(VLOOKUP(H70,'Days off'!$B$2:$B$19,1,FALSE)=H70,"DayOff","WD")),"WD")</f>
        <v>WD</v>
      </c>
      <c r="J70" s="16">
        <f t="shared" si="13"/>
        <v>43786</v>
      </c>
      <c r="K70" s="16" t="str">
        <f>IFERROR(IF(J70="","",IF(VLOOKUP(J70,'Days off'!$B$2:$B$19,1,FALSE)=J70,"DayOff","WD")),"WD")</f>
        <v>WD</v>
      </c>
      <c r="L70" s="16">
        <f t="shared" si="14"/>
        <v>43816</v>
      </c>
      <c r="M70" s="16" t="str">
        <f>IFERROR(IF(L70="","",IF(VLOOKUP(L70,'Days off'!$B$2:$B$19,1,FALSE)=L70,"DayOff","WD")),"WD")</f>
        <v>WD</v>
      </c>
    </row>
    <row r="71" spans="2:13" x14ac:dyDescent="0.2">
      <c r="B71" s="16">
        <f t="shared" si="9"/>
        <v>43664</v>
      </c>
      <c r="C71" s="16" t="str">
        <f>IFERROR(IF(B71="","",IF(VLOOKUP(B71,'Days off'!$B$2:$B$19,1,FALSE)=B71,"DayOff","WD")),"WD")</f>
        <v>WD</v>
      </c>
      <c r="D71" s="16">
        <f t="shared" si="10"/>
        <v>43695</v>
      </c>
      <c r="E71" s="16" t="str">
        <f>IFERROR(IF(D71="","",IF(VLOOKUP(D71,'Days off'!$B$2:$B$19,1,FALSE)=D71,"DayOff","WD")),"WD")</f>
        <v>WD</v>
      </c>
      <c r="F71" s="16">
        <f t="shared" si="11"/>
        <v>43726</v>
      </c>
      <c r="G71" s="16" t="str">
        <f>IFERROR(IF(F71="","",IF(VLOOKUP(F71,'Days off'!$B$2:$B$19,1,FALSE)=F71,"DayOff","WD")),"WD")</f>
        <v>WD</v>
      </c>
      <c r="H71" s="16">
        <f t="shared" si="12"/>
        <v>43756</v>
      </c>
      <c r="I71" s="16" t="str">
        <f>IFERROR(IF(H71="","",IF(VLOOKUP(H71,'Days off'!$B$2:$B$19,1,FALSE)=H71,"DayOff","WD")),"WD")</f>
        <v>WD</v>
      </c>
      <c r="J71" s="16">
        <f t="shared" si="13"/>
        <v>43787</v>
      </c>
      <c r="K71" s="16" t="str">
        <f>IFERROR(IF(J71="","",IF(VLOOKUP(J71,'Days off'!$B$2:$B$19,1,FALSE)=J71,"DayOff","WD")),"WD")</f>
        <v>WD</v>
      </c>
      <c r="L71" s="16">
        <f t="shared" si="14"/>
        <v>43817</v>
      </c>
      <c r="M71" s="16" t="str">
        <f>IFERROR(IF(L71="","",IF(VLOOKUP(L71,'Days off'!$B$2:$B$19,1,FALSE)=L71,"DayOff","WD")),"WD")</f>
        <v>WD</v>
      </c>
    </row>
    <row r="72" spans="2:13" x14ac:dyDescent="0.2">
      <c r="B72" s="16">
        <f t="shared" si="9"/>
        <v>43665</v>
      </c>
      <c r="C72" s="16" t="str">
        <f>IFERROR(IF(B72="","",IF(VLOOKUP(B72,'Days off'!$B$2:$B$19,1,FALSE)=B72,"DayOff","WD")),"WD")</f>
        <v>WD</v>
      </c>
      <c r="D72" s="16">
        <f t="shared" si="10"/>
        <v>43696</v>
      </c>
      <c r="E72" s="16" t="str">
        <f>IFERROR(IF(D72="","",IF(VLOOKUP(D72,'Days off'!$B$2:$B$19,1,FALSE)=D72,"DayOff","WD")),"WD")</f>
        <v>WD</v>
      </c>
      <c r="F72" s="16">
        <f t="shared" si="11"/>
        <v>43727</v>
      </c>
      <c r="G72" s="16" t="str">
        <f>IFERROR(IF(F72="","",IF(VLOOKUP(F72,'Days off'!$B$2:$B$19,1,FALSE)=F72,"DayOff","WD")),"WD")</f>
        <v>WD</v>
      </c>
      <c r="H72" s="16">
        <f t="shared" si="12"/>
        <v>43757</v>
      </c>
      <c r="I72" s="16" t="str">
        <f>IFERROR(IF(H72="","",IF(VLOOKUP(H72,'Days off'!$B$2:$B$19,1,FALSE)=H72,"DayOff","WD")),"WD")</f>
        <v>WD</v>
      </c>
      <c r="J72" s="16">
        <f t="shared" si="13"/>
        <v>43788</v>
      </c>
      <c r="K72" s="16" t="str">
        <f>IFERROR(IF(J72="","",IF(VLOOKUP(J72,'Days off'!$B$2:$B$19,1,FALSE)=J72,"DayOff","WD")),"WD")</f>
        <v>WD</v>
      </c>
      <c r="L72" s="16">
        <f t="shared" si="14"/>
        <v>43818</v>
      </c>
      <c r="M72" s="16" t="str">
        <f>IFERROR(IF(L72="","",IF(VLOOKUP(L72,'Days off'!$B$2:$B$19,1,FALSE)=L72,"DayOff","WD")),"WD")</f>
        <v>WD</v>
      </c>
    </row>
    <row r="73" spans="2:13" x14ac:dyDescent="0.2">
      <c r="B73" s="16">
        <f t="shared" si="9"/>
        <v>43666</v>
      </c>
      <c r="C73" s="16" t="str">
        <f>IFERROR(IF(B73="","",IF(VLOOKUP(B73,'Days off'!$B$2:$B$19,1,FALSE)=B73,"DayOff","WD")),"WD")</f>
        <v>WD</v>
      </c>
      <c r="D73" s="16">
        <f t="shared" si="10"/>
        <v>43697</v>
      </c>
      <c r="E73" s="16" t="str">
        <f>IFERROR(IF(D73="","",IF(VLOOKUP(D73,'Days off'!$B$2:$B$19,1,FALSE)=D73,"DayOff","WD")),"WD")</f>
        <v>WD</v>
      </c>
      <c r="F73" s="16">
        <f t="shared" si="11"/>
        <v>43728</v>
      </c>
      <c r="G73" s="16" t="str">
        <f>IFERROR(IF(F73="","",IF(VLOOKUP(F73,'Days off'!$B$2:$B$19,1,FALSE)=F73,"DayOff","WD")),"WD")</f>
        <v>WD</v>
      </c>
      <c r="H73" s="16">
        <f t="shared" si="12"/>
        <v>43758</v>
      </c>
      <c r="I73" s="16" t="str">
        <f>IFERROR(IF(H73="","",IF(VLOOKUP(H73,'Days off'!$B$2:$B$19,1,FALSE)=H73,"DayOff","WD")),"WD")</f>
        <v>WD</v>
      </c>
      <c r="J73" s="16">
        <f t="shared" si="13"/>
        <v>43789</v>
      </c>
      <c r="K73" s="16" t="str">
        <f>IFERROR(IF(J73="","",IF(VLOOKUP(J73,'Days off'!$B$2:$B$19,1,FALSE)=J73,"DayOff","WD")),"WD")</f>
        <v>WD</v>
      </c>
      <c r="L73" s="16">
        <f t="shared" si="14"/>
        <v>43819</v>
      </c>
      <c r="M73" s="16" t="str">
        <f>IFERROR(IF(L73="","",IF(VLOOKUP(L73,'Days off'!$B$2:$B$19,1,FALSE)=L73,"DayOff","WD")),"WD")</f>
        <v>WD</v>
      </c>
    </row>
    <row r="74" spans="2:13" x14ac:dyDescent="0.2">
      <c r="B74" s="16">
        <f t="shared" si="9"/>
        <v>43667</v>
      </c>
      <c r="C74" s="16" t="str">
        <f>IFERROR(IF(B74="","",IF(VLOOKUP(B74,'Days off'!$B$2:$B$19,1,FALSE)=B74,"DayOff","WD")),"WD")</f>
        <v>WD</v>
      </c>
      <c r="D74" s="16">
        <f t="shared" si="10"/>
        <v>43698</v>
      </c>
      <c r="E74" s="16" t="str">
        <f>IFERROR(IF(D74="","",IF(VLOOKUP(D74,'Days off'!$B$2:$B$19,1,FALSE)=D74,"DayOff","WD")),"WD")</f>
        <v>WD</v>
      </c>
      <c r="F74" s="16">
        <f t="shared" si="11"/>
        <v>43729</v>
      </c>
      <c r="G74" s="16" t="str">
        <f>IFERROR(IF(F74="","",IF(VLOOKUP(F74,'Days off'!$B$2:$B$19,1,FALSE)=F74,"DayOff","WD")),"WD")</f>
        <v>WD</v>
      </c>
      <c r="H74" s="16">
        <f t="shared" si="12"/>
        <v>43759</v>
      </c>
      <c r="I74" s="16" t="str">
        <f>IFERROR(IF(H74="","",IF(VLOOKUP(H74,'Days off'!$B$2:$B$19,1,FALSE)=H74,"DayOff","WD")),"WD")</f>
        <v>WD</v>
      </c>
      <c r="J74" s="16">
        <f t="shared" si="13"/>
        <v>43790</v>
      </c>
      <c r="K74" s="16" t="str">
        <f>IFERROR(IF(J74="","",IF(VLOOKUP(J74,'Days off'!$B$2:$B$19,1,FALSE)=J74,"DayOff","WD")),"WD")</f>
        <v>WD</v>
      </c>
      <c r="L74" s="16">
        <f t="shared" si="14"/>
        <v>43820</v>
      </c>
      <c r="M74" s="16" t="str">
        <f>IFERROR(IF(L74="","",IF(VLOOKUP(L74,'Days off'!$B$2:$B$19,1,FALSE)=L74,"DayOff","WD")),"WD")</f>
        <v>WD</v>
      </c>
    </row>
    <row r="75" spans="2:13" x14ac:dyDescent="0.2">
      <c r="B75" s="16">
        <f t="shared" si="9"/>
        <v>43668</v>
      </c>
      <c r="C75" s="16" t="str">
        <f>IFERROR(IF(B75="","",IF(VLOOKUP(B75,'Days off'!$B$2:$B$19,1,FALSE)=B75,"DayOff","WD")),"WD")</f>
        <v>WD</v>
      </c>
      <c r="D75" s="16">
        <f t="shared" si="10"/>
        <v>43699</v>
      </c>
      <c r="E75" s="16" t="str">
        <f>IFERROR(IF(D75="","",IF(VLOOKUP(D75,'Days off'!$B$2:$B$19,1,FALSE)=D75,"DayOff","WD")),"WD")</f>
        <v>WD</v>
      </c>
      <c r="F75" s="16">
        <f t="shared" si="11"/>
        <v>43730</v>
      </c>
      <c r="G75" s="16" t="str">
        <f>IFERROR(IF(F75="","",IF(VLOOKUP(F75,'Days off'!$B$2:$B$19,1,FALSE)=F75,"DayOff","WD")),"WD")</f>
        <v>WD</v>
      </c>
      <c r="H75" s="16">
        <f t="shared" si="12"/>
        <v>43760</v>
      </c>
      <c r="I75" s="16" t="str">
        <f>IFERROR(IF(H75="","",IF(VLOOKUP(H75,'Days off'!$B$2:$B$19,1,FALSE)=H75,"DayOff","WD")),"WD")</f>
        <v>WD</v>
      </c>
      <c r="J75" s="16">
        <f t="shared" si="13"/>
        <v>43791</v>
      </c>
      <c r="K75" s="16" t="str">
        <f>IFERROR(IF(J75="","",IF(VLOOKUP(J75,'Days off'!$B$2:$B$19,1,FALSE)=J75,"DayOff","WD")),"WD")</f>
        <v>WD</v>
      </c>
      <c r="L75" s="16">
        <f t="shared" si="14"/>
        <v>43821</v>
      </c>
      <c r="M75" s="16" t="str">
        <f>IFERROR(IF(L75="","",IF(VLOOKUP(L75,'Days off'!$B$2:$B$19,1,FALSE)=L75,"DayOff","WD")),"WD")</f>
        <v>WD</v>
      </c>
    </row>
    <row r="76" spans="2:13" x14ac:dyDescent="0.2">
      <c r="B76" s="16">
        <f t="shared" si="9"/>
        <v>43669</v>
      </c>
      <c r="C76" s="16" t="str">
        <f>IFERROR(IF(B76="","",IF(VLOOKUP(B76,'Days off'!$B$2:$B$19,1,FALSE)=B76,"DayOff","WD")),"WD")</f>
        <v>WD</v>
      </c>
      <c r="D76" s="16">
        <f t="shared" si="10"/>
        <v>43700</v>
      </c>
      <c r="E76" s="16" t="str">
        <f>IFERROR(IF(D76="","",IF(VLOOKUP(D76,'Days off'!$B$2:$B$19,1,FALSE)=D76,"DayOff","WD")),"WD")</f>
        <v>WD</v>
      </c>
      <c r="F76" s="16">
        <f t="shared" si="11"/>
        <v>43731</v>
      </c>
      <c r="G76" s="16" t="str">
        <f>IFERROR(IF(F76="","",IF(VLOOKUP(F76,'Days off'!$B$2:$B$19,1,FALSE)=F76,"DayOff","WD")),"WD")</f>
        <v>WD</v>
      </c>
      <c r="H76" s="16">
        <f t="shared" si="12"/>
        <v>43761</v>
      </c>
      <c r="I76" s="16" t="str">
        <f>IFERROR(IF(H76="","",IF(VLOOKUP(H76,'Days off'!$B$2:$B$19,1,FALSE)=H76,"DayOff","WD")),"WD")</f>
        <v>WD</v>
      </c>
      <c r="J76" s="16">
        <f t="shared" si="13"/>
        <v>43792</v>
      </c>
      <c r="K76" s="16" t="str">
        <f>IFERROR(IF(J76="","",IF(VLOOKUP(J76,'Days off'!$B$2:$B$19,1,FALSE)=J76,"DayOff","WD")),"WD")</f>
        <v>WD</v>
      </c>
      <c r="L76" s="16">
        <f t="shared" si="14"/>
        <v>43822</v>
      </c>
      <c r="M76" s="16" t="str">
        <f>IFERROR(IF(L76="","",IF(VLOOKUP(L76,'Days off'!$B$2:$B$19,1,FALSE)=L76,"DayOff","WD")),"WD")</f>
        <v>WD</v>
      </c>
    </row>
    <row r="77" spans="2:13" x14ac:dyDescent="0.2">
      <c r="B77" s="16">
        <f t="shared" si="9"/>
        <v>43670</v>
      </c>
      <c r="C77" s="16" t="str">
        <f>IFERROR(IF(B77="","",IF(VLOOKUP(B77,'Days off'!$B$2:$B$19,1,FALSE)=B77,"DayOff","WD")),"WD")</f>
        <v>WD</v>
      </c>
      <c r="D77" s="16">
        <f t="shared" si="10"/>
        <v>43701</v>
      </c>
      <c r="E77" s="16" t="str">
        <f>IFERROR(IF(D77="","",IF(VLOOKUP(D77,'Days off'!$B$2:$B$19,1,FALSE)=D77,"DayOff","WD")),"WD")</f>
        <v>WD</v>
      </c>
      <c r="F77" s="16">
        <f t="shared" si="11"/>
        <v>43732</v>
      </c>
      <c r="G77" s="16" t="str">
        <f>IFERROR(IF(F77="","",IF(VLOOKUP(F77,'Days off'!$B$2:$B$19,1,FALSE)=F77,"DayOff","WD")),"WD")</f>
        <v>WD</v>
      </c>
      <c r="H77" s="16">
        <f t="shared" si="12"/>
        <v>43762</v>
      </c>
      <c r="I77" s="16" t="str">
        <f>IFERROR(IF(H77="","",IF(VLOOKUP(H77,'Days off'!$B$2:$B$19,1,FALSE)=H77,"DayOff","WD")),"WD")</f>
        <v>WD</v>
      </c>
      <c r="J77" s="16">
        <f t="shared" si="13"/>
        <v>43793</v>
      </c>
      <c r="K77" s="16" t="str">
        <f>IFERROR(IF(J77="","",IF(VLOOKUP(J77,'Days off'!$B$2:$B$19,1,FALSE)=J77,"DayOff","WD")),"WD")</f>
        <v>WD</v>
      </c>
      <c r="L77" s="16">
        <f t="shared" si="14"/>
        <v>43823</v>
      </c>
      <c r="M77" s="16" t="str">
        <f>IFERROR(IF(L77="","",IF(VLOOKUP(L77,'Days off'!$B$2:$B$19,1,FALSE)=L77,"DayOff","WD")),"WD")</f>
        <v>WD</v>
      </c>
    </row>
    <row r="78" spans="2:13" x14ac:dyDescent="0.2">
      <c r="B78" s="16">
        <f t="shared" si="9"/>
        <v>43671</v>
      </c>
      <c r="C78" s="16" t="str">
        <f>IFERROR(IF(B78="","",IF(VLOOKUP(B78,'Days off'!$B$2:$B$19,1,FALSE)=B78,"DayOff","WD")),"WD")</f>
        <v>WD</v>
      </c>
      <c r="D78" s="16">
        <f t="shared" si="10"/>
        <v>43702</v>
      </c>
      <c r="E78" s="16" t="str">
        <f>IFERROR(IF(D78="","",IF(VLOOKUP(D78,'Days off'!$B$2:$B$19,1,FALSE)=D78,"DayOff","WD")),"WD")</f>
        <v>WD</v>
      </c>
      <c r="F78" s="16">
        <f t="shared" si="11"/>
        <v>43733</v>
      </c>
      <c r="G78" s="16" t="str">
        <f>IFERROR(IF(F78="","",IF(VLOOKUP(F78,'Days off'!$B$2:$B$19,1,FALSE)=F78,"DayOff","WD")),"WD")</f>
        <v>WD</v>
      </c>
      <c r="H78" s="16">
        <f t="shared" si="12"/>
        <v>43763</v>
      </c>
      <c r="I78" s="16" t="str">
        <f>IFERROR(IF(H78="","",IF(VLOOKUP(H78,'Days off'!$B$2:$B$19,1,FALSE)=H78,"DayOff","WD")),"WD")</f>
        <v>WD</v>
      </c>
      <c r="J78" s="16">
        <f t="shared" si="13"/>
        <v>43794</v>
      </c>
      <c r="K78" s="16" t="str">
        <f>IFERROR(IF(J78="","",IF(VLOOKUP(J78,'Days off'!$B$2:$B$19,1,FALSE)=J78,"DayOff","WD")),"WD")</f>
        <v>WD</v>
      </c>
      <c r="L78" s="16">
        <f t="shared" si="14"/>
        <v>43824</v>
      </c>
      <c r="M78" s="16" t="str">
        <f>IFERROR(IF(L78="","",IF(VLOOKUP(L78,'Days off'!$B$2:$B$19,1,FALSE)=L78,"DayOff","WD")),"WD")</f>
        <v>DayOff</v>
      </c>
    </row>
    <row r="79" spans="2:13" x14ac:dyDescent="0.2">
      <c r="B79" s="16">
        <f t="shared" si="9"/>
        <v>43672</v>
      </c>
      <c r="C79" s="16" t="str">
        <f>IFERROR(IF(B79="","",IF(VLOOKUP(B79,'Days off'!$B$2:$B$19,1,FALSE)=B79,"DayOff","WD")),"WD")</f>
        <v>WD</v>
      </c>
      <c r="D79" s="16">
        <f t="shared" si="10"/>
        <v>43703</v>
      </c>
      <c r="E79" s="16" t="str">
        <f>IFERROR(IF(D79="","",IF(VLOOKUP(D79,'Days off'!$B$2:$B$19,1,FALSE)=D79,"DayOff","WD")),"WD")</f>
        <v>WD</v>
      </c>
      <c r="F79" s="16">
        <f t="shared" si="11"/>
        <v>43734</v>
      </c>
      <c r="G79" s="16" t="str">
        <f>IFERROR(IF(F79="","",IF(VLOOKUP(F79,'Days off'!$B$2:$B$19,1,FALSE)=F79,"DayOff","WD")),"WD")</f>
        <v>WD</v>
      </c>
      <c r="H79" s="16">
        <f t="shared" si="12"/>
        <v>43764</v>
      </c>
      <c r="I79" s="16" t="str">
        <f>IFERROR(IF(H79="","",IF(VLOOKUP(H79,'Days off'!$B$2:$B$19,1,FALSE)=H79,"DayOff","WD")),"WD")</f>
        <v>WD</v>
      </c>
      <c r="J79" s="16">
        <f t="shared" si="13"/>
        <v>43795</v>
      </c>
      <c r="K79" s="16" t="str">
        <f>IFERROR(IF(J79="","",IF(VLOOKUP(J79,'Days off'!$B$2:$B$19,1,FALSE)=J79,"DayOff","WD")),"WD")</f>
        <v>WD</v>
      </c>
      <c r="L79" s="16">
        <f t="shared" si="14"/>
        <v>43825</v>
      </c>
      <c r="M79" s="16" t="str">
        <f>IFERROR(IF(L79="","",IF(VLOOKUP(L79,'Days off'!$B$2:$B$19,1,FALSE)=L79,"DayOff","WD")),"WD")</f>
        <v>WD</v>
      </c>
    </row>
    <row r="80" spans="2:13" x14ac:dyDescent="0.2">
      <c r="B80" s="16">
        <f t="shared" si="9"/>
        <v>43673</v>
      </c>
      <c r="C80" s="16" t="str">
        <f>IFERROR(IF(B80="","",IF(VLOOKUP(B80,'Days off'!$B$2:$B$19,1,FALSE)=B80,"DayOff","WD")),"WD")</f>
        <v>WD</v>
      </c>
      <c r="D80" s="16">
        <f t="shared" si="10"/>
        <v>43704</v>
      </c>
      <c r="E80" s="16" t="str">
        <f>IFERROR(IF(D80="","",IF(VLOOKUP(D80,'Days off'!$B$2:$B$19,1,FALSE)=D80,"DayOff","WD")),"WD")</f>
        <v>WD</v>
      </c>
      <c r="F80" s="16">
        <f t="shared" si="11"/>
        <v>43735</v>
      </c>
      <c r="G80" s="16" t="str">
        <f>IFERROR(IF(F80="","",IF(VLOOKUP(F80,'Days off'!$B$2:$B$19,1,FALSE)=F80,"DayOff","WD")),"WD")</f>
        <v>WD</v>
      </c>
      <c r="H80" s="16">
        <f t="shared" si="12"/>
        <v>43765</v>
      </c>
      <c r="I80" s="16" t="str">
        <f>IFERROR(IF(H80="","",IF(VLOOKUP(H80,'Days off'!$B$2:$B$19,1,FALSE)=H80,"DayOff","WD")),"WD")</f>
        <v>WD</v>
      </c>
      <c r="J80" s="16">
        <f t="shared" si="13"/>
        <v>43796</v>
      </c>
      <c r="K80" s="16" t="str">
        <f>IFERROR(IF(J80="","",IF(VLOOKUP(J80,'Days off'!$B$2:$B$19,1,FALSE)=J80,"DayOff","WD")),"WD")</f>
        <v>WD</v>
      </c>
      <c r="L80" s="16">
        <f t="shared" si="14"/>
        <v>43826</v>
      </c>
      <c r="M80" s="16" t="str">
        <f>IFERROR(IF(L80="","",IF(VLOOKUP(L80,'Days off'!$B$2:$B$19,1,FALSE)=L80,"DayOff","WD")),"WD")</f>
        <v>WD</v>
      </c>
    </row>
    <row r="81" spans="2:13" x14ac:dyDescent="0.2">
      <c r="B81" s="16">
        <f t="shared" si="9"/>
        <v>43674</v>
      </c>
      <c r="C81" s="16" t="str">
        <f>IFERROR(IF(B81="","",IF(VLOOKUP(B81,'Days off'!$B$2:$B$19,1,FALSE)=B81,"DayOff","WD")),"WD")</f>
        <v>WD</v>
      </c>
      <c r="D81" s="16">
        <f t="shared" si="10"/>
        <v>43705</v>
      </c>
      <c r="E81" s="16" t="str">
        <f>IFERROR(IF(D81="","",IF(VLOOKUP(D81,'Days off'!$B$2:$B$19,1,FALSE)=D81,"DayOff","WD")),"WD")</f>
        <v>WD</v>
      </c>
      <c r="F81" s="16">
        <f t="shared" si="11"/>
        <v>43736</v>
      </c>
      <c r="G81" s="16" t="str">
        <f>IFERROR(IF(F81="","",IF(VLOOKUP(F81,'Days off'!$B$2:$B$19,1,FALSE)=F81,"DayOff","WD")),"WD")</f>
        <v>WD</v>
      </c>
      <c r="H81" s="16">
        <f t="shared" si="12"/>
        <v>43766</v>
      </c>
      <c r="I81" s="16" t="str">
        <f>IFERROR(IF(H81="","",IF(VLOOKUP(H81,'Days off'!$B$2:$B$19,1,FALSE)=H81,"DayOff","WD")),"WD")</f>
        <v>WD</v>
      </c>
      <c r="J81" s="16">
        <f t="shared" si="13"/>
        <v>43797</v>
      </c>
      <c r="K81" s="16" t="str">
        <f>IFERROR(IF(J81="","",IF(VLOOKUP(J81,'Days off'!$B$2:$B$19,1,FALSE)=J81,"DayOff","WD")),"WD")</f>
        <v>WD</v>
      </c>
      <c r="L81" s="16">
        <f t="shared" si="14"/>
        <v>43827</v>
      </c>
      <c r="M81" s="16" t="str">
        <f>IFERROR(IF(L81="","",IF(VLOOKUP(L81,'Days off'!$B$2:$B$19,1,FALSE)=L81,"DayOff","WD")),"WD")</f>
        <v>WD</v>
      </c>
    </row>
    <row r="82" spans="2:13" x14ac:dyDescent="0.2">
      <c r="B82" s="16">
        <f t="shared" si="9"/>
        <v>43675</v>
      </c>
      <c r="C82" s="16" t="str">
        <f>IFERROR(IF(B82="","",IF(VLOOKUP(B82,'Days off'!$B$2:$B$19,1,FALSE)=B82,"DayOff","WD")),"WD")</f>
        <v>WD</v>
      </c>
      <c r="D82" s="16">
        <f t="shared" si="10"/>
        <v>43706</v>
      </c>
      <c r="E82" s="16" t="str">
        <f>IFERROR(IF(D82="","",IF(VLOOKUP(D82,'Days off'!$B$2:$B$19,1,FALSE)=D82,"DayOff","WD")),"WD")</f>
        <v>WD</v>
      </c>
      <c r="F82" s="16">
        <f t="shared" si="11"/>
        <v>43737</v>
      </c>
      <c r="G82" s="16" t="str">
        <f>IFERROR(IF(F82="","",IF(VLOOKUP(F82,'Days off'!$B$2:$B$19,1,FALSE)=F82,"DayOff","WD")),"WD")</f>
        <v>WD</v>
      </c>
      <c r="H82" s="16">
        <f t="shared" si="12"/>
        <v>43767</v>
      </c>
      <c r="I82" s="16" t="str">
        <f>IFERROR(IF(H82="","",IF(VLOOKUP(H82,'Days off'!$B$2:$B$19,1,FALSE)=H82,"DayOff","WD")),"WD")</f>
        <v>WD</v>
      </c>
      <c r="J82" s="16">
        <f t="shared" si="13"/>
        <v>43798</v>
      </c>
      <c r="K82" s="16" t="str">
        <f>IFERROR(IF(J82="","",IF(VLOOKUP(J82,'Days off'!$B$2:$B$19,1,FALSE)=J82,"DayOff","WD")),"WD")</f>
        <v>WD</v>
      </c>
      <c r="L82" s="16">
        <f t="shared" si="14"/>
        <v>43828</v>
      </c>
      <c r="M82" s="16" t="str">
        <f>IFERROR(IF(L82="","",IF(VLOOKUP(L82,'Days off'!$B$2:$B$19,1,FALSE)=L82,"DayOff","WD")),"WD")</f>
        <v>WD</v>
      </c>
    </row>
    <row r="83" spans="2:13" x14ac:dyDescent="0.2">
      <c r="B83" s="16">
        <f t="shared" si="9"/>
        <v>43676</v>
      </c>
      <c r="C83" s="16" t="str">
        <f>IFERROR(IF(B83="","",IF(VLOOKUP(B83,'Days off'!$B$2:$B$19,1,FALSE)=B83,"DayOff","WD")),"WD")</f>
        <v>WD</v>
      </c>
      <c r="D83" s="16">
        <f t="shared" si="10"/>
        <v>43707</v>
      </c>
      <c r="E83" s="16" t="str">
        <f>IFERROR(IF(D83="","",IF(VLOOKUP(D83,'Days off'!$B$2:$B$19,1,FALSE)=D83,"DayOff","WD")),"WD")</f>
        <v>WD</v>
      </c>
      <c r="F83" s="16">
        <f t="shared" si="11"/>
        <v>43738</v>
      </c>
      <c r="G83" s="16" t="str">
        <f>IFERROR(IF(F83="","",IF(VLOOKUP(F83,'Days off'!$B$2:$B$19,1,FALSE)=F83,"DayOff","WD")),"WD")</f>
        <v>WD</v>
      </c>
      <c r="H83" s="16">
        <f t="shared" si="12"/>
        <v>43768</v>
      </c>
      <c r="I83" s="16" t="str">
        <f>IFERROR(IF(H83="","",IF(VLOOKUP(H83,'Days off'!$B$2:$B$19,1,FALSE)=H83,"DayOff","WD")),"WD")</f>
        <v>WD</v>
      </c>
      <c r="J83" s="16">
        <f t="shared" si="13"/>
        <v>43799</v>
      </c>
      <c r="K83" s="16" t="str">
        <f>IFERROR(IF(J83="","",IF(VLOOKUP(J83,'Days off'!$B$2:$B$19,1,FALSE)=J83,"DayOff","WD")),"WD")</f>
        <v>WD</v>
      </c>
      <c r="L83" s="16">
        <f t="shared" si="14"/>
        <v>43829</v>
      </c>
      <c r="M83" s="16" t="str">
        <f>IFERROR(IF(L83="","",IF(VLOOKUP(L83,'Days off'!$B$2:$B$19,1,FALSE)=L83,"DayOff","WD")),"WD")</f>
        <v>WD</v>
      </c>
    </row>
    <row r="84" spans="2:13" x14ac:dyDescent="0.2">
      <c r="B84" s="16">
        <f t="shared" si="9"/>
        <v>43677</v>
      </c>
      <c r="C84" s="16" t="str">
        <f>IFERROR(IF(B84="","",IF(VLOOKUP(B84,'Days off'!$B$2:$B$19,1,FALSE)=B84,"DayOff","WD")),"WD")</f>
        <v>WD</v>
      </c>
      <c r="D84" s="16">
        <f t="shared" si="10"/>
        <v>43708</v>
      </c>
      <c r="E84" s="16" t="str">
        <f>IFERROR(IF(D84="","",IF(VLOOKUP(D84,'Days off'!$B$2:$B$19,1,FALSE)=D84,"DayOff","WD")),"WD")</f>
        <v>WD</v>
      </c>
      <c r="F84" s="16" t="str">
        <f t="shared" si="11"/>
        <v/>
      </c>
      <c r="G84" s="16" t="str">
        <f>IFERROR(IF(F84="","",IF(VLOOKUP(F84,'Days off'!$B$2:$B$19,1,FALSE)=F84,"DayOff","WD")),"WD")</f>
        <v/>
      </c>
      <c r="H84" s="16">
        <f t="shared" si="12"/>
        <v>43769</v>
      </c>
      <c r="I84" s="16" t="str">
        <f>IFERROR(IF(H84="","",IF(VLOOKUP(H84,'Days off'!$B$2:$B$19,1,FALSE)=H84,"DayOff","WD")),"WD")</f>
        <v>WD</v>
      </c>
      <c r="J84" s="16" t="str">
        <f t="shared" si="13"/>
        <v/>
      </c>
      <c r="K84" s="16" t="str">
        <f>IFERROR(IF(J84="","",IF(VLOOKUP(J84,'Days off'!$B$2:$B$19,1,FALSE)=J84,"DayOff","WD")),"WD")</f>
        <v/>
      </c>
      <c r="L84" s="16">
        <f t="shared" si="14"/>
        <v>43830</v>
      </c>
      <c r="M84" s="16" t="str">
        <f>IFERROR(IF(L84="","",IF(VLOOKUP(L84,'Days off'!$B$2:$B$19,1,FALSE)=L84,"DayOff","WD")),"WD")</f>
        <v>WD</v>
      </c>
    </row>
  </sheetData>
  <mergeCells count="1">
    <mergeCell ref="B16:L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Spinner 1">
              <controlPr defaultSize="0" autoPict="0">
                <anchor moveWithCells="1" sizeWithCells="1">
                  <from>
                    <xdr:col>3</xdr:col>
                    <xdr:colOff>47625</xdr:colOff>
                    <xdr:row>12</xdr:row>
                    <xdr:rowOff>66675</xdr:rowOff>
                  </from>
                  <to>
                    <xdr:col>3</xdr:col>
                    <xdr:colOff>161925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1"/>
  <sheetViews>
    <sheetView workbookViewId="0">
      <selection activeCell="H7" sqref="H7"/>
    </sheetView>
  </sheetViews>
  <sheetFormatPr defaultRowHeight="12.75" x14ac:dyDescent="0.2"/>
  <cols>
    <col min="2" max="2" width="20.28515625" bestFit="1" customWidth="1"/>
    <col min="3" max="4" width="10.42578125" bestFit="1" customWidth="1"/>
  </cols>
  <sheetData>
    <row r="1" spans="2:4" x14ac:dyDescent="0.2">
      <c r="B1" t="s">
        <v>28</v>
      </c>
    </row>
    <row r="2" spans="2:4" x14ac:dyDescent="0.2">
      <c r="B2" s="50">
        <v>43466</v>
      </c>
      <c r="C2" s="16"/>
      <c r="D2" s="16"/>
    </row>
    <row r="3" spans="2:4" x14ac:dyDescent="0.2">
      <c r="B3" s="50">
        <v>43557</v>
      </c>
      <c r="C3" s="16"/>
      <c r="D3" s="16"/>
    </row>
    <row r="4" spans="2:4" x14ac:dyDescent="0.2">
      <c r="B4" s="50">
        <v>43586</v>
      </c>
      <c r="C4" s="16"/>
      <c r="D4" s="16"/>
    </row>
    <row r="5" spans="2:4" x14ac:dyDescent="0.2">
      <c r="B5" s="50">
        <v>43593</v>
      </c>
      <c r="C5" s="16"/>
      <c r="D5" s="16"/>
    </row>
    <row r="6" spans="2:4" x14ac:dyDescent="0.2">
      <c r="B6" s="50">
        <v>43595</v>
      </c>
      <c r="C6" s="16"/>
      <c r="D6" s="16"/>
    </row>
    <row r="7" spans="2:4" x14ac:dyDescent="0.2">
      <c r="B7" s="50">
        <v>43606</v>
      </c>
      <c r="C7" s="16"/>
      <c r="D7" s="16"/>
    </row>
    <row r="8" spans="2:4" x14ac:dyDescent="0.2">
      <c r="B8" s="50">
        <v>43660</v>
      </c>
      <c r="C8" s="16"/>
      <c r="D8" s="16"/>
    </row>
    <row r="9" spans="2:4" x14ac:dyDescent="0.2">
      <c r="B9" s="50">
        <v>43692</v>
      </c>
      <c r="C9" s="16"/>
      <c r="D9" s="16"/>
    </row>
    <row r="10" spans="2:4" x14ac:dyDescent="0.2">
      <c r="B10" s="50">
        <v>43770</v>
      </c>
      <c r="C10" s="16"/>
      <c r="D10" s="16"/>
    </row>
    <row r="11" spans="2:4" x14ac:dyDescent="0.2">
      <c r="B11" s="50">
        <v>43780</v>
      </c>
      <c r="C11" s="16"/>
      <c r="D11" s="16"/>
    </row>
    <row r="12" spans="2:4" x14ac:dyDescent="0.2">
      <c r="B12" s="50">
        <v>43824</v>
      </c>
      <c r="C12" s="16"/>
      <c r="D12" s="16"/>
    </row>
    <row r="13" spans="2:4" x14ac:dyDescent="0.2">
      <c r="B13" s="50"/>
    </row>
    <row r="14" spans="2:4" x14ac:dyDescent="0.2">
      <c r="B14" s="61"/>
    </row>
    <row r="15" spans="2:4" x14ac:dyDescent="0.2">
      <c r="B15" s="61"/>
    </row>
    <row r="16" spans="2:4" x14ac:dyDescent="0.2">
      <c r="B16" s="61"/>
    </row>
    <row r="17" spans="2:2" x14ac:dyDescent="0.2">
      <c r="B17" s="61"/>
    </row>
    <row r="18" spans="2:2" x14ac:dyDescent="0.2">
      <c r="B18" s="61"/>
    </row>
    <row r="19" spans="2:2" x14ac:dyDescent="0.2">
      <c r="B19" s="61"/>
    </row>
    <row r="20" spans="2:2" x14ac:dyDescent="0.2">
      <c r="B20" s="61"/>
    </row>
    <row r="21" spans="2:2" x14ac:dyDescent="0.2">
      <c r="B21" s="61"/>
    </row>
    <row r="22" spans="2:2" x14ac:dyDescent="0.2">
      <c r="B22" s="61"/>
    </row>
    <row r="23" spans="2:2" x14ac:dyDescent="0.2">
      <c r="B23" s="61"/>
    </row>
    <row r="24" spans="2:2" x14ac:dyDescent="0.2">
      <c r="B24" s="61"/>
    </row>
    <row r="25" spans="2:2" x14ac:dyDescent="0.2">
      <c r="B25" s="61"/>
    </row>
    <row r="26" spans="2:2" x14ac:dyDescent="0.2">
      <c r="B26" s="61"/>
    </row>
    <row r="27" spans="2:2" x14ac:dyDescent="0.2">
      <c r="B27" s="61"/>
    </row>
    <row r="28" spans="2:2" x14ac:dyDescent="0.2">
      <c r="B28" s="61"/>
    </row>
    <row r="29" spans="2:2" x14ac:dyDescent="0.2">
      <c r="B29" s="61"/>
    </row>
    <row r="30" spans="2:2" x14ac:dyDescent="0.2">
      <c r="B30" s="61"/>
    </row>
    <row r="31" spans="2:2" x14ac:dyDescent="0.2">
      <c r="B31" s="61"/>
    </row>
  </sheetData>
  <sheetProtection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U19"/>
  <sheetViews>
    <sheetView showGridLines="0" topLeftCell="A3" zoomScale="90" zoomScaleNormal="90" zoomScalePageLayoutView="84" workbookViewId="0">
      <selection activeCell="E16" sqref="E16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7.28515625" style="5" customWidth="1"/>
    <col min="18" max="18" width="3.85546875" style="6" customWidth="1"/>
    <col min="19" max="19" width="51.42578125" style="5" customWidth="1"/>
    <col min="20" max="20" width="10.7109375" style="5" customWidth="1"/>
    <col min="21" max="21" width="2.28515625" customWidth="1"/>
    <col min="22" max="28" width="8.85546875" customWidth="1"/>
    <col min="48" max="16384" width="8.7109375" style="1"/>
  </cols>
  <sheetData>
    <row r="1" spans="1:23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W1" s="75">
        <f>Parameters!B14</f>
        <v>2019</v>
      </c>
    </row>
    <row r="2" spans="1:23" ht="18" hidden="1" customHeight="1" x14ac:dyDescent="0.2">
      <c r="A2" s="5"/>
      <c r="B2" s="70" t="str">
        <f>" JANUARY "&amp;Parameters!B14</f>
        <v xml:space="preserve"> JANUARY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77"/>
      <c r="R2" s="77"/>
      <c r="S2" s="77"/>
      <c r="W2" s="75"/>
    </row>
    <row r="3" spans="1:23" ht="18" customHeight="1" thickBot="1" x14ac:dyDescent="0.25">
      <c r="A3" s="5"/>
      <c r="B3" s="70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7"/>
      <c r="R3" s="77"/>
      <c r="S3" s="77"/>
      <c r="W3" s="19"/>
    </row>
    <row r="4" spans="1:23" ht="21.95" customHeight="1" thickBot="1" x14ac:dyDescent="0.25">
      <c r="A4" s="5"/>
      <c r="B4" s="70"/>
      <c r="C4" s="72" t="s">
        <v>1</v>
      </c>
      <c r="D4" s="73"/>
      <c r="E4" s="74" t="s">
        <v>2</v>
      </c>
      <c r="F4" s="73"/>
      <c r="G4" s="74" t="s">
        <v>3</v>
      </c>
      <c r="H4" s="73"/>
      <c r="I4" s="74" t="s">
        <v>4</v>
      </c>
      <c r="J4" s="73"/>
      <c r="K4" s="74" t="s">
        <v>5</v>
      </c>
      <c r="L4" s="73"/>
      <c r="M4" s="74" t="s">
        <v>6</v>
      </c>
      <c r="N4" s="73"/>
      <c r="O4" s="74" t="s">
        <v>7</v>
      </c>
      <c r="P4" s="76"/>
      <c r="Q4" s="77"/>
      <c r="R4" s="77"/>
      <c r="S4" s="77"/>
    </row>
    <row r="5" spans="1:23" ht="21.95" customHeight="1" x14ac:dyDescent="0.2">
      <c r="A5" s="5"/>
      <c r="B5" s="70"/>
      <c r="C5" s="41">
        <f>IF(DAY(JanSun1)=1,JanSun1-6,JanSun1+1)</f>
        <v>43465</v>
      </c>
      <c r="D5" s="20" t="str">
        <f>IFERROR(IF(VLOOKUP(C5,Parameters!$B$19:$C$49,2,FALSE)="DayOff","",IF(C5&lt;Parameters!$O$2,"",1)),"")</f>
        <v/>
      </c>
      <c r="E5" s="40">
        <f>IF(DAY(JanSun1)=1,JanSun1-5,JanSun1+2)</f>
        <v>43466</v>
      </c>
      <c r="F5" s="20" t="str">
        <f>IFERROR(IF(VLOOKUP(E5,Parameters!$B$19:$C$49,2,FALSE)="DayOff","",IF(D5=" "," ",IF(D5=12," ",IF(D5&lt;&gt;"",D5+1,IF(E5&lt;Parameters!$O$2,"",1))))),"")</f>
        <v/>
      </c>
      <c r="G5" s="40">
        <f>IF(DAY(JanSun1)=1,JanSun1-4,JanSun1+3)</f>
        <v>43467</v>
      </c>
      <c r="H5" s="20">
        <f>IFERROR(IF(VLOOKUP(G5,Parameters!$B$19:$C$49,2,FALSE)="DayOff","",IF(F5=" "," ",IF(F5=12," ",IF(F5&lt;&gt;"",F5+1,IF(G5&lt;Parameters!$O$2,"",1))))),"")</f>
        <v>1</v>
      </c>
      <c r="I5" s="40">
        <f>IF(DAY(JanSun1)=1,JanSun1-3,JanSun1+4)</f>
        <v>43468</v>
      </c>
      <c r="J5" s="20">
        <f>IFERROR(IF(VLOOKUP(I5,Parameters!$B$19:$C$49,2,FALSE)="DayOff","",IF(H5=" "," ",IF(H5=12," ",IF(H5&lt;&gt;"",H5+1,IF(I5&lt;Parameters!$O$2,"",1))))),"")</f>
        <v>2</v>
      </c>
      <c r="K5" s="40">
        <f>IF(DAY(JanSun1)=1,JanSun1-2,JanSun1+5)</f>
        <v>43469</v>
      </c>
      <c r="L5" s="20">
        <f>IFERROR(IF(VLOOKUP(K5,Parameters!$B$19:$C$49,2,FALSE)="DayOff","",IF(J5=" "," ",IF(J5=12," ",IF(J5&lt;&gt;"",J5+1,IF(K5&lt;Parameters!$O$2,"",1))))),"")</f>
        <v>3</v>
      </c>
      <c r="M5" s="40">
        <f>IF(DAY(JanSun1)=1,JanSun1-1,JanSun1+6)</f>
        <v>43470</v>
      </c>
      <c r="N5" s="20"/>
      <c r="O5" s="40">
        <f>IF(DAY(JanSun1)=1,JanSun1,JanSun1+7)</f>
        <v>43471</v>
      </c>
      <c r="P5" s="22"/>
      <c r="Q5" s="78"/>
      <c r="R5" s="7"/>
      <c r="S5" s="71"/>
      <c r="T5" s="71"/>
    </row>
    <row r="6" spans="1:23" ht="21.95" customHeight="1" x14ac:dyDescent="0.2">
      <c r="A6" s="5"/>
      <c r="B6" s="70"/>
      <c r="C6" s="32"/>
      <c r="D6" s="33"/>
      <c r="E6" s="68" t="s">
        <v>27</v>
      </c>
      <c r="F6" s="33"/>
      <c r="G6" s="34"/>
      <c r="H6" s="33"/>
      <c r="I6" s="34"/>
      <c r="J6" s="33"/>
      <c r="K6" s="34"/>
      <c r="L6" s="33"/>
      <c r="M6" s="34"/>
      <c r="N6" s="33"/>
      <c r="O6" s="34"/>
      <c r="P6" s="35"/>
      <c r="Q6" s="78"/>
      <c r="R6" s="7"/>
      <c r="S6" s="8"/>
      <c r="T6" s="8"/>
    </row>
    <row r="7" spans="1:23" ht="21.95" customHeight="1" x14ac:dyDescent="0.2">
      <c r="A7" s="5"/>
      <c r="B7" s="70"/>
      <c r="C7" s="42">
        <f>IF(DAY(JanSun1)=1,JanSun1+1,JanSun1+8)</f>
        <v>43472</v>
      </c>
      <c r="D7" s="15">
        <f>IFERROR(IF(VLOOKUP(C7,Parameters!$B$19:$C$49,2,FALSE)="DayOff","",IF(L5=" "," ",IF(L5=12," ",IF(L5&lt;&gt;"",L5+1,IF(C7&lt;Parameters!$O$2,"",1))))),"")</f>
        <v>4</v>
      </c>
      <c r="E7" s="43">
        <f>IF(DAY(JanSun1)=1,JanSun1+2,JanSun1+9)</f>
        <v>43473</v>
      </c>
      <c r="F7" s="20">
        <f>IFERROR(IF(VLOOKUP(E7,Parameters!$B$19:$C$49,2,FALSE)="DayOff","",IF(D7=" "," ",IF(D7=12," ",IF(D7&lt;&gt;"",D7+1,IF(E7&lt;Parameters!$O$2,"",1))))),"")</f>
        <v>5</v>
      </c>
      <c r="G7" s="43">
        <f>IF(DAY(JanSun1)=1,JanSun1+3,JanSun1+10)</f>
        <v>43474</v>
      </c>
      <c r="H7" s="20">
        <f>IFERROR(IF(VLOOKUP(G7,Parameters!$B$19:$C$49,2,FALSE)="DayOff","",IF(F7=" "," ",IF(F7=12," ",IF(F7&lt;&gt;"",F7+1,IF(G7&lt;Parameters!$O$2,"",1))))),"")</f>
        <v>6</v>
      </c>
      <c r="I7" s="43">
        <f>IF(DAY(JanSun1)=1,JanSun1+4,JanSun1+11)</f>
        <v>43475</v>
      </c>
      <c r="J7" s="20">
        <f>IFERROR(IF(VLOOKUP(I7,Parameters!$B$19:$C$49,2,FALSE)="DayOff","",IF(H7=" "," ",IF(H7=12," ",IF(H7&lt;&gt;"",H7+1,IF(I7&lt;Parameters!$O$2,"",1))))),"")</f>
        <v>7</v>
      </c>
      <c r="K7" s="43">
        <f>IF(DAY(JanSun1)=1,JanSun1+5,JanSun1+12)</f>
        <v>43476</v>
      </c>
      <c r="L7" s="20">
        <f>IFERROR(IF(VLOOKUP(K7,Parameters!$B$19:$C$49,2,FALSE)="DayOff","",IF(J7=" "," ",IF(J7=12," ",IF(J7&lt;&gt;"",J7+1,IF(K7&lt;Parameters!$O$2,"",1))))),"")</f>
        <v>8</v>
      </c>
      <c r="M7" s="43">
        <f>IF(DAY(JanSun1)=1,JanSun1+6,JanSun1+13)</f>
        <v>43477</v>
      </c>
      <c r="N7" s="15"/>
      <c r="O7" s="43">
        <f>IF(DAY(JanSun1)=1,JanSun1+7,JanSun1+14)</f>
        <v>43478</v>
      </c>
      <c r="P7" s="25"/>
      <c r="Q7" s="78"/>
      <c r="R7" s="7"/>
      <c r="S7" s="71"/>
      <c r="T7" s="71"/>
    </row>
    <row r="8" spans="1:23" ht="21.95" customHeight="1" x14ac:dyDescent="0.2">
      <c r="A8" s="5"/>
      <c r="B8" s="70"/>
      <c r="C8" s="32"/>
      <c r="D8" s="33"/>
      <c r="E8" s="34"/>
      <c r="F8" s="33"/>
      <c r="G8" s="34"/>
      <c r="H8" s="33"/>
      <c r="I8" s="34"/>
      <c r="J8" s="33"/>
      <c r="K8" s="34"/>
      <c r="L8" s="33"/>
      <c r="M8" s="34"/>
      <c r="N8" s="33"/>
      <c r="O8" s="34"/>
      <c r="P8" s="35"/>
      <c r="Q8" s="78"/>
      <c r="R8" s="7"/>
      <c r="S8" s="8"/>
      <c r="T8" s="8"/>
    </row>
    <row r="9" spans="1:23" ht="21.95" customHeight="1" x14ac:dyDescent="0.2">
      <c r="A9" s="5"/>
      <c r="B9" s="70"/>
      <c r="C9" s="42">
        <f>IF(DAY(JanSun1)=1,JanSun1+8,JanSun1+15)</f>
        <v>43479</v>
      </c>
      <c r="D9" s="15">
        <f>IFERROR(IF(VLOOKUP(C9,Parameters!$B$19:$C$49,2,FALSE)="DayOff","",IF(L7=" "," ",IF(L7=12," ",IF(L7&lt;&gt;"",L7+1,IF(C9&lt;Parameters!$O$2,"",1))))),"")</f>
        <v>9</v>
      </c>
      <c r="E9" s="43">
        <f>IF(DAY(JanSun1)=1,JanSun1+9,JanSun1+16)</f>
        <v>43480</v>
      </c>
      <c r="F9" s="20">
        <f>IFERROR(IF(VLOOKUP(E9,Parameters!$B$19:$C$49,2,FALSE)="DayOff","",IF(D9=" "," ",IF(D9=12," ",IF(D9&lt;&gt;"",D9+1,IF(E9&lt;Parameters!$O$2,"",1))))),"")</f>
        <v>10</v>
      </c>
      <c r="G9" s="43">
        <f>IF(DAY(JanSun1)=1,JanSun1+10,JanSun1+17)</f>
        <v>43481</v>
      </c>
      <c r="H9" s="20">
        <f>IFERROR(IF(VLOOKUP(G9,Parameters!$B$19:$C$49,2,FALSE)="DayOff","",IF(F9=" "," ",IF(F9=12," ",IF(F9&lt;&gt;"",F9+1,IF(G9&lt;Parameters!$O$2,"",1))))),"")</f>
        <v>11</v>
      </c>
      <c r="I9" s="43">
        <f>IF(DAY(JanSun1)=1,JanSun1+11,JanSun1+18)</f>
        <v>43482</v>
      </c>
      <c r="J9" s="20">
        <f>IFERROR(IF(VLOOKUP(I9,Parameters!$B$19:$C$49,2,FALSE)="DayOff","",IF(H9=" "," ",IF(H9=12," ",IF(H9&lt;&gt;"",H9+1,IF(I9&lt;Parameters!$O$2,"",1))))),"")</f>
        <v>12</v>
      </c>
      <c r="K9" s="43">
        <f>IF(DAY(JanSun1)=1,JanSun1+12,JanSun1+19)</f>
        <v>43483</v>
      </c>
      <c r="L9" s="20" t="str">
        <f>IFERROR(IF(VLOOKUP(K9,Parameters!$B$19:$C$49,2,FALSE)="DayOff","",IF(J9=" "," ",IF(J9=12," ",IF(J9&lt;&gt;"",J9+1,IF(K9&lt;Parameters!$O$2,"",1))))),"")</f>
        <v xml:space="preserve"> </v>
      </c>
      <c r="M9" s="43">
        <f>IF(DAY(JanSun1)=1,JanSun1+13,JanSun1+20)</f>
        <v>43484</v>
      </c>
      <c r="N9" s="9"/>
      <c r="O9" s="43">
        <f>IF(DAY(JanSun1)=1,JanSun1+14,JanSun1+21)</f>
        <v>43485</v>
      </c>
      <c r="P9" s="25"/>
      <c r="Q9" s="78"/>
      <c r="R9" s="7"/>
      <c r="S9" s="71"/>
      <c r="T9" s="71"/>
    </row>
    <row r="10" spans="1:23" ht="21.95" customHeight="1" x14ac:dyDescent="0.2">
      <c r="A10" s="5"/>
      <c r="B10" s="70"/>
      <c r="C10" s="32"/>
      <c r="D10" s="33"/>
      <c r="E10" s="34"/>
      <c r="F10" s="33"/>
      <c r="G10" s="34"/>
      <c r="H10" s="33"/>
      <c r="I10" s="34"/>
      <c r="J10" s="33"/>
      <c r="K10" s="34"/>
      <c r="L10" s="33"/>
      <c r="M10" s="34"/>
      <c r="N10" s="33"/>
      <c r="O10" s="34"/>
      <c r="P10" s="35"/>
      <c r="Q10" s="3"/>
      <c r="R10" s="7"/>
      <c r="S10" s="8"/>
      <c r="T10" s="8"/>
    </row>
    <row r="11" spans="1:23" ht="21.95" customHeight="1" x14ac:dyDescent="0.2">
      <c r="A11" s="5"/>
      <c r="B11" s="70"/>
      <c r="C11" s="42">
        <f>IF(DAY(JanSun1)=1,JanSun1+15,JanSun1+22)</f>
        <v>43486</v>
      </c>
      <c r="D11" s="15" t="str">
        <f>IFERROR(IF(VLOOKUP(C11,Parameters!$B$19:$C$49,2,FALSE)="DayOff","",IF(L9=" "," ",IF(L9=12," ",IF(L9&lt;&gt;"",L9+1,IF(C11&lt;Parameters!$O$2,"",1))))),"")</f>
        <v xml:space="preserve"> </v>
      </c>
      <c r="E11" s="43">
        <f>IF(DAY(JanSun1)=1,JanSun1+16,JanSun1+23)</f>
        <v>43487</v>
      </c>
      <c r="F11" s="20" t="str">
        <f>IFERROR(IF(VLOOKUP(E11,Parameters!$B$19:$C$49,2,FALSE)="DayOff","",IF(D11=" "," ",IF(D11=12," ",IF(D11&lt;&gt;"",D11+1,IF(E11&lt;Parameters!$O$2,"",1))))),"")</f>
        <v xml:space="preserve"> </v>
      </c>
      <c r="G11" s="43">
        <f>IF(DAY(JanSun1)=1,JanSun1+17,JanSun1+24)</f>
        <v>43488</v>
      </c>
      <c r="H11" s="20" t="str">
        <f>IFERROR(IF(VLOOKUP(G11,Parameters!$B$19:$C$49,2,FALSE)="DayOff","",IF(F11=" "," ",IF(F11=12," ",IF(F11&lt;&gt;"",F11+1,IF(G11&lt;Parameters!$O$2,"",1))))),"")</f>
        <v xml:space="preserve"> </v>
      </c>
      <c r="I11" s="43">
        <f>IF(DAY(JanSun1)=1,JanSun1+18,JanSun1+25)</f>
        <v>43489</v>
      </c>
      <c r="J11" s="20" t="str">
        <f>IFERROR(IF(VLOOKUP(I11,Parameters!$B$19:$C$49,2,FALSE)="DayOff","",IF(H11=" "," ",IF(H11=12," ",IF(H11&lt;&gt;"",H11+1,IF(I11&lt;Parameters!$O$2,"",1))))),"")</f>
        <v xml:space="preserve"> </v>
      </c>
      <c r="K11" s="43">
        <f>IF(DAY(JanSun1)=1,JanSun1+19,JanSun1+26)</f>
        <v>43490</v>
      </c>
      <c r="L11" s="20" t="str">
        <f>IFERROR(IF(VLOOKUP(K11,Parameters!$B$19:$C$49,2,FALSE)="DayOff","",IF(J11=" "," ",IF(J11=12," ",IF(J11&lt;&gt;"",J11+1,IF(K11&lt;Parameters!$O$2,"",1))))),"")</f>
        <v xml:space="preserve"> </v>
      </c>
      <c r="M11" s="43">
        <f>IF(DAY(JanSun1)=1,JanSun1+20,JanSun1+27)</f>
        <v>43491</v>
      </c>
      <c r="N11" s="15"/>
      <c r="O11" s="43">
        <f>IF(DAY(JanSun1)=1,JanSun1+21,JanSun1+28)</f>
        <v>43492</v>
      </c>
      <c r="P11" s="25"/>
      <c r="Q11" s="3"/>
      <c r="R11" s="7"/>
      <c r="S11" s="71"/>
      <c r="T11" s="71"/>
    </row>
    <row r="12" spans="1:23" ht="21.95" customHeight="1" x14ac:dyDescent="0.2">
      <c r="A12" s="5"/>
      <c r="B12" s="70"/>
      <c r="C12" s="32"/>
      <c r="D12" s="33"/>
      <c r="E12" s="63" t="s">
        <v>26</v>
      </c>
      <c r="F12" s="33"/>
      <c r="G12" s="34"/>
      <c r="H12" s="33"/>
      <c r="I12" s="34"/>
      <c r="J12" s="33"/>
      <c r="K12" s="34"/>
      <c r="L12" s="33"/>
      <c r="M12" s="34"/>
      <c r="N12" s="33"/>
      <c r="O12" s="34"/>
      <c r="P12" s="35"/>
      <c r="Q12" s="3"/>
      <c r="R12" s="7"/>
      <c r="S12" s="8"/>
      <c r="T12" s="8"/>
    </row>
    <row r="13" spans="1:23" ht="21.95" customHeight="1" x14ac:dyDescent="0.2">
      <c r="A13" s="5"/>
      <c r="B13" s="70"/>
      <c r="C13" s="42">
        <f>IF(DAY(JanSun1)=1,JanSun1+22,JanSun1+29)</f>
        <v>43493</v>
      </c>
      <c r="D13" s="15" t="str">
        <f>IFERROR(IF(VLOOKUP(C13,Parameters!$B$19:$C$49,2,FALSE)="DayOff","",IF(L11=" "," ",IF(L11=12," ",IF(L11&lt;&gt;"",L11+1,IF(C13&lt;Parameters!$O$2,"",1))))),"")</f>
        <v xml:space="preserve"> </v>
      </c>
      <c r="E13" s="43">
        <f>IF(DAY(JanSun1)=1,JanSun1+23,JanSun1+30)</f>
        <v>43494</v>
      </c>
      <c r="F13" s="20" t="str">
        <f>IFERROR(IF(VLOOKUP(E13,Parameters!$B$19:$C$49,2,FALSE)="DayOff","",IF(D13=" "," ",IF(D13=12," ",IF(D13&lt;&gt;"",D13+1,IF(E13&lt;Parameters!$O$2,"",1))))),"")</f>
        <v xml:space="preserve"> </v>
      </c>
      <c r="G13" s="43">
        <f>IF(DAY(JanSun1)=1,JanSun1+24,JanSun1+31)</f>
        <v>43495</v>
      </c>
      <c r="H13" s="20" t="str">
        <f>IFERROR(IF(VLOOKUP(G13,Parameters!$B$19:$C$49,2,FALSE)="DayOff","",IF(F13=" "," ",IF(F13=12," ",IF(F13&lt;&gt;"",F13+1,IF(G13&lt;Parameters!$O$2,"",1))))),"")</f>
        <v xml:space="preserve"> </v>
      </c>
      <c r="I13" s="43">
        <f>IF(DAY(JanSun1)=1,JanSun1+25,JanSun1+32)</f>
        <v>43496</v>
      </c>
      <c r="J13" s="20" t="str">
        <f>IFERROR(IF(VLOOKUP(I13,Parameters!$B$19:$C$49,2,FALSE)="DayOff","",IF(H13=" "," ",IF(H13=12," ",IF(H13&lt;&gt;"",H13+1,IF(I13&lt;Parameters!$O$2,"",1))))),"")</f>
        <v xml:space="preserve"> </v>
      </c>
      <c r="K13" s="43">
        <f>IF(DAY(JanSun1)=1,JanSun1+26,JanSun1+33)</f>
        <v>43497</v>
      </c>
      <c r="L13" s="20" t="str">
        <f>IFERROR(IF(VLOOKUP(K13,Parameters!$B$19:$C$49,2,FALSE)="DayOff","",IF(J13=" "," ",IF(J13=12," ",IF(J13&lt;&gt;"",J13+1,IF(K13&lt;Parameters!$O$2,"",1))))),"")</f>
        <v/>
      </c>
      <c r="M13" s="43">
        <f>IF(DAY(JanSun1)=1,JanSun1+27,JanSun1+34)</f>
        <v>43498</v>
      </c>
      <c r="N13" s="9"/>
      <c r="O13" s="43">
        <f>IF(DAY(JanSun1)=1,JanSun1+28,JanSun1+35)</f>
        <v>43499</v>
      </c>
      <c r="P13" s="25"/>
      <c r="Q13" s="3"/>
      <c r="R13" s="7"/>
      <c r="S13" s="71"/>
      <c r="T13" s="71"/>
    </row>
    <row r="14" spans="1:23" ht="21.95" customHeight="1" x14ac:dyDescent="0.2">
      <c r="A14" s="5"/>
      <c r="B14" s="70"/>
      <c r="C14" s="32"/>
      <c r="D14" s="33"/>
      <c r="E14" s="34"/>
      <c r="F14" s="33"/>
      <c r="G14" s="34"/>
      <c r="H14" s="33"/>
      <c r="I14" s="34"/>
      <c r="J14" s="33"/>
      <c r="K14" s="34"/>
      <c r="L14" s="33"/>
      <c r="M14" s="34"/>
      <c r="N14" s="33"/>
      <c r="O14" s="34"/>
      <c r="P14" s="35"/>
      <c r="Q14" s="3"/>
      <c r="R14" s="7"/>
      <c r="S14" s="8"/>
      <c r="T14" s="8"/>
    </row>
    <row r="15" spans="1:23" ht="21.95" customHeight="1" x14ac:dyDescent="0.2">
      <c r="A15" s="5"/>
      <c r="B15" s="70"/>
      <c r="C15" s="42">
        <f>IF(DAY(JanSun1)=1,JanSun1+29,JanSun1+36)</f>
        <v>43500</v>
      </c>
      <c r="D15" s="15" t="str">
        <f>IFERROR(IF(VLOOKUP(C15,Parameters!$B$19:$C$49,2,FALSE)="DayOff","",IF(L13=" "," ",IF(L13=12," ",IF(L13&lt;&gt;"",L13+1,IF(C15&lt;Parameters!$O$2,"",1))))),"")</f>
        <v/>
      </c>
      <c r="E15" s="43">
        <f>IF(DAY(JanSun1)=1,JanSun1+30,JanSun1+37)</f>
        <v>43501</v>
      </c>
      <c r="F15" s="20" t="str">
        <f>IFERROR(IF(VLOOKUP(E15,Parameters!$B$19:$C$49,2,FALSE)="DayOff","",IF(D15=" "," ",IF(D15=12," ",IF(D15&lt;&gt;"",D15+1,IF(E15&lt;Parameters!$O$2,"",1))))),"")</f>
        <v/>
      </c>
      <c r="G15" s="43">
        <f>IF(DAY(JanSun1)=1,JanSun1+31,JanSun1+38)</f>
        <v>43502</v>
      </c>
      <c r="H15" s="20" t="str">
        <f>IFERROR(IF(VLOOKUP(G15,Parameters!$B$19:$C$49,2,FALSE)="DayOff","",IF(F15=" "," ",IF(F15=12," ",IF(F15&lt;&gt;"",F15+1,IF(G15&lt;Parameters!$O$2,"",1))))),"")</f>
        <v/>
      </c>
      <c r="I15" s="43">
        <f>IF(DAY(JanSun1)=1,JanSun1+32,JanSun1+39)</f>
        <v>43503</v>
      </c>
      <c r="J15" s="20" t="str">
        <f>IFERROR(IF(VLOOKUP(I15,Parameters!$B$19:$C$49,2,FALSE)="DayOff","",IF(H15=" "," ",IF(H15=12," ",IF(H15&lt;&gt;"",H15+1,IF(I15&lt;Parameters!$O$2,"",1))))),"")</f>
        <v/>
      </c>
      <c r="K15" s="43">
        <f>IF(DAY(JanSun1)=1,JanSun1+33,JanSun1+40)</f>
        <v>43504</v>
      </c>
      <c r="L15" s="20" t="str">
        <f>IFERROR(IF(VLOOKUP(K15,Parameters!$B$19:$C$49,2,FALSE)="DayOff","",IF(J15=" "," ",IF(J15=12," ",IF(J15&lt;&gt;"",J15+1,IF(K15&lt;Parameters!$O$2,"",1))))),"")</f>
        <v/>
      </c>
      <c r="M15" s="43">
        <f>IF(DAY(JanSun1)=1,JanSun1+34,JanSun1+41)</f>
        <v>43505</v>
      </c>
      <c r="N15" s="15"/>
      <c r="O15" s="43">
        <f>IF(DAY(JanSun1)=1,JanSun1+35,JanSun1+42)</f>
        <v>43506</v>
      </c>
      <c r="P15" s="25"/>
      <c r="Q15" s="4"/>
      <c r="R15" s="7"/>
      <c r="S15" s="71"/>
      <c r="T15" s="71"/>
    </row>
    <row r="16" spans="1:23" ht="21.95" customHeight="1" thickBot="1" x14ac:dyDescent="0.25">
      <c r="A16" s="5"/>
      <c r="B16" s="70"/>
      <c r="C16" s="36"/>
      <c r="D16" s="37"/>
      <c r="E16" s="38"/>
      <c r="F16" s="37"/>
      <c r="G16" s="38"/>
      <c r="H16" s="37"/>
      <c r="I16" s="38"/>
      <c r="J16" s="37"/>
      <c r="K16" s="38"/>
      <c r="L16" s="37"/>
      <c r="M16" s="38"/>
      <c r="N16" s="37"/>
      <c r="O16" s="38"/>
      <c r="P16" s="39"/>
      <c r="Q16" s="3"/>
      <c r="R16" s="7"/>
      <c r="S16" s="71"/>
      <c r="T16" s="71"/>
    </row>
    <row r="17" spans="1:16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6.5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ht="16.5" customHeight="1" x14ac:dyDescent="0.2">
      <c r="C19" s="79"/>
    </row>
  </sheetData>
  <sheetProtection selectLockedCells="1"/>
  <mergeCells count="18">
    <mergeCell ref="W1:W2"/>
    <mergeCell ref="M4:N4"/>
    <mergeCell ref="O4:P4"/>
    <mergeCell ref="Q2:S4"/>
    <mergeCell ref="Q5:Q9"/>
    <mergeCell ref="S5:T5"/>
    <mergeCell ref="S7:T7"/>
    <mergeCell ref="S9:T9"/>
    <mergeCell ref="B2:B16"/>
    <mergeCell ref="S11:T11"/>
    <mergeCell ref="S13:T13"/>
    <mergeCell ref="S15:T15"/>
    <mergeCell ref="S16:T16"/>
    <mergeCell ref="C4:D4"/>
    <mergeCell ref="E4:F4"/>
    <mergeCell ref="G4:H4"/>
    <mergeCell ref="I4:J4"/>
    <mergeCell ref="K4:L4"/>
  </mergeCells>
  <phoneticPr fontId="1" type="noConversion"/>
  <conditionalFormatting sqref="C6:N6 C5 E5 G5 I5 K5 M5">
    <cfRule type="expression" dxfId="68" priority="7" stopIfTrue="1">
      <formula>DAY(C5)&gt;8</formula>
    </cfRule>
  </conditionalFormatting>
  <conditionalFormatting sqref="C14:O14 C13 M13:O13 K13 I13 G13 E13 C16:O16 C15 E15 G15 I15 K15 M15 O15">
    <cfRule type="expression" dxfId="67" priority="6" stopIfTrue="1">
      <formula>AND(DAY(C13)&gt;=1,DAY(C13)&lt;=15)</formula>
    </cfRule>
  </conditionalFormatting>
  <conditionalFormatting sqref="C6:O6 C5 E5 G5 I5 K5 M5 O5 C8:O8 C7 E7 G7 I7 K7 M7 C10:O10 C9 E9 G9 I9 K9 M9:O9 O7 C12:O12 C11 E11 G11 I11 K11 M11 O11 C14:O14 C13 M13:O13 K13 I13 G13 E13 C15 E15 G15 I15 K15 M15 O15">
    <cfRule type="expression" dxfId="66" priority="18">
      <formula>VLOOKUP(DAY(C5),AssignmentDays,1,FALSE)=DAY(C5)</formula>
    </cfRule>
  </conditionalFormatting>
  <dataValidations count="1">
    <dataValidation allowBlank="1" showInputMessage="1" showErrorMessage="1" errorTitle="Invalid Year" error="Enter a year from 1900 to 9999, or use the scroll bar to find a year." sqref="W1"/>
  </dataValidations>
  <printOptions horizontalCentered="1"/>
  <pageMargins left="0.5" right="0.5" top="0.5" bottom="0.5" header="0.3" footer="0.3"/>
  <pageSetup scale="50" orientation="landscape" verticalDpi="90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P17"/>
  <sheetViews>
    <sheetView showGridLines="0" topLeftCell="A2" zoomScale="90" zoomScaleNormal="90" zoomScalePageLayoutView="84" workbookViewId="0">
      <selection activeCell="I4" sqref="I4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3" width="8.85546875" customWidth="1"/>
    <col min="43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0" t="str">
        <f>" FEBRUARY "&amp;Parameters!B14</f>
        <v xml:space="preserve"> FEBRUARY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</row>
    <row r="4" spans="1:17" ht="21.95" customHeight="1" x14ac:dyDescent="0.2">
      <c r="A4" s="5"/>
      <c r="B4" s="70"/>
      <c r="C4" s="54">
        <f>IF(DAY(FebSun1)=1,FebSun1-6,FebSun1+1)</f>
        <v>43493</v>
      </c>
      <c r="D4" s="55" t="str">
        <f>IFERROR(IF(VLOOKUP(C4,Parameters!$D$19:$E$49,2,FALSE)="DayOff","",IF(C4&lt;Parameters!$O$3,"",1)),"")</f>
        <v/>
      </c>
      <c r="E4" s="56">
        <f>IF(DAY(FebSun1)=1,FebSun1-5,FebSun1+2)</f>
        <v>43494</v>
      </c>
      <c r="F4" s="55" t="str">
        <f>IFERROR(IF(VLOOKUP(E4,Parameters!$D$19:$E$49,2,FALSE)="DayOff","",IF(D4=" "," ",IF(D4=12," ",IF(D4&lt;&gt;"",D4+1,IF(E4&lt;Parameters!$O$3,"",1))))),"")</f>
        <v/>
      </c>
      <c r="G4" s="56">
        <f>IF(DAY(FebSun1)=1,FebSun1-4,FebSun1+3)</f>
        <v>43495</v>
      </c>
      <c r="H4" s="55" t="str">
        <f>IFERROR(IF(VLOOKUP(G4,Parameters!$D$19:$E$49,2,FALSE)="DayOff","",IF(F4=" "," ",IF(F4=12," ",IF(F4&lt;&gt;"",F4+1,IF(G4&lt;Parameters!$O$3,"",1))))),"")</f>
        <v/>
      </c>
      <c r="I4" s="56">
        <f>IF(DAY(FebSun1)=1,FebSun1-3,FebSun1+4)</f>
        <v>43496</v>
      </c>
      <c r="J4" s="55" t="str">
        <f>IFERROR(IF(VLOOKUP(I4,Parameters!$D$19:$E$49,2,FALSE)="DayOff","",IF(H4=" "," ",IF(H4=12," ",IF(H4&lt;&gt;"",H4+1,IF(I4&lt;Parameters!$O$3,"",1))))),"")</f>
        <v/>
      </c>
      <c r="K4" s="57">
        <f>IF(DAY(FebSun1)=1,FebSun1-2,FebSun1+5)</f>
        <v>43497</v>
      </c>
      <c r="L4" s="55">
        <f>IFERROR(IF(VLOOKUP(K4,Parameters!$D$19:$E$49,2,FALSE)="DayOff","",IF(J4=" "," ",IF(J4=12," ",IF(J4&lt;&gt;"",J4+1,IF(K4&lt;Parameters!$O$3,"",1))))),"")</f>
        <v>1</v>
      </c>
      <c r="M4" s="57">
        <f>IF(DAY(FebSun1)=1,FebSun1-1,FebSun1+6)</f>
        <v>43498</v>
      </c>
      <c r="N4" s="58"/>
      <c r="O4" s="57">
        <f>IF(DAY(FebSun1)=1,FebSun1,FebSun1+7)</f>
        <v>43499</v>
      </c>
      <c r="P4" s="59"/>
      <c r="Q4" s="6"/>
    </row>
    <row r="5" spans="1:17" ht="21.95" customHeight="1" x14ac:dyDescent="0.2">
      <c r="A5" s="5"/>
      <c r="B5" s="70"/>
      <c r="C5" s="32"/>
      <c r="D5" s="33"/>
      <c r="E5" s="44"/>
      <c r="F5" s="46"/>
      <c r="G5" s="44"/>
      <c r="H5" s="46"/>
      <c r="I5" s="44"/>
      <c r="J5" s="46"/>
      <c r="K5" s="44"/>
      <c r="L5" s="46"/>
      <c r="M5" s="44"/>
      <c r="N5" s="46"/>
      <c r="O5" s="44"/>
      <c r="P5" s="45"/>
      <c r="Q5" s="6"/>
    </row>
    <row r="6" spans="1:17" ht="21.95" customHeight="1" x14ac:dyDescent="0.2">
      <c r="A6" s="5"/>
      <c r="B6" s="70"/>
      <c r="C6" s="41">
        <f>IF(DAY(FebSun1)=1,FebSun1+1,FebSun1+8)</f>
        <v>43500</v>
      </c>
      <c r="D6" s="15">
        <f>IFERROR(IF(VLOOKUP(C6,Parameters!$D$19:$E$49,2,FALSE)="DayOff","",IF(L4=" "," ",IF(L4=12," ",IF(L4&lt;&gt;"",L4+1,IF(C6&lt;Parameters!$O$3,"",1))))),"")</f>
        <v>2</v>
      </c>
      <c r="E6" s="43">
        <f>IF(DAY(FebSun1)=1,FebSun1+2,FebSun1+9)</f>
        <v>43501</v>
      </c>
      <c r="F6" s="20">
        <f>IFERROR(IF(VLOOKUP(E6,Parameters!$D$19:$E$49,2,FALSE)="DayOff","",IF(D6=" "," ",IF(D6=12," ",IF(D6&lt;&gt;"",D6+1,IF(E6&lt;Parameters!$O$3,"",1))))),"")</f>
        <v>3</v>
      </c>
      <c r="G6" s="43">
        <f>IF(DAY(FebSun1)=1,FebSun1+3,FebSun1+10)</f>
        <v>43502</v>
      </c>
      <c r="H6" s="20">
        <f>IFERROR(IF(VLOOKUP(G6,Parameters!$D$19:$E$49,2,FALSE)="DayOff","",IF(F6=" "," ",IF(F6=12," ",IF(F6&lt;&gt;"",F6+1,IF(G6&lt;Parameters!$O$3,"",1))))),"")</f>
        <v>4</v>
      </c>
      <c r="I6" s="43">
        <f>IF(DAY(FebSun1)=1,FebSun1+4,FebSun1+11)</f>
        <v>43503</v>
      </c>
      <c r="J6" s="20">
        <f>IFERROR(IF(VLOOKUP(I6,Parameters!$D$19:$E$49,2,FALSE)="DayOff","",IF(H6=" "," ",IF(H6=12," ",IF(H6&lt;&gt;"",H6+1,IF(I6&lt;Parameters!$O$3,"",1))))),"")</f>
        <v>5</v>
      </c>
      <c r="K6" s="49">
        <f>IF(DAY(FebSun1)=1,FebSun1+5,FebSun1+12)</f>
        <v>43504</v>
      </c>
      <c r="L6" s="20">
        <f>IFERROR(IF(VLOOKUP(K6,Parameters!$D$19:$E$49,2,FALSE)="DayOff","",IF(J6=" "," ",IF(J6=12," ",IF(J6&lt;&gt;"",J6+1,IF(K6&lt;Parameters!$O$3,"",1))))),"")</f>
        <v>6</v>
      </c>
      <c r="M6" s="49">
        <f>IF(DAY(FebSun1)=1,FebSun1+6,FebSun1+13)</f>
        <v>43505</v>
      </c>
      <c r="N6" s="9"/>
      <c r="O6" s="49">
        <f>IF(DAY(FebSun1)=1,FebSun1+7,FebSun1+14)</f>
        <v>43506</v>
      </c>
      <c r="P6" s="25"/>
      <c r="Q6" s="6"/>
    </row>
    <row r="7" spans="1:17" ht="21.95" customHeight="1" x14ac:dyDescent="0.2">
      <c r="A7" s="5"/>
      <c r="B7" s="70"/>
      <c r="C7" s="32"/>
      <c r="D7" s="46"/>
      <c r="E7" s="34"/>
      <c r="F7" s="46"/>
      <c r="G7" s="34"/>
      <c r="H7" s="46"/>
      <c r="I7" s="34"/>
      <c r="J7" s="33"/>
      <c r="K7" s="46"/>
      <c r="L7" s="33"/>
      <c r="M7" s="46"/>
      <c r="N7" s="33"/>
      <c r="O7" s="46"/>
      <c r="P7" s="35"/>
      <c r="Q7" s="6"/>
    </row>
    <row r="8" spans="1:17" ht="21.95" customHeight="1" x14ac:dyDescent="0.2">
      <c r="A8" s="5"/>
      <c r="B8" s="70"/>
      <c r="C8" s="41">
        <f>IF(DAY(FebSun1)=1,FebSun1+8,FebSun1+15)</f>
        <v>43507</v>
      </c>
      <c r="D8" s="15">
        <f>IFERROR(IF(VLOOKUP(C8,Parameters!$D$19:$E$49,2,FALSE)="DayOff","",IF(L6=" "," ",IF(L6=12," ",IF(L6&lt;&gt;"",L6+1,IF(C8&lt;Parameters!$O$3,"",1))))),"")</f>
        <v>7</v>
      </c>
      <c r="E8" s="43">
        <f>IF(DAY(FebSun1)=1,FebSun1+9,FebSun1+16)</f>
        <v>43508</v>
      </c>
      <c r="F8" s="20">
        <f>IFERROR(IF(VLOOKUP(E8,Parameters!$D$19:$E$49,2,FALSE)="DayOff","",IF(D8=" "," ",IF(D8=12," ",IF(D8&lt;&gt;"",D8+1,IF(E8&lt;Parameters!$O$3,"",1))))),"")</f>
        <v>8</v>
      </c>
      <c r="G8" s="43">
        <f>IF(DAY(FebSun1)=1,FebSun1+10,FebSun1+17)</f>
        <v>43509</v>
      </c>
      <c r="H8" s="20">
        <f>IFERROR(IF(VLOOKUP(G8,Parameters!$D$19:$E$49,2,FALSE)="DayOff","",IF(F8=" "," ",IF(F8=12," ",IF(F8&lt;&gt;"",F8+1,IF(G8&lt;Parameters!$O$3,"",1))))),"")</f>
        <v>9</v>
      </c>
      <c r="I8" s="43">
        <f>IF(DAY(FebSun1)=1,FebSun1+11,FebSun1+18)</f>
        <v>43510</v>
      </c>
      <c r="J8" s="20">
        <f>IFERROR(IF(VLOOKUP(I8,Parameters!$D$19:$E$49,2,FALSE)="DayOff","",IF(H8=" "," ",IF(H8=12," ",IF(H8&lt;&gt;"",H8+1,IF(I8&lt;Parameters!$O$3,"",1))))),"")</f>
        <v>10</v>
      </c>
      <c r="K8" s="49">
        <f>IF(DAY(FebSun1)=1,FebSun1+12,FebSun1+19)</f>
        <v>43511</v>
      </c>
      <c r="L8" s="20">
        <f>IFERROR(IF(VLOOKUP(K8,Parameters!$D$19:$E$49,2,FALSE)="DayOff","",IF(J8=" "," ",IF(J8=12," ",IF(J8&lt;&gt;"",J8+1,IF(K8&lt;Parameters!$O$3,"",1))))),"")</f>
        <v>11</v>
      </c>
      <c r="M8" s="49">
        <f>IF(DAY(FebSun1)=1,FebSun1+13,FebSun1+20)</f>
        <v>43512</v>
      </c>
      <c r="N8" s="9"/>
      <c r="O8" s="49">
        <f>IF(DAY(FebSun1)=1,FebSun1+14,FebSun1+21)</f>
        <v>43513</v>
      </c>
      <c r="P8" s="25"/>
      <c r="Q8" s="6"/>
    </row>
    <row r="9" spans="1:17" ht="21.95" customHeight="1" x14ac:dyDescent="0.2">
      <c r="A9" s="5"/>
      <c r="B9" s="70"/>
      <c r="C9" s="32"/>
      <c r="D9" s="46"/>
      <c r="E9" s="34"/>
      <c r="F9" s="46"/>
      <c r="G9" s="34"/>
      <c r="H9" s="46"/>
      <c r="I9" s="34"/>
      <c r="J9" s="33"/>
      <c r="K9" s="46"/>
      <c r="L9" s="33"/>
      <c r="M9" s="46"/>
      <c r="N9" s="33"/>
      <c r="O9" s="46"/>
      <c r="P9" s="35"/>
      <c r="Q9" s="6"/>
    </row>
    <row r="10" spans="1:17" ht="21.95" customHeight="1" x14ac:dyDescent="0.2">
      <c r="A10" s="5"/>
      <c r="B10" s="70"/>
      <c r="C10" s="42">
        <f>IF(DAY(FebSun1)=1,FebSun1+15,FebSun1+22)</f>
        <v>43514</v>
      </c>
      <c r="D10" s="15">
        <f>IFERROR(IF(VLOOKUP(C10,Parameters!$D$19:$E$49,2,FALSE)="DayOff","",IF(L8=" "," ",IF(L8=12," ",IF(L8&lt;&gt;"",L8+1,IF(C10&lt;Parameters!$O$3,"",1))))),"")</f>
        <v>12</v>
      </c>
      <c r="E10" s="43">
        <f>IF(DAY(FebSun1)=1,FebSun1+16,FebSun1+23)</f>
        <v>43515</v>
      </c>
      <c r="F10" s="20" t="str">
        <f>IFERROR(IF(VLOOKUP(E10,Parameters!$D$19:$E$49,2,FALSE)="DayOff","",IF(D10=" "," ",IF(D10=12," ",IF(D10&lt;&gt;"",D10+1,IF(E10&lt;Parameters!$O$3,"",1))))),"")</f>
        <v xml:space="preserve"> </v>
      </c>
      <c r="G10" s="43">
        <f>IF(DAY(FebSun1)=1,FebSun1+17,FebSun1+24)</f>
        <v>43516</v>
      </c>
      <c r="H10" s="20" t="str">
        <f>IFERROR(IF(VLOOKUP(G10,Parameters!$D$19:$E$49,2,FALSE)="DayOff","",IF(F10=" "," ",IF(F10=12," ",IF(F10&lt;&gt;"",F10+1,IF(G10&lt;Parameters!$O$3,"",1))))),"")</f>
        <v xml:space="preserve"> </v>
      </c>
      <c r="I10" s="43">
        <f>IF(DAY(FebSun1)=1,FebSun1+18,FebSun1+25)</f>
        <v>43517</v>
      </c>
      <c r="J10" s="20" t="str">
        <f>IFERROR(IF(VLOOKUP(I10,Parameters!$D$19:$E$49,2,FALSE)="DayOff","",IF(H10=" "," ",IF(H10=12," ",IF(H10&lt;&gt;"",H10+1,IF(I10&lt;Parameters!$O$3,"",1))))),"")</f>
        <v xml:space="preserve"> </v>
      </c>
      <c r="K10" s="49">
        <f>IF(DAY(FebSun1)=1,FebSun1+19,FebSun1+26)</f>
        <v>43518</v>
      </c>
      <c r="L10" s="20" t="str">
        <f>IFERROR(IF(VLOOKUP(K10,Parameters!$D$19:$E$49,2,FALSE)="DayOff","",IF(J10=" "," ",IF(J10=12," ",IF(J10&lt;&gt;"",J10+1,IF(K10&lt;Parameters!$O$3,"",1))))),"")</f>
        <v xml:space="preserve"> </v>
      </c>
      <c r="M10" s="49">
        <f>IF(DAY(FebSun1)=1,FebSun1+20,FebSun1+27)</f>
        <v>43519</v>
      </c>
      <c r="N10" s="20"/>
      <c r="O10" s="49">
        <f>IF(DAY(FebSun1)=1,FebSun1+21,FebSun1+28)</f>
        <v>43520</v>
      </c>
      <c r="P10" s="25"/>
      <c r="Q10" s="6"/>
    </row>
    <row r="11" spans="1:17" ht="21.95" customHeight="1" x14ac:dyDescent="0.2">
      <c r="A11" s="5"/>
      <c r="B11" s="70"/>
      <c r="C11" s="32"/>
      <c r="D11" s="46"/>
      <c r="E11" s="63" t="s">
        <v>26</v>
      </c>
      <c r="F11" s="46"/>
      <c r="G11" s="34"/>
      <c r="H11" s="46"/>
      <c r="I11" s="34"/>
      <c r="J11" s="33"/>
      <c r="K11" s="46"/>
      <c r="L11" s="33"/>
      <c r="M11" s="46"/>
      <c r="N11" s="33"/>
      <c r="O11" s="46"/>
      <c r="P11" s="35"/>
      <c r="Q11" s="6"/>
    </row>
    <row r="12" spans="1:17" ht="21.95" customHeight="1" x14ac:dyDescent="0.2">
      <c r="A12" s="5"/>
      <c r="B12" s="70"/>
      <c r="C12" s="41">
        <f>IF(DAY(FebSun1)=1,FebSun1+22,FebSun1+29)</f>
        <v>43521</v>
      </c>
      <c r="D12" s="15" t="str">
        <f>IFERROR(IF(VLOOKUP(C12,Parameters!$D$19:$E$49,2,FALSE)="DayOff","",IF(L10=" "," ",IF(L10=12," ",IF(L10&lt;&gt;"",L10+1,IF(C12&lt;Parameters!$O$3,"",1))))),"")</f>
        <v xml:space="preserve"> </v>
      </c>
      <c r="E12" s="40">
        <f>IF(DAY(FebSun1)=1,FebSun1+23,FebSun1+30)</f>
        <v>43522</v>
      </c>
      <c r="F12" s="20" t="str">
        <f>IFERROR(IF(VLOOKUP(E12,Parameters!$D$19:$E$49,2,FALSE)="DayOff","",IF(D12=" "," ",IF(D12=12," ",IF(D12&lt;&gt;"",D12+1,IF(E12&lt;Parameters!$O$3,"",1))))),"")</f>
        <v xml:space="preserve"> </v>
      </c>
      <c r="G12" s="40">
        <f>IF(DAY(FebSun1)=1,FebSun1+24,FebSun1+31)</f>
        <v>43523</v>
      </c>
      <c r="H12" s="20" t="str">
        <f>IFERROR(IF(VLOOKUP(G12,Parameters!$D$19:$E$49,2,FALSE)="DayOff","",IF(F12=" "," ",IF(F12=12," ",IF(F12&lt;&gt;"",F12+1,IF(G12&lt;Parameters!$O$3,"",1))))),"")</f>
        <v xml:space="preserve"> </v>
      </c>
      <c r="I12" s="40">
        <f>IF(DAY(FebSun1)=1,FebSun1+25,FebSun1+32)</f>
        <v>43524</v>
      </c>
      <c r="J12" s="20" t="str">
        <f>IFERROR(IF(VLOOKUP(I12,Parameters!$D$19:$E$49,2,FALSE)="DayOff","",IF(H12=" "," ",IF(H12=12," ",IF(H12&lt;&gt;"",H12+1,IF(I12&lt;Parameters!$O$3,"",1))))),"")</f>
        <v xml:space="preserve"> </v>
      </c>
      <c r="K12" s="43">
        <f>IF(DAY(FebSun1)=1,FebSun1+26,FebSun1+33)</f>
        <v>43525</v>
      </c>
      <c r="L12" s="20" t="str">
        <f>IFERROR(IF(VLOOKUP(K12,Parameters!$D$19:$E$49,2,FALSE)="DayOff","",IF(J12=" "," ",IF(J12=12," ",IF(J12&lt;&gt;"",J12+1,IF(K12&lt;Parameters!$O$3,"",1))))),"")</f>
        <v/>
      </c>
      <c r="M12" s="49">
        <f>IF(DAY(FebSun1)=1,FebSun1+27,FebSun1+34)</f>
        <v>43526</v>
      </c>
      <c r="N12" s="20"/>
      <c r="O12" s="49">
        <f>IF(DAY(FebSun1)=1,FebSun1+28,FebSun1+35)</f>
        <v>43527</v>
      </c>
      <c r="P12" s="25"/>
      <c r="Q12" s="6"/>
    </row>
    <row r="13" spans="1:17" ht="21.95" customHeight="1" x14ac:dyDescent="0.2">
      <c r="A13" s="5"/>
      <c r="B13" s="70"/>
      <c r="C13" s="32"/>
      <c r="D13" s="46"/>
      <c r="E13" s="34"/>
      <c r="F13" s="46"/>
      <c r="G13" s="34"/>
      <c r="H13" s="46"/>
      <c r="I13" s="34"/>
      <c r="J13" s="33"/>
      <c r="K13" s="34"/>
      <c r="L13" s="33"/>
      <c r="M13" s="46"/>
      <c r="N13" s="33"/>
      <c r="O13" s="46"/>
      <c r="P13" s="35"/>
      <c r="Q13" s="6"/>
    </row>
    <row r="14" spans="1:17" ht="21.95" customHeight="1" x14ac:dyDescent="0.2">
      <c r="A14" s="5"/>
      <c r="B14" s="70"/>
      <c r="C14" s="41">
        <f>IF(DAY(FebSun1)=1,FebSun1+29,FebSun1+36)</f>
        <v>43528</v>
      </c>
      <c r="D14" s="15" t="str">
        <f>IFERROR(IF(VLOOKUP(C14,Parameters!$D$19:$E$49,2,FALSE)="DayOff","",IF(L12=" "," ",IF(L12=12," ",IF(L12&lt;&gt;"",L12+1,IF(C14&lt;Parameters!$O$3,"",1))))),"")</f>
        <v/>
      </c>
      <c r="E14" s="40">
        <f>IF(DAY(FebSun1)=1,FebSun1+30,FebSun1+37)</f>
        <v>43529</v>
      </c>
      <c r="F14" s="20" t="str">
        <f>IFERROR(IF(VLOOKUP(E14,Parameters!$D$19:$E$49,2,FALSE)="DayOff","",IF(D14=" "," ",IF(D14=12," ",IF(D14&lt;&gt;"",D14+1,IF(E14&lt;Parameters!$O$3,"",1))))),"")</f>
        <v/>
      </c>
      <c r="G14" s="40">
        <f>IF(DAY(FebSun1)=1,FebSun1+31,FebSun1+38)</f>
        <v>43530</v>
      </c>
      <c r="H14" s="20" t="str">
        <f>IFERROR(IF(VLOOKUP(G14,Parameters!$D$19:$E$49,2,FALSE)="DayOff","",IF(F14=" "," ",IF(F14=12," ",IF(F14&lt;&gt;"",F14+1,IF(G14&lt;Parameters!$O$3,"",1))))),"")</f>
        <v/>
      </c>
      <c r="I14" s="40">
        <f>IF(DAY(FebSun1)=1,FebSun1+32,FebSun1+39)</f>
        <v>43531</v>
      </c>
      <c r="J14" s="20" t="str">
        <f>IFERROR(IF(VLOOKUP(I14,Parameters!$D$19:$E$49,2,FALSE)="DayOff","",IF(H14=" "," ",IF(H14=12," ",IF(H14&lt;&gt;"",H14+1,IF(I14&lt;Parameters!$O$3,"",1))))),"")</f>
        <v/>
      </c>
      <c r="K14" s="48">
        <f>IF(DAY(FebSun1)=1,FebSun1+33,FebSun1+40)</f>
        <v>43532</v>
      </c>
      <c r="L14" s="20" t="str">
        <f>IFERROR(IF(VLOOKUP(K14,Parameters!$D$19:$E$49,2,FALSE)="DayOff","",IF(J14=" "," ",IF(J14=12," ",IF(J14&lt;&gt;"",J14+1,IF(K14&lt;Parameters!$O$3,"",1))))),"")</f>
        <v/>
      </c>
      <c r="M14" s="43">
        <f>IF(DAY(FebSun1)=1,FebSun1+34,FebSun1+41)</f>
        <v>43533</v>
      </c>
      <c r="N14" s="20"/>
      <c r="O14" s="49">
        <f>IF(DAY(FebSun1)=1,FebSun1+35,FebSun1+42)</f>
        <v>43534</v>
      </c>
      <c r="P14" s="25"/>
      <c r="Q14" s="6"/>
    </row>
    <row r="15" spans="1:17" ht="21.95" customHeight="1" thickBot="1" x14ac:dyDescent="0.25">
      <c r="A15" s="5"/>
      <c r="B15" s="70"/>
      <c r="C15" s="36"/>
      <c r="D15" s="47"/>
      <c r="E15" s="38"/>
      <c r="F15" s="47"/>
      <c r="G15" s="38"/>
      <c r="H15" s="47"/>
      <c r="I15" s="38"/>
      <c r="J15" s="37"/>
      <c r="K15" s="47"/>
      <c r="L15" s="47"/>
      <c r="M15" s="38"/>
      <c r="N15" s="37"/>
      <c r="O15" s="47"/>
      <c r="P15" s="3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4 E4 G4 I4 K4 M4:N4 C5:N5">
    <cfRule type="expression" dxfId="65" priority="4" stopIfTrue="1">
      <formula>DAY(C4)&gt;8</formula>
    </cfRule>
  </conditionalFormatting>
  <conditionalFormatting sqref="C13:O13 C12 M12 K12 I12 G12 C15:O15 C14 G14 I14 K14 M14 E12 E14 O12 O14">
    <cfRule type="expression" dxfId="64" priority="3" stopIfTrue="1">
      <formula>AND(DAY(C12)&gt;=1,DAY(C12)&lt;=15)</formula>
    </cfRule>
  </conditionalFormatting>
  <conditionalFormatting sqref="C4 E4 G4 I4 K4 M4:O4 C7:O7 C6 E6 G6 I6 K6 M6:O6 C9:O9 C8 M8:O8 K8 I8 G8 C11:O11 C10 G10 I10 K10 M10 C13:O13 C12 M12 K12 I12 G12 C14 G14 I14 K14 M14 E8 E10 E12 E14 O10 C5:O5 O12 O14">
    <cfRule type="expression" dxfId="63" priority="5">
      <formula>VLOOKUP(DAY(C4),AssignmentDays,1,FALSE)=DAY(C4)</formula>
    </cfRule>
  </conditionalFormatting>
  <conditionalFormatting sqref="O5">
    <cfRule type="expression" dxfId="62" priority="1" stopIfTrue="1">
      <formula>DAY(O5)&gt;8</formula>
    </cfRule>
  </conditionalFormatting>
  <printOptions horizontalCentered="1"/>
  <pageMargins left="0.5" right="0.5" top="0.5" bottom="0.5" header="0.3" footer="0.3"/>
  <pageSetup scale="68" orientation="landscape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7"/>
  <sheetViews>
    <sheetView showGridLines="0" topLeftCell="A2" zoomScale="90" zoomScaleNormal="90" zoomScalePageLayoutView="84" workbookViewId="0">
      <selection activeCell="F8" sqref="F8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9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  <c r="S1" s="6"/>
    </row>
    <row r="2" spans="1:19" ht="18" customHeight="1" thickBot="1" x14ac:dyDescent="0.25">
      <c r="A2" s="5"/>
      <c r="B2" s="70" t="str">
        <f>" MARCH "&amp;Parameters!B14</f>
        <v xml:space="preserve"> MARCH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  <c r="S2" s="6"/>
    </row>
    <row r="3" spans="1:19" ht="21.95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  <c r="R3" s="6"/>
      <c r="S3" s="6"/>
    </row>
    <row r="4" spans="1:19" ht="21.95" customHeight="1" x14ac:dyDescent="0.2">
      <c r="A4" s="5"/>
      <c r="B4" s="70"/>
      <c r="C4" s="41">
        <f>IF(DAY(MarSun1)=1,MarSun1-6,MarSun1+1)</f>
        <v>43521</v>
      </c>
      <c r="D4" s="20" t="str">
        <f>IFERROR(IF(VLOOKUP(C4,Parameters!$F$19:$G$49,2,FALSE)="DayOff","",IF(C4&lt;Parameters!$O$4,"",1)),"")</f>
        <v/>
      </c>
      <c r="E4" s="40">
        <f>IF(DAY(MarSun1)=1,MarSun1-5,MarSun1+2)</f>
        <v>43522</v>
      </c>
      <c r="F4" s="20" t="str">
        <f>IFERROR(IF(VLOOKUP(E4,Parameters!$F$19:$G$49,2,FALSE)="DayOff","",IF(D4=" "," ",IF(D4=12," ",IF(D4&lt;&gt;"",D4+1,IF(E4&lt;Parameters!$O$4,"",1))))),"")</f>
        <v/>
      </c>
      <c r="G4" s="40">
        <f>IF(DAY(MarSun1)=1,MarSun1-4,MarSun1+3)</f>
        <v>43523</v>
      </c>
      <c r="H4" s="20" t="str">
        <f>IFERROR(IF(VLOOKUP(G4,Parameters!$F$19:$G$49,2,FALSE)="DayOff","",IF(F4=" "," ",IF(F4=12," ",IF(F4&lt;&gt;"",F4+1,IF(G4&lt;Parameters!$O$4,"",1))))),"")</f>
        <v/>
      </c>
      <c r="I4" s="40">
        <f>IF(DAY(MarSun1)=1,MarSun1-3,MarSun1+4)</f>
        <v>43524</v>
      </c>
      <c r="J4" s="20" t="str">
        <f>IFERROR(IF(VLOOKUP(I4,Parameters!$F$19:$G$49,2,FALSE)="DayOff","",IF(H4=" "," ",IF(H4=12," ",IF(H4&lt;&gt;"",H4+1,IF(I4&lt;Parameters!$O$4,"",1))))),"")</f>
        <v/>
      </c>
      <c r="K4" s="40">
        <f>IF(DAY(MarSun1)=1,MarSun1-2,MarSun1+5)</f>
        <v>43525</v>
      </c>
      <c r="L4" s="20">
        <f>IFERROR(IF(VLOOKUP(K4,Parameters!$F$19:$G$49,2,FALSE)="DayOff","",IF(J4=" "," ",IF(J4=12," ",IF(J4&lt;&gt;"",J4+1,IF(K4&lt;Parameters!$O$4,"",1))))),"")</f>
        <v>1</v>
      </c>
      <c r="M4" s="40">
        <f>IF(DAY(MarSun1)=1,MarSun1-1,MarSun1+6)</f>
        <v>43526</v>
      </c>
      <c r="N4" s="13"/>
      <c r="O4" s="48">
        <f>IF(DAY(MarSun1)=1,MarSun1,MarSun1+7)</f>
        <v>43527</v>
      </c>
      <c r="P4" s="22"/>
      <c r="Q4" s="6"/>
      <c r="R4" s="6"/>
      <c r="S4" s="6"/>
    </row>
    <row r="5" spans="1:19" ht="21.95" customHeight="1" x14ac:dyDescent="0.2">
      <c r="A5" s="5"/>
      <c r="B5" s="70"/>
      <c r="C5" s="64"/>
      <c r="D5" s="65"/>
      <c r="E5" s="44"/>
      <c r="F5" s="46"/>
      <c r="G5" s="44"/>
      <c r="H5" s="46"/>
      <c r="I5" s="44"/>
      <c r="J5" s="46"/>
      <c r="K5" s="44"/>
      <c r="L5" s="46"/>
      <c r="M5" s="44"/>
      <c r="N5" s="66"/>
      <c r="O5" s="46"/>
      <c r="P5" s="35"/>
      <c r="Q5" s="6"/>
      <c r="R5" s="6"/>
      <c r="S5" s="6"/>
    </row>
    <row r="6" spans="1:19" ht="21.95" customHeight="1" x14ac:dyDescent="0.2">
      <c r="A6" s="5"/>
      <c r="B6" s="70"/>
      <c r="C6" s="42">
        <f>IF(DAY(MarSun1)=1,MarSun1+1,MarSun1+8)</f>
        <v>43528</v>
      </c>
      <c r="D6" s="15">
        <f>IFERROR(IF(VLOOKUP(C6,Parameters!$F$19:$G$49,2,FALSE)="DayOff","",IF(L4=" "," ",IF(L4=12," ",IF(L4&lt;&gt;"",L4+1,IF(C6&lt;Parameters!$O$4,"",1))))),"")</f>
        <v>2</v>
      </c>
      <c r="E6" s="43">
        <f>IF(DAY(MarSun1)=1,MarSun1+2,MarSun1+9)</f>
        <v>43529</v>
      </c>
      <c r="F6" s="20">
        <f>IFERROR(IF(VLOOKUP(E6,Parameters!$F$19:$G$49,2,FALSE)="DayOff","",IF(D6=" "," ",IF(D6=12," ",IF(D6&lt;&gt;"",D6+1,IF(E6&lt;Parameters!$O$4,"",1))))),"")</f>
        <v>3</v>
      </c>
      <c r="G6" s="43">
        <f>IF(DAY(MarSun1)=1,MarSun1+3,MarSun1+10)</f>
        <v>43530</v>
      </c>
      <c r="H6" s="20">
        <f>IFERROR(IF(VLOOKUP(G6,Parameters!$F$19:$G$49,2,FALSE)="DayOff","",IF(F6=" "," ",IF(F6=12," ",IF(F6&lt;&gt;"",F6+1,IF(G6&lt;Parameters!$O$4,"",1))))),"")</f>
        <v>4</v>
      </c>
      <c r="I6" s="43">
        <f>IF(DAY(MarSun1)=1,MarSun1+4,MarSun1+11)</f>
        <v>43531</v>
      </c>
      <c r="J6" s="20">
        <f>IFERROR(IF(VLOOKUP(I6,Parameters!$F$19:$G$49,2,FALSE)="DayOff","",IF(H6=" "," ",IF(H6=12," ",IF(H6&lt;&gt;"",H6+1,IF(I6&lt;Parameters!$O$4,"",1))))),"")</f>
        <v>5</v>
      </c>
      <c r="K6" s="43">
        <f>IF(DAY(MarSun1)=1,MarSun1+5,MarSun1+12)</f>
        <v>43532</v>
      </c>
      <c r="L6" s="20">
        <f>IFERROR(IF(VLOOKUP(K6,Parameters!$F$19:$G$49,2,FALSE)="DayOff","",IF(J6=" "," ",IF(J6=12," ",IF(J6&lt;&gt;"",J6+1,IF(K6&lt;Parameters!$O$4,"",1))))),"")</f>
        <v>6</v>
      </c>
      <c r="M6" s="49">
        <f>IF(DAY(MarSun1)=1,MarSun1+6,MarSun1+13)</f>
        <v>43533</v>
      </c>
      <c r="N6" s="9"/>
      <c r="O6" s="49">
        <f>IF(DAY(MarSun1)=1,MarSun1+7,MarSun1+14)</f>
        <v>43534</v>
      </c>
      <c r="P6" s="25"/>
      <c r="Q6" s="6"/>
      <c r="R6" s="6"/>
      <c r="S6" s="6"/>
    </row>
    <row r="7" spans="1:19" ht="21.95" customHeight="1" x14ac:dyDescent="0.2">
      <c r="A7" s="5"/>
      <c r="B7" s="70"/>
      <c r="C7" s="64"/>
      <c r="D7" s="65"/>
      <c r="E7" s="44"/>
      <c r="F7" s="46"/>
      <c r="G7" s="44"/>
      <c r="H7" s="46"/>
      <c r="I7" s="44"/>
      <c r="J7" s="46"/>
      <c r="K7" s="44"/>
      <c r="L7" s="46"/>
      <c r="M7" s="44"/>
      <c r="N7" s="33"/>
      <c r="O7" s="46"/>
      <c r="P7" s="35"/>
      <c r="Q7" s="6"/>
      <c r="R7" s="6"/>
      <c r="S7" s="6"/>
    </row>
    <row r="8" spans="1:19" ht="21.95" customHeight="1" x14ac:dyDescent="0.2">
      <c r="A8" s="5"/>
      <c r="B8" s="70"/>
      <c r="C8" s="42">
        <f>IF(DAY(MarSun1)=1,MarSun1+8,MarSun1+15)</f>
        <v>43535</v>
      </c>
      <c r="D8" s="15">
        <f>IFERROR(IF(VLOOKUP(C8,Parameters!$F$19:$G$49,2,FALSE)="DayOff","",IF(L6=" "," ",IF(L6=12," ",IF(L6&lt;&gt;"",L6+1,IF(C8&lt;Parameters!$O$4,"",1))))),"")</f>
        <v>7</v>
      </c>
      <c r="E8" s="43">
        <f>IF(DAY(MarSun1)=1,MarSun1+9,MarSun1+16)</f>
        <v>43536</v>
      </c>
      <c r="F8" s="20">
        <f>IFERROR(IF(VLOOKUP(E8,Parameters!$F$19:$G$49,2,FALSE)="DayOff","",IF(D8=" "," ",IF(D8=12," ",IF(D8&lt;&gt;"",D8+1,IF(E8&lt;Parameters!$O$4,"",1))))),"")</f>
        <v>8</v>
      </c>
      <c r="G8" s="43">
        <f>IF(DAY(MarSun1)=1,MarSun1+10,MarSun1+17)</f>
        <v>43537</v>
      </c>
      <c r="H8" s="20">
        <f>IFERROR(IF(VLOOKUP(G8,Parameters!$F$19:$G$49,2,FALSE)="DayOff","",IF(F8=" "," ",IF(F8=12," ",IF(F8&lt;&gt;"",F8+1,IF(G8&lt;Parameters!$O$4,"",1))))),"")</f>
        <v>9</v>
      </c>
      <c r="I8" s="43">
        <f>IF(DAY(MarSun1)=1,MarSun1+11,MarSun1+18)</f>
        <v>43538</v>
      </c>
      <c r="J8" s="20">
        <f>IFERROR(IF(VLOOKUP(I8,Parameters!$F$19:$G$49,2,FALSE)="DayOff","",IF(H8=" "," ",IF(H8=12," ",IF(H8&lt;&gt;"",H8+1,IF(I8&lt;Parameters!$O$4,"",1))))),"")</f>
        <v>10</v>
      </c>
      <c r="K8" s="49">
        <f>IF(DAY(MarSun1)=1,MarSun1+12,MarSun1+19)</f>
        <v>43539</v>
      </c>
      <c r="L8" s="20">
        <f>IFERROR(IF(VLOOKUP(K8,Parameters!$F$19:$G$49,2,FALSE)="DayOff","",IF(J8=" "," ",IF(J8=12," ",IF(J8&lt;&gt;"",J8+1,IF(K8&lt;Parameters!$O$4,"",1))))),"")</f>
        <v>11</v>
      </c>
      <c r="M8" s="49">
        <f>IF(DAY(MarSun1)=1,MarSun1+13,MarSun1+20)</f>
        <v>43540</v>
      </c>
      <c r="N8" s="9"/>
      <c r="O8" s="49">
        <f>IF(DAY(MarSun1)=1,MarSun1+14,MarSun1+21)</f>
        <v>43541</v>
      </c>
      <c r="P8" s="25"/>
      <c r="Q8" s="6"/>
      <c r="R8" s="6"/>
      <c r="S8" s="6"/>
    </row>
    <row r="9" spans="1:19" ht="21.95" customHeight="1" x14ac:dyDescent="0.2">
      <c r="A9" s="5"/>
      <c r="B9" s="70"/>
      <c r="C9" s="32"/>
      <c r="D9" s="46"/>
      <c r="E9" s="34"/>
      <c r="F9" s="46"/>
      <c r="G9" s="34"/>
      <c r="H9" s="46"/>
      <c r="I9" s="34"/>
      <c r="J9" s="46"/>
      <c r="K9" s="44"/>
      <c r="L9" s="46"/>
      <c r="M9" s="44"/>
      <c r="N9" s="33"/>
      <c r="O9" s="46"/>
      <c r="P9" s="35"/>
      <c r="Q9" s="6"/>
      <c r="R9" s="6"/>
      <c r="S9" s="6"/>
    </row>
    <row r="10" spans="1:19" ht="21.95" customHeight="1" x14ac:dyDescent="0.2">
      <c r="A10" s="5"/>
      <c r="B10" s="70"/>
      <c r="C10" s="42">
        <f>IF(DAY(MarSun1)=1,MarSun1+15,MarSun1+22)</f>
        <v>43542</v>
      </c>
      <c r="D10" s="15">
        <f>IFERROR(IF(VLOOKUP(C10,Parameters!$F$19:$G$49,2,FALSE)="DayOff","",IF(L8=" "," ",IF(L8=12," ",IF(L8&lt;&gt;"",L8+1,IF(C10&lt;Parameters!$O$4,"",1))))),"")</f>
        <v>12</v>
      </c>
      <c r="E10" s="43">
        <f>IF(DAY(MarSun1)=1,MarSun1+16,MarSun1+23)</f>
        <v>43543</v>
      </c>
      <c r="F10" s="20" t="str">
        <f>IFERROR(IF(VLOOKUP(E10,Parameters!$F$19:$G$49,2,FALSE)="DayOff","",IF(D10=" "," ",IF(D10=12," ",IF(D10&lt;&gt;"",D10+1,IF(E10&lt;Parameters!$O$4,"",1))))),"")</f>
        <v xml:space="preserve"> </v>
      </c>
      <c r="G10" s="43">
        <f>IF(DAY(MarSun1)=1,MarSun1+17,MarSun1+24)</f>
        <v>43544</v>
      </c>
      <c r="H10" s="20" t="str">
        <f>IFERROR(IF(VLOOKUP(G10,Parameters!$F$19:$G$49,2,FALSE)="DayOff","",IF(F10=" "," ",IF(F10=12," ",IF(F10&lt;&gt;"",F10+1,IF(G10&lt;Parameters!$O$4,"",1))))),"")</f>
        <v xml:space="preserve"> </v>
      </c>
      <c r="I10" s="43">
        <f>IF(DAY(MarSun1)=1,MarSun1+18,MarSun1+25)</f>
        <v>43545</v>
      </c>
      <c r="J10" s="20" t="str">
        <f>IFERROR(IF(VLOOKUP(I10,Parameters!$F$19:$G$49,2,FALSE)="DayOff","",IF(H10=" "," ",IF(H10=12," ",IF(H10&lt;&gt;"",H10+1,IF(I10&lt;Parameters!$O$4,"",1))))),"")</f>
        <v xml:space="preserve"> </v>
      </c>
      <c r="K10" s="49">
        <f>IF(DAY(MarSun1)=1,MarSun1+19,MarSun1+26)</f>
        <v>43546</v>
      </c>
      <c r="L10" s="20" t="str">
        <f>IFERROR(IF(VLOOKUP(K10,Parameters!$F$19:$G$49,2,FALSE)="DayOff","",IF(J10=" "," ",IF(J10=12," ",IF(J10&lt;&gt;"",J10+1,IF(K10&lt;Parameters!$O$4,"",1))))),"")</f>
        <v xml:space="preserve"> </v>
      </c>
      <c r="M10" s="49">
        <f>IF(DAY(MarSun1)=1,MarSun1+20,MarSun1+27)</f>
        <v>43547</v>
      </c>
      <c r="N10" s="9"/>
      <c r="O10" s="49">
        <f>IF(DAY(MarSun1)=1,MarSun1+21,MarSun1+28)</f>
        <v>43548</v>
      </c>
      <c r="P10" s="25"/>
      <c r="Q10" s="6"/>
      <c r="R10" s="6"/>
      <c r="S10" s="6"/>
    </row>
    <row r="11" spans="1:19" ht="21.95" customHeight="1" x14ac:dyDescent="0.2">
      <c r="A11" s="5"/>
      <c r="B11" s="70"/>
      <c r="C11" s="32"/>
      <c r="D11" s="46"/>
      <c r="E11" s="34"/>
      <c r="F11" s="46"/>
      <c r="G11" s="34"/>
      <c r="H11" s="46"/>
      <c r="I11" s="63" t="s">
        <v>26</v>
      </c>
      <c r="J11" s="33"/>
      <c r="K11" s="46"/>
      <c r="L11" s="33"/>
      <c r="M11" s="46"/>
      <c r="N11" s="33"/>
      <c r="O11" s="46"/>
      <c r="P11" s="35"/>
      <c r="Q11" s="6"/>
      <c r="R11" s="6"/>
      <c r="S11" s="6"/>
    </row>
    <row r="12" spans="1:19" ht="21.95" customHeight="1" x14ac:dyDescent="0.2">
      <c r="A12" s="5"/>
      <c r="B12" s="70"/>
      <c r="C12" s="42">
        <f>IF(DAY(MarSun1)=1,MarSun1+22,MarSun1+29)</f>
        <v>43549</v>
      </c>
      <c r="D12" s="15" t="str">
        <f>IFERROR(IF(VLOOKUP(C12,Parameters!$F$19:$G$49,2,FALSE)="DayOff","",IF(L10=" "," ",IF(L10=12," ",IF(L10&lt;&gt;"",L10+1,IF(C12&lt;Parameters!$O$4,"",1))))),"")</f>
        <v xml:space="preserve"> </v>
      </c>
      <c r="E12" s="60">
        <f>IF(DAY(MarSun1)=1,MarSun1+23,MarSun1+30)</f>
        <v>43550</v>
      </c>
      <c r="F12" s="20" t="str">
        <f>IFERROR(IF(VLOOKUP(E12,Parameters!$F$19:$G$49,2,FALSE)="DayOff","",IF(D12=" "," ",IF(D12=12," ",IF(D12&lt;&gt;"",D12+1,IF(E12&lt;Parameters!$O$4,"",1))))),"")</f>
        <v xml:space="preserve"> </v>
      </c>
      <c r="G12" s="43">
        <f>IF(DAY(MarSun1)=1,MarSun1+24,MarSun1+31)</f>
        <v>43551</v>
      </c>
      <c r="H12" s="20" t="str">
        <f>IFERROR(IF(VLOOKUP(G12,Parameters!$F$19:$G$49,2,FALSE)="DayOff","",IF(F12=" "," ",IF(F12=12," ",IF(F12&lt;&gt;"",F12+1,IF(G12&lt;Parameters!$O$4,"",1))))),"")</f>
        <v xml:space="preserve"> </v>
      </c>
      <c r="I12" s="40">
        <f>IF(DAY(MarSun1)=1,MarSun1+25,MarSun1+32)</f>
        <v>43552</v>
      </c>
      <c r="J12" s="20" t="str">
        <f>IFERROR(IF(VLOOKUP(I12,Parameters!$F$19:$G$49,2,FALSE)="DayOff","",IF(H12=" "," ",IF(H12=12," ",IF(H12&lt;&gt;"",H12+1,IF(I12&lt;Parameters!$O$4,"",1))))),"")</f>
        <v xml:space="preserve"> </v>
      </c>
      <c r="K12" s="43">
        <f>IF(DAY(MarSun1)=1,MarSun1+26,MarSun1+33)</f>
        <v>43553</v>
      </c>
      <c r="L12" s="20" t="str">
        <f>IFERROR(IF(VLOOKUP(K12,Parameters!$F$19:$G$49,2,FALSE)="DayOff","",IF(J12=" "," ",IF(J12=12," ",IF(J12&lt;&gt;"",J12+1,IF(K12&lt;Parameters!$O$4,"",1))))),"")</f>
        <v xml:space="preserve"> </v>
      </c>
      <c r="M12" s="49">
        <f>IF(DAY(MarSun1)=1,MarSun1+27,MarSun1+34)</f>
        <v>43554</v>
      </c>
      <c r="N12" s="9"/>
      <c r="O12" s="49">
        <f>IF(DAY(MarSun1)=1,MarSun1+28,MarSun1+35)</f>
        <v>43555</v>
      </c>
      <c r="P12" s="25"/>
      <c r="Q12" s="6"/>
      <c r="R12" s="6"/>
      <c r="S12" s="6"/>
    </row>
    <row r="13" spans="1:19" ht="21.95" customHeight="1" x14ac:dyDescent="0.2">
      <c r="A13" s="5"/>
      <c r="B13" s="70"/>
      <c r="C13" s="32"/>
      <c r="D13" s="46"/>
      <c r="E13" s="34"/>
      <c r="F13" s="46"/>
      <c r="G13" s="34"/>
      <c r="H13" s="46"/>
      <c r="I13" s="34"/>
      <c r="J13" s="33"/>
      <c r="K13" s="34"/>
      <c r="L13" s="33"/>
      <c r="M13" s="46"/>
      <c r="N13" s="33"/>
      <c r="O13" s="46"/>
      <c r="P13" s="35"/>
      <c r="Q13" s="6"/>
      <c r="R13" s="6"/>
      <c r="S13" s="6"/>
    </row>
    <row r="14" spans="1:19" ht="21.95" customHeight="1" x14ac:dyDescent="0.2">
      <c r="A14" s="5"/>
      <c r="B14" s="70"/>
      <c r="C14" s="42">
        <f>IF(DAY(MarSun1)=1,MarSun1+29,MarSun1+36)</f>
        <v>43556</v>
      </c>
      <c r="D14" s="15" t="str">
        <f>IFERROR(IF(VLOOKUP(C14,Parameters!$F$19:$G$49,2,FALSE)="DayOff","",IF(L12=" "," ",IF(L12=12," ",IF(L12&lt;&gt;"",L12+1,IF(C14&lt;Parameters!$O$4,"",1))))),"")</f>
        <v/>
      </c>
      <c r="E14" s="43">
        <f>IF(DAY(MarSun1)=1,MarSun1+30,MarSun1+37)</f>
        <v>43557</v>
      </c>
      <c r="F14" s="20" t="str">
        <f>IFERROR(IF(VLOOKUP(E14,Parameters!$F$19:$G$49,2,FALSE)="DayOff","",IF(D14=" "," ",IF(D14=12," ",IF(D14&lt;&gt;"",D14+1,IF(E14&lt;Parameters!$O$4,"",1))))),"")</f>
        <v/>
      </c>
      <c r="G14" s="40">
        <f>IF(DAY(MarSun1)=1,MarSun1+31,MarSun1+38)</f>
        <v>43558</v>
      </c>
      <c r="H14" s="20" t="str">
        <f>IFERROR(IF(VLOOKUP(G14,Parameters!$F$19:$G$49,2,FALSE)="DayOff","",IF(F14=" "," ",IF(F14=12," ",IF(F14&lt;&gt;"",F14+1,IF(G14&lt;Parameters!$O$4,"",1))))),"")</f>
        <v/>
      </c>
      <c r="I14" s="40">
        <f>IF(DAY(MarSun1)=1,MarSun1+32,MarSun1+39)</f>
        <v>43559</v>
      </c>
      <c r="J14" s="20" t="str">
        <f>IFERROR(IF(VLOOKUP(I14,Parameters!$F$19:$G$49,2,FALSE)="DayOff","",IF(H14=" "," ",IF(H14=12," ",IF(H14&lt;&gt;"",H14+1,IF(I14&lt;Parameters!$O$4,"",1))))),"")</f>
        <v/>
      </c>
      <c r="K14" s="40">
        <f>IF(DAY(MarSun1)=1,MarSun1+33,MarSun1+40)</f>
        <v>43560</v>
      </c>
      <c r="L14" s="20" t="str">
        <f>IFERROR(IF(VLOOKUP(K14,Parameters!$F$19:$G$49,2,FALSE)="DayOff","",IF(J14=" "," ",IF(J14=12," ",IF(J14&lt;&gt;"",J14+1,IF(K14&lt;Parameters!$O$4,"",1))))),"")</f>
        <v/>
      </c>
      <c r="M14" s="43">
        <f>IF(DAY(MarSun1)=1,MarSun1+34,MarSun1+41)</f>
        <v>43561</v>
      </c>
      <c r="N14" s="9"/>
      <c r="O14" s="49">
        <f>IF(DAY(MarSun1)=1,MarSun1+35,MarSun1+42)</f>
        <v>43562</v>
      </c>
      <c r="P14" s="25"/>
      <c r="Q14" s="6"/>
      <c r="R14" s="6"/>
      <c r="S14" s="6"/>
    </row>
    <row r="15" spans="1:19" ht="21.95" customHeight="1" thickBot="1" x14ac:dyDescent="0.25">
      <c r="A15" s="5"/>
      <c r="B15" s="70"/>
      <c r="C15" s="36"/>
      <c r="D15" s="47"/>
      <c r="E15" s="38"/>
      <c r="F15" s="47"/>
      <c r="G15" s="38"/>
      <c r="H15" s="47"/>
      <c r="I15" s="38"/>
      <c r="J15" s="37"/>
      <c r="K15" s="38"/>
      <c r="L15" s="37"/>
      <c r="M15" s="38"/>
      <c r="N15" s="37"/>
      <c r="O15" s="47"/>
      <c r="P15" s="39"/>
      <c r="Q15" s="6"/>
      <c r="R15" s="6"/>
      <c r="S15" s="6"/>
    </row>
    <row r="16" spans="1:19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  <c r="S16" s="6"/>
    </row>
    <row r="17" spans="1:19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  <c r="S17" s="6"/>
    </row>
  </sheetData>
  <sheetProtection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61" priority="4" stopIfTrue="1">
      <formula>DAY(C4)&gt;8</formula>
    </cfRule>
  </conditionalFormatting>
  <conditionalFormatting sqref="C13:O13 C12 G12 I12 K12 M12:O12 C15:O15 C14 M14:O14 K14 I14 G14 E14 E12">
    <cfRule type="expression" dxfId="60" priority="3" stopIfTrue="1">
      <formula>AND(DAY(C12)&gt;=1,DAY(C12)&lt;=15)</formula>
    </cfRule>
  </conditionalFormatting>
  <conditionalFormatting sqref="C4 E4 G4 I4 K4 M4:O4 C6 M6:O6 K6 I6 G6 C8 G8 I8 K8 M8:O8 C11:H11 C10 M10:O10 K10 I10 G10 C13:O13 C12 G12 I12 K12 M12:O12 C14 M14:O14 K14 I14 G14 E14 E12 E10 E8 E6 C5:O5 C7:O7 C9:O9 J11:O11">
    <cfRule type="expression" dxfId="59" priority="5">
      <formula>VLOOKUP(DAY(C4),AssignmentDays,1,FALSE)=DAY(C4)</formula>
    </cfRule>
  </conditionalFormatting>
  <conditionalFormatting sqref="I11">
    <cfRule type="expression" dxfId="58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6"/>
  <sheetViews>
    <sheetView showGridLines="0" topLeftCell="A2" zoomScale="90" zoomScaleNormal="90" zoomScalePageLayoutView="84" workbookViewId="0">
      <selection activeCell="L5" sqref="L5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0" t="str">
        <f>" APRIL "&amp;Parameters!B14</f>
        <v xml:space="preserve"> APRIL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  <c r="R3" s="6"/>
    </row>
    <row r="4" spans="1:18" ht="21.95" customHeight="1" x14ac:dyDescent="0.2">
      <c r="A4" s="5"/>
      <c r="B4" s="70"/>
      <c r="C4" s="41">
        <f>IF(DAY(AprSun1)=1,AprSun1-6,AprSun1+1)</f>
        <v>43556</v>
      </c>
      <c r="D4" s="20">
        <f>IFERROR(IF(VLOOKUP(C4,Parameters!$H$19:$I$49,2,FALSE)="DayOff","",IF(C4&lt;Parameters!$O$5,"",1)),"")</f>
        <v>1</v>
      </c>
      <c r="E4" s="40">
        <f>IF(DAY(AprSun1)=1,AprSun1-5,AprSun1+2)</f>
        <v>43557</v>
      </c>
      <c r="F4" s="20" t="str">
        <f>IFERROR(IF(VLOOKUP(E4,Parameters!$H$19:$I$49,2,FALSE)="DayOff","",IF(D4=" "," ",IF(D4=12," ",IF(D4&lt;&gt;"",D4+1,IF(E4&lt;Parameters!$O$5,"",1))))),"")</f>
        <v/>
      </c>
      <c r="G4" s="40">
        <f>IF(DAY(AprSun1)=1,AprSun1-4,AprSun1+3)</f>
        <v>43558</v>
      </c>
      <c r="H4" s="20">
        <f>IFERROR(IF(G4=Parameters!H21,April!D4+1,IF(VLOOKUP(G4,Parameters!$H$19:$I$49,2,FALSE)="DayOff","",IF(F4=" "," ",IF(F4=12," ",IF(F4&lt;&gt;"",F4+1,IF(G4&lt;Parameters!$O$5,"",1)))))),"")</f>
        <v>2</v>
      </c>
      <c r="I4" s="40">
        <f>IF(DAY(AprSun1)=1,AprSun1-3,AprSun1+4)</f>
        <v>43559</v>
      </c>
      <c r="J4" s="20">
        <f>IFERROR(IF(I4=Parameters!J21,April!F4+1,IF(VLOOKUP(I4,Parameters!$H$19:$I$49,2,FALSE)="DayOff","",IF(H4=" "," ",IF(H4=12," ",IF(H4&lt;&gt;"",H4+1,IF(I4&lt;Parameters!$O$5,"",1)))))),"")</f>
        <v>3</v>
      </c>
      <c r="K4" s="40">
        <f>IF(DAY(AprSun1)=1,AprSun1-2,AprSun1+5)</f>
        <v>43560</v>
      </c>
      <c r="L4" s="20">
        <f>IFERROR(IF(K4=Parameters!L21,April!H4+1,IF(VLOOKUP(K4,Parameters!$H$19:$I$49,2,FALSE)="DayOff","",IF(J4=" "," ",IF(J4=12," ",IF(J4&lt;&gt;"",J4+1,IF(K4&lt;Parameters!$O$5,"",1)))))),"")</f>
        <v>4</v>
      </c>
      <c r="M4" s="40">
        <f>IF(DAY(AprSun1)=1,AprSun1-1,AprSun1+6)</f>
        <v>43561</v>
      </c>
      <c r="N4" s="13"/>
      <c r="O4" s="48">
        <f>IF(DAY(AprSun1)=1,AprSun1,AprSun1+7)</f>
        <v>43562</v>
      </c>
      <c r="P4" s="22"/>
      <c r="Q4" s="6"/>
      <c r="R4" s="6"/>
    </row>
    <row r="5" spans="1:18" ht="21.95" customHeight="1" x14ac:dyDescent="0.2">
      <c r="A5" s="5"/>
      <c r="B5" s="70"/>
      <c r="C5" s="64"/>
      <c r="D5" s="65"/>
      <c r="E5" s="44"/>
      <c r="F5" s="46"/>
      <c r="G5" s="44"/>
      <c r="H5" s="46"/>
      <c r="I5" s="44"/>
      <c r="J5" s="46"/>
      <c r="K5" s="44"/>
      <c r="L5" s="46"/>
      <c r="M5" s="44"/>
      <c r="N5" s="66"/>
      <c r="O5" s="46"/>
      <c r="P5" s="35"/>
      <c r="Q5" s="6"/>
      <c r="R5" s="6"/>
    </row>
    <row r="6" spans="1:18" ht="21.95" customHeight="1" x14ac:dyDescent="0.2">
      <c r="A6" s="5"/>
      <c r="B6" s="70"/>
      <c r="C6" s="42">
        <f>IF(DAY(AprSun1)=1,AprSun1+1,AprSun1+8)</f>
        <v>43563</v>
      </c>
      <c r="D6" s="15">
        <f>IFERROR(IF(C6=Parameters!H21,April!J4,IF(VLOOKUP(C6,Parameters!$H$19:$I$49,2,FALSE)="DayOff","",IF(L4=" "," ",IF(L4=12," ",IF(L4&lt;&gt;"",L4+1,IF(C6&lt;Parameters!$O$5,"",1)))))),"")</f>
        <v>5</v>
      </c>
      <c r="E6" s="43">
        <f>IF(DAY(AprSun1)=1,AprSun1+2,AprSun1+9)</f>
        <v>43564</v>
      </c>
      <c r="F6" s="20">
        <f>IFERROR(IF(E6=Parameters!F23,April!L4+1,IF(VLOOKUP(E6,Parameters!$H$19:$I$49,2,FALSE)="DayOff","",IF(D6=" "," ",IF(D6=12," ",IF(D6&lt;&gt;"",D6+1,IF(E6&lt;Parameters!$O$5,"",1)))))),"")</f>
        <v>6</v>
      </c>
      <c r="G6" s="43">
        <f>IF(DAY(AprSun1)=1,AprSun1+3,AprSun1+10)</f>
        <v>43565</v>
      </c>
      <c r="H6" s="20">
        <f>IFERROR(IF(G6=Parameters!H23,April!D6+1,IF(VLOOKUP(G6,Parameters!$H$19:$I$49,2,FALSE)="DayOff","",IF(F6=" "," ",IF(F6=12," ",IF(F6&lt;&gt;"",F6+1,IF(G6&lt;Parameters!$O$5,"",1)))))),"")</f>
        <v>7</v>
      </c>
      <c r="I6" s="43">
        <f>IF(DAY(AprSun1)=1,AprSun1+4,AprSun1+11)</f>
        <v>43566</v>
      </c>
      <c r="J6" s="20">
        <f>IFERROR(IF(I6=Parameters!J23,April!F6+1,IF(VLOOKUP(I6,Parameters!$H$19:$I$49,2,FALSE)="DayOff","",IF(H6=" "," ",IF(H6=12," ",IF(H6&lt;&gt;"",H6+1,IF(I6&lt;Parameters!$O$5,"",1)))))),"")</f>
        <v>8</v>
      </c>
      <c r="K6" s="43">
        <f>IF(DAY(AprSun1)=1,AprSun1+5,AprSun1+12)</f>
        <v>43567</v>
      </c>
      <c r="L6" s="20">
        <f>IFERROR(IF(K6=Parameters!L23,April!H6+1,IF(VLOOKUP(K6,Parameters!$H$19:$I$49,2,FALSE)="DayOff","",IF(J6=" "," ",IF(J6=12," ",IF(J6&lt;&gt;"",J6+1,IF(K6&lt;Parameters!$O$5,"",1)))))),"")</f>
        <v>9</v>
      </c>
      <c r="M6" s="49">
        <f>IF(DAY(AprSun1)=1,AprSun1+6,AprSun1+13)</f>
        <v>43568</v>
      </c>
      <c r="N6" s="9"/>
      <c r="O6" s="49">
        <f>IF(DAY(AprSun1)=1,AprSun1+7,AprSun1+14)</f>
        <v>43569</v>
      </c>
      <c r="P6" s="25"/>
      <c r="Q6" s="6"/>
      <c r="R6" s="6"/>
    </row>
    <row r="7" spans="1:18" ht="21.95" customHeight="1" x14ac:dyDescent="0.2">
      <c r="A7" s="5"/>
      <c r="B7" s="70"/>
      <c r="C7" s="64"/>
      <c r="D7" s="65"/>
      <c r="E7" s="44"/>
      <c r="F7" s="46"/>
      <c r="G7" s="44"/>
      <c r="H7" s="46"/>
      <c r="I7" s="44"/>
      <c r="J7" s="46"/>
      <c r="K7" s="44"/>
      <c r="L7" s="46"/>
      <c r="M7" s="44"/>
      <c r="N7" s="33"/>
      <c r="O7" s="46"/>
      <c r="P7" s="35"/>
      <c r="Q7" s="6"/>
      <c r="R7" s="6"/>
    </row>
    <row r="8" spans="1:18" ht="21.95" customHeight="1" x14ac:dyDescent="0.2">
      <c r="A8" s="5"/>
      <c r="B8" s="70"/>
      <c r="C8" s="42">
        <f>IF(DAY(AprSun1)=1,AprSun1+8,AprSun1+15)</f>
        <v>43570</v>
      </c>
      <c r="D8" s="15">
        <f>IFERROR(IF(C8=Parameters!H23,April!J6,IF(VLOOKUP(C8,Parameters!$H$19:$I$49,2,FALSE)="DayOff","",IF(L6=" "," ",IF(L6=12," ",IF(L6&lt;&gt;"",L6+1,IF(C8&lt;Parameters!$O$5,"",1)))))),"")</f>
        <v>10</v>
      </c>
      <c r="E8" s="43">
        <f>IF(DAY(AprSun1)=1,AprSun1+9,AprSun1+16)</f>
        <v>43571</v>
      </c>
      <c r="F8" s="20">
        <f>IFERROR(IF(E8=Parameters!F25,April!L6+1,IF(VLOOKUP(E8,Parameters!$H$19:$I$49,2,FALSE)="DayOff","",IF(D8=" "," ",IF(D8=12," ",IF(D8&lt;&gt;"",D8+1,IF(E8&lt;Parameters!$O$5,"",1)))))),"")</f>
        <v>11</v>
      </c>
      <c r="G8" s="43">
        <f>IF(DAY(AprSun1)=1,AprSun1+10,AprSun1+17)</f>
        <v>43572</v>
      </c>
      <c r="H8" s="20">
        <f>IFERROR(IF(G8=Parameters!H25,April!D8+1,IF(VLOOKUP(G8,Parameters!$H$19:$I$49,2,FALSE)="DayOff","",IF(F8=" "," ",IF(F8=12," ",IF(F8&lt;&gt;"",F8+1,IF(G8&lt;Parameters!$O$5,"",1)))))),"")</f>
        <v>12</v>
      </c>
      <c r="I8" s="43">
        <f>IF(DAY(AprSun1)=1,AprSun1+11,AprSun1+18)</f>
        <v>43573</v>
      </c>
      <c r="J8" s="20" t="str">
        <f>IFERROR(IF(I8=Parameters!J25,April!F8+1,IF(VLOOKUP(I8,Parameters!$H$19:$I$49,2,FALSE)="DayOff","",IF(H8=" "," ",IF(H8=12," ",IF(H8&lt;&gt;"",H8+1,IF(I8&lt;Parameters!$O$5,"",1)))))),"")</f>
        <v xml:space="preserve"> </v>
      </c>
      <c r="K8" s="49">
        <f>IF(DAY(AprSun1)=1,AprSun1+12,AprSun1+19)</f>
        <v>43574</v>
      </c>
      <c r="L8" s="20" t="str">
        <f>IFERROR(IF(K8=Parameters!L25,April!H8+1,IF(VLOOKUP(K8,Parameters!$H$19:$I$49,2,FALSE)="DayOff","",IF(J8=" "," ",IF(J8=12," ",IF(J8&lt;&gt;"",J8+1,IF(K8&lt;Parameters!$O$5,"",1)))))),"")</f>
        <v xml:space="preserve"> </v>
      </c>
      <c r="M8" s="49">
        <f>IF(DAY(AprSun1)=1,AprSun1+13,AprSun1+20)</f>
        <v>43575</v>
      </c>
      <c r="N8" s="9"/>
      <c r="O8" s="49">
        <f>IF(DAY(AprSun1)=1,AprSun1+14,AprSun1+21)</f>
        <v>43576</v>
      </c>
      <c r="P8" s="25"/>
      <c r="Q8" s="6"/>
      <c r="R8" s="6"/>
    </row>
    <row r="9" spans="1:18" ht="21.95" customHeight="1" x14ac:dyDescent="0.2">
      <c r="A9" s="5"/>
      <c r="B9" s="70"/>
      <c r="C9" s="32"/>
      <c r="D9" s="46"/>
      <c r="E9" s="34"/>
      <c r="F9" s="46"/>
      <c r="G9" s="34"/>
      <c r="H9" s="46"/>
      <c r="I9" s="34"/>
      <c r="J9" s="46"/>
      <c r="K9" s="44"/>
      <c r="L9" s="46"/>
      <c r="M9" s="44"/>
      <c r="N9" s="33"/>
      <c r="O9" s="46"/>
      <c r="P9" s="35"/>
      <c r="Q9" s="6"/>
      <c r="R9" s="6"/>
    </row>
    <row r="10" spans="1:18" ht="21.95" customHeight="1" x14ac:dyDescent="0.2">
      <c r="A10" s="5"/>
      <c r="B10" s="70"/>
      <c r="C10" s="42">
        <f>IF(DAY(AprSun1)=1,AprSun1+15,AprSun1+22)</f>
        <v>43577</v>
      </c>
      <c r="D10" s="15" t="str">
        <f>IFERROR(IF(C10=Parameters!H25,April!J8,IF(VLOOKUP(C10,Parameters!$H$19:$I$49,2,FALSE)="DayOff","",IF(L8=" "," ",IF(L8=12," ",IF(L8&lt;&gt;"",L8+1,IF(C10&lt;Parameters!$O$5,"",1)))))),"")</f>
        <v xml:space="preserve"> </v>
      </c>
      <c r="E10" s="43">
        <f>IF(DAY(AprSun1)=1,AprSun1+16,AprSun1+23)</f>
        <v>43578</v>
      </c>
      <c r="F10" s="20" t="str">
        <f>IFERROR(IF(E10=Parameters!F27,April!L8+1,IF(VLOOKUP(E10,Parameters!$H$19:$I$49,2,FALSE)="DayOff","",IF(D10=" "," ",IF(D10=12," ",IF(D10&lt;&gt;"",D10+1,IF(E10&lt;Parameters!$O$5,"",1)))))),"")</f>
        <v xml:space="preserve"> </v>
      </c>
      <c r="G10" s="43">
        <f>IF(DAY(AprSun1)=1,AprSun1+17,AprSun1+24)</f>
        <v>43579</v>
      </c>
      <c r="H10" s="20" t="str">
        <f>IFERROR(IF(G10=Parameters!H27,April!D10+1,IF(VLOOKUP(G10,Parameters!$H$19:$I$49,2,FALSE)="DayOff","",IF(F10=" "," ",IF(F10=12," ",IF(F10&lt;&gt;"",F10+1,IF(G10&lt;Parameters!$O$5,"",1)))))),"")</f>
        <v xml:space="preserve"> </v>
      </c>
      <c r="I10" s="43">
        <f>IF(DAY(AprSun1)=1,AprSun1+18,AprSun1+25)</f>
        <v>43580</v>
      </c>
      <c r="J10" s="20" t="str">
        <f>IFERROR(IF(I10=Parameters!J27,April!F10+1,IF(VLOOKUP(I10,Parameters!$H$19:$I$49,2,FALSE)="DayOff","",IF(H10=" "," ",IF(H10=12," ",IF(H10&lt;&gt;"",H10+1,IF(I10&lt;Parameters!$O$5,"",1)))))),"")</f>
        <v xml:space="preserve"> </v>
      </c>
      <c r="K10" s="49">
        <f>IF(DAY(AprSun1)=1,AprSun1+19,AprSun1+26)</f>
        <v>43581</v>
      </c>
      <c r="L10" s="20" t="str">
        <f>IFERROR(IF(K10=Parameters!L27,April!H10+1,IF(VLOOKUP(K10,Parameters!$H$19:$I$49,2,FALSE)="DayOff","",IF(J10=" "," ",IF(J10=12," ",IF(J10&lt;&gt;"",J10+1,IF(K10&lt;Parameters!$O$5,"",1)))))),"")</f>
        <v xml:space="preserve"> </v>
      </c>
      <c r="M10" s="49">
        <f>IF(DAY(AprSun1)=1,AprSun1+20,AprSun1+27)</f>
        <v>43582</v>
      </c>
      <c r="N10" s="9"/>
      <c r="O10" s="49">
        <f>IF(DAY(AprSun1)=1,AprSun1+21,AprSun1+28)</f>
        <v>43583</v>
      </c>
      <c r="P10" s="25"/>
      <c r="Q10" s="6"/>
      <c r="R10" s="6"/>
    </row>
    <row r="11" spans="1:18" ht="21.95" customHeight="1" x14ac:dyDescent="0.2">
      <c r="A11" s="5"/>
      <c r="B11" s="70"/>
      <c r="C11" s="32"/>
      <c r="D11" s="46"/>
      <c r="E11" s="34"/>
      <c r="F11" s="46"/>
      <c r="G11" s="34"/>
      <c r="H11" s="46"/>
      <c r="I11" s="63" t="s">
        <v>26</v>
      </c>
      <c r="J11" s="33"/>
      <c r="K11" s="46"/>
      <c r="L11" s="33"/>
      <c r="M11" s="46"/>
      <c r="N11" s="33"/>
      <c r="O11" s="46"/>
      <c r="P11" s="35"/>
      <c r="Q11" s="6"/>
      <c r="R11" s="6"/>
    </row>
    <row r="12" spans="1:18" ht="21.95" customHeight="1" x14ac:dyDescent="0.2">
      <c r="A12" s="5"/>
      <c r="B12" s="70"/>
      <c r="C12" s="42">
        <f>IF(DAY(AprSun1)=1,AprSun1+22,AprSun1+29)</f>
        <v>43584</v>
      </c>
      <c r="D12" s="15" t="str">
        <f>IFERROR(IF(C12=Parameters!H27,April!J10,IF(VLOOKUP(C12,Parameters!$H$19:$I$49,2,FALSE)="DayOff","",IF(L10=" "," ",IF(L10=12," ",IF(L10&lt;&gt;"",L10+1,IF(C12&lt;Parameters!$O$5,"",1)))))),"")</f>
        <v xml:space="preserve"> </v>
      </c>
      <c r="E12" s="60">
        <f>IF(DAY(AprSun1)=1,AprSun1+23,AprSun1+30)</f>
        <v>43585</v>
      </c>
      <c r="F12" s="20" t="str">
        <f>IFERROR(IF(E12=Parameters!F29,April!L10+1,IF(VLOOKUP(E12,Parameters!$H$19:$I$49,2,FALSE)="DayOff","",IF(D12=" "," ",IF(D12=12," ",IF(D12&lt;&gt;"",D12+1,IF(E12&lt;Parameters!$O$5,"",1)))))),"")</f>
        <v xml:space="preserve"> </v>
      </c>
      <c r="G12" s="43">
        <f>IF(DAY(AprSun1)=1,AprSun1+24,AprSun1+31)</f>
        <v>43586</v>
      </c>
      <c r="H12" s="20" t="str">
        <f>IFERROR(IF(G12=Parameters!H29,April!D12+1,IF(VLOOKUP(G12,Parameters!$H$19:$I$49,2,FALSE)="DayOff","",IF(F12=" "," ",IF(F12=12," ",IF(F12&lt;&gt;"",F12+1,IF(G12&lt;Parameters!$O$5,"",1)))))),"")</f>
        <v/>
      </c>
      <c r="I12" s="40">
        <f>IF(DAY(AprSun1)=1,AprSun1+25,AprSun1+32)</f>
        <v>43587</v>
      </c>
      <c r="J12" s="20" t="str">
        <f>IFERROR(IF(I12=Parameters!J29,April!F12+1,IF(VLOOKUP(I12,Parameters!$H$19:$I$49,2,FALSE)="DayOff","",IF(H12=" "," ",IF(H12=12," ",IF(H12&lt;&gt;"",H12+1,IF(I12&lt;Parameters!$O$5,"",1)))))),"")</f>
        <v/>
      </c>
      <c r="K12" s="43">
        <f>IF(DAY(AprSun1)=1,AprSun1+26,AprSun1+33)</f>
        <v>43588</v>
      </c>
      <c r="L12" s="20" t="str">
        <f>IFERROR(IF(K12=Parameters!L29,April!H12+1,IF(VLOOKUP(K12,Parameters!$H$19:$I$49,2,FALSE)="DayOff","",IF(J12=" "," ",IF(J12=12," ",IF(J12&lt;&gt;"",J12+1,IF(K12&lt;Parameters!$O$5,"",1)))))),"")</f>
        <v/>
      </c>
      <c r="M12" s="49">
        <f>IF(DAY(AprSun1)=1,AprSun1+27,AprSun1+34)</f>
        <v>43589</v>
      </c>
      <c r="N12" s="9"/>
      <c r="O12" s="49">
        <f>IF(DAY(AprSun1)=1,AprSun1+28,AprSun1+35)</f>
        <v>43590</v>
      </c>
      <c r="P12" s="25"/>
      <c r="Q12" s="6"/>
      <c r="R12" s="6"/>
    </row>
    <row r="13" spans="1:18" ht="21.95" customHeight="1" x14ac:dyDescent="0.2">
      <c r="A13" s="5"/>
      <c r="B13" s="70"/>
      <c r="C13" s="32"/>
      <c r="D13" s="46"/>
      <c r="E13" s="34"/>
      <c r="F13" s="46"/>
      <c r="G13" s="34"/>
      <c r="H13" s="46"/>
      <c r="I13" s="34"/>
      <c r="J13" s="33"/>
      <c r="K13" s="34"/>
      <c r="L13" s="33"/>
      <c r="M13" s="46"/>
      <c r="N13" s="33"/>
      <c r="O13" s="46"/>
      <c r="P13" s="35"/>
      <c r="Q13" s="6"/>
      <c r="R13" s="6"/>
    </row>
    <row r="14" spans="1:18" ht="21.95" customHeight="1" x14ac:dyDescent="0.2">
      <c r="A14" s="5"/>
      <c r="B14" s="70"/>
      <c r="C14" s="42">
        <f>IF(DAY(AprSun1)=1,AprSun1+29,AprSun1+36)</f>
        <v>43591</v>
      </c>
      <c r="D14" s="15" t="str">
        <f>IFERROR(IF(C14=Parameters!H29,April!J12,IF(VLOOKUP(C14,Parameters!$H$19:$I$49,2,FALSE)="DayOff","",IF(L12=" "," ",IF(L12=12," ",IF(L12&lt;&gt;"",L12+1,IF(C14&lt;Parameters!$O$5,"",1)))))),"")</f>
        <v/>
      </c>
      <c r="E14" s="43">
        <f>IF(DAY(AprSun1)=1,AprSun1+30,AprSun1+37)</f>
        <v>43592</v>
      </c>
      <c r="F14" s="20" t="str">
        <f>IFERROR(IF(E14=Parameters!F31,April!L12+1,IF(VLOOKUP(E14,Parameters!$H$19:$I$49,2,FALSE)="DayOff","",IF(D14=" "," ",IF(D14=12," ",IF(D14&lt;&gt;"",D14+1,IF(E14&lt;Parameters!$O$5,"",1)))))),"")</f>
        <v/>
      </c>
      <c r="G14" s="40">
        <f>IF(DAY(AprSun1)=1,AprSun1+31,AprSun1+38)</f>
        <v>43593</v>
      </c>
      <c r="H14" s="20" t="str">
        <f>IFERROR(IF(G14=Parameters!H31,April!D14+1,IF(VLOOKUP(G14,Parameters!$H$19:$I$49,2,FALSE)="DayOff","",IF(F14=" "," ",IF(F14=12," ",IF(F14&lt;&gt;"",F14+1,IF(G14&lt;Parameters!$O$5,"",1)))))),"")</f>
        <v/>
      </c>
      <c r="I14" s="40">
        <f>IF(DAY(AprSun1)=1,AprSun1+32,AprSun1+39)</f>
        <v>43594</v>
      </c>
      <c r="J14" s="20" t="str">
        <f>IFERROR(IF(I14=Parameters!J31,April!F14+1,IF(VLOOKUP(I14,Parameters!$H$19:$I$49,2,FALSE)="DayOff","",IF(H14=" "," ",IF(H14=12," ",IF(H14&lt;&gt;"",H14+1,IF(I14&lt;Parameters!$O$5,"",1)))))),"")</f>
        <v/>
      </c>
      <c r="K14" s="40">
        <f>IF(DAY(AprSun1)=1,AprSun1+33,AprSun1+40)</f>
        <v>43595</v>
      </c>
      <c r="L14" s="20" t="str">
        <f>IFERROR(IF(K14=Parameters!L31,April!H14+1,IF(VLOOKUP(K14,Parameters!$H$19:$I$49,2,FALSE)="DayOff","",IF(J14=" "," ",IF(J14=12," ",IF(J14&lt;&gt;"",J14+1,IF(K14&lt;Parameters!$O$5,"",1)))))),"")</f>
        <v/>
      </c>
      <c r="M14" s="43">
        <f>IF(DAY(AprSun1)=1,AprSun1+34,AprSun1+41)</f>
        <v>43596</v>
      </c>
      <c r="N14" s="9"/>
      <c r="O14" s="49">
        <f>IF(DAY(AprSun1)=1,AprSun1+35,AprSun1+42)</f>
        <v>43597</v>
      </c>
      <c r="P14" s="25"/>
      <c r="Q14" s="6"/>
      <c r="R14" s="6"/>
    </row>
    <row r="15" spans="1:18" ht="18" customHeight="1" thickBot="1" x14ac:dyDescent="0.25">
      <c r="A15" s="5"/>
      <c r="B15" s="70"/>
      <c r="C15" s="36"/>
      <c r="D15" s="47"/>
      <c r="E15" s="38"/>
      <c r="F15" s="47"/>
      <c r="G15" s="38"/>
      <c r="H15" s="47"/>
      <c r="I15" s="38"/>
      <c r="J15" s="37"/>
      <c r="K15" s="38"/>
      <c r="L15" s="37"/>
      <c r="M15" s="38"/>
      <c r="N15" s="37"/>
      <c r="O15" s="47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</sheetData>
  <sheetProtection password="CC6F" sheet="1" objects="1" scenarios="1"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57" priority="3" stopIfTrue="1">
      <formula>DAY(C4)&gt;8</formula>
    </cfRule>
  </conditionalFormatting>
  <conditionalFormatting sqref="C13:O13 C12 G12 I12 K12 M12:O12 C15:O15 C14 M14:O14 K14 I14 G14 E14 E12">
    <cfRule type="expression" dxfId="56" priority="2" stopIfTrue="1">
      <formula>AND(DAY(C12)&gt;=1,DAY(C12)&lt;=15)</formula>
    </cfRule>
  </conditionalFormatting>
  <conditionalFormatting sqref="C4 E4 G4 I4 K4 M4:O4 C6 M6:O6 K6 I6 G6 C8 G8 I8 K8 M8:O8 C11:H11 C10 M10:O10 K10 I10 G10 C13:O13 C12 G12 I12 K12 M12:O12 C14 M14:O14 K14 I14 G14 E14 E12 E10 E8 E6 C5:O5 C7:O7 C9:O9 J11:O11">
    <cfRule type="expression" dxfId="55" priority="4">
      <formula>VLOOKUP(DAY(C4),AssignmentDays,1,FALSE)=DAY(C4)</formula>
    </cfRule>
  </conditionalFormatting>
  <conditionalFormatting sqref="I11">
    <cfRule type="expression" dxfId="54" priority="1">
      <formula>VLOOKUP(DAY(I11),AssignmentDays,1,FALSE)=DAY(I11)</formula>
    </cfRule>
  </conditionalFormatting>
  <printOptions horizontalCentered="1"/>
  <pageMargins left="0.5" right="0.5" top="0.5" bottom="0.5" header="0.3" footer="0.3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P16"/>
  <sheetViews>
    <sheetView showGridLines="0" tabSelected="1" topLeftCell="A2" zoomScale="90" zoomScaleNormal="90" zoomScalePageLayoutView="84" workbookViewId="0">
      <selection activeCell="E7" sqref="E7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3" width="8.85546875" customWidth="1"/>
    <col min="43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0" t="str">
        <f>" MAY "&amp;Parameters!B14</f>
        <v xml:space="preserve"> MAY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.95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</row>
    <row r="4" spans="1:17" ht="21.95" customHeight="1" x14ac:dyDescent="0.2">
      <c r="A4" s="5"/>
      <c r="B4" s="70"/>
      <c r="C4" s="41">
        <f>IF(DAY(MaySun1)=1,MaySun1-6,MaySun1+1)</f>
        <v>43584</v>
      </c>
      <c r="D4" s="20" t="str">
        <f>IFERROR(IF(VLOOKUP(C4,Parameters!$J$19:$K$49,2,FALSE)="DayOff","",IF(C4&lt;Parameters!$O$6,"",1)),"")</f>
        <v/>
      </c>
      <c r="E4" s="40">
        <f>IF(DAY(MaySun1)=1,MaySun1-5,MaySun1+2)</f>
        <v>43585</v>
      </c>
      <c r="F4" s="15" t="str">
        <f>IFERROR(IF(OR(E4=Parameters!$J$27,E4=Parameters!$J$29,E4=Parameters!$J$40),L2+1,IF(VLOOKUP(E4,Parameters!$J$19:$K$49,2,FALSE)="DayOff","",IF(D4=" "," ",IF(D4=12," ",IF(D4&lt;&gt;"",D4+1,IF(E4&lt;Parameters!$O$6,"",1)))))),"")</f>
        <v/>
      </c>
      <c r="G4" s="40">
        <f>IF(DAY(MaySun1)=1,MaySun1-4,MaySun1+3)</f>
        <v>43586</v>
      </c>
      <c r="H4" s="15" t="str">
        <f>IFERROR(IF(OR(G4=Parameters!$J$27,G4=Parameters!$J$29,G4=Parameters!$J$40),D4+1,IF(VLOOKUP(G4,Parameters!$J$19:$K$49,2,FALSE)="DayOff","",IF(F4=" "," ",IF(F4=12," ",IF(F4&lt;&gt;"",F4+1,IF(G4&lt;Parameters!$O$6,"",1)))))),"")</f>
        <v/>
      </c>
      <c r="I4" s="40">
        <f>IF(DAY(MaySun1)=1,MaySun1-3,MaySun1+4)</f>
        <v>43587</v>
      </c>
      <c r="J4" s="15">
        <f>IFERROR(IF(OR(I4=Parameters!$J$27,I4=Parameters!$J$29,I4=Parameters!$J$40),F4+1,IF(VLOOKUP(I4,Parameters!$J$19:$K$49,2,FALSE)="DayOff","",IF(H4=" "," ",IF(H4=12," ",IF(H4&lt;&gt;"",H4+1,IF(I4&lt;Parameters!$O$6,"",1)))))),"")</f>
        <v>1</v>
      </c>
      <c r="K4" s="40">
        <f>IF(DAY(MaySun1)=1,MaySun1-2,MaySun1+5)</f>
        <v>43588</v>
      </c>
      <c r="L4" s="15">
        <f>IFERROR(IF(OR(K4=Parameters!$J$27,K4=Parameters!$J$29,K4=Parameters!$J$40),H4+1,IF(VLOOKUP(K4,Parameters!$J$19:$K$49,2,FALSE)="DayOff","",IF(J4=" "," ",IF(J4=12," ",IF(J4&lt;&gt;"",J4+1,IF(K4&lt;Parameters!$O$6,"",1)))))),"")</f>
        <v>2</v>
      </c>
      <c r="M4" s="40">
        <f>IF(DAY(MaySun1)=1,MaySun1-1,MaySun1+6)</f>
        <v>43589</v>
      </c>
      <c r="N4" s="13"/>
      <c r="O4" s="48">
        <f>IF(DAY(MaySun1)=1,MaySun1,MaySun1+7)</f>
        <v>43590</v>
      </c>
      <c r="P4" s="22"/>
      <c r="Q4" s="6"/>
    </row>
    <row r="5" spans="1:17" ht="21.95" customHeight="1" x14ac:dyDescent="0.2">
      <c r="A5" s="5"/>
      <c r="B5" s="70"/>
      <c r="C5" s="21"/>
      <c r="D5" s="2"/>
      <c r="E5" s="14"/>
      <c r="F5" s="2"/>
      <c r="G5" s="14"/>
      <c r="H5" s="2"/>
      <c r="I5" s="14"/>
      <c r="J5" s="13"/>
      <c r="K5" s="14"/>
      <c r="L5" s="13"/>
      <c r="M5" s="10"/>
      <c r="N5" s="11"/>
      <c r="O5" s="18"/>
      <c r="P5" s="24"/>
      <c r="Q5" s="6"/>
    </row>
    <row r="6" spans="1:17" ht="21.95" customHeight="1" x14ac:dyDescent="0.2">
      <c r="A6" s="5"/>
      <c r="B6" s="70"/>
      <c r="C6" s="42">
        <f>IF(DAY(MaySun1)=1,MaySun1+1,MaySun1+8)</f>
        <v>43591</v>
      </c>
      <c r="D6" s="15">
        <f>IFERROR(IF(OR(C6=Parameters!$J$27,C6=Parameters!$J$29,C6=Parameters!$J$40)=May!C6,May!L4+1,IF(VLOOKUP(C6,Parameters!$J$19:$K$49,2,FALSE)="DayOff","",IF(L4=" "," ",IF(L4=12," ",IF(L4&lt;&gt;"",L4+1,IF(C6&lt;Parameters!$O$6,"",1)))))),"")</f>
        <v>3</v>
      </c>
      <c r="E6" s="43">
        <f>IF(DAY(MaySun1)=1,MaySun1+2,MaySun1+9)</f>
        <v>43592</v>
      </c>
      <c r="F6" s="15">
        <f>IFERROR(IF(OR(E6=Parameters!$J$27,E6=Parameters!$J$29,E6=Parameters!$J$40),L4+1,IF(VLOOKUP(E6,Parameters!$J$19:$K$49,2,FALSE)="DayOff","",IF(D6=" "," ",IF(D6=12," ",IF(D6&lt;&gt;"",D6+1,IF(E6&lt;Parameters!$O$6,"",1)))))),"")</f>
        <v>4</v>
      </c>
      <c r="G6" s="43">
        <f>IF(DAY(MaySun1)=1,MaySun1+3,MaySun1+10)</f>
        <v>43593</v>
      </c>
      <c r="H6" s="15" t="str">
        <f>IFERROR(IF(OR(G6=Parameters!$J$27,G6=Parameters!$J$29,G6=Parameters!$J$40),D6+1,IF(VLOOKUP(G6,Parameters!$J$19:$K$49,2,FALSE)="DayOff","",IF(F6=" "," ",IF(F6=12," ",IF(F6&lt;&gt;"",F6+1,IF(G6&lt;Parameters!$O$6,"",1)))))),"")</f>
        <v/>
      </c>
      <c r="I6" s="43">
        <f>IF(DAY(MaySun1)=1,MaySun1+4,MaySun1+11)</f>
        <v>43594</v>
      </c>
      <c r="J6" s="15">
        <f>IFERROR(IF(OR(I6=Parameters!$J$27,I6=Parameters!$J$29,I6=Parameters!$J$40),F6+1,IF(VLOOKUP(I6,Parameters!$J$19:$K$49,2,FALSE)="DayOff","",IF(H6=" "," ",IF(H6=12," ",IF(H6&lt;&gt;"",H6+1,IF(I6&lt;Parameters!$O$6,"",1)))))),"")</f>
        <v>5</v>
      </c>
      <c r="K6" s="43">
        <f>IF(DAY(MaySun1)=1,MaySun1+5,MaySun1+12)</f>
        <v>43595</v>
      </c>
      <c r="L6" s="15" t="str">
        <f>IFERROR(IF(OR(K6=Parameters!$J$27,K6=Parameters!$J$29,K6=Parameters!$J$40),H6+1,IF(VLOOKUP(K6,Parameters!$J$19:$K$49,2,FALSE)="DayOff","",IF(J6=" "," ",IF(J6=12," ",IF(J6&lt;&gt;"",J6+1,IF(K6&lt;Parameters!$O$6,"",1)))))),"")</f>
        <v/>
      </c>
      <c r="M6" s="49">
        <f>IF(DAY(MaySun1)=1,MaySun1+6,MaySun1+13)</f>
        <v>43596</v>
      </c>
      <c r="N6" s="9"/>
      <c r="O6" s="49">
        <f>IF(DAY(MaySun1)=1,MaySun1+7,MaySun1+14)</f>
        <v>43597</v>
      </c>
      <c r="P6" s="25"/>
      <c r="Q6" s="6"/>
    </row>
    <row r="7" spans="1:17" ht="21.95" customHeight="1" x14ac:dyDescent="0.2">
      <c r="A7" s="5"/>
      <c r="B7" s="70"/>
      <c r="C7" s="21"/>
      <c r="D7" s="2"/>
      <c r="E7" s="14"/>
      <c r="F7" s="2"/>
      <c r="G7" s="14"/>
      <c r="H7" s="2"/>
      <c r="I7" s="14"/>
      <c r="J7" s="13"/>
      <c r="K7" s="10"/>
      <c r="L7" s="11"/>
      <c r="M7" s="18"/>
      <c r="N7" s="11"/>
      <c r="O7" s="18"/>
      <c r="P7" s="24"/>
      <c r="Q7" s="6"/>
    </row>
    <row r="8" spans="1:17" ht="21.95" customHeight="1" x14ac:dyDescent="0.2">
      <c r="A8" s="5"/>
      <c r="B8" s="70"/>
      <c r="C8" s="42">
        <f>IF(DAY(MaySun1)=1,MaySun1+8,MaySun1+15)</f>
        <v>43598</v>
      </c>
      <c r="D8" s="15">
        <f>IFERROR(IF(OR(C8=Parameters!$J$27,C8=Parameters!$J$29,C8=Parameters!$J$40)=May!C8,May!L6+1,IF(VLOOKUP(C8,Parameters!$J$19:$K$49,2,FALSE)="DayOff","",IF(L6=" "," ",IF(L6=12," ",IF(L6&lt;&gt;"",L6+1,IF(C8&lt;Parameters!$O$6,"",1)))))),"")</f>
        <v>1</v>
      </c>
      <c r="E8" s="43">
        <f>IF(DAY(MaySun1)=1,MaySun1+9,MaySun1+16)</f>
        <v>43599</v>
      </c>
      <c r="F8" s="15">
        <f>IFERROR(IF(OR(E8=Parameters!$J$27,E8=Parameters!$J$29,E8=Parameters!$J$40),L6+1,IF(VLOOKUP(E8,Parameters!$J$19:$K$49,2,FALSE)="DayOff","",IF(D8=" "," ",IF(D8=12," ",IF(D8&lt;&gt;"",D8+1,IF(E8&lt;Parameters!$O$6,"",1)))))),"")</f>
        <v>2</v>
      </c>
      <c r="G8" s="43">
        <f>IF(DAY(MaySun1)=1,MaySun1+10,MaySun1+17)</f>
        <v>43600</v>
      </c>
      <c r="H8" s="15">
        <f>IFERROR(IF(OR(G8=Parameters!$J$27,G8=Parameters!$J$29,G8=Parameters!$J$40),D8+1,IF(VLOOKUP(G8,Parameters!$J$19:$K$49,2,FALSE)="DayOff","",IF(F8=" "," ",IF(F8=12," ",IF(F8&lt;&gt;"",F8+1,IF(G8&lt;Parameters!$O$6,"",1)))))),"")</f>
        <v>3</v>
      </c>
      <c r="I8" s="43">
        <f>IF(DAY(MaySun1)=1,MaySun1+11,MaySun1+18)</f>
        <v>43601</v>
      </c>
      <c r="J8" s="15">
        <f>IFERROR(IF(OR(I8=Parameters!$J$27,I8=Parameters!$J$29,I8=Parameters!$J$40),F8+1,IF(VLOOKUP(I8,Parameters!$J$19:$K$49,2,FALSE)="DayOff","",IF(H8=" "," ",IF(H8=12," ",IF(H8&lt;&gt;"",H8+1,IF(I8&lt;Parameters!$O$6,"",1)))))),"")</f>
        <v>4</v>
      </c>
      <c r="K8" s="49">
        <f>IF(DAY(MaySun1)=1,MaySun1+12,MaySun1+19)</f>
        <v>43602</v>
      </c>
      <c r="L8" s="15">
        <f>IFERROR(IF(OR(K8=Parameters!$J$27,K8=Parameters!$J$29,K8=Parameters!$J$40),H8+1,IF(VLOOKUP(K8,Parameters!$J$19:$K$49,2,FALSE)="DayOff","",IF(J8=" "," ",IF(J8=12," ",IF(J8&lt;&gt;"",J8+1,IF(K8&lt;Parameters!$O$6,"",1)))))),"")</f>
        <v>5</v>
      </c>
      <c r="M8" s="49">
        <f>IF(DAY(MaySun1)=1,MaySun1+13,MaySun1+20)</f>
        <v>43603</v>
      </c>
      <c r="N8" s="9"/>
      <c r="O8" s="49">
        <f>IF(DAY(MaySun1)=1,MaySun1+14,MaySun1+21)</f>
        <v>43604</v>
      </c>
      <c r="P8" s="25"/>
      <c r="Q8" s="6"/>
    </row>
    <row r="9" spans="1:17" ht="21.95" customHeight="1" x14ac:dyDescent="0.2">
      <c r="A9" s="5"/>
      <c r="B9" s="70"/>
      <c r="C9" s="23"/>
      <c r="D9" s="18"/>
      <c r="E9" s="10"/>
      <c r="F9" s="18"/>
      <c r="G9" s="10"/>
      <c r="H9" s="18"/>
      <c r="I9" s="10"/>
      <c r="J9" s="11"/>
      <c r="K9" s="18"/>
      <c r="L9" s="11"/>
      <c r="M9" s="18"/>
      <c r="N9" s="11"/>
      <c r="O9" s="18"/>
      <c r="P9" s="24"/>
      <c r="Q9" s="6"/>
    </row>
    <row r="10" spans="1:17" ht="21.95" customHeight="1" x14ac:dyDescent="0.2">
      <c r="A10" s="5"/>
      <c r="B10" s="70"/>
      <c r="C10" s="42">
        <f>IF(DAY(MaySun1)=1,MaySun1+15,MaySun1+22)</f>
        <v>43605</v>
      </c>
      <c r="D10" s="15">
        <f>IFERROR(IF(OR(C10=Parameters!$J$27,C10=Parameters!$J$29,C10=Parameters!$J$40)=May!C10,May!L8+1,IF(VLOOKUP(C10,Parameters!$J$19:$K$49,2,FALSE)="DayOff","",IF(L8=" "," ",IF(L8=12," ",IF(L8&lt;&gt;"",L8+1,IF(C10&lt;Parameters!$O$6,"",1)))))),"")</f>
        <v>6</v>
      </c>
      <c r="E10" s="43">
        <f>IF(DAY(MaySun1)=1,MaySun1+16,MaySun1+23)</f>
        <v>43606</v>
      </c>
      <c r="F10" s="15" t="str">
        <f>IFERROR(IF(OR(E10=Parameters!$J$27,E10=Parameters!$J$29,E10=Parameters!$J$40),L8+1,IF(VLOOKUP(E10,Parameters!$J$19:$K$49,2,FALSE)="DayOff","",IF(D10=" "," ",IF(D10=12," ",IF(D10&lt;&gt;"",D10+1,IF(E10&lt;Parameters!$O$6,"",1)))))),"")</f>
        <v/>
      </c>
      <c r="G10" s="43">
        <f>IF(DAY(MaySun1)=1,MaySun1+17,MaySun1+24)</f>
        <v>43607</v>
      </c>
      <c r="H10" s="15">
        <f>IFERROR(IF(OR(G10=Parameters!$J$27,G10=Parameters!$J$29,G10=Parameters!$J$40),D10+1,IF(VLOOKUP(G10,Parameters!$J$19:$K$49,2,FALSE)="DayOff","",IF(F10=" "," ",IF(F10=12," ",IF(F10&lt;&gt;"",F10+1,IF(G10&lt;Parameters!$O$6,"",1)))))),"")</f>
        <v>7</v>
      </c>
      <c r="I10" s="43">
        <f>IF(DAY(MaySun1)=1,MaySun1+18,MaySun1+25)</f>
        <v>43608</v>
      </c>
      <c r="J10" s="15">
        <f>IFERROR(IF(OR(I10=Parameters!$J$27,I10=Parameters!$J$29,I10=Parameters!$J$40),F10+1,IF(VLOOKUP(I10,Parameters!$J$19:$K$49,2,FALSE)="DayOff","",IF(H10=" "," ",IF(H10=12," ",IF(H10&lt;&gt;"",H10+1,IF(I10&lt;Parameters!$O$6,"",1)))))),"")</f>
        <v>8</v>
      </c>
      <c r="K10" s="49">
        <f>IF(DAY(MaySun1)=1,MaySun1+19,MaySun1+26)</f>
        <v>43609</v>
      </c>
      <c r="L10" s="15">
        <f>IFERROR(IF(OR(K10=Parameters!$J$27,K10=Parameters!$J$29,K10=Parameters!$J$40),H10+1,IF(VLOOKUP(K10,Parameters!$J$19:$K$49,2,FALSE)="DayOff","",IF(J10=" "," ",IF(J10=12," ",IF(J10&lt;&gt;"",J10+1,IF(K10&lt;Parameters!$O$6,"",1)))))),"")</f>
        <v>9</v>
      </c>
      <c r="M10" s="49">
        <f>IF(DAY(MaySun1)=1,MaySun1+20,MaySun1+27)</f>
        <v>43610</v>
      </c>
      <c r="N10" s="9"/>
      <c r="O10" s="49">
        <f>IF(DAY(MaySun1)=1,MaySun1+21,MaySun1+28)</f>
        <v>43611</v>
      </c>
      <c r="P10" s="25"/>
      <c r="Q10" s="6"/>
    </row>
    <row r="11" spans="1:17" ht="21.95" customHeight="1" x14ac:dyDescent="0.2">
      <c r="A11" s="5"/>
      <c r="B11" s="70"/>
      <c r="C11" s="23"/>
      <c r="D11" s="18"/>
      <c r="E11" s="10"/>
      <c r="F11" s="18"/>
      <c r="G11" s="63" t="s">
        <v>26</v>
      </c>
      <c r="H11" s="18"/>
      <c r="I11" s="10"/>
      <c r="J11" s="11"/>
      <c r="K11" s="18"/>
      <c r="L11" s="11"/>
      <c r="M11" s="18"/>
      <c r="N11" s="11"/>
      <c r="O11" s="18"/>
      <c r="P11" s="24"/>
      <c r="Q11" s="6"/>
    </row>
    <row r="12" spans="1:17" ht="21.95" customHeight="1" x14ac:dyDescent="0.2">
      <c r="A12" s="5"/>
      <c r="B12" s="70"/>
      <c r="C12" s="42">
        <f>IF(DAY(MaySun1)=1,MaySun1+22,MaySun1+29)</f>
        <v>43612</v>
      </c>
      <c r="D12" s="15">
        <f>IFERROR(IF(OR(C12=Parameters!$J$27,C12=Parameters!$J$29,C12=Parameters!$J$40)=May!C12,May!L10+1,IF(VLOOKUP(C12,Parameters!$J$19:$K$49,2,FALSE)="DayOff","",IF(L10=" "," ",IF(L10=12," ",IF(L10&lt;&gt;"",L10+1,IF(C12&lt;Parameters!$O$6,"",1)))))),"")</f>
        <v>10</v>
      </c>
      <c r="E12" s="43">
        <f>IF(DAY(MaySun1)=1,MaySun1+23,MaySun1+30)</f>
        <v>43613</v>
      </c>
      <c r="F12" s="15">
        <f>IFERROR(IF(OR(E12=Parameters!$J$27,E12=Parameters!$J$29,E12=Parameters!$J$40),L10+1,IF(VLOOKUP(E12,Parameters!$J$19:$K$49,2,FALSE)="DayOff","",IF(D12=" "," ",IF(D12=12," ",IF(D12&lt;&gt;"",D12+1,IF(E12&lt;Parameters!$O$6,"",1)))))),"")</f>
        <v>11</v>
      </c>
      <c r="G12" s="43">
        <f>IF(DAY(MaySun1)=1,MaySun1+24,MaySun1+31)</f>
        <v>43614</v>
      </c>
      <c r="H12" s="15">
        <f>IFERROR(IF(OR(G12=Parameters!$J$27,G12=Parameters!$J$29,G12=Parameters!$J$40),D12+1,IF(VLOOKUP(G12,Parameters!$J$19:$K$49,2,FALSE)="DayOff","",IF(F12=" "," ",IF(F12=12," ",IF(F12&lt;&gt;"",F12+1,IF(G12&lt;Parameters!$O$6,"",1)))))),"")</f>
        <v>12</v>
      </c>
      <c r="I12" s="40">
        <f>IF(DAY(MaySun1)=1,MaySun1+25,MaySun1+32)</f>
        <v>43615</v>
      </c>
      <c r="J12" s="15" t="str">
        <f>IFERROR(IF(OR(I12=Parameters!$J$27,I12=Parameters!$J$29,I12=Parameters!$J$40),F12+1,IF(VLOOKUP(I12,Parameters!$J$19:$K$49,2,FALSE)="DayOff","",IF(H12=" "," ",IF(H12=12," ",IF(H12&lt;&gt;"",H12+1,IF(I12&lt;Parameters!$O$6,"",1)))))),"")</f>
        <v xml:space="preserve"> </v>
      </c>
      <c r="K12" s="43">
        <f>IF(DAY(MaySun1)=1,MaySun1+26,MaySun1+33)</f>
        <v>43616</v>
      </c>
      <c r="L12" s="15" t="str">
        <f>IFERROR(IF(OR(K12=Parameters!$J$27,K12=Parameters!$J$29,K12=Parameters!$J$40),H12+1,IF(VLOOKUP(K12,Parameters!$J$19:$K$49,2,FALSE)="DayOff","",IF(J12=" "," ",IF(J12=12," ",IF(J12&lt;&gt;"",J12+1,IF(K12&lt;Parameters!$O$6,"",1)))))),"")</f>
        <v xml:space="preserve"> </v>
      </c>
      <c r="M12" s="49">
        <f>IF(DAY(MaySun1)=1,MaySun1+27,MaySun1+34)</f>
        <v>43617</v>
      </c>
      <c r="N12" s="9"/>
      <c r="O12" s="49">
        <f>IF(DAY(MaySun1)=1,MaySun1+28,MaySun1+35)</f>
        <v>43618</v>
      </c>
      <c r="P12" s="25"/>
      <c r="Q12" s="6"/>
    </row>
    <row r="13" spans="1:17" ht="21.95" customHeight="1" x14ac:dyDescent="0.2">
      <c r="A13" s="5"/>
      <c r="B13" s="70"/>
      <c r="C13" s="23"/>
      <c r="D13" s="18"/>
      <c r="E13" s="10"/>
      <c r="F13" s="18"/>
      <c r="G13" s="10"/>
      <c r="H13" s="18"/>
      <c r="I13" s="10"/>
      <c r="J13" s="11"/>
      <c r="K13" s="10"/>
      <c r="L13" s="11"/>
      <c r="M13" s="18"/>
      <c r="N13" s="11"/>
      <c r="O13" s="18"/>
      <c r="P13" s="24"/>
      <c r="Q13" s="6"/>
    </row>
    <row r="14" spans="1:17" ht="21.95" customHeight="1" x14ac:dyDescent="0.2">
      <c r="A14" s="5"/>
      <c r="B14" s="70"/>
      <c r="C14" s="42">
        <f>IF(DAY(MaySun1)=1,MaySun1+29,MaySun1+36)</f>
        <v>43619</v>
      </c>
      <c r="D14" s="15" t="str">
        <f>IFERROR(IF(OR(C14=Parameters!$J$27,C14=Parameters!$J$29,C14=Parameters!$J$40)=May!C14,May!L12+1,IF(VLOOKUP(C14,Parameters!$J$19:$K$49,2,FALSE)="DayOff","",IF(L12=" "," ",IF(L12=12," ",IF(L12&lt;&gt;"",L12+1,IF(C14&lt;Parameters!$O$6,"",1)))))),"")</f>
        <v/>
      </c>
      <c r="E14" s="43">
        <f>IF(DAY(MaySun1)=1,MaySun1+30,MaySun1+37)</f>
        <v>43620</v>
      </c>
      <c r="F14" s="15" t="str">
        <f>IFERROR(IF(OR(E14=Parameters!$J$27,E14=Parameters!$J$29,E14=Parameters!$J$39),B14+1,IF(VLOOKUP(E14,Parameters!$J$19:$K$49,2,FALSE)="DayOff","",IF(D14=" "," ",IF(D14=12," ",IF(D14&lt;&gt;"",D14+1,IF(E14&lt;Parameters!$O$6,"",1)))))),"")</f>
        <v/>
      </c>
      <c r="G14" s="40">
        <f>IF(DAY(MaySun1)=1,MaySun1+31,MaySun1+38)</f>
        <v>43621</v>
      </c>
      <c r="H14" s="15" t="str">
        <f>IFERROR(IF(OR(G14=Parameters!$J$27,G14=Parameters!$J$29,G14=Parameters!$J$40),D14+1,IF(VLOOKUP(G14,Parameters!$J$19:$K$49,2,FALSE)="DayOff","",IF(F14=" "," ",IF(F14=12," ",IF(F14&lt;&gt;"",F14+1,IF(G14&lt;Parameters!$O$6,"",1)))))),"")</f>
        <v/>
      </c>
      <c r="I14" s="40">
        <f>IF(DAY(MaySun1)=1,MaySun1+32,MaySun1+39)</f>
        <v>43622</v>
      </c>
      <c r="J14" s="15" t="str">
        <f>IFERROR(IF(OR(I14=Parameters!$J$27,I14=Parameters!$J$29,I14=Parameters!$J$40),F14+1,IF(VLOOKUP(I14,Parameters!$J$19:$K$49,2,FALSE)="DayOff","",IF(H14=" "," ",IF(H14=12," ",IF(H14&lt;&gt;"",H14+1,IF(I14&lt;Parameters!$O$6,"",1)))))),"")</f>
        <v/>
      </c>
      <c r="K14" s="40">
        <f>IF(DAY(MaySun1)=1,MaySun1+33,MaySun1+40)</f>
        <v>43623</v>
      </c>
      <c r="L14" s="15" t="str">
        <f>IFERROR(IF(OR(K14=Parameters!$J$27,K14=Parameters!$J$29,K14=Parameters!$J$40),H14+1,IF(VLOOKUP(K14,Parameters!$J$19:$K$49,2,FALSE)="DayOff","",IF(J14=" "," ",IF(J14=12," ",IF(J14&lt;&gt;"",J14+1,IF(K14&lt;Parameters!$O$6,"",1)))))),"")</f>
        <v/>
      </c>
      <c r="M14" s="43">
        <f>IF(DAY(MaySun1)=1,MaySun1+34,MaySun1+41)</f>
        <v>43624</v>
      </c>
      <c r="N14" s="9"/>
      <c r="O14" s="49">
        <f>IF(DAY(MaySun1)=1,MaySun1+35,MaySun1+42)</f>
        <v>43625</v>
      </c>
      <c r="P14" s="25"/>
      <c r="Q14" s="6"/>
    </row>
    <row r="15" spans="1:17" ht="21.95" customHeight="1" thickBot="1" x14ac:dyDescent="0.25">
      <c r="A15" s="5"/>
      <c r="B15" s="70"/>
      <c r="C15" s="26"/>
      <c r="D15" s="30"/>
      <c r="E15" s="28"/>
      <c r="F15" s="30"/>
      <c r="G15" s="28"/>
      <c r="H15" s="30"/>
      <c r="I15" s="28"/>
      <c r="J15" s="27"/>
      <c r="K15" s="28"/>
      <c r="L15" s="27"/>
      <c r="M15" s="28"/>
      <c r="N15" s="27"/>
      <c r="O15" s="30"/>
      <c r="P15" s="2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</sheetData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53" priority="4" stopIfTrue="1">
      <formula>DAY(C4)&gt;8</formula>
    </cfRule>
  </conditionalFormatting>
  <conditionalFormatting sqref="C13:O13 C12 G12 I12 K12 M12:O12 C15:O15 C14 M14:O14 K14 I14 G14 E12 E14">
    <cfRule type="expression" dxfId="52" priority="3" stopIfTrue="1">
      <formula>AND(DAY(C12)&gt;=1,DAY(C12)&lt;=15)</formula>
    </cfRule>
  </conditionalFormatting>
  <conditionalFormatting sqref="C5:O5 C4 E4 G4 I4 K4 M4:O4 C7:O7 C6 M6:O6 K6 I6 G6 C9:O9 C8 G8 I8 K8 M8:O8 C11:F11 C10 M10:O10 K10 I10 G10 C13:O13 C12 G12 I12 K12 M12:O12 C14 M14:O14 K14 I14 G14 E6 E8 E10 E12 E14 H11:O11">
    <cfRule type="expression" dxfId="0" priority="5">
      <formula>VLOOKUP(DAY(C4),AssignmentDays,1,FALSE)=DAY(C4)</formula>
    </cfRule>
  </conditionalFormatting>
  <conditionalFormatting sqref="G11">
    <cfRule type="expression" dxfId="51" priority="1">
      <formula>VLOOKUP(DAY(G11),AssignmentDays,1,FALSE)=DAY(G11)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O17"/>
  <sheetViews>
    <sheetView showGridLines="0" topLeftCell="A2" zoomScale="90" zoomScaleNormal="90" zoomScalePageLayoutView="84" workbookViewId="0">
      <selection activeCell="K9" sqref="K9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2" width="8.85546875" customWidth="1"/>
    <col min="42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0" t="str">
        <f>" JUNE "&amp;Parameters!B14</f>
        <v xml:space="preserve"> JUNE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.95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</row>
    <row r="4" spans="1:17" ht="21.95" customHeight="1" x14ac:dyDescent="0.2">
      <c r="A4" s="5"/>
      <c r="B4" s="70"/>
      <c r="C4" s="41">
        <f>IF(DAY(JunSun1)=1,JunSun1-6,JunSun1+1)</f>
        <v>43612</v>
      </c>
      <c r="D4" s="20" t="str">
        <f>IFERROR(IF(VLOOKUP(C4,Parameters!L19:M49,2,FALSE)="DayOff","",IF(C4&lt;Parameters!$O$7,"",1)),"")</f>
        <v/>
      </c>
      <c r="E4" s="40">
        <f>IF(DAY(JunSun1)=1,JunSun1-5,JunSun1+2)</f>
        <v>43613</v>
      </c>
      <c r="F4" s="20" t="str">
        <f>IFERROR(IF(VLOOKUP(E4,Parameters!$L$19:$M$49,2,FALSE)="DayOff","",IF(D4=" "," ",IF(D4=12," ",IF(D4&lt;&gt;"",D4+1,IF(E4&lt;Parameters!$O$7,"",1))))),"")</f>
        <v/>
      </c>
      <c r="G4" s="40">
        <f>IF(DAY(JunSun1)=1,JunSun1-4,JunSun1+3)</f>
        <v>43614</v>
      </c>
      <c r="H4" s="20" t="str">
        <f>IFERROR(IF(VLOOKUP(G4,Parameters!$L$19:$M$49,2,FALSE)="DayOff","",IF(F4=" "," ",IF(F4=12," ",IF(F4&lt;&gt;"",F4+1,IF(G4&lt;Parameters!$O$7,"",1))))),"")</f>
        <v/>
      </c>
      <c r="I4" s="40">
        <f>IF(DAY(JunSun1)=1,JunSun1-3,JunSun1+4)</f>
        <v>43615</v>
      </c>
      <c r="J4" s="20" t="str">
        <f>IFERROR(IF(VLOOKUP(I4,Parameters!$L$19:$M$49,2,FALSE)="DayOff","",IF(H4=" "," ",IF(H4=12," ",IF(H4&lt;&gt;"",H4+1,IF(I4&lt;Parameters!$O$7,"",1))))),"")</f>
        <v/>
      </c>
      <c r="K4" s="40">
        <f>IF(DAY(JunSun1)=1,JunSun1-2,JunSun1+5)</f>
        <v>43616</v>
      </c>
      <c r="L4" s="20" t="str">
        <f>IFERROR(IF(VLOOKUP(K4,Parameters!$L$19:$M$49,2,FALSE)="DayOff","",IF(J4=" "," ",IF(J4=12," ",IF(J4&lt;&gt;"",J4+1,IF(K4&lt;Parameters!$O$7,"",1))))),"")</f>
        <v/>
      </c>
      <c r="M4" s="40">
        <f>IF(DAY(JunSun1)=1,JunSun1-1,JunSun1+6)</f>
        <v>43617</v>
      </c>
      <c r="N4" s="13"/>
      <c r="O4" s="48">
        <f>IF(DAY(JunSun1)=1,JunSun1,JunSun1+7)</f>
        <v>43618</v>
      </c>
      <c r="P4" s="22"/>
      <c r="Q4" s="6"/>
    </row>
    <row r="5" spans="1:17" ht="21.95" customHeight="1" x14ac:dyDescent="0.2">
      <c r="A5" s="5"/>
      <c r="B5" s="70"/>
      <c r="C5" s="64"/>
      <c r="D5" s="65"/>
      <c r="E5" s="44"/>
      <c r="F5" s="65"/>
      <c r="G5" s="44"/>
      <c r="H5" s="65"/>
      <c r="I5" s="44"/>
      <c r="J5" s="66"/>
      <c r="K5" s="44"/>
      <c r="L5" s="66"/>
      <c r="M5" s="44"/>
      <c r="N5" s="66"/>
      <c r="O5" s="46"/>
      <c r="P5" s="35"/>
      <c r="Q5" s="6"/>
    </row>
    <row r="6" spans="1:17" ht="21.95" customHeight="1" x14ac:dyDescent="0.2">
      <c r="A6" s="5"/>
      <c r="B6" s="70"/>
      <c r="C6" s="42">
        <f>IF(DAY(JunSun1)=1,JunSun1+1,JunSun1+8)</f>
        <v>43619</v>
      </c>
      <c r="D6" s="15">
        <f>IFERROR(IF(VLOOKUP(C6,Parameters!$L$19:$M$49,2,FALSE)="DayOff","",IF(L4=" "," ",IF(L4=12," ",IF(L4&lt;&gt;"",L4+1,IF(C6&lt;Parameters!$O$7,"",1))))),"")</f>
        <v>1</v>
      </c>
      <c r="E6" s="43">
        <f>IF(DAY(JunSun1)=1,JunSun1+2,JunSun1+9)</f>
        <v>43620</v>
      </c>
      <c r="F6" s="15">
        <f>IFERROR(IF(VLOOKUP(E6,Parameters!$L$19:$M$49,2,FALSE)="DayOff","",IF(D6=" "," ",IF(D6=12," ",IF(D6&lt;&gt;"",D6+1,IF(E6&lt;Parameters!$O$7,"",1))))),"")</f>
        <v>2</v>
      </c>
      <c r="G6" s="43">
        <f>IF(DAY(JunSun1)=1,JunSun1+3,JunSun1+10)</f>
        <v>43621</v>
      </c>
      <c r="H6" s="15">
        <f>IFERROR(IF(VLOOKUP(G6,Parameters!$L$19:$M$49,2,FALSE)="DayOff","",IF(F6=" "," ",IF(F6=12," ",IF(F6&lt;&gt;"",F6+1,IF(G6&lt;Parameters!$O$7,"",1))))),"")</f>
        <v>3</v>
      </c>
      <c r="I6" s="43">
        <f>IF(DAY(JunSun1)=1,JunSun1+4,JunSun1+11)</f>
        <v>43622</v>
      </c>
      <c r="J6" s="15">
        <f>IFERROR(IF(VLOOKUP(I6,Parameters!$L$19:$M$49,2,FALSE)="DayOff","",IF(H6=" "," ",IF(H6=12," ",IF(H6&lt;&gt;"",H6+1,IF(I6&lt;Parameters!$O$7,"",1))))),"")</f>
        <v>4</v>
      </c>
      <c r="K6" s="43">
        <f>IF(DAY(JunSun1)=1,JunSun1+5,JunSun1+12)</f>
        <v>43623</v>
      </c>
      <c r="L6" s="15">
        <f>IFERROR(IF(VLOOKUP(K6,Parameters!$L$19:$M$49,2,FALSE)="DayOff","",IF(J6=" "," ",IF(J6=12," ",IF(J6&lt;&gt;"",J6+1,IF(K6&lt;Parameters!$O$7,"",1))))),"")</f>
        <v>5</v>
      </c>
      <c r="M6" s="49">
        <f>IF(DAY(JunSun1)=1,JunSun1+6,JunSun1+13)</f>
        <v>43624</v>
      </c>
      <c r="N6" s="9"/>
      <c r="O6" s="49">
        <f>IF(DAY(JunSun1)=1,JunSun1+7,JunSun1+14)</f>
        <v>43625</v>
      </c>
      <c r="P6" s="25"/>
      <c r="Q6" s="6"/>
    </row>
    <row r="7" spans="1:17" ht="21.95" customHeight="1" x14ac:dyDescent="0.2">
      <c r="A7" s="5"/>
      <c r="B7" s="70"/>
      <c r="C7" s="64"/>
      <c r="D7" s="65"/>
      <c r="E7" s="44"/>
      <c r="F7" s="65"/>
      <c r="G7" s="44"/>
      <c r="H7" s="65"/>
      <c r="I7" s="44"/>
      <c r="J7" s="66"/>
      <c r="K7" s="44"/>
      <c r="L7" s="66"/>
      <c r="M7" s="46"/>
      <c r="N7" s="33"/>
      <c r="O7" s="46"/>
      <c r="P7" s="35"/>
      <c r="Q7" s="6"/>
    </row>
    <row r="8" spans="1:17" ht="21.95" customHeight="1" x14ac:dyDescent="0.2">
      <c r="A8" s="5"/>
      <c r="B8" s="70"/>
      <c r="C8" s="42">
        <f>IF(DAY(JunSun1)=1,JunSun1+8,JunSun1+15)</f>
        <v>43626</v>
      </c>
      <c r="D8" s="15">
        <f>IFERROR(IF(VLOOKUP(C8,Parameters!$L$19:$M$49,2,FALSE)="DayOff","",IF(L6=" "," ",IF(L6=12," ",IF(L6&lt;&gt;"",L6+1,IF(C8&lt;Parameters!$O$7,"",1))))),"")</f>
        <v>6</v>
      </c>
      <c r="E8" s="43">
        <f>IF(DAY(JunSun1)=1,JunSun1+9,JunSun1+16)</f>
        <v>43627</v>
      </c>
      <c r="F8" s="15">
        <f>IFERROR(IF(VLOOKUP(E8,Parameters!$L$19:$M$49,2,FALSE)="DayOff","",IF(D8=" "," ",IF(D8=12," ",IF(D8&lt;&gt;"",D8+1,IF(E8&lt;Parameters!$O$7,"",1))))),"")</f>
        <v>7</v>
      </c>
      <c r="G8" s="43">
        <f>IF(DAY(JunSun1)=1,JunSun1+10,JunSun1+17)</f>
        <v>43628</v>
      </c>
      <c r="H8" s="15">
        <f>IFERROR(IF(VLOOKUP(G8,Parameters!$L$19:$M$49,2,FALSE)="DayOff","",IF(F8=" "," ",IF(F8=12," ",IF(F8&lt;&gt;"",F8+1,IF(G8&lt;Parameters!$O$7,"",1))))),"")</f>
        <v>8</v>
      </c>
      <c r="I8" s="43">
        <f>IF(DAY(JunSun1)=1,JunSun1+11,JunSun1+18)</f>
        <v>43629</v>
      </c>
      <c r="J8" s="15">
        <f>IFERROR(IF(VLOOKUP(I8,Parameters!$L$19:$M$49,2,FALSE)="DayOff","",IF(H8=" "," ",IF(H8=12," ",IF(H8&lt;&gt;"",H8+1,IF(I8&lt;Parameters!$O$7,"",1))))),"")</f>
        <v>9</v>
      </c>
      <c r="K8" s="49">
        <f>IF(DAY(JunSun1)=1,JunSun1+12,JunSun1+19)</f>
        <v>43630</v>
      </c>
      <c r="L8" s="15">
        <f>IFERROR(IF(VLOOKUP(K8,Parameters!$L$19:$M$49,2,FALSE)="DayOff","",IF(J8=" "," ",IF(J8=12," ",IF(J8&lt;&gt;"",J8+1,IF(K8&lt;Parameters!$O$7,"",1))))),"")</f>
        <v>10</v>
      </c>
      <c r="M8" s="49">
        <f>IF(DAY(JunSun1)=1,JunSun1+13,JunSun1+20)</f>
        <v>43631</v>
      </c>
      <c r="N8" s="9"/>
      <c r="O8" s="49">
        <f>IF(DAY(JunSun1)=1,JunSun1+14,JunSun1+21)</f>
        <v>43632</v>
      </c>
      <c r="P8" s="25"/>
      <c r="Q8" s="6"/>
    </row>
    <row r="9" spans="1:17" ht="21.95" customHeight="1" x14ac:dyDescent="0.2">
      <c r="A9" s="5"/>
      <c r="B9" s="70"/>
      <c r="C9" s="32"/>
      <c r="D9" s="46"/>
      <c r="E9" s="34"/>
      <c r="F9" s="46"/>
      <c r="G9" s="34"/>
      <c r="H9" s="46"/>
      <c r="I9" s="34"/>
      <c r="J9" s="33"/>
      <c r="K9" s="46"/>
      <c r="L9" s="33"/>
      <c r="M9" s="46"/>
      <c r="N9" s="33"/>
      <c r="O9" s="46"/>
      <c r="P9" s="35"/>
      <c r="Q9" s="6"/>
    </row>
    <row r="10" spans="1:17" ht="21.95" customHeight="1" x14ac:dyDescent="0.2">
      <c r="A10" s="5"/>
      <c r="B10" s="70"/>
      <c r="C10" s="42">
        <f>IF(DAY(JunSun1)=1,JunSun1+15,JunSun1+22)</f>
        <v>43633</v>
      </c>
      <c r="D10" s="15">
        <f>IFERROR(IF(VLOOKUP(C10,Parameters!$L$19:$M$49,2,FALSE)="DayOff","",IF(L8=" "," ",IF(L8=12," ",IF(L8&lt;&gt;"",L8+1,IF(C10&lt;Parameters!$O$7,"",1))))),"")</f>
        <v>11</v>
      </c>
      <c r="E10" s="43">
        <f>IF(DAY(JunSun1)=1,JunSun1+16,JunSun1+23)</f>
        <v>43634</v>
      </c>
      <c r="F10" s="15">
        <f>IFERROR(IF(VLOOKUP(E10,Parameters!$L$19:$M$49,2,FALSE)="DayOff","",IF(D10=" "," ",IF(D10=12," ",IF(D10&lt;&gt;"",D10+1,IF(E10&lt;Parameters!$O$7,"",1))))),"")</f>
        <v>12</v>
      </c>
      <c r="G10" s="43">
        <f>IF(DAY(JunSun1)=1,JunSun1+17,JunSun1+24)</f>
        <v>43635</v>
      </c>
      <c r="H10" s="20" t="str">
        <f>IFERROR(IF(VLOOKUP(G10,Parameters!$L$19:$M$49,2,FALSE)="DayOff","",IF(F10=" "," ",IF(F10=12," ",IF(F10&lt;&gt;"",F10+1,IF(G10&lt;Parameters!$O$7,"",1))))),"")</f>
        <v xml:space="preserve"> </v>
      </c>
      <c r="I10" s="43">
        <f>IF(DAY(JunSun1)=1,JunSun1+18,JunSun1+25)</f>
        <v>43636</v>
      </c>
      <c r="J10" s="20" t="str">
        <f>IFERROR(IF(VLOOKUP(I10,Parameters!$L$19:$M$49,2,FALSE)="DayOff","",IF(H10=" "," ",IF(H10=12," ",IF(H10&lt;&gt;"",H10+1,IF(I10&lt;Parameters!$O$7,"",1))))),"")</f>
        <v xml:space="preserve"> </v>
      </c>
      <c r="K10" s="49">
        <f>IF(DAY(JunSun1)=1,JunSun1+19,JunSun1+26)</f>
        <v>43637</v>
      </c>
      <c r="L10" s="15" t="str">
        <f>IFERROR(IF(VLOOKUP(K10,Parameters!$L$19:$M$49,2,FALSE)="DayOff","",IF(J10=" "," ",IF(J10=12," ",IF(J10&lt;&gt;"",J10+1,IF(K10&lt;Parameters!$O$7,"",1))))),"")</f>
        <v xml:space="preserve"> </v>
      </c>
      <c r="M10" s="49">
        <f>IF(DAY(JunSun1)=1,JunSun1+20,JunSun1+27)</f>
        <v>43638</v>
      </c>
      <c r="N10" s="9"/>
      <c r="O10" s="49">
        <f>IF(DAY(JunSun1)=1,JunSun1+21,JunSun1+28)</f>
        <v>43639</v>
      </c>
      <c r="P10" s="25"/>
      <c r="Q10" s="6"/>
    </row>
    <row r="11" spans="1:17" ht="21.95" customHeight="1" x14ac:dyDescent="0.2">
      <c r="A11" s="5"/>
      <c r="B11" s="70"/>
      <c r="C11" s="32"/>
      <c r="D11" s="46"/>
      <c r="E11" s="34"/>
      <c r="F11" s="46"/>
      <c r="G11" s="34"/>
      <c r="H11" s="46"/>
      <c r="I11" s="63" t="s">
        <v>26</v>
      </c>
      <c r="J11" s="33"/>
      <c r="K11" s="46"/>
      <c r="L11" s="33"/>
      <c r="M11" s="46"/>
      <c r="N11" s="33"/>
      <c r="O11" s="46"/>
      <c r="P11" s="35"/>
      <c r="Q11" s="6"/>
    </row>
    <row r="12" spans="1:17" ht="21.95" customHeight="1" x14ac:dyDescent="0.2">
      <c r="A12" s="5"/>
      <c r="B12" s="70"/>
      <c r="C12" s="42">
        <f>IF(DAY(JunSun1)=1,JunSun1+22,JunSun1+29)</f>
        <v>43640</v>
      </c>
      <c r="D12" s="15" t="str">
        <f>IFERROR(IF(VLOOKUP(C12,Parameters!$L$19:$M$49,2,FALSE)="DayOff","",IF(L10=" "," ",IF(L10=12," ",IF(L10&lt;&gt;"",L10+1,IF(C12&lt;Parameters!$O$7,"",1))))),"")</f>
        <v xml:space="preserve"> </v>
      </c>
      <c r="E12" s="43">
        <f>IF(DAY(JunSun1)=1,JunSun1+23,JunSun1+30)</f>
        <v>43641</v>
      </c>
      <c r="F12" s="15" t="str">
        <f>IFERROR(IF(VLOOKUP(E12,Parameters!$L$19:$M$49,2,FALSE)="DayOff","",IF(D12=" "," ",IF(D12=12," ",IF(D12&lt;&gt;"",D12+1,IF(E12&lt;Parameters!$O$7,"",1))))),"")</f>
        <v xml:space="preserve"> </v>
      </c>
      <c r="G12" s="43">
        <f>IF(DAY(JunSun1)=1,JunSun1+24,JunSun1+31)</f>
        <v>43642</v>
      </c>
      <c r="H12" s="15" t="str">
        <f>IFERROR(IF(VLOOKUP(G12,Parameters!$L$19:$M$49,2,FALSE)="DayOff","",IF(F12=" "," ",IF(F12=12," ",IF(F12&lt;&gt;"",F12+1,IF(G12&lt;Parameters!$O$7,"",1))))),"")</f>
        <v xml:space="preserve"> </v>
      </c>
      <c r="I12" s="40">
        <f>IF(DAY(JunSun1)=1,JunSun1+25,JunSun1+32)</f>
        <v>43643</v>
      </c>
      <c r="J12" s="15" t="str">
        <f>IFERROR(IF(VLOOKUP(I12,Parameters!$L$19:$M$49,2,FALSE)="DayOff","",IF(H12=" "," ",IF(H12=12," ",IF(H12&lt;&gt;"",H12+1,IF(I12&lt;Parameters!$O$7,"",1))))),"")</f>
        <v xml:space="preserve"> </v>
      </c>
      <c r="K12" s="43">
        <f>IF(DAY(JunSun1)=1,JunSun1+26,JunSun1+33)</f>
        <v>43644</v>
      </c>
      <c r="L12" s="15" t="str">
        <f>IFERROR(IF(VLOOKUP(K12,Parameters!$L$19:$M$49,2,FALSE)="DayOff","",IF(J12=" "," ",IF(J12=12," ",IF(J12&lt;&gt;"",J12+1,IF(K12&lt;Parameters!$O$7,"",1))))),"")</f>
        <v xml:space="preserve"> </v>
      </c>
      <c r="M12" s="49">
        <f>IF(DAY(JunSun1)=1,JunSun1+27,JunSun1+34)</f>
        <v>43645</v>
      </c>
      <c r="N12" s="9"/>
      <c r="O12" s="49">
        <f>IF(DAY(JunSun1)=1,JunSun1+28,JunSun1+35)</f>
        <v>43646</v>
      </c>
      <c r="P12" s="25"/>
      <c r="Q12" s="6"/>
    </row>
    <row r="13" spans="1:17" ht="21.95" customHeight="1" x14ac:dyDescent="0.2">
      <c r="A13" s="5"/>
      <c r="B13" s="70"/>
      <c r="C13" s="32"/>
      <c r="D13" s="46"/>
      <c r="E13" s="34"/>
      <c r="F13" s="46"/>
      <c r="G13" s="34"/>
      <c r="H13" s="46"/>
      <c r="I13" s="34"/>
      <c r="J13" s="33"/>
      <c r="K13" s="34"/>
      <c r="L13" s="33"/>
      <c r="M13" s="46"/>
      <c r="N13" s="33"/>
      <c r="O13" s="46"/>
      <c r="P13" s="35"/>
      <c r="Q13" s="6"/>
    </row>
    <row r="14" spans="1:17" ht="21.95" customHeight="1" x14ac:dyDescent="0.2">
      <c r="A14" s="5"/>
      <c r="B14" s="70"/>
      <c r="C14" s="42">
        <f>IF(DAY(JunSun1)=1,JunSun1+29,JunSun1+36)</f>
        <v>43647</v>
      </c>
      <c r="D14" s="15" t="str">
        <f>IFERROR(IF(VLOOKUP(C14,Parameters!$L$19:$M$49,2,FALSE)="DayOff","",IF(L12=" "," ",IF(L12=12," ",IF(L12&lt;&gt;"",L12+1,IF(C14&lt;Parameters!$O$7,"",1))))),"")</f>
        <v/>
      </c>
      <c r="E14" s="43">
        <f>IF(DAY(JunSun1)=1,JunSun1+30,JunSun1+37)</f>
        <v>43648</v>
      </c>
      <c r="F14" s="15" t="str">
        <f>IFERROR(IF(VLOOKUP(E14,Parameters!$L$19:$M$49,2,FALSE)="DayOff","",IF(D14=" "," ",IF(D14=12," ",IF(D14&lt;&gt;"",D14+1,IF(E14&lt;Parameters!$O$7,"",1))))),"")</f>
        <v/>
      </c>
      <c r="G14" s="40">
        <f>IF(DAY(JunSun1)=1,JunSun1+31,JunSun1+38)</f>
        <v>43649</v>
      </c>
      <c r="H14" s="15" t="str">
        <f>IFERROR(IF(VLOOKUP(G14,Parameters!$L$19:$M$49,2,FALSE)="DayOff","",IF(F14=" "," ",IF(F14=12," ",IF(F14&lt;&gt;"",F14+1,IF(G14&lt;Parameters!$O$7,"",1))))),"")</f>
        <v/>
      </c>
      <c r="I14" s="40">
        <f>IF(DAY(JunSun1)=1,JunSun1+32,JunSun1+39)</f>
        <v>43650</v>
      </c>
      <c r="J14" s="15" t="str">
        <f>IFERROR(IF(VLOOKUP(I14,Parameters!$L$19:$M$49,2,FALSE)="DayOff","",IF(H14=" "," ",IF(H14=12," ",IF(H14&lt;&gt;"",H14+1,IF(I14&lt;Parameters!$O$7,"",1))))),"")</f>
        <v/>
      </c>
      <c r="K14" s="40">
        <f>IF(DAY(JunSun1)=1,JunSun1+33,JunSun1+40)</f>
        <v>43651</v>
      </c>
      <c r="L14" s="15" t="str">
        <f>IFERROR(IF(VLOOKUP(K14,Parameters!$L$19:$M$49,2,FALSE)="DayOff","",IF(J14=" "," ",IF(J14=12," ",IF(J14&lt;&gt;"",J14+1,IF(K14&lt;Parameters!$O$7,"",1))))),"")</f>
        <v/>
      </c>
      <c r="M14" s="43">
        <f>IF(DAY(JunSun1)=1,JunSun1+34,JunSun1+41)</f>
        <v>43652</v>
      </c>
      <c r="N14" s="9"/>
      <c r="O14" s="49">
        <f>IF(DAY(JunSun1)=1,JunSun1+35,JunSun1+42)</f>
        <v>43653</v>
      </c>
      <c r="P14" s="25"/>
      <c r="Q14" s="6"/>
    </row>
    <row r="15" spans="1:17" ht="21.95" customHeight="1" thickBot="1" x14ac:dyDescent="0.25">
      <c r="A15" s="5"/>
      <c r="B15" s="70"/>
      <c r="C15" s="36"/>
      <c r="D15" s="47"/>
      <c r="E15" s="38"/>
      <c r="F15" s="47"/>
      <c r="G15" s="38"/>
      <c r="H15" s="47"/>
      <c r="I15" s="38"/>
      <c r="J15" s="37"/>
      <c r="K15" s="38"/>
      <c r="L15" s="37"/>
      <c r="M15" s="38"/>
      <c r="N15" s="37"/>
      <c r="O15" s="47"/>
      <c r="P15" s="3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</sheetData>
  <sheetProtection password="CC6F" sheet="1" objects="1" scenarios="1"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50" priority="4" stopIfTrue="1">
      <formula>DAY(C4)&gt;8</formula>
    </cfRule>
  </conditionalFormatting>
  <conditionalFormatting sqref="C13:O13 C12 G12 I12 K12 M12:O12 C15:O15 C14 M14:O14 K14 I14 G14 E14 E12">
    <cfRule type="expression" dxfId="49" priority="3" stopIfTrue="1">
      <formula>AND(DAY(C12)&gt;=1,DAY(C12)&lt;=15)</formula>
    </cfRule>
  </conditionalFormatting>
  <conditionalFormatting sqref="C5:O5 C4 E4 G4 I4 K4 M4:O4 C7:O7 C6 M6:O6 K6 I6 G6 C9:O9 C8 G8 I8 K8 M8:O8 C11:H11 C10 M10:O10 K10 I10 G10 C13:O13 C12 G12 I12 K12 M12:O12 C14 M14:O14 K14 I14 G14 E14 E12 E10 E8 E6 J11:O11">
    <cfRule type="expression" dxfId="48" priority="5">
      <formula>VLOOKUP(DAY(C4),AssignmentDays,1,FALSE)=DAY(C4)</formula>
    </cfRule>
  </conditionalFormatting>
  <conditionalFormatting sqref="I11">
    <cfRule type="expression" dxfId="47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7"/>
  <sheetViews>
    <sheetView showGridLines="0" topLeftCell="A2" zoomScale="90" zoomScaleNormal="90" zoomScalePageLayoutView="84" workbookViewId="0">
      <selection activeCell="F11" sqref="F11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0" t="str">
        <f>" JULY "&amp;Parameters!B14</f>
        <v xml:space="preserve"> JULY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  <c r="R3" s="6"/>
    </row>
    <row r="4" spans="1:18" ht="21.95" customHeight="1" x14ac:dyDescent="0.2">
      <c r="A4" s="5"/>
      <c r="B4" s="70"/>
      <c r="C4" s="41">
        <f>IF(DAY(JulSun1)=1,JulSun1-6,JulSun1+1)</f>
        <v>43647</v>
      </c>
      <c r="D4" s="20">
        <f>IFERROR(IF(VLOOKUP(C4,Parameters!$B$54:$C$84,2,FALSE)="DayOff","",IF(C4&lt;Parameters!$O$8,"",1)),"")</f>
        <v>1</v>
      </c>
      <c r="E4" s="40">
        <f>IF(DAY(JulSun1)=1,JulSun1-5,JulSun1+2)</f>
        <v>43648</v>
      </c>
      <c r="F4" s="20">
        <f>IFERROR(IF(E4=Parameters!$B$68,July!B4+1,IF(VLOOKUP(E4,Parameters!$B$54:$C$84,2,FALSE)="DayOff","",IF(D4=" "," ",IF(D4=12," ",IF(D4&lt;&gt;"",D4+1,IF(E4&lt;Parameters!$O$8,"",1)))))),"")</f>
        <v>2</v>
      </c>
      <c r="G4" s="40">
        <f>IF(DAY(JulSun1)=1,JulSun1-4,JulSun1+3)</f>
        <v>43649</v>
      </c>
      <c r="H4" s="20">
        <f>IFERROR(IF(G4=Parameters!$B$68,July!D4+1,IF(VLOOKUP(G4,Parameters!$B$54:$C$84,2,FALSE)="DayOff","",IF(F4=" "," ",IF(F4=12," ",IF(F4&lt;&gt;"",F4+1,IF(G4&lt;Parameters!$O$8,"",1)))))),"")</f>
        <v>3</v>
      </c>
      <c r="I4" s="40">
        <f>IF(DAY(JulSun1)=1,JulSun1-3,JulSun1+4)</f>
        <v>43650</v>
      </c>
      <c r="J4" s="20">
        <f>IFERROR(IF(I4=Parameters!$B$68,July!F4+1,IF(VLOOKUP(I4,Parameters!$B$54:$C$84,2,FALSE)="DayOff","",IF(H4=" "," ",IF(H4=12," ",IF(H4&lt;&gt;"",H4+1,IF(I4&lt;Parameters!$O$8,"",1)))))),"")</f>
        <v>4</v>
      </c>
      <c r="K4" s="40">
        <f>IF(DAY(JulSun1)=1,JulSun1-2,JulSun1+5)</f>
        <v>43651</v>
      </c>
      <c r="L4" s="20">
        <f>IFERROR(IF(K4=Parameters!$B$68,July!H4+1,IF(VLOOKUP(K4,Parameters!$B$54:$C$84,2,FALSE)="DayOff","",IF(J4=" "," ",IF(J4=12," ",IF(J4&lt;&gt;"",J4+1,IF(K4&lt;Parameters!$O$8,"",1)))))),"")</f>
        <v>5</v>
      </c>
      <c r="M4" s="40">
        <f>IF(DAY(JulSun1)=1,JulSun1-1,JulSun1+6)</f>
        <v>43652</v>
      </c>
      <c r="N4" s="20">
        <f>IFERROR(IF(M4=Parameters!$B$68,July!J4+1,IF(VLOOKUP(M4,Parameters!$B$54:$C$84,2,FALSE)="DayOff","",IF(L4=" "," ",IF(L4=12," ",IF(L4&lt;&gt;"",L4+1,IF(M4&lt;Parameters!$O$8,"",1)))))),"")</f>
        <v>6</v>
      </c>
      <c r="O4" s="40">
        <f>IF(DAY(JulSun1)=1,JulSun1,JulSun1+7)</f>
        <v>43653</v>
      </c>
      <c r="P4" s="22"/>
      <c r="Q4" s="6"/>
      <c r="R4" s="6"/>
    </row>
    <row r="5" spans="1:18" ht="21.95" customHeight="1" x14ac:dyDescent="0.2">
      <c r="A5" s="5"/>
      <c r="B5" s="70"/>
      <c r="C5" s="32"/>
      <c r="D5" s="46"/>
      <c r="E5" s="44"/>
      <c r="F5" s="46"/>
      <c r="G5" s="44"/>
      <c r="H5" s="46"/>
      <c r="I5" s="44"/>
      <c r="J5" s="46"/>
      <c r="K5" s="44"/>
      <c r="L5" s="46"/>
      <c r="M5" s="44"/>
      <c r="N5" s="46"/>
      <c r="O5" s="44"/>
      <c r="P5" s="45"/>
      <c r="Q5" s="6"/>
      <c r="R5" s="6"/>
    </row>
    <row r="6" spans="1:18" ht="21.95" customHeight="1" x14ac:dyDescent="0.2">
      <c r="A6" s="5"/>
      <c r="B6" s="70"/>
      <c r="C6" s="41">
        <f>IF(DAY(JulSun1)=1,JulSun1+1,JulSun1+8)</f>
        <v>43654</v>
      </c>
      <c r="D6" s="15">
        <f>IFERROR(IF(C6=Parameters!$B$68,July!L4+1,IF(VLOOKUP(July!C6,Parameters!$B$54:$C$84,2,FALSE)="DayOff","",IF(L4=" "," ",IF(L4=12," ",IF(L4&lt;&gt;"",L4+1,IF(C6&lt;Parameters!$O$8,"",1)))))),"")</f>
        <v>6</v>
      </c>
      <c r="E6" s="43">
        <f>IF(DAY(JulSun1)=1,JulSun1+2,JulSun1+9)</f>
        <v>43655</v>
      </c>
      <c r="F6" s="20">
        <f>IFERROR(IF(E6=Parameters!$B$68,July!N4+1,IF(VLOOKUP(E6,Parameters!$B$54:$C$84,2,FALSE)="DayOff","",IF(D6=" "," ",IF(D6=12," ",IF(D6&lt;&gt;"",D6+1,IF(E6&lt;Parameters!$O$8,"",1)))))),"")</f>
        <v>7</v>
      </c>
      <c r="G6" s="43">
        <f>IF(DAY(JulSun1)=1,JulSun1+3,JulSun1+10)</f>
        <v>43656</v>
      </c>
      <c r="H6" s="20">
        <f>IFERROR(IF(G6=Parameters!$B$68,July!D6+1,IF(VLOOKUP(G6,Parameters!$B$54:$C$84,2,FALSE)="DayOff","",IF(F6=" "," ",IF(F6=12," ",IF(F6&lt;&gt;"",F6+1,IF(G6&lt;Parameters!$O$8,"",1)))))),"")</f>
        <v>8</v>
      </c>
      <c r="I6" s="43">
        <f>IF(DAY(JulSun1)=1,JulSun1+4,JulSun1+11)</f>
        <v>43657</v>
      </c>
      <c r="J6" s="20">
        <f>IFERROR(IF(I6=Parameters!$B$68,July!F6+1,IF(VLOOKUP(I6,Parameters!$B$54:$C$84,2,FALSE)="DayOff","",IF(H6=" "," ",IF(H6=12," ",IF(H6&lt;&gt;"",H6+1,IF(I6&lt;Parameters!$O$8,"",1)))))),"")</f>
        <v>9</v>
      </c>
      <c r="K6" s="43">
        <f>IF(DAY(JulSun1)=1,JulSun1+5,JulSun1+12)</f>
        <v>43658</v>
      </c>
      <c r="L6" s="20">
        <f>IFERROR(IF(K6=Parameters!$B$68,July!H6+1,IF(VLOOKUP(K6,Parameters!$B$54:$C$84,2,FALSE)="DayOff","",IF(J6=" "," ",IF(J6=12," ",IF(J6&lt;&gt;"",J6+1,IF(K6&lt;Parameters!$O$8,"",1)))))),"")</f>
        <v>10</v>
      </c>
      <c r="M6" s="43">
        <f>IF(DAY(JulSun1)=1,JulSun1+6,JulSun1+13)</f>
        <v>43659</v>
      </c>
      <c r="N6" s="20"/>
      <c r="O6" s="43">
        <f>IF(DAY(JulSun1)=1,JulSun1+7,JulSun1+14)</f>
        <v>43660</v>
      </c>
      <c r="P6" s="25"/>
      <c r="Q6" s="6"/>
      <c r="R6" s="6"/>
    </row>
    <row r="7" spans="1:18" ht="21.95" customHeight="1" x14ac:dyDescent="0.2">
      <c r="A7" s="5"/>
      <c r="B7" s="70"/>
      <c r="C7" s="32"/>
      <c r="D7" s="46"/>
      <c r="E7" s="34"/>
      <c r="F7" s="46"/>
      <c r="G7" s="44"/>
      <c r="H7" s="46"/>
      <c r="I7" s="44"/>
      <c r="J7" s="46"/>
      <c r="K7" s="44"/>
      <c r="L7" s="46"/>
      <c r="M7" s="44"/>
      <c r="N7" s="46"/>
      <c r="O7" s="44"/>
      <c r="P7" s="45"/>
      <c r="Q7" s="6"/>
      <c r="R7" s="6"/>
    </row>
    <row r="8" spans="1:18" ht="21.95" customHeight="1" x14ac:dyDescent="0.2">
      <c r="A8" s="5"/>
      <c r="B8" s="70"/>
      <c r="C8" s="41">
        <f>IF(DAY(JulSun1)=1,JulSun1+8,JulSun1+15)</f>
        <v>43661</v>
      </c>
      <c r="D8" s="15">
        <f>IFERROR(IF(C8=Parameters!$B$68,July!L6+1,IF(VLOOKUP(July!C8,Parameters!$B$54:$C$84,2,FALSE)="DayOff","",IF(L6=" "," ",IF(L6=12," ",IF(L6&lt;&gt;"",L6+1,IF(C8&lt;Parameters!$O$8,"",1)))))),"")</f>
        <v>11</v>
      </c>
      <c r="E8" s="40">
        <f>IF(DAY(JulSun1)=1,JulSun1+9,JulSun1+16)</f>
        <v>43662</v>
      </c>
      <c r="F8" s="20">
        <f>IFERROR(IF(E8=Parameters!$B$68,July!N6+1,IF(VLOOKUP(E8,Parameters!$B$54:$C$84,2,FALSE)="DayOff","",IF(D8=" "," ",IF(D8=12," ",IF(D8&lt;&gt;"",D8+1,IF(E8&lt;Parameters!$O$8,"",1)))))),"")</f>
        <v>12</v>
      </c>
      <c r="G8" s="43">
        <f>IF(DAY(JulSun1)=1,JulSun1+10,JulSun1+17)</f>
        <v>43663</v>
      </c>
      <c r="H8" s="20" t="str">
        <f>IFERROR(IF(G8=Parameters!$B$68,July!D8+1,IF(VLOOKUP(G8,Parameters!$B$54:$C$84,2,FALSE)="DayOff","",IF(F8=" "," ",IF(F8=12," ",IF(F8&lt;&gt;"",F8+1,IF(G8&lt;Parameters!$O$8,"",1)))))),"")</f>
        <v xml:space="preserve"> </v>
      </c>
      <c r="I8" s="43">
        <f>IF(DAY(JulSun1)=1,JulSun1+11,JulSun1+18)</f>
        <v>43664</v>
      </c>
      <c r="J8" s="20" t="str">
        <f>IFERROR(IF(I8=Parameters!$B$68,July!F8+1,IF(VLOOKUP(I8,Parameters!$B$54:$C$84,2,FALSE)="DayOff","",IF(H8=" "," ",IF(H8=12," ",IF(H8&lt;&gt;"",H8+1,IF(I8&lt;Parameters!$O$8,"",1)))))),"")</f>
        <v xml:space="preserve"> </v>
      </c>
      <c r="K8" s="43">
        <f>IF(DAY(JulSun1)=1,JulSun1+12,JulSun1+19)</f>
        <v>43665</v>
      </c>
      <c r="L8" s="20" t="str">
        <f>IFERROR(IF(K8=Parameters!$B$68,July!H8+1,IF(VLOOKUP(K8,Parameters!$B$54:$C$84,2,FALSE)="DayOff","",IF(J8=" "," ",IF(J8=12," ",IF(J8&lt;&gt;"",J8+1,IF(K8&lt;Parameters!$O$8,"",1)))))),"")</f>
        <v xml:space="preserve"> </v>
      </c>
      <c r="M8" s="43">
        <f>IF(DAY(JulSun1)=1,JulSun1+13,JulSun1+20)</f>
        <v>43666</v>
      </c>
      <c r="N8" s="20"/>
      <c r="O8" s="43">
        <f>IF(DAY(JulSun1)=1,JulSun1+14,JulSun1+21)</f>
        <v>43667</v>
      </c>
      <c r="P8" s="25"/>
      <c r="Q8" s="6"/>
      <c r="R8" s="6"/>
    </row>
    <row r="9" spans="1:18" ht="21.95" customHeight="1" x14ac:dyDescent="0.2">
      <c r="A9" s="5"/>
      <c r="B9" s="70"/>
      <c r="C9" s="32"/>
      <c r="D9" s="46"/>
      <c r="E9" s="34"/>
      <c r="F9" s="46"/>
      <c r="G9" s="34"/>
      <c r="H9" s="46"/>
      <c r="I9" s="34"/>
      <c r="J9" s="46"/>
      <c r="K9" s="34"/>
      <c r="L9" s="46"/>
      <c r="M9" s="34"/>
      <c r="N9" s="46"/>
      <c r="O9" s="34"/>
      <c r="P9" s="35"/>
      <c r="Q9" s="6"/>
      <c r="R9" s="6"/>
    </row>
    <row r="10" spans="1:18" ht="21.95" customHeight="1" x14ac:dyDescent="0.2">
      <c r="A10" s="5"/>
      <c r="B10" s="70"/>
      <c r="C10" s="41">
        <f>IF(DAY(JulSun1)=1,JulSun1+15,JulSun1+22)</f>
        <v>43668</v>
      </c>
      <c r="D10" s="15" t="str">
        <f>IFERROR(IF(C10=Parameters!$B$68,July!L8+1,IF(VLOOKUP(July!C10,Parameters!$B$54:$C$84,2,FALSE)="DayOff","",IF(L8=" "," ",IF(L8=12," ",IF(L8&lt;&gt;"",L8+1,IF(C10&lt;Parameters!$O$8,"",1)))))),"")</f>
        <v xml:space="preserve"> </v>
      </c>
      <c r="E10" s="40">
        <f>IF(DAY(JulSun1)=1,JulSun1+16,JulSun1+23)</f>
        <v>43669</v>
      </c>
      <c r="F10" s="20" t="str">
        <f>IFERROR(IF(E10=Parameters!$B$68,July!N8+1,IF(VLOOKUP(E10,Parameters!$B$54:$C$84,2,FALSE)="DayOff","",IF(D10=" "," ",IF(D10=12," ",IF(D10&lt;&gt;"",D10+1,IF(E10&lt;Parameters!$O$8,"",1)))))),"")</f>
        <v xml:space="preserve"> </v>
      </c>
      <c r="G10" s="40">
        <f>IF(DAY(JulSun1)=1,JulSun1+17,JulSun1+24)</f>
        <v>43670</v>
      </c>
      <c r="H10" s="20" t="str">
        <f>IFERROR(IF(G10=Parameters!$B$68,July!D10+1,IF(VLOOKUP(G10,Parameters!$B$54:$C$84,2,FALSE)="DayOff","",IF(F10=" "," ",IF(F10=12," ",IF(F10&lt;&gt;"",F10+1,IF(G10&lt;Parameters!$O$8,"",1)))))),"")</f>
        <v xml:space="preserve"> </v>
      </c>
      <c r="I10" s="43">
        <f>IF(DAY(JulSun1)=1,JulSun1+18,JulSun1+25)</f>
        <v>43671</v>
      </c>
      <c r="J10" s="20" t="str">
        <f>IFERROR(IF(I10=Parameters!$B$68,July!F10+1,IF(VLOOKUP(I10,Parameters!$B$54:$C$84,2,FALSE)="DayOff","",IF(H10=" "," ",IF(H10=12," ",IF(H10&lt;&gt;"",H10+1,IF(I10&lt;Parameters!$O$8,"",1)))))),"")</f>
        <v xml:space="preserve"> </v>
      </c>
      <c r="K10" s="43">
        <f>IF(DAY(JulSun1)=1,JulSun1+19,JulSun1+26)</f>
        <v>43672</v>
      </c>
      <c r="L10" s="20" t="str">
        <f>IFERROR(IF(K10=Parameters!$B$68,July!H10+1,IF(VLOOKUP(K10,Parameters!$B$54:$C$84,2,FALSE)="DayOff","",IF(J10=" "," ",IF(J10=12," ",IF(J10&lt;&gt;"",J10+1,IF(K10&lt;Parameters!$O$8,"",1)))))),"")</f>
        <v xml:space="preserve"> </v>
      </c>
      <c r="M10" s="43">
        <f>IF(DAY(JulSun1)=1,JulSun1+20,JulSun1+27)</f>
        <v>43673</v>
      </c>
      <c r="N10" s="20"/>
      <c r="O10" s="43">
        <f>IF(DAY(JulSun1)=1,JulSun1+21,JulSun1+28)</f>
        <v>43674</v>
      </c>
      <c r="P10" s="25"/>
      <c r="Q10" s="6"/>
      <c r="R10" s="6"/>
    </row>
    <row r="11" spans="1:18" ht="21.95" customHeight="1" x14ac:dyDescent="0.2">
      <c r="A11" s="5"/>
      <c r="B11" s="70"/>
      <c r="C11" s="32"/>
      <c r="D11" s="46"/>
      <c r="E11" s="34"/>
      <c r="F11" s="46"/>
      <c r="G11" s="34"/>
      <c r="H11" s="46"/>
      <c r="I11" s="34"/>
      <c r="J11" s="46"/>
      <c r="K11" s="34"/>
      <c r="L11" s="46"/>
      <c r="M11" s="34"/>
      <c r="N11" s="46"/>
      <c r="O11" s="34"/>
      <c r="P11" s="35"/>
      <c r="Q11" s="6"/>
      <c r="R11" s="6"/>
    </row>
    <row r="12" spans="1:18" ht="21.95" customHeight="1" x14ac:dyDescent="0.2">
      <c r="A12" s="5"/>
      <c r="B12" s="70"/>
      <c r="C12" s="41">
        <f>IF(DAY(JulSun1)=1,JulSun1+22,JulSun1+29)</f>
        <v>43675</v>
      </c>
      <c r="D12" s="15" t="str">
        <f>IFERROR(IF(C12=Parameters!$B$68,July!L10+1,IF(VLOOKUP(July!C12,Parameters!$B$54:$C$84,2,FALSE)="DayOff","",IF(L10=" "," ",IF(L10=12," ",IF(L10&lt;&gt;"",L10+1,IF(C12&lt;Parameters!$O$8,"",1)))))),"")</f>
        <v xml:space="preserve"> </v>
      </c>
      <c r="E12" s="40">
        <f>IF(DAY(JulSun1)=1,JulSun1+23,JulSun1+30)</f>
        <v>43676</v>
      </c>
      <c r="F12" s="20" t="str">
        <f>IFERROR(IF(E12=Parameters!$B$68,July!N10+1,IF(VLOOKUP(E12,Parameters!$B$54:$C$84,2,FALSE)="DayOff","",IF(D12=" "," ",IF(D12=12," ",IF(D12&lt;&gt;"",D12+1,IF(E12&lt;Parameters!$O$8,"",1)))))),"")</f>
        <v xml:space="preserve"> </v>
      </c>
      <c r="G12" s="40">
        <f>IF(DAY(JulSun1)=1,JulSun1+24,JulSun1+31)</f>
        <v>43677</v>
      </c>
      <c r="H12" s="20" t="str">
        <f>IFERROR(IF(G12=Parameters!$B$68,July!D12+1,IF(VLOOKUP(G12,Parameters!$B$54:$C$84,2,FALSE)="DayOff","",IF(F12=" "," ",IF(F12=12," ",IF(F12&lt;&gt;"",F12+1,IF(G12&lt;Parameters!$O$8,"",1)))))),"")</f>
        <v xml:space="preserve"> </v>
      </c>
      <c r="I12" s="40">
        <f>IF(DAY(JulSun1)=1,JulSun1+25,JulSun1+32)</f>
        <v>43678</v>
      </c>
      <c r="J12" s="20" t="str">
        <f>IFERROR(IF(I12=Parameters!$B$68,July!F12+1,IF(VLOOKUP(I12,Parameters!$B$54:$C$84,2,FALSE)="DayOff","",IF(H12=" "," ",IF(H12=12," ",IF(H12&lt;&gt;"",H12+1,IF(I12&lt;Parameters!$O$8,"",1)))))),"")</f>
        <v/>
      </c>
      <c r="K12" s="43">
        <f>IF(DAY(JulSun1)=1,JulSun1+26,JulSun1+33)</f>
        <v>43679</v>
      </c>
      <c r="L12" s="20" t="str">
        <f>IFERROR(IF(K12=Parameters!$B$68,July!H12+1,IF(VLOOKUP(K12,Parameters!$B$54:$C$84,2,FALSE)="DayOff","",IF(J12=" "," ",IF(J12=12," ",IF(J12&lt;&gt;"",J12+1,IF(K12&lt;Parameters!$O$8,"",1)))))),"")</f>
        <v/>
      </c>
      <c r="M12" s="43">
        <f>IF(DAY(JulSun1)=1,JulSun1+27,JulSun1+34)</f>
        <v>43680</v>
      </c>
      <c r="N12" s="12"/>
      <c r="O12" s="43">
        <f>IF(DAY(JulSun1)=1,JulSun1+28,JulSun1+35)</f>
        <v>43681</v>
      </c>
      <c r="P12" s="25"/>
      <c r="Q12" s="6"/>
      <c r="R12" s="6"/>
    </row>
    <row r="13" spans="1:18" ht="21.95" customHeight="1" x14ac:dyDescent="0.2">
      <c r="A13" s="5"/>
      <c r="B13" s="70"/>
      <c r="C13" s="67" t="s">
        <v>26</v>
      </c>
      <c r="D13" s="46"/>
      <c r="E13" s="34"/>
      <c r="F13" s="46"/>
      <c r="G13" s="34"/>
      <c r="H13" s="46"/>
      <c r="I13" s="34"/>
      <c r="J13" s="46"/>
      <c r="K13" s="34"/>
      <c r="L13" s="46"/>
      <c r="M13" s="34"/>
      <c r="N13" s="46"/>
      <c r="O13" s="34"/>
      <c r="P13" s="35"/>
      <c r="Q13" s="6"/>
      <c r="R13" s="6"/>
    </row>
    <row r="14" spans="1:18" ht="21.95" customHeight="1" x14ac:dyDescent="0.2">
      <c r="A14" s="5"/>
      <c r="B14" s="70"/>
      <c r="C14" s="41">
        <f>IF(DAY(JulSun1)=1,JulSun1+29,JulSun1+36)</f>
        <v>43682</v>
      </c>
      <c r="D14" s="15" t="str">
        <f>IFERROR(IF(C14=Parameters!$B$68,July!L12+1,IF(VLOOKUP(July!C14,Parameters!$B$54:$C$84,2,FALSE)="DayOff","",IF(L12=" "," ",IF(L12=12," ",IF(L12&lt;&gt;"",L12+1,IF(C14&lt;Parameters!$O$8,"",1)))))),"")</f>
        <v/>
      </c>
      <c r="E14" s="40">
        <f>IF(DAY(JulSun1)=1,JulSun1+30,JulSun1+37)</f>
        <v>43683</v>
      </c>
      <c r="F14" s="20" t="str">
        <f>IFERROR(IF(E14=Parameters!$B$68,July!N12+1,IF(VLOOKUP(E14,Parameters!$B$54:$C$84,2,FALSE)="DayOff","",IF(D14=" "," ",IF(D14=12," ",IF(D14&lt;&gt;"",D14+1,IF(E14&lt;Parameters!$O$8,"",1)))))),"")</f>
        <v/>
      </c>
      <c r="G14" s="40">
        <f>IF(DAY(JulSun1)=1,JulSun1+31,JulSun1+38)</f>
        <v>43684</v>
      </c>
      <c r="H14" s="20" t="str">
        <f>IFERROR(IF(G14=Parameters!$B$68,July!D14+1,IF(VLOOKUP(G14,Parameters!$B$54:$C$84,2,FALSE)="DayOff","",IF(F14=" "," ",IF(F14=12," ",IF(F14&lt;&gt;"",F14+1,IF(G14&lt;Parameters!$O$8,"",1)))))),"")</f>
        <v/>
      </c>
      <c r="I14" s="40">
        <f>IF(DAY(JulSun1)=1,JulSun1+32,JulSun1+39)</f>
        <v>43685</v>
      </c>
      <c r="J14" s="20" t="str">
        <f>IFERROR(IF(I14=Parameters!$B$68,July!F14+1,IF(VLOOKUP(I14,Parameters!$B$54:$C$84,2,FALSE)="DayOff","",IF(H14=" "," ",IF(H14=12," ",IF(H14&lt;&gt;"",H14+1,IF(I14&lt;Parameters!$O$8,"",1)))))),"")</f>
        <v/>
      </c>
      <c r="K14" s="40">
        <f>IF(DAY(JulSun1)=1,JulSun1+33,JulSun1+40)</f>
        <v>43686</v>
      </c>
      <c r="L14" s="20" t="str">
        <f>IFERROR(IF(K14=Parameters!$B$68,July!H14+1,IF(VLOOKUP(K14,Parameters!$B$54:$C$84,2,FALSE)="DayOff","",IF(J14=" "," ",IF(J14=12," ",IF(J14&lt;&gt;"",J14+1,IF(K14&lt;Parameters!$O$8,"",1)))))),"")</f>
        <v/>
      </c>
      <c r="M14" s="43">
        <f>IF(DAY(JulSun1)=1,JulSun1+34,JulSun1+41)</f>
        <v>43687</v>
      </c>
      <c r="N14" s="12"/>
      <c r="O14" s="43">
        <f>IF(DAY(JulSun1)=1,JulSun1+35,JulSun1+42)</f>
        <v>43688</v>
      </c>
      <c r="P14" s="25"/>
      <c r="Q14" s="6"/>
      <c r="R14" s="6"/>
    </row>
    <row r="15" spans="1:18" ht="21.95" customHeight="1" thickBot="1" x14ac:dyDescent="0.25">
      <c r="A15" s="5"/>
      <c r="B15" s="70"/>
      <c r="C15" s="36"/>
      <c r="D15" s="47"/>
      <c r="E15" s="38"/>
      <c r="F15" s="47"/>
      <c r="G15" s="38"/>
      <c r="H15" s="47"/>
      <c r="I15" s="38"/>
      <c r="J15" s="47"/>
      <c r="K15" s="38"/>
      <c r="L15" s="47"/>
      <c r="M15" s="38"/>
      <c r="N15" s="47"/>
      <c r="O15" s="38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  <row r="17" spans="1:18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</row>
  </sheetData>
  <sheetProtection password="CC6F" sheet="1" objects="1" scenarios="1"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">
    <cfRule type="expression" dxfId="46" priority="4" stopIfTrue="1">
      <formula>DAY(C4)&gt;8</formula>
    </cfRule>
  </conditionalFormatting>
  <conditionalFormatting sqref="C13:O13 C12 G12 I12 K12 M12:O12 C15:O15 C14 M14:O14 K14 I14 G14 E12 E14">
    <cfRule type="expression" dxfId="45" priority="3" stopIfTrue="1">
      <formula>AND(DAY(C12)&gt;=1,DAY(C12)&lt;=15)</formula>
    </cfRule>
  </conditionalFormatting>
  <conditionalFormatting sqref="C4 E4 G4 I4 K4 M4 C6 M6 K6 I6 G6 C9:O9 C8 G8 I8 K8 M8 C10 M10 K10 I10 G10 C13:O13 C12 G12 I12 K12 M12:O12 C14 M14:O14 K14 I14 G14 E6 E8 E10 E12 E14 O4 O6 O8 O10 C5:O5 C7:O7">
    <cfRule type="expression" dxfId="44" priority="5">
      <formula>VLOOKUP(DAY(C4),AssignmentDays,1,FALSE)=DAY(C4)</formula>
    </cfRule>
  </conditionalFormatting>
  <conditionalFormatting sqref="C11:O11">
    <cfRule type="expression" dxfId="43" priority="1">
      <formula>VLOOKUP(DAY(C11),AssignmentDays,1,FALSE)=DAY(C11)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7"/>
  <sheetViews>
    <sheetView showGridLines="0" topLeftCell="A2" zoomScale="90" zoomScaleNormal="90" zoomScalePageLayoutView="84" workbookViewId="0">
      <selection activeCell="G13" sqref="G13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0" t="str">
        <f>" AUGUST "&amp;Parameters!B14</f>
        <v xml:space="preserve"> AUGUST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  <c r="R3" s="6"/>
    </row>
    <row r="4" spans="1:18" ht="21.95" customHeight="1" x14ac:dyDescent="0.2">
      <c r="A4" s="5"/>
      <c r="B4" s="70"/>
      <c r="C4" s="41">
        <f>IF(DAY(AugSun1)=1,AugSun1-6,AugSun1+1)</f>
        <v>43675</v>
      </c>
      <c r="D4" s="20" t="str">
        <f>IFERROR(IF(VLOOKUP(C4,Parameters!$D$54:$E$84,2,FALSE)="DayOff","",IF(C4&lt;Parameters!$O$9,"",1)),"")</f>
        <v/>
      </c>
      <c r="E4" s="40">
        <f>IF(DAY(AugSun1)=1,AugSun1-5,AugSun1+2)</f>
        <v>43676</v>
      </c>
      <c r="F4" s="20" t="str">
        <f>IFERROR(IF(VLOOKUP(August!E4,Parameters!$D$54:$E$84,2,FALSE)="DayOff","",IF(D4=" "," ",IF(D4=12," ",IF(D4&lt;&gt;"",D4+1,IF(E4&lt;Parameters!$O$9,"",1))))),"")</f>
        <v/>
      </c>
      <c r="G4" s="40">
        <f>IF(DAY(AugSun1)=1,AugSun1-4,AugSun1+3)</f>
        <v>43677</v>
      </c>
      <c r="H4" s="20" t="str">
        <f>IFERROR(IF(G4=Parameters!$D$69,August!D4+1,IF(VLOOKUP(August!G4,Parameters!$D$54:$E$84,2,FALSE)="DayOff","",IF(F4=" "," ",IF(F4=12," ",IF(F4&lt;&gt;"",F4+1,IF(G4&lt;Parameters!$O$9,"",1)))))),"")</f>
        <v/>
      </c>
      <c r="I4" s="40">
        <f>IF(DAY(AugSun1)=1,AugSun1-3,AugSun1+4)</f>
        <v>43678</v>
      </c>
      <c r="J4" s="20">
        <f>IFERROR(IF(I4=Parameters!$D$69,August!F4+1,IF(VLOOKUP(August!I4,Parameters!$D$54:$E$84,2,FALSE)="DayOff","",IF(H4=" "," ",IF(H4=12," ",IF(H4&lt;&gt;"",H4+1,IF(I4&lt;Parameters!$O$9,"",1)))))),"")</f>
        <v>1</v>
      </c>
      <c r="K4" s="40">
        <f>IF(DAY(AugSun1)=1,AugSun1-2,AugSun1+5)</f>
        <v>43679</v>
      </c>
      <c r="L4" s="20">
        <f>IFERROR(IF(K4=Parameters!$D$69,August!H4+1,IF(VLOOKUP(August!K4,Parameters!$D$54:$E$84,2,FALSE)="DayOff","",IF(J4=" "," ",IF(J4=12," ",IF(J4&lt;&gt;"",J4+1,IF(K4&lt;Parameters!$O$9,"",1)))))),"")</f>
        <v>2</v>
      </c>
      <c r="M4" s="40">
        <f>IF(DAY(AugSun1)=1,AugSun1-1,AugSun1+6)</f>
        <v>43680</v>
      </c>
      <c r="N4" s="13"/>
      <c r="O4" s="48">
        <f>IF(DAY(AugSun1)=1,AugSun1,AugSun1+7)</f>
        <v>43681</v>
      </c>
      <c r="P4" s="22"/>
      <c r="Q4" s="6"/>
      <c r="R4" s="6"/>
    </row>
    <row r="5" spans="1:18" ht="21.95" customHeight="1" x14ac:dyDescent="0.2">
      <c r="A5" s="5"/>
      <c r="B5" s="70"/>
      <c r="C5" s="32"/>
      <c r="D5" s="46"/>
      <c r="E5" s="44"/>
      <c r="F5" s="46"/>
      <c r="G5" s="44"/>
      <c r="H5" s="46"/>
      <c r="I5" s="44"/>
      <c r="J5" s="46"/>
      <c r="K5" s="44"/>
      <c r="L5" s="46"/>
      <c r="M5" s="34"/>
      <c r="N5" s="33"/>
      <c r="O5" s="46"/>
      <c r="P5" s="35"/>
      <c r="Q5" s="6"/>
      <c r="R5" s="6"/>
    </row>
    <row r="6" spans="1:18" ht="21.95" customHeight="1" x14ac:dyDescent="0.2">
      <c r="A6" s="5"/>
      <c r="B6" s="70"/>
      <c r="C6" s="42">
        <f>IF(DAY(AugSun1)=1,AugSun1+1,AugSun1+8)</f>
        <v>43682</v>
      </c>
      <c r="D6" s="20">
        <f>IFERROR(IF(C6=Parameters!$D$69,August!J4+1,IF(VLOOKUP(August!C6,Parameters!$D$54:$E$84,2,FALSE)="DayOff","",IF(L4=" "," ",IF(L4=12," ",IF(L4&lt;&gt;"",L4+1,IF(C6&lt;Parameters!$O$9,"",1)))))),"")</f>
        <v>3</v>
      </c>
      <c r="E6" s="43">
        <f>IF(DAY(AugSun1)=1,AugSun1+2,AugSun1+9)</f>
        <v>43683</v>
      </c>
      <c r="F6" s="20">
        <f>IFERROR(IF(E6=Parameters!$D$69,August!L4+1,IF(VLOOKUP(August!E6,Parameters!$D$54:$E$84,2,FALSE)="DayOff","",IF(D6=" "," ",IF(D6=12," ",IF(D6&lt;&gt;"",D6+1,IF(E6&lt;Parameters!$O$9,"",1)))))),"")</f>
        <v>4</v>
      </c>
      <c r="G6" s="43">
        <f>IF(DAY(AugSun1)=1,AugSun1+3,AugSun1+10)</f>
        <v>43684</v>
      </c>
      <c r="H6" s="20">
        <f>IFERROR(IF(G6=Parameters!$D$69,August!D6+1,IF(VLOOKUP(August!G6,Parameters!$D$54:$E$84,2,FALSE)="DayOff","",IF(F6=" "," ",IF(F6=12," ",IF(F6&lt;&gt;"",F6+1,IF(G6&lt;Parameters!$O$9,"",1)))))),"")</f>
        <v>5</v>
      </c>
      <c r="I6" s="43">
        <f>IF(DAY(AugSun1)=1,AugSun1+4,AugSun1+11)</f>
        <v>43685</v>
      </c>
      <c r="J6" s="20">
        <f>IFERROR(IF(I6=Parameters!$D$69,August!F6+1,IF(VLOOKUP(August!I6,Parameters!$D$54:$E$84,2,FALSE)="DayOff","",IF(H6=" "," ",IF(H6=12," ",IF(H6&lt;&gt;"",H6+1,IF(I6&lt;Parameters!$O$9,"",1)))))),"")</f>
        <v>6</v>
      </c>
      <c r="K6" s="43">
        <f>IF(DAY(AugSun1)=1,AugSun1+5,AugSun1+12)</f>
        <v>43686</v>
      </c>
      <c r="L6" s="20">
        <f>IFERROR(IF(K6=Parameters!$D$69,August!H6+1,IF(VLOOKUP(August!K6,Parameters!$D$54:$E$84,2,FALSE)="DayOff","",IF(J6=" "," ",IF(J6=12," ",IF(J6&lt;&gt;"",J6+1,IF(K6&lt;Parameters!$O$9,"",1)))))),"")</f>
        <v>7</v>
      </c>
      <c r="M6" s="49">
        <f>IF(DAY(AugSun1)=1,AugSun1+6,AugSun1+13)</f>
        <v>43687</v>
      </c>
      <c r="N6" s="9"/>
      <c r="O6" s="49">
        <f>IF(DAY(AugSun1)=1,AugSun1+7,AugSun1+14)</f>
        <v>43688</v>
      </c>
      <c r="P6" s="25"/>
      <c r="Q6" s="6"/>
      <c r="R6" s="6"/>
    </row>
    <row r="7" spans="1:18" ht="21.95" customHeight="1" x14ac:dyDescent="0.2">
      <c r="A7" s="5"/>
      <c r="B7" s="70"/>
      <c r="C7" s="32"/>
      <c r="D7" s="46"/>
      <c r="E7" s="44"/>
      <c r="F7" s="46"/>
      <c r="G7" s="44"/>
      <c r="H7" s="46"/>
      <c r="I7" s="44"/>
      <c r="J7" s="46"/>
      <c r="K7" s="44"/>
      <c r="L7" s="46"/>
      <c r="M7" s="34"/>
      <c r="N7" s="33"/>
      <c r="O7" s="46"/>
      <c r="P7" s="35"/>
      <c r="Q7" s="6"/>
      <c r="R7" s="6"/>
    </row>
    <row r="8" spans="1:18" ht="21.95" customHeight="1" x14ac:dyDescent="0.2">
      <c r="A8" s="5"/>
      <c r="B8" s="70"/>
      <c r="C8" s="42">
        <f>IF(DAY(AugSun1)=1,AugSun1+8,AugSun1+15)</f>
        <v>43689</v>
      </c>
      <c r="D8" s="20">
        <f>IFERROR(IF(C8=Parameters!$D$69,August!J6+1,IF(VLOOKUP(August!C8,Parameters!$D$54:$E$84,2,FALSE)="DayOff","",IF(L6=" "," ",IF(L6=12," ",IF(L6&lt;&gt;"",L6+1,IF(C8&lt;Parameters!$O$9,"",1)))))),"")</f>
        <v>8</v>
      </c>
      <c r="E8" s="43">
        <f>IF(DAY(AugSun1)=1,AugSun1+9,AugSun1+16)</f>
        <v>43690</v>
      </c>
      <c r="F8" s="20">
        <f>IFERROR(IF(E8=Parameters!$D$69,August!L6+1,IF(VLOOKUP(August!E8,Parameters!$D$54:$E$84,2,FALSE)="DayOff","",IF(D8=" "," ",IF(D8=12," ",IF(D8&lt;&gt;"",D8+1,IF(E8&lt;Parameters!$O$9,"",1)))))),"")</f>
        <v>9</v>
      </c>
      <c r="G8" s="43">
        <f>IF(DAY(AugSun1)=1,AugSun1+10,AugSun1+17)</f>
        <v>43691</v>
      </c>
      <c r="H8" s="20">
        <f>IFERROR(IF(G8=Parameters!$D$69,August!D8+1,IF(VLOOKUP(August!G8,Parameters!$D$54:$E$84,2,FALSE)="DayOff","",IF(F8=" "," ",IF(F8=12," ",IF(F8&lt;&gt;"",F8+1,IF(G8&lt;Parameters!$O$9,"",1)))))),"")</f>
        <v>10</v>
      </c>
      <c r="I8" s="43">
        <f>IF(DAY(AugSun1)=1,AugSun1+11,AugSun1+18)</f>
        <v>43692</v>
      </c>
      <c r="J8" s="20" t="str">
        <f>IFERROR(IF(I8=Parameters!$D$69,August!F8+1,IF(VLOOKUP(August!I8,Parameters!$D$54:$E$84,2,FALSE)="DayOff","",IF(H8=" "," ",IF(H8=12," ",IF(H8&lt;&gt;"",H8+1,IF(I8&lt;Parameters!$O$9,"",1)))))),"")</f>
        <v/>
      </c>
      <c r="K8" s="49">
        <f>IF(DAY(AugSun1)=1,AugSun1+12,AugSun1+19)</f>
        <v>43693</v>
      </c>
      <c r="L8" s="20">
        <f>IFERROR(IF(K8=Parameters!$D$69,August!H8+1,IF(VLOOKUP(August!K8,Parameters!$D$54:$E$84,2,FALSE)="DayOff","",IF(J8=" "," ",IF(J8=12," ",IF(J8&lt;&gt;"",J8+1,IF(K8&lt;Parameters!$O$9,"",1)))))),"")</f>
        <v>11</v>
      </c>
      <c r="M8" s="49">
        <f>IF(DAY(AugSun1)=1,AugSun1+13,AugSun1+20)</f>
        <v>43694</v>
      </c>
      <c r="N8" s="9"/>
      <c r="O8" s="49">
        <f>IF(DAY(AugSun1)=1,AugSun1+14,AugSun1+21)</f>
        <v>43695</v>
      </c>
      <c r="P8" s="25"/>
      <c r="Q8" s="6"/>
      <c r="R8" s="6"/>
    </row>
    <row r="9" spans="1:18" ht="21.95" customHeight="1" x14ac:dyDescent="0.2">
      <c r="A9" s="5"/>
      <c r="B9" s="70"/>
      <c r="C9" s="32"/>
      <c r="D9" s="46"/>
      <c r="E9" s="44"/>
      <c r="F9" s="46"/>
      <c r="G9" s="44"/>
      <c r="H9" s="46"/>
      <c r="I9" s="44"/>
      <c r="J9" s="46"/>
      <c r="K9" s="44"/>
      <c r="L9" s="46"/>
      <c r="M9" s="34"/>
      <c r="N9" s="33"/>
      <c r="O9" s="46"/>
      <c r="P9" s="35"/>
      <c r="Q9" s="6"/>
      <c r="R9" s="6"/>
    </row>
    <row r="10" spans="1:18" ht="21.95" customHeight="1" x14ac:dyDescent="0.2">
      <c r="A10" s="5"/>
      <c r="B10" s="70"/>
      <c r="C10" s="42">
        <f>IF(DAY(AugSun1)=1,AugSun1+15,AugSun1+22)</f>
        <v>43696</v>
      </c>
      <c r="D10" s="20">
        <f>IFERROR(IF(C10=Parameters!$D$69,August!J8+1,IF(VLOOKUP(August!C10,Parameters!$D$54:$E$84,2,FALSE)="DayOff","",IF(L8=" "," ",IF(L8=12," ",IF(L8&lt;&gt;"",L8+1,IF(C10&lt;Parameters!$O$9,"",1)))))),"")</f>
        <v>12</v>
      </c>
      <c r="E10" s="43">
        <f>IF(DAY(AugSun1)=1,AugSun1+16,AugSun1+23)</f>
        <v>43697</v>
      </c>
      <c r="F10" s="20" t="str">
        <f>IFERROR(IF(E10=Parameters!$D$69,August!L8+1,IF(VLOOKUP(August!E10,Parameters!$D$54:$E$84,2,FALSE)="DayOff","",IF(D10=" "," ",IF(D10=12," ",IF(D10&lt;&gt;"",D10+1,IF(E10&lt;Parameters!$O$9,"",1)))))),"")</f>
        <v xml:space="preserve"> </v>
      </c>
      <c r="G10" s="43">
        <f>IF(DAY(AugSun1)=1,AugSun1+17,AugSun1+24)</f>
        <v>43698</v>
      </c>
      <c r="H10" s="20" t="str">
        <f>IFERROR(IF(G10=Parameters!$D$69,August!D10+1,IF(VLOOKUP(August!G10,Parameters!$D$54:$E$84,2,FALSE)="DayOff","",IF(F10=" "," ",IF(F10=12," ",IF(F10&lt;&gt;"",F10+1,IF(G10&lt;Parameters!$O$9,"",1)))))),"")</f>
        <v xml:space="preserve"> </v>
      </c>
      <c r="I10" s="43">
        <f>IF(DAY(AugSun1)=1,AugSun1+18,AugSun1+25)</f>
        <v>43699</v>
      </c>
      <c r="J10" s="20" t="str">
        <f>IFERROR(IF(I10=Parameters!$D$69,August!F10+1,IF(VLOOKUP(August!I10,Parameters!$D$54:$E$84,2,FALSE)="DayOff","",IF(H10=" "," ",IF(H10=12," ",IF(H10&lt;&gt;"",H10+1,IF(I10&lt;Parameters!$O$9,"",1)))))),"")</f>
        <v xml:space="preserve"> </v>
      </c>
      <c r="K10" s="49">
        <f>IF(DAY(AugSun1)=1,AugSun1+19,AugSun1+26)</f>
        <v>43700</v>
      </c>
      <c r="L10" s="20" t="str">
        <f>IFERROR(IF(K10=Parameters!$D$69,August!H10+1,IF(VLOOKUP(August!K10,Parameters!$D$54:$E$84,2,FALSE)="DayOff","",IF(J10=" "," ",IF(J10=12," ",IF(J10&lt;&gt;"",J10+1,IF(K10&lt;Parameters!$O$9,"",1)))))),"")</f>
        <v xml:space="preserve"> </v>
      </c>
      <c r="M10" s="49">
        <f>IF(DAY(AugSun1)=1,AugSun1+20,AugSun1+27)</f>
        <v>43701</v>
      </c>
      <c r="N10" s="9"/>
      <c r="O10" s="49">
        <f>IF(DAY(AugSun1)=1,AugSun1+21,AugSun1+28)</f>
        <v>43702</v>
      </c>
      <c r="P10" s="25"/>
      <c r="Q10" s="6"/>
      <c r="R10" s="6"/>
    </row>
    <row r="11" spans="1:18" ht="21.95" customHeight="1" x14ac:dyDescent="0.2">
      <c r="A11" s="5"/>
      <c r="B11" s="70"/>
      <c r="C11" s="32"/>
      <c r="D11" s="46"/>
      <c r="E11" s="34"/>
      <c r="F11" s="46"/>
      <c r="G11" s="34"/>
      <c r="H11" s="46"/>
      <c r="I11" s="63" t="s">
        <v>26</v>
      </c>
      <c r="J11" s="33"/>
      <c r="K11" s="46"/>
      <c r="L11" s="33"/>
      <c r="M11" s="46"/>
      <c r="N11" s="33"/>
      <c r="O11" s="46"/>
      <c r="P11" s="35"/>
      <c r="Q11" s="6"/>
      <c r="R11" s="6"/>
    </row>
    <row r="12" spans="1:18" ht="21.95" customHeight="1" x14ac:dyDescent="0.2">
      <c r="A12" s="5"/>
      <c r="B12" s="70"/>
      <c r="C12" s="42">
        <f>IF(DAY(AugSun1)=1,AugSun1+22,AugSun1+29)</f>
        <v>43703</v>
      </c>
      <c r="D12" s="20" t="str">
        <f>IFERROR(IF(C12=Parameters!$D$69,August!J10+1,IF(VLOOKUP(August!C12,Parameters!$D$54:$E$84,2,FALSE)="DayOff","",IF(L10=" "," ",IF(L10=12," ",IF(L10&lt;&gt;"",L10+1,IF(C12&lt;Parameters!$O$9,"",1)))))),"")</f>
        <v xml:space="preserve"> </v>
      </c>
      <c r="E12" s="43">
        <f>IF(DAY(AugSun1)=1,AugSun1+23,AugSun1+30)</f>
        <v>43704</v>
      </c>
      <c r="F12" s="20" t="str">
        <f>IFERROR(IF(E12=Parameters!$D$69,August!L10+1,IF(VLOOKUP(August!E12,Parameters!$D$54:$E$84,2,FALSE)="DayOff","",IF(D12=" "," ",IF(D12=12," ",IF(D12&lt;&gt;"",D12+1,IF(E12&lt;Parameters!$O$9,"",1)))))),"")</f>
        <v xml:space="preserve"> </v>
      </c>
      <c r="G12" s="43">
        <f>IF(DAY(AugSun1)=1,AugSun1+24,AugSun1+31)</f>
        <v>43705</v>
      </c>
      <c r="H12" s="20" t="str">
        <f>IFERROR(IF(G12=Parameters!$D$69,August!D12+1,IF(VLOOKUP(August!G12,Parameters!$D$54:$E$84,2,FALSE)="DayOff","",IF(F12=" "," ",IF(F12=12," ",IF(F12&lt;&gt;"",F12+1,IF(G12&lt;Parameters!$O$9,"",1)))))),"")</f>
        <v xml:space="preserve"> </v>
      </c>
      <c r="I12" s="40">
        <f>IF(DAY(AugSun1)=1,AugSun1+25,AugSun1+32)</f>
        <v>43706</v>
      </c>
      <c r="J12" s="20" t="str">
        <f>IFERROR(IF(I12=Parameters!$D$69,August!F12+1,IF(VLOOKUP(August!I12,Parameters!$D$54:$E$84,2,FALSE)="DayOff","",IF(H12=" "," ",IF(H12=12," ",IF(H12&lt;&gt;"",H12+1,IF(I12&lt;Parameters!$O$9,"",1)))))),"")</f>
        <v xml:space="preserve"> </v>
      </c>
      <c r="K12" s="49">
        <f>IF(DAY(AugSun1)=1,AugSun1+26,AugSun1+33)</f>
        <v>43707</v>
      </c>
      <c r="L12" s="20" t="str">
        <f>IFERROR(IF(K12=Parameters!$D$69,August!H12+1,IF(VLOOKUP(August!K12,Parameters!$D$54:$E$84,2,FALSE)="DayOff","",IF(J12=" "," ",IF(J12=12," ",IF(J12&lt;&gt;"",J12+1,IF(K12&lt;Parameters!$O$9,"",1)))))),"")</f>
        <v xml:space="preserve"> </v>
      </c>
      <c r="M12" s="49">
        <f>IF(DAY(AugSun1)=1,AugSun1+27,AugSun1+34)</f>
        <v>43708</v>
      </c>
      <c r="N12" s="9"/>
      <c r="O12" s="49">
        <f>IF(DAY(AugSun1)=1,AugSun1+28,AugSun1+35)</f>
        <v>43709</v>
      </c>
      <c r="P12" s="25"/>
      <c r="Q12" s="6"/>
      <c r="R12" s="6"/>
    </row>
    <row r="13" spans="1:18" ht="21.95" customHeight="1" x14ac:dyDescent="0.2">
      <c r="A13" s="5"/>
      <c r="B13" s="70"/>
      <c r="C13" s="32"/>
      <c r="D13" s="46"/>
      <c r="E13" s="44"/>
      <c r="F13" s="46"/>
      <c r="G13" s="44"/>
      <c r="H13" s="46"/>
      <c r="I13" s="44"/>
      <c r="J13" s="46"/>
      <c r="K13" s="44"/>
      <c r="L13" s="46"/>
      <c r="M13" s="34"/>
      <c r="N13" s="33"/>
      <c r="O13" s="46"/>
      <c r="P13" s="35"/>
      <c r="Q13" s="6"/>
      <c r="R13" s="6"/>
    </row>
    <row r="14" spans="1:18" ht="21.95" customHeight="1" x14ac:dyDescent="0.2">
      <c r="A14" s="5"/>
      <c r="B14" s="70"/>
      <c r="C14" s="62">
        <f>IF(DAY(AugSun1)=1,AugSun1+29,AugSun1+36)</f>
        <v>43710</v>
      </c>
      <c r="D14" s="20" t="str">
        <f>IFERROR(IF(C14=Parameters!$D$69,August!J12+1,IF(VLOOKUP(August!C14,Parameters!$D$54:$E$84,2,FALSE)="DayOff","",IF(L12=" "," ",IF(L12=12," ",IF(L12&lt;&gt;"",L12+1,IF(C14&lt;Parameters!$O$9,"",1)))))),"")</f>
        <v/>
      </c>
      <c r="E14" s="43">
        <f>IF(DAY(AugSun1)=1,AugSun1+30,AugSun1+37)</f>
        <v>43711</v>
      </c>
      <c r="F14" s="20" t="str">
        <f>IFERROR(IF(E14=Parameters!$D$69,August!L12+1,IF(VLOOKUP(August!E14,Parameters!$D$54:$E$84,2,FALSE)="DayOff","",IF(D14=" "," ",IF(D14=12," ",IF(D14&lt;&gt;"",D14+1,IF(E14&lt;Parameters!$O$9,"",1)))))),"")</f>
        <v/>
      </c>
      <c r="G14" s="43">
        <f>IF(DAY(AugSun1)=1,AugSun1+31,AugSun1+38)</f>
        <v>43712</v>
      </c>
      <c r="H14" s="20" t="str">
        <f>IFERROR(IF(G14=Parameters!$D$69,August!D14+1,IF(VLOOKUP(August!G14,Parameters!$D$54:$E$84,2,FALSE)="DayOff","",IF(F14=" "," ",IF(F14=12," ",IF(F14&lt;&gt;"",F14+1,IF(G14&lt;Parameters!$O$9,"",1)))))),"")</f>
        <v/>
      </c>
      <c r="I14" s="43">
        <f>IF(DAY(AugSun1)=1,AugSun1+32,AugSun1+39)</f>
        <v>43713</v>
      </c>
      <c r="J14" s="20" t="str">
        <f>IFERROR(IF(I14=Parameters!$D$69,August!F14+1,IF(VLOOKUP(August!I14,Parameters!$D$54:$E$84,2,FALSE)="DayOff","",IF(H14=" "," ",IF(H14=12," ",IF(H14&lt;&gt;"",H14+1,IF(I14&lt;Parameters!$O$9,"",1)))))),"")</f>
        <v/>
      </c>
      <c r="K14" s="43">
        <f>IF(DAY(AugSun1)=1,AugSun1+33,AugSun1+40)</f>
        <v>43714</v>
      </c>
      <c r="L14" s="20" t="str">
        <f>IFERROR(IF(K14=Parameters!$D$69,August!H14+1,IF(VLOOKUP(August!K14,Parameters!$D$54:$E$84,2,FALSE)="DayOff","",IF(J14=" "," ",IF(J14=12," ",IF(J14&lt;&gt;"",J14+1,IF(K14&lt;Parameters!$O$9,"",1)))))),"")</f>
        <v/>
      </c>
      <c r="M14" s="49">
        <f>IF(DAY(AugSun1)=1,AugSun1+34,AugSun1+41)</f>
        <v>43715</v>
      </c>
      <c r="N14" s="9"/>
      <c r="O14" s="49">
        <f>IF(DAY(AugSun1)=1,AugSun1+35,AugSun1+42)</f>
        <v>43716</v>
      </c>
      <c r="P14" s="25"/>
      <c r="Q14" s="6"/>
      <c r="R14" s="6"/>
    </row>
    <row r="15" spans="1:18" ht="21.95" customHeight="1" thickBot="1" x14ac:dyDescent="0.25">
      <c r="A15" s="5"/>
      <c r="B15" s="70"/>
      <c r="C15" s="36"/>
      <c r="D15" s="47"/>
      <c r="E15" s="38"/>
      <c r="F15" s="37"/>
      <c r="G15" s="38"/>
      <c r="H15" s="37"/>
      <c r="I15" s="38"/>
      <c r="J15" s="37"/>
      <c r="K15" s="47"/>
      <c r="L15" s="37"/>
      <c r="M15" s="47"/>
      <c r="N15" s="37"/>
      <c r="O15" s="47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  <row r="17" spans="1:18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</row>
  </sheetData>
  <sheetProtection password="CC6F" sheet="1" objects="1" scenarios="1"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42" priority="27" stopIfTrue="1">
      <formula>DAY(C4)&gt;8</formula>
    </cfRule>
  </conditionalFormatting>
  <conditionalFormatting sqref="C12 G12 I12 K12 M12:O12 C15:O15 C14 M14:O14 K14 I14 G14 E12 E14">
    <cfRule type="expression" dxfId="41" priority="26" stopIfTrue="1">
      <formula>AND(DAY(C12)&gt;=1,DAY(C12)&lt;=15)</formula>
    </cfRule>
  </conditionalFormatting>
  <conditionalFormatting sqref="C4 E4 G4 I4 K4 M4:O4 C6 M6:O6 K6 I6 G6 C8 G8 I8 K8 M8:O8 C11:H11 C10 M10:O10 K10 I10 G10 C12 G12 I12 K12 M12:O12 C14 M14:O14 K14 I14 G14 E6 E8 E10 E12 E14 C5:O5 J11:O11">
    <cfRule type="expression" dxfId="40" priority="28">
      <formula>VLOOKUP(DAY(C4),AssignmentDays,1,FALSE)=DAY(C4)</formula>
    </cfRule>
  </conditionalFormatting>
  <conditionalFormatting sqref="F5">
    <cfRule type="expression" dxfId="39" priority="24" stopIfTrue="1">
      <formula>AND(DAY(F5)&gt;=1,DAY(F5)&lt;=15)</formula>
    </cfRule>
  </conditionalFormatting>
  <conditionalFormatting sqref="H5">
    <cfRule type="expression" dxfId="38" priority="23" stopIfTrue="1">
      <formula>AND(DAY(H5)&gt;=1,DAY(H5)&lt;=15)</formula>
    </cfRule>
  </conditionalFormatting>
  <conditionalFormatting sqref="I11">
    <cfRule type="expression" dxfId="37" priority="22">
      <formula>VLOOKUP(DAY(I11),AssignmentDays,1,FALSE)=DAY(I11)</formula>
    </cfRule>
  </conditionalFormatting>
  <conditionalFormatting sqref="C7:N7">
    <cfRule type="expression" dxfId="36" priority="20" stopIfTrue="1">
      <formula>DAY(C7)&gt;8</formula>
    </cfRule>
  </conditionalFormatting>
  <conditionalFormatting sqref="C7:O7">
    <cfRule type="expression" dxfId="35" priority="21">
      <formula>VLOOKUP(DAY(C7),AssignmentDays,1,FALSE)=DAY(C7)</formula>
    </cfRule>
  </conditionalFormatting>
  <conditionalFormatting sqref="F7">
    <cfRule type="expression" dxfId="34" priority="19" stopIfTrue="1">
      <formula>AND(DAY(F7)&gt;=1,DAY(F7)&lt;=15)</formula>
    </cfRule>
  </conditionalFormatting>
  <conditionalFormatting sqref="H7">
    <cfRule type="expression" dxfId="33" priority="18" stopIfTrue="1">
      <formula>AND(DAY(H7)&gt;=1,DAY(H7)&lt;=15)</formula>
    </cfRule>
  </conditionalFormatting>
  <conditionalFormatting sqref="C9:N9">
    <cfRule type="expression" dxfId="32" priority="16" stopIfTrue="1">
      <formula>DAY(C9)&gt;8</formula>
    </cfRule>
  </conditionalFormatting>
  <conditionalFormatting sqref="C9:O9">
    <cfRule type="expression" dxfId="31" priority="17">
      <formula>VLOOKUP(DAY(C9),AssignmentDays,1,FALSE)=DAY(C9)</formula>
    </cfRule>
  </conditionalFormatting>
  <conditionalFormatting sqref="F9">
    <cfRule type="expression" dxfId="30" priority="15" stopIfTrue="1">
      <formula>AND(DAY(F9)&gt;=1,DAY(F9)&lt;=15)</formula>
    </cfRule>
  </conditionalFormatting>
  <conditionalFormatting sqref="H9">
    <cfRule type="expression" dxfId="29" priority="14" stopIfTrue="1">
      <formula>AND(DAY(H9)&gt;=1,DAY(H9)&lt;=15)</formula>
    </cfRule>
  </conditionalFormatting>
  <conditionalFormatting sqref="C13:F13 J13 H13 L13:N13">
    <cfRule type="expression" dxfId="28" priority="12" stopIfTrue="1">
      <formula>DAY(C13)&gt;8</formula>
    </cfRule>
  </conditionalFormatting>
  <conditionalFormatting sqref="C13:F13 J13 H13 L13:O13">
    <cfRule type="expression" dxfId="27" priority="13">
      <formula>VLOOKUP(DAY(C13),AssignmentDays,1,FALSE)=DAY(C13)</formula>
    </cfRule>
  </conditionalFormatting>
  <conditionalFormatting sqref="F13">
    <cfRule type="expression" dxfId="26" priority="11" stopIfTrue="1">
      <formula>AND(DAY(F13)&gt;=1,DAY(F13)&lt;=15)</formula>
    </cfRule>
  </conditionalFormatting>
  <conditionalFormatting sqref="H13">
    <cfRule type="expression" dxfId="25" priority="10" stopIfTrue="1">
      <formula>AND(DAY(H13)&gt;=1,DAY(H13)&lt;=15)</formula>
    </cfRule>
  </conditionalFormatting>
  <conditionalFormatting sqref="G13">
    <cfRule type="expression" dxfId="24" priority="5" stopIfTrue="1">
      <formula>DAY(G13)&gt;8</formula>
    </cfRule>
  </conditionalFormatting>
  <conditionalFormatting sqref="G13">
    <cfRule type="expression" dxfId="23" priority="6">
      <formula>VLOOKUP(DAY(G13),AssignmentDays,1,FALSE)=DAY(G13)</formula>
    </cfRule>
  </conditionalFormatting>
  <conditionalFormatting sqref="I13">
    <cfRule type="expression" dxfId="22" priority="3" stopIfTrue="1">
      <formula>DAY(I13)&gt;8</formula>
    </cfRule>
  </conditionalFormatting>
  <conditionalFormatting sqref="I13">
    <cfRule type="expression" dxfId="21" priority="4">
      <formula>VLOOKUP(DAY(I13),AssignmentDays,1,FALSE)=DAY(I13)</formula>
    </cfRule>
  </conditionalFormatting>
  <conditionalFormatting sqref="K13">
    <cfRule type="expression" dxfId="20" priority="1" stopIfTrue="1">
      <formula>DAY(K13)&gt;8</formula>
    </cfRule>
  </conditionalFormatting>
  <conditionalFormatting sqref="K13">
    <cfRule type="expression" dxfId="19" priority="2">
      <formula>VLOOKUP(DAY(K13),AssignmentDays,1,FALSE)=DAY(K13)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7"/>
  <sheetViews>
    <sheetView showGridLines="0" topLeftCell="A2" zoomScale="90" zoomScaleNormal="90" zoomScalePageLayoutView="84" workbookViewId="0">
      <selection activeCell="I7" sqref="I7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0" t="str">
        <f>" SEPTEMBER "&amp;Parameters!B14</f>
        <v xml:space="preserve"> SEPTEMBER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  <c r="R3" s="6"/>
    </row>
    <row r="4" spans="1:18" ht="21.95" customHeight="1" x14ac:dyDescent="0.2">
      <c r="A4" s="5"/>
      <c r="B4" s="70"/>
      <c r="C4" s="41">
        <f>IF(DAY(SepSun1)=1,SepSun1-6,SepSun1+1)</f>
        <v>43703</v>
      </c>
      <c r="D4" s="20" t="str">
        <f>IFERROR(IF(VLOOKUP(C4,Parameters!$F$54:$G$84,2,FALSE)="DayOff","",IF(C4&lt;Parameters!$O$10,"",1)),"")</f>
        <v/>
      </c>
      <c r="E4" s="40">
        <f>IF(DAY(SepSun1)=1,SepSun1-5,SepSun1+2)</f>
        <v>43704</v>
      </c>
      <c r="F4" s="20" t="str">
        <f>IFERROR(IF(VLOOKUP(E4,Parameters!$F$54:$G$84,2,FALSE)="DayOff","",IF(D4=" "," ",IF(D4=12," ",IF(D4&lt;&gt;"",D4+1,IF(E4&lt;Parameters!$O$10,"",1))))),"")</f>
        <v/>
      </c>
      <c r="G4" s="40">
        <f>IF(DAY(SepSun1)=1,SepSun1-4,SepSun1+3)</f>
        <v>43705</v>
      </c>
      <c r="H4" s="20" t="str">
        <f>IFERROR(IF(VLOOKUP(G4,Parameters!$F$54:$G$84,2,FALSE)="DayOff","",IF(F4=" "," ",IF(F4=12," ",IF(F4&lt;&gt;"",F4+1,IF(G4&lt;Parameters!$O$10,"",1))))),"")</f>
        <v/>
      </c>
      <c r="I4" s="40">
        <f>IF(DAY(SepSun1)=1,SepSun1-3,SepSun1+4)</f>
        <v>43706</v>
      </c>
      <c r="J4" s="20" t="str">
        <f>IFERROR(IF(VLOOKUP(I4,Parameters!$F$54:$G$84,2,FALSE)="DayOff","",IF(H4=" "," ",IF(H4=12," ",IF(H4&lt;&gt;"",H4+1,IF(I4&lt;Parameters!$O$10,"",1))))),"")</f>
        <v/>
      </c>
      <c r="K4" s="40">
        <f>IF(DAY(SepSun1)=1,SepSun1-2,SepSun1+5)</f>
        <v>43707</v>
      </c>
      <c r="L4" s="20" t="str">
        <f>IFERROR(IF(VLOOKUP(K4,Parameters!$F$54:$G$84,2,FALSE)="DayOff","",IF(J4=" "," ",IF(J4=12," ",IF(J4&lt;&gt;"",J4+1,IF(K4&lt;Parameters!$O$10,"",1))))),"")</f>
        <v/>
      </c>
      <c r="M4" s="40">
        <f>IF(DAY(SepSun1)=1,SepSun1-1,SepSun1+6)</f>
        <v>43708</v>
      </c>
      <c r="N4" s="20"/>
      <c r="O4" s="40">
        <f>IF(DAY(SepSun1)=1,SepSun1,SepSun1+7)</f>
        <v>43709</v>
      </c>
      <c r="P4" s="22"/>
      <c r="Q4" s="6"/>
      <c r="R4" s="6"/>
    </row>
    <row r="5" spans="1:18" ht="21.95" customHeight="1" x14ac:dyDescent="0.2">
      <c r="A5" s="5"/>
      <c r="B5" s="70"/>
      <c r="C5" s="32"/>
      <c r="D5" s="46"/>
      <c r="E5" s="34"/>
      <c r="F5" s="46"/>
      <c r="G5" s="34"/>
      <c r="H5" s="46"/>
      <c r="I5" s="34"/>
      <c r="J5" s="46"/>
      <c r="K5" s="34"/>
      <c r="L5" s="46"/>
      <c r="M5" s="34"/>
      <c r="N5" s="46"/>
      <c r="O5" s="34"/>
      <c r="P5" s="35"/>
      <c r="Q5" s="6"/>
      <c r="R5" s="6"/>
    </row>
    <row r="6" spans="1:18" ht="21.95" customHeight="1" x14ac:dyDescent="0.2">
      <c r="A6" s="5"/>
      <c r="B6" s="70"/>
      <c r="C6" s="41">
        <f>IF(DAY(SepSun1)=1,SepSun1+1,SepSun1+8)</f>
        <v>43710</v>
      </c>
      <c r="D6" s="15">
        <f>IFERROR(IF(VLOOKUP(C6,Parameters!$F$54:$G$84,2,FALSE)="DayOff","",IF(L4=" "," ",IF(L4=12," ",IF(L4&lt;&gt;"",L4+1,IF(C6&lt;Parameters!$O$10,"",1))))),"")</f>
        <v>1</v>
      </c>
      <c r="E6" s="40">
        <f>IF(DAY(SepSun1)=1,SepSun1+2,SepSun1+9)</f>
        <v>43711</v>
      </c>
      <c r="F6" s="20">
        <f>IFERROR(IF(VLOOKUP(E6,Parameters!$F$54:$G$84,2,FALSE)="DayOff","",IF(D6=" "," ",IF(D6=12," ",IF(D6&lt;&gt;"",D6+1,IF(E6&lt;Parameters!$O$10,"",1))))),"")</f>
        <v>2</v>
      </c>
      <c r="G6" s="40">
        <f>IF(DAY(SepSun1)=1,SepSun1+3,SepSun1+10)</f>
        <v>43712</v>
      </c>
      <c r="H6" s="20">
        <f>IFERROR(IF(VLOOKUP(G6,Parameters!$F$54:$G$84,2,FALSE)="DayOff","",IF(F6=" "," ",IF(F6=12," ",IF(F6&lt;&gt;"",F6+1,IF(G6&lt;Parameters!$O$10,"",1))))),"")</f>
        <v>3</v>
      </c>
      <c r="I6" s="40">
        <f>IF(DAY(SepSun1)=1,SepSun1+4,SepSun1+11)</f>
        <v>43713</v>
      </c>
      <c r="J6" s="20">
        <f>IFERROR(IF(VLOOKUP(I6,Parameters!$F$54:$G$84,2,FALSE)="DayOff","",IF(H6=" "," ",IF(H6=12," ",IF(H6&lt;&gt;"",H6+1,IF(I6&lt;Parameters!$O$10,"",1))))),"")</f>
        <v>4</v>
      </c>
      <c r="K6" s="40">
        <f>IF(DAY(SepSun1)=1,SepSun1+5,SepSun1+12)</f>
        <v>43714</v>
      </c>
      <c r="L6" s="20">
        <f>IFERROR(IF(VLOOKUP(K6,Parameters!$F$54:$G$84,2,FALSE)="DayOff","",IF(J6=" "," ",IF(J6=12," ",IF(J6&lt;&gt;"",J6+1,IF(K6&lt;Parameters!$O$10,"",1))))),"")</f>
        <v>5</v>
      </c>
      <c r="M6" s="40">
        <f>IF(DAY(SepSun1)=1,SepSun1+6,SepSun1+13)</f>
        <v>43715</v>
      </c>
      <c r="N6" s="2"/>
      <c r="O6" s="40">
        <f>IF(DAY(SepSun1)=1,SepSun1+7,SepSun1+14)</f>
        <v>43716</v>
      </c>
      <c r="P6" s="22"/>
      <c r="Q6" s="6"/>
      <c r="R6" s="6"/>
    </row>
    <row r="7" spans="1:18" ht="21.95" customHeight="1" x14ac:dyDescent="0.2">
      <c r="A7" s="5"/>
      <c r="B7" s="70"/>
      <c r="C7" s="32"/>
      <c r="D7" s="46"/>
      <c r="E7" s="34"/>
      <c r="F7" s="46"/>
      <c r="G7" s="34"/>
      <c r="H7" s="46"/>
      <c r="I7" s="34"/>
      <c r="J7" s="46"/>
      <c r="K7" s="34"/>
      <c r="L7" s="46"/>
      <c r="M7" s="34"/>
      <c r="N7" s="46"/>
      <c r="O7" s="34"/>
      <c r="P7" s="35"/>
      <c r="Q7" s="6"/>
      <c r="R7" s="6"/>
    </row>
    <row r="8" spans="1:18" ht="21.95" customHeight="1" x14ac:dyDescent="0.2">
      <c r="A8" s="5"/>
      <c r="B8" s="70"/>
      <c r="C8" s="41">
        <f>IF(DAY(SepSun1)=1,SepSun1+8,SepSun1+15)</f>
        <v>43717</v>
      </c>
      <c r="D8" s="15">
        <f>IFERROR(IF(VLOOKUP(C8,Parameters!$F$54:$G$84,2,FALSE)="DayOff","",IF(L6=" "," ",IF(L6=12," ",IF(L6&lt;&gt;"",L6+1,IF(C8&lt;Parameters!$O$10,"",1))))),"")</f>
        <v>6</v>
      </c>
      <c r="E8" s="40">
        <f>IF(DAY(SepSun1)=1,SepSun1+9,SepSun1+16)</f>
        <v>43718</v>
      </c>
      <c r="F8" s="20">
        <f>IFERROR(IF(VLOOKUP(E8,Parameters!$F$54:$G$84,2,FALSE)="DayOff","",IF(D8=" "," ",IF(D8=12," ",IF(D8&lt;&gt;"",D8+1,IF(E8&lt;Parameters!$O$10,"",1))))),"")</f>
        <v>7</v>
      </c>
      <c r="G8" s="40">
        <f>IF(DAY(SepSun1)=1,SepSun1+10,SepSun1+17)</f>
        <v>43719</v>
      </c>
      <c r="H8" s="20">
        <f>IFERROR(IF(VLOOKUP(G8,Parameters!$F$54:$G$84,2,FALSE)="DayOff","",IF(F8=" "," ",IF(F8=12," ",IF(F8&lt;&gt;"",F8+1,IF(G8&lt;Parameters!$O$10,"",1))))),"")</f>
        <v>8</v>
      </c>
      <c r="I8" s="40">
        <f>IF(DAY(SepSun1)=1,SepSun1+11,SepSun1+18)</f>
        <v>43720</v>
      </c>
      <c r="J8" s="20">
        <f>IFERROR(IF(VLOOKUP(I8,Parameters!$F$54:$G$84,2,FALSE)="DayOff","",IF(H8=" "," ",IF(H8=12," ",IF(H8&lt;&gt;"",H8+1,IF(I8&lt;Parameters!$O$10,"",1))))),"")</f>
        <v>9</v>
      </c>
      <c r="K8" s="40">
        <f>IF(DAY(SepSun1)=1,SepSun1+12,SepSun1+19)</f>
        <v>43721</v>
      </c>
      <c r="L8" s="20">
        <f>IFERROR(IF(VLOOKUP(K8,Parameters!$F$54:$G$84,2,FALSE)="DayOff","",IF(J8=" "," ",IF(J8=12," ",IF(J8&lt;&gt;"",J8+1,IF(K8&lt;Parameters!$O$10,"",1))))),"")</f>
        <v>10</v>
      </c>
      <c r="M8" s="40">
        <f>IF(DAY(SepSun1)=1,SepSun1+13,SepSun1+20)</f>
        <v>43722</v>
      </c>
      <c r="N8" s="2"/>
      <c r="O8" s="40">
        <f>IF(DAY(SepSun1)=1,SepSun1+14,SepSun1+21)</f>
        <v>43723</v>
      </c>
      <c r="P8" s="22"/>
      <c r="Q8" s="6"/>
      <c r="R8" s="6"/>
    </row>
    <row r="9" spans="1:18" ht="21.95" customHeight="1" x14ac:dyDescent="0.2">
      <c r="A9" s="5"/>
      <c r="B9" s="70"/>
      <c r="C9" s="32"/>
      <c r="D9" s="46"/>
      <c r="E9" s="34"/>
      <c r="F9" s="46"/>
      <c r="G9" s="34"/>
      <c r="H9" s="46"/>
      <c r="I9" s="34"/>
      <c r="J9" s="46"/>
      <c r="K9" s="34"/>
      <c r="L9" s="46"/>
      <c r="M9" s="34"/>
      <c r="N9" s="46"/>
      <c r="O9" s="34"/>
      <c r="P9" s="35"/>
      <c r="Q9" s="6"/>
      <c r="R9" s="6"/>
    </row>
    <row r="10" spans="1:18" ht="21.95" customHeight="1" x14ac:dyDescent="0.2">
      <c r="A10" s="5"/>
      <c r="B10" s="70"/>
      <c r="C10" s="41">
        <f>IF(DAY(SepSun1)=1,SepSun1+15,SepSun1+22)</f>
        <v>43724</v>
      </c>
      <c r="D10" s="15">
        <f>IFERROR(IF(VLOOKUP(C10,Parameters!$F$54:$G$84,2,FALSE)="DayOff","",IF(L8=" "," ",IF(L8=12," ",IF(L8&lt;&gt;"",L8+1,IF(C10&lt;Parameters!$O$10,"",1))))),"")</f>
        <v>11</v>
      </c>
      <c r="E10" s="40">
        <f>IF(DAY(SepSun1)=1,SepSun1+16,SepSun1+23)</f>
        <v>43725</v>
      </c>
      <c r="F10" s="20">
        <f>IFERROR(IF(VLOOKUP(E10,Parameters!$F$54:$G$84,2,FALSE)="DayOff","",IF(D10=" "," ",IF(D10=12," ",IF(D10&lt;&gt;"",D10+1,IF(E10&lt;Parameters!$O$10,"",1))))),"")</f>
        <v>12</v>
      </c>
      <c r="G10" s="40">
        <f>IF(DAY(SepSun1)=1,SepSun1+17,SepSun1+24)</f>
        <v>43726</v>
      </c>
      <c r="H10" s="20" t="str">
        <f>IFERROR(IF(VLOOKUP(G10,Parameters!$F$54:$G$84,2,FALSE)="DayOff","",IF(F10=" "," ",IF(F10=12," ",IF(F10&lt;&gt;"",F10+1,IF(G10&lt;Parameters!$O$10,"",1))))),"")</f>
        <v xml:space="preserve"> </v>
      </c>
      <c r="I10" s="40">
        <f>IF(DAY(SepSun1)=1,SepSun1+18,SepSun1+25)</f>
        <v>43727</v>
      </c>
      <c r="J10" s="20" t="str">
        <f>IFERROR(IF(VLOOKUP(I10,Parameters!$F$54:$G$84,2,FALSE)="DayOff","",IF(H10=" "," ",IF(H10=12," ",IF(H10&lt;&gt;"",H10+1,IF(I10&lt;Parameters!$O$10,"",1))))),"")</f>
        <v xml:space="preserve"> </v>
      </c>
      <c r="K10" s="40">
        <f>IF(DAY(SepSun1)=1,SepSun1+19,SepSun1+26)</f>
        <v>43728</v>
      </c>
      <c r="L10" s="20" t="str">
        <f>IFERROR(IF(VLOOKUP(K10,Parameters!$F$54:$G$84,2,FALSE)="DayOff","",IF(J10=" "," ",IF(J10=12," ",IF(J10&lt;&gt;"",J10+1,IF(K10&lt;Parameters!$O$10,"",1))))),"")</f>
        <v xml:space="preserve"> </v>
      </c>
      <c r="M10" s="40">
        <f>IF(DAY(SepSun1)=1,SepSun1+20,SepSun1+27)</f>
        <v>43729</v>
      </c>
      <c r="N10" s="2"/>
      <c r="O10" s="40">
        <f>IF(DAY(SepSun1)=1,SepSun1+21,SepSun1+28)</f>
        <v>43730</v>
      </c>
      <c r="P10" s="22"/>
      <c r="Q10" s="6"/>
      <c r="R10" s="6"/>
    </row>
    <row r="11" spans="1:18" ht="21.95" customHeight="1" x14ac:dyDescent="0.2">
      <c r="A11" s="5"/>
      <c r="B11" s="70"/>
      <c r="C11" s="32"/>
      <c r="D11" s="46"/>
      <c r="E11" s="34"/>
      <c r="F11" s="46"/>
      <c r="G11" s="34"/>
      <c r="H11" s="46"/>
      <c r="I11" s="63" t="s">
        <v>26</v>
      </c>
      <c r="J11" s="46"/>
      <c r="K11" s="34"/>
      <c r="L11" s="46"/>
      <c r="M11" s="34"/>
      <c r="N11" s="46"/>
      <c r="O11" s="34"/>
      <c r="P11" s="35"/>
      <c r="Q11" s="6"/>
      <c r="R11" s="6"/>
    </row>
    <row r="12" spans="1:18" ht="21.95" customHeight="1" x14ac:dyDescent="0.2">
      <c r="A12" s="5"/>
      <c r="B12" s="70"/>
      <c r="C12" s="41">
        <f>IF(DAY(SepSun1)=1,SepSun1+22,SepSun1+29)</f>
        <v>43731</v>
      </c>
      <c r="D12" s="15" t="str">
        <f>IFERROR(IF(VLOOKUP(C12,Parameters!$F$54:$G$84,2,FALSE)="DayOff","",IF(L10=" "," ",IF(L10=12," ",IF(L10&lt;&gt;"",L10+1,IF(C12&lt;Parameters!$O$10,"",1))))),"")</f>
        <v xml:space="preserve"> </v>
      </c>
      <c r="E12" s="40">
        <f>IF(DAY(SepSun1)=1,SepSun1+23,SepSun1+30)</f>
        <v>43732</v>
      </c>
      <c r="F12" s="20" t="str">
        <f>IFERROR(IF(VLOOKUP(E12,Parameters!$F$54:$G$84,2,FALSE)="DayOff","",IF(D12=" "," ",IF(D12=12," ",IF(D12&lt;&gt;"",D12+1,IF(E12&lt;Parameters!$O$10,"",1))))),"")</f>
        <v xml:space="preserve"> </v>
      </c>
      <c r="G12" s="40">
        <f>IF(DAY(SepSun1)=1,SepSun1+24,SepSun1+31)</f>
        <v>43733</v>
      </c>
      <c r="H12" s="20" t="str">
        <f>IFERROR(IF(VLOOKUP(G12,Parameters!$F$54:$G$84,2,FALSE)="DayOff","",IF(F12=" "," ",IF(F12=12," ",IF(F12&lt;&gt;"",F12+1,IF(G12&lt;Parameters!$O$10,"",1))))),"")</f>
        <v xml:space="preserve"> </v>
      </c>
      <c r="I12" s="40">
        <f>IF(DAY(SepSun1)=1,SepSun1+25,SepSun1+32)</f>
        <v>43734</v>
      </c>
      <c r="J12" s="20" t="str">
        <f>IFERROR(IF(VLOOKUP(I12,Parameters!$F$54:$G$84,2,FALSE)="DayOff","",IF(H12=" "," ",IF(H12=12," ",IF(H12&lt;&gt;"",H12+1,IF(I12&lt;Parameters!$O$10,"",1))))),"")</f>
        <v xml:space="preserve"> </v>
      </c>
      <c r="K12" s="40">
        <f>IF(DAY(SepSun1)=1,SepSun1+26,SepSun1+33)</f>
        <v>43735</v>
      </c>
      <c r="L12" s="20" t="str">
        <f>IFERROR(IF(VLOOKUP(K12,Parameters!$F$54:$G$84,2,FALSE)="DayOff","",IF(J12=" "," ",IF(J12=12," ",IF(J12&lt;&gt;"",J12+1,IF(K12&lt;Parameters!$O$10,"",1))))),"")</f>
        <v xml:space="preserve"> </v>
      </c>
      <c r="M12" s="40">
        <f>IF(DAY(SepSun1)=1,SepSun1+27,SepSun1+34)</f>
        <v>43736</v>
      </c>
      <c r="N12" s="2"/>
      <c r="O12" s="40">
        <f>IF(DAY(SepSun1)=1,SepSun1+28,SepSun1+35)</f>
        <v>43737</v>
      </c>
      <c r="P12" s="22"/>
      <c r="Q12" s="6"/>
      <c r="R12" s="6"/>
    </row>
    <row r="13" spans="1:18" ht="21.95" customHeight="1" x14ac:dyDescent="0.2">
      <c r="A13" s="5"/>
      <c r="B13" s="70"/>
      <c r="C13" s="32"/>
      <c r="D13" s="46"/>
      <c r="E13" s="34"/>
      <c r="F13" s="46"/>
      <c r="G13" s="34"/>
      <c r="H13" s="46"/>
      <c r="I13" s="34"/>
      <c r="J13" s="46"/>
      <c r="K13" s="34"/>
      <c r="L13" s="46"/>
      <c r="M13" s="34"/>
      <c r="N13" s="46"/>
      <c r="O13" s="34"/>
      <c r="P13" s="35"/>
      <c r="Q13" s="6"/>
      <c r="R13" s="6"/>
    </row>
    <row r="14" spans="1:18" ht="21.95" customHeight="1" x14ac:dyDescent="0.2">
      <c r="A14" s="5"/>
      <c r="B14" s="70"/>
      <c r="C14" s="41">
        <f>IF(DAY(SepSun1)=1,SepSun1+29,SepSun1+36)</f>
        <v>43738</v>
      </c>
      <c r="D14" s="15" t="str">
        <f>IFERROR(IF(VLOOKUP(C14,Parameters!$F$54:$G$84,2,FALSE)="DayOff","",IF(L12=" "," ",IF(L12=12," ",IF(L12&lt;&gt;"",L12+1,IF(C14&lt;Parameters!$O$10,"",1))))),"")</f>
        <v xml:space="preserve"> </v>
      </c>
      <c r="E14" s="40">
        <f>IF(DAY(SepSun1)=1,SepSun1+30,SepSun1+37)</f>
        <v>43739</v>
      </c>
      <c r="F14" s="20" t="str">
        <f>IFERROR(IF(VLOOKUP(E14,Parameters!$F$54:$G$84,2,FALSE)="DayOff","",IF(D14=" "," ",IF(D14=12," ",IF(D14&lt;&gt;"",D14+1,IF(E14&lt;Parameters!$O$10,"",1))))),"")</f>
        <v/>
      </c>
      <c r="G14" s="40">
        <f>IF(DAY(SepSun1)=1,SepSun1+31,SepSun1+38)</f>
        <v>43740</v>
      </c>
      <c r="H14" s="20" t="str">
        <f>IFERROR(IF(VLOOKUP(G14,Parameters!$F$54:$G$84,2,FALSE)="DayOff","",IF(F14=" "," ",IF(F14=12," ",IF(F14&lt;&gt;"",F14+1,IF(G14&lt;Parameters!$O$10,"",1))))),"")</f>
        <v/>
      </c>
      <c r="I14" s="40">
        <f>IF(DAY(SepSun1)=1,SepSun1+32,SepSun1+39)</f>
        <v>43741</v>
      </c>
      <c r="J14" s="20" t="str">
        <f>IFERROR(IF(VLOOKUP(I14,Parameters!$F$54:$G$84,2,FALSE)="DayOff","",IF(H14=" "," ",IF(H14=12," ",IF(H14&lt;&gt;"",H14+1,IF(I14&lt;Parameters!$O$10,"",1))))),"")</f>
        <v/>
      </c>
      <c r="K14" s="40">
        <f>IF(DAY(SepSun1)=1,SepSun1+33,SepSun1+40)</f>
        <v>43742</v>
      </c>
      <c r="L14" s="20" t="str">
        <f>IFERROR(IF(VLOOKUP(K14,Parameters!$F$54:$G$84,2,FALSE)="DayOff","",IF(J14=" "," ",IF(J14=12," ",IF(J14&lt;&gt;"",J14+1,IF(K14&lt;Parameters!$O$10,"",1))))),"")</f>
        <v/>
      </c>
      <c r="M14" s="40">
        <f>IF(DAY(SepSun1)=1,SepSun1+34,SepSun1+41)</f>
        <v>43743</v>
      </c>
      <c r="N14" s="2"/>
      <c r="O14" s="40">
        <f>IF(DAY(SepSun1)=1,SepSun1+35,SepSun1+42)</f>
        <v>43744</v>
      </c>
      <c r="P14" s="22"/>
      <c r="Q14" s="6"/>
      <c r="R14" s="6"/>
    </row>
    <row r="15" spans="1:18" ht="21.95" customHeight="1" thickBot="1" x14ac:dyDescent="0.25">
      <c r="A15" s="5"/>
      <c r="B15" s="70"/>
      <c r="C15" s="36"/>
      <c r="D15" s="47"/>
      <c r="E15" s="38"/>
      <c r="F15" s="47"/>
      <c r="G15" s="38"/>
      <c r="H15" s="47"/>
      <c r="I15" s="38"/>
      <c r="J15" s="47"/>
      <c r="K15" s="38"/>
      <c r="L15" s="47"/>
      <c r="M15" s="38"/>
      <c r="N15" s="47"/>
      <c r="O15" s="38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  <row r="17" spans="1:18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</row>
  </sheetData>
  <sheetProtection password="CC6F" sheet="1" objects="1" scenarios="1"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">
    <cfRule type="expression" dxfId="18" priority="4" stopIfTrue="1">
      <formula>DAY(C4)&gt;8</formula>
    </cfRule>
  </conditionalFormatting>
  <conditionalFormatting sqref="C13:O13 C12 G12 I12 K12 M12:O12 C15:O15 C14 M14:O14 K14 I14 G14 E12 E14">
    <cfRule type="expression" dxfId="17" priority="3" stopIfTrue="1">
      <formula>AND(DAY(C12)&gt;=1,DAY(C12)&lt;=15)</formula>
    </cfRule>
  </conditionalFormatting>
  <conditionalFormatting sqref="C5:O5 C4 E4 G4 I4 K4 M4 O4 C7:O7 C6 M6:O6 K6 I6 G6 C9:O9 C8 G8 I8 K8 M8:O8 C11:H11 C10 M10:O10 K10 I10 G10 C13:O13 C12 G12 I12 K12 M12:O12 C14 M14:O14 K14 I14 G14 E6 E8 E10 E12 E14 J11:O11">
    <cfRule type="expression" dxfId="16" priority="5">
      <formula>VLOOKUP(DAY(C4),AssignmentDays,1,FALSE)=DAY(C4)</formula>
    </cfRule>
  </conditionalFormatting>
  <conditionalFormatting sqref="I11">
    <cfRule type="expression" dxfId="15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Q16"/>
  <sheetViews>
    <sheetView showGridLines="0" topLeftCell="A2" zoomScale="90" zoomScaleNormal="90" zoomScalePageLayoutView="84" workbookViewId="0">
      <selection activeCell="K11" sqref="K11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17" width="2.28515625" customWidth="1"/>
    <col min="18" max="24" width="8.85546875" customWidth="1"/>
    <col min="44" max="16384" width="8.7109375" style="1"/>
  </cols>
  <sheetData>
    <row r="1" spans="1:18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</row>
    <row r="2" spans="1:18" ht="18" customHeight="1" thickBot="1" x14ac:dyDescent="0.25">
      <c r="A2" s="5"/>
      <c r="B2" s="70" t="str">
        <f>" OCTOBER "&amp;Parameters!B14</f>
        <v xml:space="preserve"> OCTOBER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18" ht="21.95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  <c r="R3" s="6"/>
    </row>
    <row r="4" spans="1:18" ht="21.95" customHeight="1" x14ac:dyDescent="0.2">
      <c r="A4" s="5"/>
      <c r="B4" s="70"/>
      <c r="C4" s="41">
        <f>IF(DAY(OctSun1)=1,OctSun1-6,OctSun1+1)</f>
        <v>43738</v>
      </c>
      <c r="D4" s="20" t="str">
        <f>IFERROR(IF(VLOOKUP(C4,Parameters!$H$54:$I$84,2,FALSE)="DayOff","",IF(C4&lt;Parameters!$O$11,"",1)),"")</f>
        <v/>
      </c>
      <c r="E4" s="40">
        <f>IF(DAY(OctSun1)=1,OctSun1-5,OctSun1+2)</f>
        <v>43739</v>
      </c>
      <c r="F4" s="20">
        <f>IFERROR(IF(VLOOKUP(E4,Parameters!$H$54:$I$84,2,FALSE)="DayOff","",IF(D4=" "," ",IF(D4=12," ",IF(D4&lt;&gt;"",D4+1,IF(E4&lt;Parameters!$O$11,"",1))))),"")</f>
        <v>1</v>
      </c>
      <c r="G4" s="40">
        <f>IF(DAY(OctSun1)=1,OctSun1-4,OctSun1+3)</f>
        <v>43740</v>
      </c>
      <c r="H4" s="20">
        <f>IFERROR(IF(VLOOKUP(G4,Parameters!$H$54:$I$84,2,FALSE)="DayOff","",IF(F4=" "," ",IF(F4=12," ",IF(F4&lt;&gt;"",F4+1,IF(G4&lt;Parameters!$O$11,"",1))))),"")</f>
        <v>2</v>
      </c>
      <c r="I4" s="40">
        <f>IF(DAY(OctSun1)=1,OctSun1-3,OctSun1+4)</f>
        <v>43741</v>
      </c>
      <c r="J4" s="20">
        <f>IFERROR(IF(VLOOKUP(I4,Parameters!$H$54:$I$84,2,FALSE)="DayOff","",IF(H4=" "," ",IF(H4=12," ",IF(H4&lt;&gt;"",H4+1,IF(I4&lt;Parameters!$O$11,"",1))))),"")</f>
        <v>3</v>
      </c>
      <c r="K4" s="40">
        <f>IF(DAY(OctSun1)=1,OctSun1-2,OctSun1+5)</f>
        <v>43742</v>
      </c>
      <c r="L4" s="20">
        <f>IFERROR(IF(VLOOKUP(K4,Parameters!$H$54:$I$84,2,FALSE)="DayOff","",IF(J4=" "," ",IF(J4=12," ",IF(J4&lt;&gt;"",J4+1,IF(K4&lt;Parameters!$O$11,"",1))))),"")</f>
        <v>4</v>
      </c>
      <c r="M4" s="40">
        <f>IF(DAY(OctSun1)=1,OctSun1-1,OctSun1+6)</f>
        <v>43743</v>
      </c>
      <c r="N4" s="20"/>
      <c r="O4" s="40">
        <f>IF(DAY(OctSun1)=1,OctSun1,OctSun1+7)</f>
        <v>43744</v>
      </c>
      <c r="P4" s="22"/>
      <c r="Q4" s="6"/>
      <c r="R4" s="6"/>
    </row>
    <row r="5" spans="1:18" ht="21.95" customHeight="1" x14ac:dyDescent="0.2">
      <c r="A5" s="5"/>
      <c r="B5" s="70"/>
      <c r="C5" s="32"/>
      <c r="D5" s="46"/>
      <c r="E5" s="34"/>
      <c r="F5" s="46"/>
      <c r="G5" s="34"/>
      <c r="H5" s="46"/>
      <c r="I5" s="34"/>
      <c r="J5" s="46"/>
      <c r="K5" s="34"/>
      <c r="L5" s="46"/>
      <c r="M5" s="34"/>
      <c r="N5" s="46"/>
      <c r="O5" s="34"/>
      <c r="P5" s="35"/>
      <c r="Q5" s="6"/>
      <c r="R5" s="6"/>
    </row>
    <row r="6" spans="1:18" ht="21.95" customHeight="1" x14ac:dyDescent="0.2">
      <c r="A6" s="5"/>
      <c r="B6" s="70"/>
      <c r="C6" s="41">
        <f>IF(DAY(OctSun1)=1,OctSun1+1,OctSun1+8)</f>
        <v>43745</v>
      </c>
      <c r="D6" s="15">
        <f>IFERROR(IF(VLOOKUP(C6,Parameters!$H$54:$I$84,2,FALSE)="DayOff","",IF(L4=" "," ",IF(L4=12," ",IF(L4&lt;&gt;"",L4+1,IF(C6&lt;Parameters!$O$11,"",1))))),"")</f>
        <v>5</v>
      </c>
      <c r="E6" s="40">
        <f>IF(DAY(OctSun1)=1,OctSun1+2,OctSun1+9)</f>
        <v>43746</v>
      </c>
      <c r="F6" s="20">
        <f>IFERROR(IF(VLOOKUP(E6,Parameters!$H$54:$I$84,2,FALSE)="DayOff","",IF(D6=" "," ",IF(D6=12," ",IF(D6&lt;&gt;"",D6+1,IF(E6&lt;Parameters!$O$11,"",1))))),"")</f>
        <v>6</v>
      </c>
      <c r="G6" s="40">
        <f>IF(DAY(OctSun1)=1,OctSun1+3,OctSun1+10)</f>
        <v>43747</v>
      </c>
      <c r="H6" s="20">
        <f>IFERROR(IF(VLOOKUP(G6,Parameters!$H$54:$I$84,2,FALSE)="DayOff","",IF(F6=" "," ",IF(F6=12," ",IF(F6&lt;&gt;"",F6+1,IF(G6&lt;Parameters!$O$11,"",1))))),"")</f>
        <v>7</v>
      </c>
      <c r="I6" s="40">
        <f>IF(DAY(OctSun1)=1,OctSun1+4,OctSun1+11)</f>
        <v>43748</v>
      </c>
      <c r="J6" s="20">
        <f>IFERROR(IF(VLOOKUP(I6,Parameters!$H$54:$I$84,2,FALSE)="DayOff","",IF(H6=" "," ",IF(H6=12," ",IF(H6&lt;&gt;"",H6+1,IF(I6&lt;Parameters!$O$11,"",1))))),"")</f>
        <v>8</v>
      </c>
      <c r="K6" s="40">
        <f>IF(DAY(OctSun1)=1,OctSun1+5,OctSun1+12)</f>
        <v>43749</v>
      </c>
      <c r="L6" s="20">
        <f>IFERROR(IF(VLOOKUP(K6,Parameters!$H$54:$I$84,2,FALSE)="DayOff","",IF(J6=" "," ",IF(J6=12," ",IF(J6&lt;&gt;"",J6+1,IF(K6&lt;Parameters!$O$11,"",1))))),"")</f>
        <v>9</v>
      </c>
      <c r="M6" s="40">
        <f>IF(DAY(OctSun1)=1,OctSun1+6,OctSun1+13)</f>
        <v>43750</v>
      </c>
      <c r="N6" s="20"/>
      <c r="O6" s="40">
        <f>IF(DAY(OctSun1)=1,OctSun1+7,OctSun1+14)</f>
        <v>43751</v>
      </c>
      <c r="P6" s="22"/>
      <c r="Q6" s="6"/>
      <c r="R6" s="6"/>
    </row>
    <row r="7" spans="1:18" ht="21.95" customHeight="1" x14ac:dyDescent="0.2">
      <c r="A7" s="5"/>
      <c r="B7" s="70"/>
      <c r="C7" s="32"/>
      <c r="D7" s="46"/>
      <c r="E7" s="34"/>
      <c r="F7" s="46"/>
      <c r="G7" s="34"/>
      <c r="H7" s="46"/>
      <c r="I7" s="34"/>
      <c r="J7" s="46"/>
      <c r="K7" s="34"/>
      <c r="L7" s="46"/>
      <c r="M7" s="34"/>
      <c r="N7" s="46"/>
      <c r="O7" s="34"/>
      <c r="P7" s="35"/>
      <c r="Q7" s="6"/>
      <c r="R7" s="6"/>
    </row>
    <row r="8" spans="1:18" ht="21.95" customHeight="1" x14ac:dyDescent="0.2">
      <c r="A8" s="5"/>
      <c r="B8" s="70"/>
      <c r="C8" s="41">
        <f>IF(DAY(OctSun1)=1,OctSun1+8,OctSun1+15)</f>
        <v>43752</v>
      </c>
      <c r="D8" s="15">
        <f>IFERROR(IF(VLOOKUP(C8,Parameters!$H$54:$I$84,2,FALSE)="DayOff","",IF(L6=" "," ",IF(L6=12," ",IF(L6&lt;&gt;"",L6+1,IF(C8&lt;Parameters!$O$11,"",1))))),"")</f>
        <v>10</v>
      </c>
      <c r="E8" s="40">
        <f>IF(DAY(OctSun1)=1,OctSun1+9,OctSun1+16)</f>
        <v>43753</v>
      </c>
      <c r="F8" s="20">
        <f>IFERROR(IF(VLOOKUP(E8,Parameters!$H$54:$I$84,2,FALSE)="DayOff","",IF(D8=" "," ",IF(D8=12," ",IF(D8&lt;&gt;"",D8+1,IF(E8&lt;Parameters!$O$11,"",1))))),"")</f>
        <v>11</v>
      </c>
      <c r="G8" s="40">
        <f>IF(DAY(OctSun1)=1,OctSun1+10,OctSun1+17)</f>
        <v>43754</v>
      </c>
      <c r="H8" s="20">
        <f>IFERROR(IF(VLOOKUP(G8,Parameters!$H$54:$I$84,2,FALSE)="DayOff","",IF(F8=" "," ",IF(F8=12," ",IF(F8&lt;&gt;"",F8+1,IF(G8&lt;Parameters!$O$11,"",1))))),"")</f>
        <v>12</v>
      </c>
      <c r="I8" s="40">
        <f>IF(DAY(OctSun1)=1,OctSun1+11,OctSun1+18)</f>
        <v>43755</v>
      </c>
      <c r="J8" s="20" t="str">
        <f>IFERROR(IF(VLOOKUP(I8,Parameters!$H$54:$I$84,2,FALSE)="DayOff","",IF(H8=" "," ",IF(H8=12," ",IF(H8&lt;&gt;"",H8+1,IF(I8&lt;Parameters!$O$11,"",1))))),"")</f>
        <v xml:space="preserve"> </v>
      </c>
      <c r="K8" s="40">
        <f>IF(DAY(OctSun1)=1,OctSun1+12,OctSun1+19)</f>
        <v>43756</v>
      </c>
      <c r="L8" s="20" t="str">
        <f>IFERROR(IF(VLOOKUP(K8,Parameters!$H$54:$I$84,2,FALSE)="DayOff","",IF(J8=" "," ",IF(J8=12," ",IF(J8&lt;&gt;"",J8+1,IF(K8&lt;Parameters!$O$11,"",1))))),"")</f>
        <v xml:space="preserve"> </v>
      </c>
      <c r="M8" s="40">
        <f>IF(DAY(OctSun1)=1,OctSun1+13,OctSun1+20)</f>
        <v>43757</v>
      </c>
      <c r="N8" s="20" t="str">
        <f>IFERROR(IF(VLOOKUP(M8,Parameters!$H$54:$I$84,2,FALSE)="DayOff","",IF(L8=" "," ",IF(L8=12," ",IF(L8&lt;&gt;"",L8+1,IF(M8&lt;Parameters!$O$11,"",1))))),"")</f>
        <v xml:space="preserve"> </v>
      </c>
      <c r="O8" s="40">
        <f>IF(DAY(OctSun1)=1,OctSun1+14,OctSun1+21)</f>
        <v>43758</v>
      </c>
      <c r="P8" s="22"/>
      <c r="Q8" s="6"/>
      <c r="R8" s="6"/>
    </row>
    <row r="9" spans="1:18" ht="21.95" customHeight="1" x14ac:dyDescent="0.2">
      <c r="A9" s="5"/>
      <c r="B9" s="70"/>
      <c r="C9" s="32"/>
      <c r="D9" s="46"/>
      <c r="E9" s="34"/>
      <c r="F9" s="46"/>
      <c r="G9" s="34"/>
      <c r="H9" s="46"/>
      <c r="I9" s="34"/>
      <c r="J9" s="46"/>
      <c r="K9" s="34"/>
      <c r="L9" s="46"/>
      <c r="M9" s="34"/>
      <c r="N9" s="46"/>
      <c r="O9" s="34"/>
      <c r="P9" s="35"/>
      <c r="Q9" s="6"/>
      <c r="R9" s="6"/>
    </row>
    <row r="10" spans="1:18" ht="21.95" customHeight="1" x14ac:dyDescent="0.2">
      <c r="A10" s="5"/>
      <c r="B10" s="70"/>
      <c r="C10" s="41">
        <f>IF(DAY(OctSun1)=1,OctSun1+15,OctSun1+22)</f>
        <v>43759</v>
      </c>
      <c r="D10" s="15" t="str">
        <f>IFERROR(IF(VLOOKUP(C10,Parameters!$H$54:$I$84,2,FALSE)="DayOff","",IF(L8=" "," ",IF(L8=12," ",IF(L8&lt;&gt;"",L8+1,IF(C10&lt;Parameters!$O$11,"",1))))),"")</f>
        <v xml:space="preserve"> </v>
      </c>
      <c r="E10" s="40">
        <f>IF(DAY(OctSun1)=1,OctSun1+16,OctSun1+23)</f>
        <v>43760</v>
      </c>
      <c r="F10" s="20" t="str">
        <f>IFERROR(IF(VLOOKUP(E10,Parameters!$H$54:$I$84,2,FALSE)="DayOff","",IF(D10=" "," ",IF(D10=12," ",IF(D10&lt;&gt;"",D10+1,IF(E10&lt;Parameters!$O$11,"",1))))),"")</f>
        <v xml:space="preserve"> </v>
      </c>
      <c r="G10" s="40">
        <f>IF(DAY(OctSun1)=1,OctSun1+17,OctSun1+24)</f>
        <v>43761</v>
      </c>
      <c r="H10" s="20" t="str">
        <f>IFERROR(IF(VLOOKUP(G10,Parameters!$H$54:$I$84,2,FALSE)="DayOff","",IF(F10=" "," ",IF(F10=12," ",IF(F10&lt;&gt;"",F10+1,IF(G10&lt;Parameters!$O$11,"",1))))),"")</f>
        <v xml:space="preserve"> </v>
      </c>
      <c r="I10" s="40">
        <f>IF(DAY(OctSun1)=1,OctSun1+18,OctSun1+25)</f>
        <v>43762</v>
      </c>
      <c r="J10" s="20" t="str">
        <f>IFERROR(IF(VLOOKUP(I10,Parameters!$H$54:$I$84,2,FALSE)="DayOff","",IF(H10=" "," ",IF(H10=12," ",IF(H10&lt;&gt;"",H10+1,IF(I10&lt;Parameters!$O$11,"",1))))),"")</f>
        <v xml:space="preserve"> </v>
      </c>
      <c r="K10" s="40">
        <f>IF(DAY(OctSun1)=1,OctSun1+19,OctSun1+26)</f>
        <v>43763</v>
      </c>
      <c r="L10" s="20" t="str">
        <f>IFERROR(IF(VLOOKUP(K10,Parameters!$H$54:$I$84,2,FALSE)="DayOff","",IF(J10=" "," ",IF(J10=12," ",IF(J10&lt;&gt;"",J10+1,IF(K10&lt;Parameters!$O$11,"",1))))),"")</f>
        <v xml:space="preserve"> </v>
      </c>
      <c r="M10" s="40">
        <f>IF(DAY(OctSun1)=1,OctSun1+20,OctSun1+27)</f>
        <v>43764</v>
      </c>
      <c r="N10" s="2"/>
      <c r="O10" s="40">
        <f>IF(DAY(OctSun1)=1,OctSun1+21,OctSun1+28)</f>
        <v>43765</v>
      </c>
      <c r="P10" s="22"/>
      <c r="Q10" s="6"/>
      <c r="R10" s="6"/>
    </row>
    <row r="11" spans="1:18" ht="21.95" customHeight="1" x14ac:dyDescent="0.2">
      <c r="A11" s="5"/>
      <c r="B11" s="70"/>
      <c r="C11" s="32"/>
      <c r="D11" s="46"/>
      <c r="E11" s="63" t="s">
        <v>26</v>
      </c>
      <c r="F11" s="46"/>
      <c r="G11" s="34"/>
      <c r="H11" s="46"/>
      <c r="I11" s="34"/>
      <c r="J11" s="46"/>
      <c r="K11" s="34"/>
      <c r="L11" s="46"/>
      <c r="M11" s="34"/>
      <c r="N11" s="46"/>
      <c r="O11" s="34"/>
      <c r="P11" s="35"/>
      <c r="Q11" s="6"/>
      <c r="R11" s="6"/>
    </row>
    <row r="12" spans="1:18" ht="21.95" customHeight="1" x14ac:dyDescent="0.2">
      <c r="A12" s="5"/>
      <c r="B12" s="70"/>
      <c r="C12" s="41">
        <f>IF(DAY(OctSun1)=1,OctSun1+22,OctSun1+29)</f>
        <v>43766</v>
      </c>
      <c r="D12" s="15" t="str">
        <f>IFERROR(IF(VLOOKUP(C12,Parameters!$H$54:$I$84,2,FALSE)="DayOff","",IF(L10=" "," ",IF(L10=12," ",IF(L10&lt;&gt;"",L10+1,IF(C12&lt;Parameters!$O$11,"",1))))),"")</f>
        <v xml:space="preserve"> </v>
      </c>
      <c r="E12" s="40">
        <f>IF(DAY(OctSun1)=1,OctSun1+23,OctSun1+30)</f>
        <v>43767</v>
      </c>
      <c r="F12" s="20" t="str">
        <f>IFERROR(IF(VLOOKUP(E12,Parameters!$H$54:$I$84,2,FALSE)="DayOff","",IF(D12=" "," ",IF(D12=12," ",IF(D12&lt;&gt;"",D12+1,IF(E12&lt;Parameters!$O$11,"",1))))),"")</f>
        <v xml:space="preserve"> </v>
      </c>
      <c r="G12" s="40">
        <f>IF(DAY(OctSun1)=1,OctSun1+24,OctSun1+31)</f>
        <v>43768</v>
      </c>
      <c r="H12" s="20" t="str">
        <f>IFERROR(IF(VLOOKUP(G12,Parameters!$H$54:$I$84,2,FALSE)="DayOff","",IF(F12=" "," ",IF(F12=12," ",IF(F12&lt;&gt;"",F12+1,IF(G12&lt;Parameters!$O$11,"",1))))),"")</f>
        <v xml:space="preserve"> </v>
      </c>
      <c r="I12" s="40">
        <f>IF(DAY(OctSun1)=1,OctSun1+25,OctSun1+32)</f>
        <v>43769</v>
      </c>
      <c r="J12" s="20" t="str">
        <f>IFERROR(IF(VLOOKUP(I12,Parameters!$H$54:$I$84,2,FALSE)="DayOff","",IF(H12=" "," ",IF(H12=12," ",IF(H12&lt;&gt;"",H12+1,IF(I12&lt;Parameters!$O$11,"",1))))),"")</f>
        <v xml:space="preserve"> </v>
      </c>
      <c r="K12" s="40">
        <f>IF(DAY(OctSun1)=1,OctSun1+26,OctSun1+33)</f>
        <v>43770</v>
      </c>
      <c r="L12" s="20" t="str">
        <f>IFERROR(IF(VLOOKUP(K12,Parameters!$H$54:$I$84,2,FALSE)="DayOff","",IF(J12=" "," ",IF(J12=12," ",IF(J12&lt;&gt;"",J12+1,IF(K12&lt;Parameters!$O$11,"",1))))),"")</f>
        <v/>
      </c>
      <c r="M12" s="40">
        <f>IF(DAY(OctSun1)=1,OctSun1+27,OctSun1+34)</f>
        <v>43771</v>
      </c>
      <c r="N12" s="2"/>
      <c r="O12" s="40">
        <f>IF(DAY(OctSun1)=1,OctSun1+28,OctSun1+35)</f>
        <v>43772</v>
      </c>
      <c r="P12" s="22"/>
      <c r="Q12" s="6"/>
      <c r="R12" s="6"/>
    </row>
    <row r="13" spans="1:18" ht="21.95" customHeight="1" x14ac:dyDescent="0.2">
      <c r="A13" s="5"/>
      <c r="B13" s="70"/>
      <c r="C13" s="32"/>
      <c r="D13" s="46"/>
      <c r="E13" s="34"/>
      <c r="F13" s="46"/>
      <c r="G13" s="34"/>
      <c r="H13" s="46"/>
      <c r="I13" s="34"/>
      <c r="J13" s="46"/>
      <c r="K13" s="34"/>
      <c r="L13" s="46"/>
      <c r="M13" s="34"/>
      <c r="N13" s="46"/>
      <c r="O13" s="34"/>
      <c r="P13" s="35"/>
      <c r="Q13" s="6"/>
      <c r="R13" s="6"/>
    </row>
    <row r="14" spans="1:18" ht="21.95" customHeight="1" x14ac:dyDescent="0.2">
      <c r="A14" s="5"/>
      <c r="B14" s="70"/>
      <c r="C14" s="41">
        <f>IF(DAY(OctSun1)=1,OctSun1+29,OctSun1+36)</f>
        <v>43773</v>
      </c>
      <c r="D14" s="15" t="str">
        <f>IFERROR(IF(VLOOKUP(C14,Parameters!$H$54:$I$84,2,FALSE)="DayOff","",IF(L12=" "," ",IF(L12=12," ",IF(L12&lt;&gt;"",L12+1,IF(C14&lt;Parameters!$O$11,"",1))))),"")</f>
        <v/>
      </c>
      <c r="E14" s="40">
        <f>IF(DAY(OctSun1)=1,OctSun1+30,OctSun1+37)</f>
        <v>43774</v>
      </c>
      <c r="F14" s="20" t="str">
        <f>IFERROR(IF(VLOOKUP(E14,Parameters!$H$54:$I$84,2,FALSE)="DayOff","",IF(D14=" "," ",IF(D14=12," ",IF(D14&lt;&gt;"",D14+1,IF(E14&lt;Parameters!$O$11,"",1))))),"")</f>
        <v/>
      </c>
      <c r="G14" s="40">
        <f>IF(DAY(OctSun1)=1,OctSun1+31,OctSun1+38)</f>
        <v>43775</v>
      </c>
      <c r="H14" s="20" t="str">
        <f>IFERROR(IF(VLOOKUP(G14,Parameters!$H$54:$I$84,2,FALSE)="DayOff","",IF(F14=" "," ",IF(F14=12," ",IF(F14&lt;&gt;"",F14+1,IF(G14&lt;Parameters!$O$11,"",1))))),"")</f>
        <v/>
      </c>
      <c r="I14" s="40">
        <f>IF(DAY(OctSun1)=1,OctSun1+32,OctSun1+39)</f>
        <v>43776</v>
      </c>
      <c r="J14" s="20" t="str">
        <f>IFERROR(IF(VLOOKUP(I14,Parameters!$H$54:$I$84,2,FALSE)="DayOff","",IF(H14=" "," ",IF(H14=12," ",IF(H14&lt;&gt;"",H14+1,IF(I14&lt;Parameters!$O$11,"",1))))),"")</f>
        <v/>
      </c>
      <c r="K14" s="40">
        <f>IF(DAY(OctSun1)=1,OctSun1+33,OctSun1+40)</f>
        <v>43777</v>
      </c>
      <c r="L14" s="20" t="str">
        <f>IFERROR(IF(VLOOKUP(K14,Parameters!$H$54:$I$84,2,FALSE)="DayOff","",IF(J14=" "," ",IF(J14=12," ",IF(J14&lt;&gt;"",J14+1,IF(K14&lt;Parameters!$O$11,"",1))))),"")</f>
        <v/>
      </c>
      <c r="M14" s="40">
        <f>IF(DAY(OctSun1)=1,OctSun1+34,OctSun1+41)</f>
        <v>43778</v>
      </c>
      <c r="N14" s="2"/>
      <c r="O14" s="40">
        <f>IF(DAY(OctSun1)=1,OctSun1+35,OctSun1+42)</f>
        <v>43779</v>
      </c>
      <c r="P14" s="22"/>
      <c r="Q14" s="6"/>
      <c r="R14" s="6"/>
    </row>
    <row r="15" spans="1:18" ht="21.95" customHeight="1" thickBot="1" x14ac:dyDescent="0.25">
      <c r="A15" s="5"/>
      <c r="B15" s="70"/>
      <c r="C15" s="36"/>
      <c r="D15" s="47"/>
      <c r="E15" s="38"/>
      <c r="F15" s="47"/>
      <c r="G15" s="38"/>
      <c r="H15" s="47"/>
      <c r="I15" s="38"/>
      <c r="J15" s="47"/>
      <c r="K15" s="38"/>
      <c r="L15" s="47"/>
      <c r="M15" s="38"/>
      <c r="N15" s="47"/>
      <c r="O15" s="38"/>
      <c r="P15" s="39"/>
      <c r="Q15" s="6"/>
      <c r="R15" s="6"/>
    </row>
    <row r="16" spans="1:18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</row>
  </sheetData>
  <sheetProtection password="CC6F" sheet="1" objects="1" scenarios="1"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">
    <cfRule type="expression" dxfId="14" priority="4" stopIfTrue="1">
      <formula>DAY(C4)&gt;8</formula>
    </cfRule>
  </conditionalFormatting>
  <conditionalFormatting sqref="C13:O13 C12 G12 I12 K12 M12:O12 C15:O15 C14 M14:O14 K14 I14 G14 E14 E12">
    <cfRule type="expression" dxfId="13" priority="3" stopIfTrue="1">
      <formula>AND(DAY(C12)&gt;=1,DAY(C12)&lt;=15)</formula>
    </cfRule>
  </conditionalFormatting>
  <conditionalFormatting sqref="C5:O5 C4 E4 G4 I4 K4 M4 O4 C7:O7 C6 M6 K6 I6 G6 C9:O9 C8 G8 I8 K8 M8 C11:D11 C10 M10:O10 K10 I10 G10 C13:O13 C12 G12 I12 K12 M12:O12 C14 M14:O14 K14 I14 G14 E14 E12 E10 E8 E6 O6 O8 F11:O11">
    <cfRule type="expression" dxfId="12" priority="5">
      <formula>VLOOKUP(DAY(C4),AssignmentDays,1,FALSE)=DAY(C4)</formula>
    </cfRule>
  </conditionalFormatting>
  <conditionalFormatting sqref="E11">
    <cfRule type="expression" dxfId="11" priority="1">
      <formula>VLOOKUP(DAY(E11),AssignmentDays,1,FALSE)=DAY(E11)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P17"/>
  <sheetViews>
    <sheetView showGridLines="0" topLeftCell="A2" zoomScale="90" zoomScaleNormal="90" zoomScalePageLayoutView="84" workbookViewId="0">
      <selection activeCell="K15" sqref="K15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3" width="8.85546875" customWidth="1"/>
    <col min="43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0" t="str">
        <f>" NOVEMBER "&amp;Parameters!B14</f>
        <v xml:space="preserve"> NOVEMBER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.95" customHeight="1" thickBot="1" x14ac:dyDescent="0.25">
      <c r="A3" s="5"/>
      <c r="B3" s="70"/>
      <c r="C3" s="72" t="s">
        <v>1</v>
      </c>
      <c r="D3" s="73"/>
      <c r="E3" s="74" t="s">
        <v>2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</row>
    <row r="4" spans="1:17" ht="21.95" customHeight="1" x14ac:dyDescent="0.2">
      <c r="A4" s="5"/>
      <c r="B4" s="70"/>
      <c r="C4" s="41">
        <f>IF(DAY(NovSun1)=1,NovSun1-6,NovSun1+1)</f>
        <v>43766</v>
      </c>
      <c r="D4" s="20" t="str">
        <f>IFERROR(IF(VLOOKUP(November!C4,Parameters!J54:K84,2,FALSE)="DayOff","",IF(C4&lt;Parameters!$O$12,"",1)),"")</f>
        <v/>
      </c>
      <c r="E4" s="48">
        <f>IF(DAY(NovSun1)=1,NovSun1-5,NovSun1+2)</f>
        <v>43767</v>
      </c>
      <c r="F4" s="20" t="str">
        <f>IFERROR(IF(VLOOKUP(E4,Parameters!$J$54:$K$84,2,FALSE)="DayOff","",IF(D4=" "," ",IF(D4=12," ",IF(D4&lt;&gt;"",D4+1,IF(E4&lt;Parameters!$O$12,"",1))))),"")</f>
        <v/>
      </c>
      <c r="G4" s="48">
        <f>IF(DAY(NovSun1)=1,NovSun1-4,NovSun1+3)</f>
        <v>43768</v>
      </c>
      <c r="H4" s="20" t="str">
        <f>IFERROR(IF(G4=Parameters!$J$65,November!D4+1,IF(VLOOKUP(November!G4,Parameters!$J$54:$K$84,2,FALSE)="DayOff","",IF(F4=" "," ",IF(F4=12," ",IF(F4&lt;&gt;"",F4+1,IF(G4&lt;Parameters!$O$12,"",1)))))),"")</f>
        <v/>
      </c>
      <c r="I4" s="48">
        <f>IF(DAY(NovSun1)=1,NovSun1-3,NovSun1+4)</f>
        <v>43769</v>
      </c>
      <c r="J4" s="20" t="str">
        <f>IFERROR(IF(I4=Parameters!$J$65,November!F4+1,IF(VLOOKUP(November!I4,Parameters!$J$54:$K$84,2,FALSE)="DayOff","",IF(H4=" "," ",IF(H4=12," ",IF(H4&lt;&gt;"",H4+1,IF(I4&lt;Parameters!$O$12,"",1)))))),"")</f>
        <v/>
      </c>
      <c r="K4" s="48">
        <f>IF(DAY(NovSun1)=1,NovSun1-2,NovSun1+5)</f>
        <v>43770</v>
      </c>
      <c r="L4" s="20" t="str">
        <f>IFERROR(IF(K4=Parameters!$J$65,November!H4+1,IF(VLOOKUP(November!K4,Parameters!$J$54:$K$84,2,FALSE)="DayOff","",IF(J4=" "," ",IF(J4=12," ",IF(J4&lt;&gt;"",J4+1,IF(K4&lt;Parameters!$O$12,"",1)))))),"")</f>
        <v/>
      </c>
      <c r="M4" s="48">
        <f>IF(DAY(NovSun1)=1,NovSun1-1,NovSun1+6)</f>
        <v>43771</v>
      </c>
      <c r="N4" s="13"/>
      <c r="O4" s="48">
        <f>IF(DAY(NovSun1)=1,NovSun1,NovSun1+7)</f>
        <v>43772</v>
      </c>
      <c r="P4" s="22"/>
      <c r="Q4" s="6"/>
    </row>
    <row r="5" spans="1:17" ht="21.95" customHeight="1" x14ac:dyDescent="0.2">
      <c r="A5" s="5"/>
      <c r="B5" s="70"/>
      <c r="C5" s="32"/>
      <c r="D5" s="33"/>
      <c r="E5" s="46"/>
      <c r="F5" s="33"/>
      <c r="G5" s="46"/>
      <c r="H5" s="33"/>
      <c r="I5" s="46"/>
      <c r="J5" s="33"/>
      <c r="K5" s="46"/>
      <c r="L5" s="33"/>
      <c r="M5" s="46"/>
      <c r="N5" s="33"/>
      <c r="O5" s="46"/>
      <c r="P5" s="35"/>
      <c r="Q5" s="6"/>
    </row>
    <row r="6" spans="1:17" ht="21.95" customHeight="1" x14ac:dyDescent="0.2">
      <c r="A6" s="5"/>
      <c r="B6" s="70"/>
      <c r="C6" s="41">
        <f>IF(DAY(NovSun1)=1,NovSun1+1,NovSun1+8)</f>
        <v>43773</v>
      </c>
      <c r="D6" s="15">
        <f>IFERROR(IF(C6=Parameters!$J$65,November!J4+1,IF(VLOOKUP(November!C6,Parameters!$J$54:$K$84,2,FALSE)="DayOff","",IF(L4=" "," ",IF(L4=12," ",IF(L4&lt;&gt;"",L4+1,IF(C6&lt;Parameters!$O$12,"",1)))))),"")</f>
        <v>1</v>
      </c>
      <c r="E6" s="48">
        <f>IF(DAY(NovSun1)=1,NovSun1+2,NovSun1+9)</f>
        <v>43774</v>
      </c>
      <c r="F6" s="15">
        <f>IFERROR(IF(E6=Parameters!$J$65,November!L4+1,IF(VLOOKUP(November!E6,Parameters!$J$54:$K$84,2,FALSE)="DayOff","",IF(D6=" "," ",IF(D6=12," ",IF(D6&lt;&gt;"",D6+1,IF(E6&lt;Parameters!$O$12,"",1)))))),"")</f>
        <v>2</v>
      </c>
      <c r="G6" s="48">
        <f>IF(DAY(NovSun1)=1,NovSun1+3,NovSun1+10)</f>
        <v>43775</v>
      </c>
      <c r="H6" s="20">
        <f>IFERROR(IF(G6=Parameters!$J$65,November!D6+1,IF(VLOOKUP(November!G6,Parameters!$J$54:$K$84,2,FALSE)="DayOff","",IF(F6=" "," ",IF(F6=12," ",IF(F6&lt;&gt;"",F6+1,IF(G6&lt;Parameters!$O$12,"",1)))))),"")</f>
        <v>3</v>
      </c>
      <c r="I6" s="48">
        <f>IF(DAY(NovSun1)=1,NovSun1+4,NovSun1+11)</f>
        <v>43776</v>
      </c>
      <c r="J6" s="20">
        <f>IFERROR(IF(I6=Parameters!$J$65,November!F6+1,IF(VLOOKUP(November!I6,Parameters!$J$54:$K$84,2,FALSE)="DayOff","",IF(H6=" "," ",IF(H6=12," ",IF(H6&lt;&gt;"",H6+1,IF(I6&lt;Parameters!$O$12,"",1)))))),"")</f>
        <v>4</v>
      </c>
      <c r="K6" s="48">
        <f>IF(DAY(NovSun1)=1,NovSun1+5,NovSun1+12)</f>
        <v>43777</v>
      </c>
      <c r="L6" s="20">
        <f>IFERROR(IF(K6=Parameters!$J$65,November!H6+1,IF(VLOOKUP(November!K6,Parameters!$J$54:$K$84,2,FALSE)="DayOff","",IF(J6=" "," ",IF(J6=12," ",IF(J6&lt;&gt;"",J6+1,IF(K6&lt;Parameters!$O$12,"",1)))))),"")</f>
        <v>5</v>
      </c>
      <c r="M6" s="48">
        <f>IF(DAY(NovSun1)=1,NovSun1+6,NovSun1+13)</f>
        <v>43778</v>
      </c>
      <c r="N6" s="13"/>
      <c r="O6" s="48">
        <f>IF(DAY(NovSun1)=1,NovSun1+7,NovSun1+14)</f>
        <v>43779</v>
      </c>
      <c r="P6" s="22"/>
      <c r="Q6" s="6"/>
    </row>
    <row r="7" spans="1:17" ht="21.95" customHeight="1" x14ac:dyDescent="0.2">
      <c r="A7" s="5"/>
      <c r="B7" s="70"/>
      <c r="C7" s="32"/>
      <c r="D7" s="33"/>
      <c r="E7" s="46"/>
      <c r="F7" s="33"/>
      <c r="G7" s="46"/>
      <c r="H7" s="33"/>
      <c r="I7" s="46"/>
      <c r="J7" s="33"/>
      <c r="K7" s="46"/>
      <c r="L7" s="33"/>
      <c r="M7" s="46"/>
      <c r="N7" s="33"/>
      <c r="O7" s="46"/>
      <c r="P7" s="35"/>
      <c r="Q7" s="6"/>
    </row>
    <row r="8" spans="1:17" ht="21.95" customHeight="1" x14ac:dyDescent="0.2">
      <c r="A8" s="5"/>
      <c r="B8" s="70"/>
      <c r="C8" s="41">
        <f>IF(DAY(NovSun1)=1,NovSun1+8,NovSun1+15)</f>
        <v>43780</v>
      </c>
      <c r="D8" s="15" t="str">
        <f>IFERROR(IF(C8=Parameters!$J$65,November!J6+1,IF(VLOOKUP(November!C8,Parameters!$J$54:$K$84,2,FALSE)="DayOff","",IF(L6=" "," ",IF(L6=12," ",IF(L6&lt;&gt;"",L6+1,IF(C8&lt;Parameters!$O$12,"",1)))))),"")</f>
        <v/>
      </c>
      <c r="E8" s="48">
        <f>IF(DAY(NovSun1)=1,NovSun1+9,NovSun1+16)</f>
        <v>43781</v>
      </c>
      <c r="F8" s="15">
        <f>IFERROR(IF(E8=Parameters!$J$65,November!L6+1,IF(VLOOKUP(November!E8,Parameters!$J$54:$K$84,2,FALSE)="DayOff","",IF(D8=" "," ",IF(D8=12," ",IF(D8&lt;&gt;"",D8+1,IF(E8&lt;Parameters!$O$12,"",1)))))),"")</f>
        <v>6</v>
      </c>
      <c r="G8" s="48">
        <f>IF(DAY(NovSun1)=1,NovSun1+10,NovSun1+17)</f>
        <v>43782</v>
      </c>
      <c r="H8" s="20">
        <f>IFERROR(IF(G8=Parameters!$J$65,November!D8+1,IF(VLOOKUP(November!G8,Parameters!$J$54:$K$84,2,FALSE)="DayOff","",IF(F8=" "," ",IF(F8=12," ",IF(F8&lt;&gt;"",F8+1,IF(G8&lt;Parameters!$O$12,"",1)))))),"")</f>
        <v>7</v>
      </c>
      <c r="I8" s="48">
        <f>IF(DAY(NovSun1)=1,NovSun1+11,NovSun1+18)</f>
        <v>43783</v>
      </c>
      <c r="J8" s="20">
        <f>IFERROR(IF(I8=Parameters!$J$65,November!F8+1,IF(VLOOKUP(November!I8,Parameters!$J$54:$K$84,2,FALSE)="DayOff","",IF(H8=" "," ",IF(H8=12," ",IF(H8&lt;&gt;"",H8+1,IF(I8&lt;Parameters!$O$12,"",1)))))),"")</f>
        <v>8</v>
      </c>
      <c r="K8" s="48">
        <f>IF(DAY(NovSun1)=1,NovSun1+12,NovSun1+19)</f>
        <v>43784</v>
      </c>
      <c r="L8" s="20">
        <f>IFERROR(IF(K8=Parameters!$J$65,November!H8+1,IF(VLOOKUP(November!K8,Parameters!$J$54:$K$84,2,FALSE)="DayOff","",IF(J8=" "," ",IF(J8=12," ",IF(J8&lt;&gt;"",J8+1,IF(K8&lt;Parameters!$O$12,"",1)))))),"")</f>
        <v>9</v>
      </c>
      <c r="M8" s="48">
        <f>IF(DAY(NovSun1)=1,NovSun1+13,NovSun1+20)</f>
        <v>43785</v>
      </c>
      <c r="N8" s="13"/>
      <c r="O8" s="48">
        <f>IF(DAY(NovSun1)=1,NovSun1+14,NovSun1+21)</f>
        <v>43786</v>
      </c>
      <c r="P8" s="22"/>
      <c r="Q8" s="6"/>
    </row>
    <row r="9" spans="1:17" ht="21.95" customHeight="1" x14ac:dyDescent="0.2">
      <c r="A9" s="5"/>
      <c r="B9" s="70"/>
      <c r="C9" s="32"/>
      <c r="D9" s="33"/>
      <c r="E9" s="46"/>
      <c r="F9" s="33"/>
      <c r="G9" s="46"/>
      <c r="H9" s="33"/>
      <c r="I9" s="46"/>
      <c r="J9" s="33"/>
      <c r="K9" s="46"/>
      <c r="L9" s="33"/>
      <c r="M9" s="46"/>
      <c r="N9" s="33"/>
      <c r="O9" s="46"/>
      <c r="P9" s="35"/>
      <c r="Q9" s="6"/>
    </row>
    <row r="10" spans="1:17" ht="21.95" customHeight="1" x14ac:dyDescent="0.2">
      <c r="A10" s="5"/>
      <c r="B10" s="70"/>
      <c r="C10" s="41">
        <f>IF(DAY(NovSun1)=1,NovSun1+15,NovSun1+22)</f>
        <v>43787</v>
      </c>
      <c r="D10" s="15">
        <f>IFERROR(IF(C10=Parameters!$J$65,November!J8+1,IF(VLOOKUP(November!C10,Parameters!$J$54:$K$84,2,FALSE)="DayOff","",IF(L8=" "," ",IF(L8=12," ",IF(L8&lt;&gt;"",L8+1,IF(C10&lt;Parameters!$O$12,"",1)))))),"")</f>
        <v>10</v>
      </c>
      <c r="E10" s="48">
        <f>IF(DAY(NovSun1)=1,NovSun1+16,NovSun1+23)</f>
        <v>43788</v>
      </c>
      <c r="F10" s="15">
        <f>IFERROR(IF(E10=Parameters!$J$65,November!L8+1,IF(VLOOKUP(November!E10,Parameters!$J$54:$K$84,2,FALSE)="DayOff","",IF(D10=" "," ",IF(D10=12," ",IF(D10&lt;&gt;"",D10+1,IF(E10&lt;Parameters!$O$12,"",1)))))),"")</f>
        <v>11</v>
      </c>
      <c r="G10" s="48">
        <f>IF(DAY(NovSun1)=1,NovSun1+17,NovSun1+24)</f>
        <v>43789</v>
      </c>
      <c r="H10" s="20">
        <f>IFERROR(IF(G10=Parameters!$J$65,November!D10+1,IF(VLOOKUP(November!G10,Parameters!$J$54:$K$84,2,FALSE)="DayOff","",IF(F10=" "," ",IF(F10=12," ",IF(F10&lt;&gt;"",F10+1,IF(G10&lt;Parameters!$O$12,"",1)))))),"")</f>
        <v>12</v>
      </c>
      <c r="I10" s="48">
        <f>IF(DAY(NovSun1)=1,NovSun1+18,NovSun1+25)</f>
        <v>43790</v>
      </c>
      <c r="J10" s="20" t="str">
        <f>IFERROR(IF(I10=Parameters!$J$65,November!F10+1,IF(VLOOKUP(November!I10,Parameters!$J$54:$K$84,2,FALSE)="DayOff","",IF(H10=" "," ",IF(H10=12," ",IF(H10&lt;&gt;"",H10+1,IF(I10&lt;Parameters!$O$12,"",1)))))),"")</f>
        <v xml:space="preserve"> </v>
      </c>
      <c r="K10" s="48">
        <f>IF(DAY(NovSun1)=1,NovSun1+19,NovSun1+26)</f>
        <v>43791</v>
      </c>
      <c r="L10" s="20" t="str">
        <f>IFERROR(IF(K10=Parameters!$J$65,November!H10+1,IF(VLOOKUP(November!K10,Parameters!$J$54:$K$84,2,FALSE)="DayOff","",IF(J10=" "," ",IF(J10=12," ",IF(J10&lt;&gt;"",J10+1,IF(K10&lt;Parameters!$O$12,"",1)))))),"")</f>
        <v xml:space="preserve"> </v>
      </c>
      <c r="M10" s="48">
        <f>IF(DAY(NovSun1)=1,NovSun1+20,NovSun1+27)</f>
        <v>43792</v>
      </c>
      <c r="N10" s="13"/>
      <c r="O10" s="48">
        <f>IF(DAY(NovSun1)=1,NovSun1+21,NovSun1+28)</f>
        <v>43793</v>
      </c>
      <c r="P10" s="22"/>
      <c r="Q10" s="6"/>
    </row>
    <row r="11" spans="1:17" ht="21.95" customHeight="1" x14ac:dyDescent="0.2">
      <c r="A11" s="5"/>
      <c r="B11" s="70"/>
      <c r="C11" s="32"/>
      <c r="D11" s="33"/>
      <c r="E11" s="46"/>
      <c r="F11" s="33"/>
      <c r="G11" s="46"/>
      <c r="H11" s="33"/>
      <c r="I11" s="63" t="s">
        <v>26</v>
      </c>
      <c r="J11" s="33"/>
      <c r="K11" s="46"/>
      <c r="L11" s="33"/>
      <c r="M11" s="46"/>
      <c r="N11" s="33"/>
      <c r="O11" s="46"/>
      <c r="P11" s="35"/>
      <c r="Q11" s="6"/>
    </row>
    <row r="12" spans="1:17" ht="21.95" customHeight="1" x14ac:dyDescent="0.2">
      <c r="A12" s="5"/>
      <c r="B12" s="70"/>
      <c r="C12" s="41">
        <f>IF(DAY(NovSun1)=1,NovSun1+22,NovSun1+29)</f>
        <v>43794</v>
      </c>
      <c r="D12" s="15" t="str">
        <f>IFERROR(IF(C12=Parameters!$J$65,November!J10+1,IF(VLOOKUP(November!C12,Parameters!$J$54:$K$84,2,FALSE)="DayOff","",IF(L10=" "," ",IF(L10=12," ",IF(L10&lt;&gt;"",L10+1,IF(C12&lt;Parameters!$O$12,"",1)))))),"")</f>
        <v xml:space="preserve"> </v>
      </c>
      <c r="E12" s="48">
        <f>IF(DAY(NovSun1)=1,NovSun1+23,NovSun1+30)</f>
        <v>43795</v>
      </c>
      <c r="F12" s="15" t="str">
        <f>IFERROR(IF(E12=Parameters!$J$65,November!L10+1,IF(VLOOKUP(November!E12,Parameters!$J$54:$K$84,2,FALSE)="DayOff","",IF(D12=" "," ",IF(D12=12," ",IF(D12&lt;&gt;"",D12+1,IF(E12&lt;Parameters!$O$12,"",1)))))),"")</f>
        <v xml:space="preserve"> </v>
      </c>
      <c r="G12" s="48">
        <f>IF(DAY(NovSun1)=1,NovSun1+24,NovSun1+31)</f>
        <v>43796</v>
      </c>
      <c r="H12" s="20" t="str">
        <f>IFERROR(IF(G12=Parameters!$J$65,November!D12+1,IF(VLOOKUP(November!G12,Parameters!$J$54:$K$84,2,FALSE)="DayOff","",IF(F12=" "," ",IF(F12=12," ",IF(F12&lt;&gt;"",F12+1,IF(G12&lt;Parameters!$O$12,"",1)))))),"")</f>
        <v xml:space="preserve"> </v>
      </c>
      <c r="I12" s="48">
        <f>IF(DAY(NovSun1)=1,NovSun1+25,NovSun1+32)</f>
        <v>43797</v>
      </c>
      <c r="J12" s="20" t="str">
        <f>IFERROR(IF(I12=Parameters!$J$65,November!F12+1,IF(VLOOKUP(November!I12,Parameters!$J$54:$K$84,2,FALSE)="DayOff","",IF(H12=" "," ",IF(H12=12," ",IF(H12&lt;&gt;"",H12+1,IF(I12&lt;Parameters!$O$12,"",1)))))),"")</f>
        <v xml:space="preserve"> </v>
      </c>
      <c r="K12" s="48">
        <f>IF(DAY(NovSun1)=1,NovSun1+26,NovSun1+33)</f>
        <v>43798</v>
      </c>
      <c r="L12" s="20" t="str">
        <f>IFERROR(IF(K12=Parameters!$J$65,November!H12+1,IF(VLOOKUP(November!K12,Parameters!$J$54:$K$84,2,FALSE)="DayOff","",IF(J12=" "," ",IF(J12=12," ",IF(J12&lt;&gt;"",J12+1,IF(K12&lt;Parameters!$O$12,"",1)))))),"")</f>
        <v xml:space="preserve"> </v>
      </c>
      <c r="M12" s="48">
        <f>IF(DAY(NovSun1)=1,NovSun1+27,NovSun1+34)</f>
        <v>43799</v>
      </c>
      <c r="N12" s="13"/>
      <c r="O12" s="48">
        <f>IF(DAY(NovSun1)=1,NovSun1+28,NovSun1+35)</f>
        <v>43800</v>
      </c>
      <c r="P12" s="22"/>
      <c r="Q12" s="6"/>
    </row>
    <row r="13" spans="1:17" ht="21.95" customHeight="1" x14ac:dyDescent="0.2">
      <c r="A13" s="5"/>
      <c r="B13" s="70"/>
      <c r="C13" s="32"/>
      <c r="D13" s="33"/>
      <c r="E13" s="46"/>
      <c r="F13" s="33"/>
      <c r="G13" s="46"/>
      <c r="H13" s="33"/>
      <c r="I13" s="46"/>
      <c r="J13" s="33"/>
      <c r="K13" s="46"/>
      <c r="L13" s="33"/>
      <c r="M13" s="46"/>
      <c r="N13" s="33"/>
      <c r="O13" s="46"/>
      <c r="P13" s="35"/>
      <c r="Q13" s="6"/>
    </row>
    <row r="14" spans="1:17" ht="21.95" customHeight="1" x14ac:dyDescent="0.2">
      <c r="A14" s="5"/>
      <c r="B14" s="70"/>
      <c r="C14" s="41">
        <f>IF(DAY(NovSun1)=1,NovSun1+29,NovSun1+36)</f>
        <v>43801</v>
      </c>
      <c r="D14" s="15" t="str">
        <f>IFERROR(IF(C14=Parameters!$J$65,November!J12+1,IF(VLOOKUP(November!C14,Parameters!$J$54:$K$84,2,FALSE)="DayOff","",IF(L12=" "," ",IF(L12=12," ",IF(L12&lt;&gt;"",L12+1,IF(C14&lt;Parameters!$O$12,"",1)))))),"")</f>
        <v/>
      </c>
      <c r="E14" s="48">
        <f>IF(DAY(NovSun1)=1,NovSun1+30,NovSun1+37)</f>
        <v>43802</v>
      </c>
      <c r="F14" s="15" t="str">
        <f>IFERROR(IF(E14=Parameters!$J$65,November!L12+1,IF(VLOOKUP(November!E14,Parameters!$J$54:$K$84,2,FALSE)="DayOff","",IF(D14=" "," ",IF(D14=12," ",IF(D14&lt;&gt;"",D14+1,IF(E14&lt;Parameters!$O$12,"",1)))))),"")</f>
        <v/>
      </c>
      <c r="G14" s="48">
        <f>IF(DAY(NovSun1)=1,NovSun1+31,NovSun1+38)</f>
        <v>43803</v>
      </c>
      <c r="H14" s="20" t="str">
        <f>IFERROR(IF(G14=Parameters!$J$65,November!D14+1,IF(VLOOKUP(November!G14,Parameters!$J$54:$K$84,2,FALSE)="DayOff","",IF(F14=" "," ",IF(F14=12," ",IF(F14&lt;&gt;"",F14+1,IF(G14&lt;Parameters!$O$12,"",1)))))),"")</f>
        <v/>
      </c>
      <c r="I14" s="48">
        <f>IF(DAY(NovSun1)=1,NovSun1+32,NovSun1+39)</f>
        <v>43804</v>
      </c>
      <c r="J14" s="20" t="str">
        <f>IFERROR(IF(I14=Parameters!$J$65,November!F14+1,IF(VLOOKUP(November!I14,Parameters!$J$54:$K$84,2,FALSE)="DayOff","",IF(H14=" "," ",IF(H14=12," ",IF(H14&lt;&gt;"",H14+1,IF(I14&lt;Parameters!$O$12,"",1)))))),"")</f>
        <v/>
      </c>
      <c r="K14" s="48">
        <f>IF(DAY(NovSun1)=1,NovSun1+33,NovSun1+40)</f>
        <v>43805</v>
      </c>
      <c r="L14" s="20" t="str">
        <f>IFERROR(IF(K14=Parameters!$J$65,November!H14+1,IF(VLOOKUP(November!K14,Parameters!$J$54:$K$84,2,FALSE)="DayOff","",IF(J14=" "," ",IF(J14=12," ",IF(J14&lt;&gt;"",J14+1,IF(K14&lt;Parameters!$O$12,"",1)))))),"")</f>
        <v/>
      </c>
      <c r="M14" s="48">
        <f>IF(DAY(NovSun1)=1,NovSun1+34,NovSun1+41)</f>
        <v>43806</v>
      </c>
      <c r="N14" s="13"/>
      <c r="O14" s="48">
        <f>IF(DAY(NovSun1)=1,NovSun1+35,NovSun1+42)</f>
        <v>43807</v>
      </c>
      <c r="P14" s="22"/>
      <c r="Q14" s="6"/>
    </row>
    <row r="15" spans="1:17" ht="21.95" customHeight="1" thickBot="1" x14ac:dyDescent="0.25">
      <c r="A15" s="5"/>
      <c r="B15" s="70"/>
      <c r="C15" s="36"/>
      <c r="D15" s="37"/>
      <c r="E15" s="47"/>
      <c r="F15" s="37"/>
      <c r="G15" s="47"/>
      <c r="H15" s="37"/>
      <c r="I15" s="47"/>
      <c r="J15" s="37"/>
      <c r="K15" s="47"/>
      <c r="L15" s="37"/>
      <c r="M15" s="47"/>
      <c r="N15" s="37"/>
      <c r="O15" s="47"/>
      <c r="P15" s="3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  <row r="17" spans="1:17" ht="16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</row>
  </sheetData>
  <sheetProtection password="CC6F" sheet="1" objects="1" scenarios="1" selectLockedCells="1"/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10" priority="4" stopIfTrue="1">
      <formula>DAY(C4)&gt;8</formula>
    </cfRule>
  </conditionalFormatting>
  <conditionalFormatting sqref="C13:O13 C12 G12 I12 K12 M12:O12 C15:O15 C14 M14:O14 K14 I14 G14 E12 E14">
    <cfRule type="expression" dxfId="9" priority="3" stopIfTrue="1">
      <formula>AND(DAY(C12)&gt;=1,DAY(C12)&lt;=15)</formula>
    </cfRule>
  </conditionalFormatting>
  <conditionalFormatting sqref="C5:O5 C4 E4 G4 I4 K4 M4:O4 C7:O7 C6 M6:O6 K6 I6 G6 C9:O9 C8 G8 I8 K8 M8:O8 C11:H11 C10 M10:O10 K10 I10 G10 C13:O13 C12 G12 I12 K12 M12:O12 C14 M14:O14 K14 I14 G14 E6 E8 E10 E12 E14 J11:O11">
    <cfRule type="expression" dxfId="8" priority="5">
      <formula>VLOOKUP(DAY(C4),AssignmentDays,1,FALSE)=DAY(C4)</formula>
    </cfRule>
  </conditionalFormatting>
  <conditionalFormatting sqref="I11">
    <cfRule type="expression" dxfId="7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O16"/>
  <sheetViews>
    <sheetView showGridLines="0" topLeftCell="A2" zoomScale="90" zoomScaleNormal="90" zoomScalePageLayoutView="84" workbookViewId="0">
      <selection activeCell="K10" sqref="K10"/>
    </sheetView>
  </sheetViews>
  <sheetFormatPr defaultColWidth="8.7109375" defaultRowHeight="16.5" customHeight="1" x14ac:dyDescent="0.2"/>
  <cols>
    <col min="1" max="1" width="2.28515625" style="1" customWidth="1"/>
    <col min="2" max="2" width="12.7109375" style="1" customWidth="1"/>
    <col min="3" max="16" width="13.7109375" style="1" customWidth="1"/>
    <col min="17" max="22" width="8.85546875" customWidth="1"/>
    <col min="42" max="16384" width="8.7109375" style="1"/>
  </cols>
  <sheetData>
    <row r="1" spans="1:17" ht="11.25" hidden="1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</row>
    <row r="2" spans="1:17" ht="18" customHeight="1" thickBot="1" x14ac:dyDescent="0.25">
      <c r="A2" s="5"/>
      <c r="B2" s="70" t="str">
        <f>" DECEMBER "&amp;Parameters!B14</f>
        <v xml:space="preserve"> DECEMBER 2019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</row>
    <row r="3" spans="1:17" ht="21.95" customHeight="1" thickBot="1" x14ac:dyDescent="0.25">
      <c r="A3" s="5"/>
      <c r="B3" s="70"/>
      <c r="C3" s="72" t="s">
        <v>1</v>
      </c>
      <c r="D3" s="73"/>
      <c r="E3" s="74" t="s">
        <v>8</v>
      </c>
      <c r="F3" s="73"/>
      <c r="G3" s="74" t="s">
        <v>3</v>
      </c>
      <c r="H3" s="73"/>
      <c r="I3" s="74" t="s">
        <v>4</v>
      </c>
      <c r="J3" s="73"/>
      <c r="K3" s="74" t="s">
        <v>5</v>
      </c>
      <c r="L3" s="73"/>
      <c r="M3" s="74" t="s">
        <v>6</v>
      </c>
      <c r="N3" s="73"/>
      <c r="O3" s="74" t="s">
        <v>7</v>
      </c>
      <c r="P3" s="76"/>
      <c r="Q3" s="6"/>
    </row>
    <row r="4" spans="1:17" ht="21.95" customHeight="1" x14ac:dyDescent="0.2">
      <c r="A4" s="5"/>
      <c r="B4" s="70"/>
      <c r="C4" s="41">
        <f>IF(DAY(DecSun1)=1,DecSun1-6,DecSun1+1)</f>
        <v>43794</v>
      </c>
      <c r="D4" s="20" t="str">
        <f>IFERROR(IF(VLOOKUP(C4,Parameters!$L$54:$M$84,2,FALSE)="DayOff","",IF(C4&lt;Parameters!$O$13,"",1)),"")</f>
        <v/>
      </c>
      <c r="E4" s="48">
        <f>IF(DAY(DecSun1)=1,DecSun1-5,DecSun1+2)</f>
        <v>43795</v>
      </c>
      <c r="F4" s="15" t="str">
        <f>IFERROR(IF(E4=Parameters!$L$79," ",IF(VLOOKUP(December!E4,Parameters!$L$54:$M$84,2,FALSE)="DayOff","",IF(D4=" "," ",IF(D4=12," ",IF(D4&lt;&gt;"",D4+1,IF(E4&lt;Parameters!$O$13,"",1)))))),"")</f>
        <v/>
      </c>
      <c r="G4" s="48">
        <f>IF(DAY(DecSun1)=1,DecSun1-4,DecSun1+3)</f>
        <v>43796</v>
      </c>
      <c r="H4" s="15" t="str">
        <f>IFERROR(IF(G4=Parameters!$L$79," ",IF(VLOOKUP(December!G4,Parameters!$L$54:$M$84,2,FALSE)="DayOff","",IF(F4=" "," ",IF(F4=12," ",IF(F4&lt;&gt;"",F4+1,IF(G4&lt;Parameters!$O$13,"",1)))))),"")</f>
        <v/>
      </c>
      <c r="I4" s="48">
        <f>IF(DAY(DecSun1)=1,DecSun1-3,DecSun1+4)</f>
        <v>43797</v>
      </c>
      <c r="J4" s="15" t="str">
        <f>IFERROR(IF(I4=Parameters!$L$79," ",IF(VLOOKUP(December!I4,Parameters!$L$54:$M$84,2,FALSE)="DayOff","",IF(H4=" "," ",IF(H4=12," ",IF(H4&lt;&gt;"",H4+1,IF(I4&lt;Parameters!$O$13,"",1)))))),"")</f>
        <v/>
      </c>
      <c r="K4" s="48">
        <f>IF(DAY(DecSun1)=1,DecSun1-2,DecSun1+5)</f>
        <v>43798</v>
      </c>
      <c r="L4" s="15" t="str">
        <f>IFERROR(IF(K4=Parameters!$L$79," ",IF(VLOOKUP(December!K4,Parameters!$L$54:$M$84,2,FALSE)="DayOff","",IF(J4=" "," ",IF(J4=12," ",IF(J4&lt;&gt;"",J4+1,IF(K4&lt;Parameters!$O$13,"",1)))))),"")</f>
        <v/>
      </c>
      <c r="M4" s="48">
        <f>IF(DAY(DecSun1)=1,DecSun1-1,DecSun1+6)</f>
        <v>43799</v>
      </c>
      <c r="N4" s="13"/>
      <c r="O4" s="48">
        <f>IF(DAY(DecSun1)=1,DecSun1,DecSun1+7)</f>
        <v>43800</v>
      </c>
      <c r="P4" s="22"/>
      <c r="Q4" s="6"/>
    </row>
    <row r="5" spans="1:17" ht="21.95" customHeight="1" x14ac:dyDescent="0.2">
      <c r="A5" s="5"/>
      <c r="B5" s="70"/>
      <c r="C5" s="23"/>
      <c r="D5" s="11"/>
      <c r="E5" s="18"/>
      <c r="F5" s="11"/>
      <c r="G5" s="18"/>
      <c r="H5" s="11"/>
      <c r="I5" s="18"/>
      <c r="J5" s="11"/>
      <c r="K5" s="18"/>
      <c r="L5" s="11"/>
      <c r="M5" s="18"/>
      <c r="N5" s="11"/>
      <c r="O5" s="18"/>
      <c r="P5" s="24"/>
      <c r="Q5" s="6"/>
    </row>
    <row r="6" spans="1:17" ht="21.95" customHeight="1" x14ac:dyDescent="0.2">
      <c r="A6" s="5"/>
      <c r="B6" s="70"/>
      <c r="C6" s="41">
        <f>IF(DAY(DecSun1)=1,DecSun1+1,DecSun1+8)</f>
        <v>43801</v>
      </c>
      <c r="D6" s="15">
        <f>IFERROR(IF(C6=Parameters!$L$79,December!J4+1,IF(VLOOKUP(December!C6,Parameters!$L$54:$M$84,2,FALSE)="DayOff","",IF(L4=" "," ",IF(L4=12," ",IF(L4&lt;&gt;"",L4+1,IF(C6&lt;Parameters!$O$13,"",1)))))),"")</f>
        <v>1</v>
      </c>
      <c r="E6" s="48">
        <f>IF(DAY(DecSun1)=1,DecSun1+2,DecSun1+9)</f>
        <v>43802</v>
      </c>
      <c r="F6" s="15">
        <f>IFERROR(IF(E6=Parameters!$L$79," ",IF(VLOOKUP(December!E6,Parameters!$L$54:$M$84,2,FALSE)="DayOff","",IF(D6=" "," ",IF(D6=12," ",IF(D6&lt;&gt;"",D6+1,IF(E6&lt;Parameters!$O$13,"",1)))))),"")</f>
        <v>2</v>
      </c>
      <c r="G6" s="48">
        <f>IF(DAY(DecSun1)=1,DecSun1+3,DecSun1+10)</f>
        <v>43803</v>
      </c>
      <c r="H6" s="15">
        <f>IFERROR(IF(G6=Parameters!$L$79," ",IF(VLOOKUP(December!G6,Parameters!$L$54:$M$84,2,FALSE)="DayOff","",IF(F6=" "," ",IF(F6=12," ",IF(F6&lt;&gt;"",F6+1,IF(G6&lt;Parameters!$O$13,"",1)))))),"")</f>
        <v>3</v>
      </c>
      <c r="I6" s="48">
        <f>IF(DAY(DecSun1)=1,DecSun1+4,DecSun1+11)</f>
        <v>43804</v>
      </c>
      <c r="J6" s="15">
        <f>IFERROR(IF(I6=Parameters!$L$79," ",IF(VLOOKUP(December!I6,Parameters!$L$54:$M$84,2,FALSE)="DayOff","",IF(H6=" "," ",IF(H6=12," ",IF(H6&lt;&gt;"",H6+1,IF(I6&lt;Parameters!$O$13,"",1)))))),"")</f>
        <v>4</v>
      </c>
      <c r="K6" s="48">
        <f>IF(DAY(DecSun1)=1,DecSun1+5,DecSun1+12)</f>
        <v>43805</v>
      </c>
      <c r="L6" s="15">
        <f>IFERROR(IF(K6=Parameters!$L$79," ",IF(VLOOKUP(December!K6,Parameters!$L$54:$M$84,2,FALSE)="DayOff","",IF(J6=" "," ",IF(J6=12," ",IF(J6&lt;&gt;"",J6+1,IF(K6&lt;Parameters!$O$13,"",1)))))),"")</f>
        <v>5</v>
      </c>
      <c r="M6" s="48">
        <f>IF(DAY(DecSun1)=1,DecSun1+6,DecSun1+13)</f>
        <v>43806</v>
      </c>
      <c r="N6" s="13"/>
      <c r="O6" s="48">
        <f>IF(DAY(DecSun1)=1,DecSun1+7,DecSun1+14)</f>
        <v>43807</v>
      </c>
      <c r="P6" s="22"/>
      <c r="Q6" s="6"/>
    </row>
    <row r="7" spans="1:17" ht="21.95" customHeight="1" x14ac:dyDescent="0.2">
      <c r="A7" s="5"/>
      <c r="B7" s="70"/>
      <c r="C7" s="23"/>
      <c r="D7" s="11"/>
      <c r="E7" s="18"/>
      <c r="F7" s="11"/>
      <c r="G7" s="18"/>
      <c r="H7" s="11"/>
      <c r="I7" s="18"/>
      <c r="J7" s="11"/>
      <c r="K7" s="18"/>
      <c r="L7" s="11"/>
      <c r="M7" s="18"/>
      <c r="N7" s="11"/>
      <c r="O7" s="18"/>
      <c r="P7" s="24"/>
      <c r="Q7" s="6"/>
    </row>
    <row r="8" spans="1:17" ht="21.95" customHeight="1" x14ac:dyDescent="0.2">
      <c r="A8" s="5"/>
      <c r="B8" s="70"/>
      <c r="C8" s="41">
        <f>IF(DAY(DecSun1)=1,DecSun1+8,DecSun1+15)</f>
        <v>43808</v>
      </c>
      <c r="D8" s="15">
        <f>IFERROR(IF(C8=Parameters!$L$79,December!J6+1,IF(VLOOKUP(December!C8,Parameters!$L$54:$M$84,2,FALSE)="DayOff","",IF(L6=" "," ",IF(L6=12," ",IF(L6&lt;&gt;"",L6+1,IF(C8&lt;Parameters!$O$13,"",1)))))),"")</f>
        <v>6</v>
      </c>
      <c r="E8" s="48">
        <f>IF(DAY(DecSun1)=1,DecSun1+9,DecSun1+16)</f>
        <v>43809</v>
      </c>
      <c r="F8" s="15">
        <f>IFERROR(IF(E8=Parameters!$L$79," ",IF(VLOOKUP(December!E8,Parameters!$L$54:$M$84,2,FALSE)="DayOff","",IF(D8=" "," ",IF(D8=12," ",IF(D8&lt;&gt;"",D8+1,IF(E8&lt;Parameters!$O$13,"",1)))))),"")</f>
        <v>7</v>
      </c>
      <c r="G8" s="48">
        <f>IF(DAY(DecSun1)=1,DecSun1+10,DecSun1+17)</f>
        <v>43810</v>
      </c>
      <c r="H8" s="15">
        <f>IFERROR(IF(G8=Parameters!$L$79," ",IF(VLOOKUP(December!G8,Parameters!$L$54:$M$84,2,FALSE)="DayOff","",IF(F8=" "," ",IF(F8=12," ",IF(F8&lt;&gt;"",F8+1,IF(G8&lt;Parameters!$O$13,"",1)))))),"")</f>
        <v>8</v>
      </c>
      <c r="I8" s="48">
        <f>IF(DAY(DecSun1)=1,DecSun1+11,DecSun1+18)</f>
        <v>43811</v>
      </c>
      <c r="J8" s="15">
        <f>IFERROR(IF(I8=Parameters!$L$79," ",IF(VLOOKUP(December!I8,Parameters!$L$54:$M$84,2,FALSE)="DayOff","",IF(H8=" "," ",IF(H8=12," ",IF(H8&lt;&gt;"",H8+1,IF(I8&lt;Parameters!$O$13,"",1)))))),"")</f>
        <v>9</v>
      </c>
      <c r="K8" s="48">
        <f>IF(DAY(DecSun1)=1,DecSun1+12,DecSun1+19)</f>
        <v>43812</v>
      </c>
      <c r="L8" s="15">
        <f>IFERROR(IF(K8=Parameters!$L$79," ",IF(VLOOKUP(December!K8,Parameters!$L$54:$M$84,2,FALSE)="DayOff","",IF(J8=" "," ",IF(J8=12," ",IF(J8&lt;&gt;"",J8+1,IF(K8&lt;Parameters!$O$13,"",1)))))),"")</f>
        <v>10</v>
      </c>
      <c r="M8" s="48">
        <f>IF(DAY(DecSun1)=1,DecSun1+13,DecSun1+20)</f>
        <v>43813</v>
      </c>
      <c r="N8" s="13"/>
      <c r="O8" s="48">
        <f>IF(DAY(DecSun1)=1,DecSun1+14,DecSun1+21)</f>
        <v>43814</v>
      </c>
      <c r="P8" s="22"/>
      <c r="Q8" s="6"/>
    </row>
    <row r="9" spans="1:17" ht="21.95" customHeight="1" x14ac:dyDescent="0.2">
      <c r="A9" s="5"/>
      <c r="B9" s="70"/>
      <c r="C9" s="23"/>
      <c r="D9" s="11"/>
      <c r="E9" s="18"/>
      <c r="F9" s="11"/>
      <c r="G9" s="18"/>
      <c r="H9" s="11"/>
      <c r="I9" s="18"/>
      <c r="J9" s="11"/>
      <c r="K9" s="18"/>
      <c r="L9" s="11"/>
      <c r="M9" s="18"/>
      <c r="N9" s="11"/>
      <c r="O9" s="18"/>
      <c r="P9" s="24"/>
      <c r="Q9" s="6"/>
    </row>
    <row r="10" spans="1:17" ht="21.95" customHeight="1" x14ac:dyDescent="0.2">
      <c r="A10" s="5"/>
      <c r="B10" s="70"/>
      <c r="C10" s="41">
        <f>IF(DAY(DecSun1)=1,DecSun1+15,DecSun1+22)</f>
        <v>43815</v>
      </c>
      <c r="D10" s="15">
        <f>IFERROR(IF(C10=Parameters!$L$79,December!J8+1,IF(VLOOKUP(December!C10,Parameters!$L$54:$M$84,2,FALSE)="DayOff","",IF(L8=" "," ",IF(L8=12," ",IF(L8&lt;&gt;"",L8+1,IF(C10&lt;Parameters!$O$13,"",1)))))),"")</f>
        <v>11</v>
      </c>
      <c r="E10" s="48">
        <f>IF(DAY(DecSun1)=1,DecSun1+16,DecSun1+23)</f>
        <v>43816</v>
      </c>
      <c r="F10" s="15">
        <f>IFERROR(IF(E10=Parameters!$L$79," ",IF(VLOOKUP(December!E10,Parameters!$L$54:$M$84,2,FALSE)="DayOff","",IF(D10=" "," ",IF(D10=12," ",IF(D10&lt;&gt;"",D10+1,IF(E10&lt;Parameters!$O$13,"",1)))))),"")</f>
        <v>12</v>
      </c>
      <c r="G10" s="48">
        <f>IF(DAY(DecSun1)=1,DecSun1+17,DecSun1+24)</f>
        <v>43817</v>
      </c>
      <c r="H10" s="15" t="str">
        <f>IFERROR(IF(G10=Parameters!$L$79," ",IF(VLOOKUP(December!G10,Parameters!$L$54:$M$84,2,FALSE)="DayOff","",IF(F10=" "," ",IF(F10=12," ",IF(F10&lt;&gt;"",F10+1,IF(G10&lt;Parameters!$O$13,"",1)))))),"")</f>
        <v xml:space="preserve"> </v>
      </c>
      <c r="I10" s="48">
        <f>IF(DAY(DecSun1)=1,DecSun1+18,DecSun1+25)</f>
        <v>43818</v>
      </c>
      <c r="J10" s="15" t="str">
        <f>IFERROR(IF(I10=Parameters!$L$79," ",IF(VLOOKUP(December!I10,Parameters!$L$54:$M$84,2,FALSE)="DayOff","",IF(H10=" "," ",IF(H10=12," ",IF(H10&lt;&gt;"",H10+1,IF(I10&lt;Parameters!$O$13,"",1)))))),"")</f>
        <v xml:space="preserve"> </v>
      </c>
      <c r="K10" s="48">
        <f>IF(DAY(DecSun1)=1,DecSun1+19,DecSun1+26)</f>
        <v>43819</v>
      </c>
      <c r="L10" s="15" t="str">
        <f>IFERROR(IF(K10=Parameters!$L$79," ",IF(VLOOKUP(December!K10,Parameters!$L$54:$M$84,2,FALSE)="DayOff","",IF(J10=" "," ",IF(J10=12," ",IF(J10&lt;&gt;"",J10+1,IF(K10&lt;Parameters!$O$13,"",1)))))),"")</f>
        <v xml:space="preserve"> </v>
      </c>
      <c r="M10" s="48">
        <f>IF(DAY(DecSun1)=1,DecSun1+20,DecSun1+27)</f>
        <v>43820</v>
      </c>
      <c r="N10" s="13"/>
      <c r="O10" s="48">
        <f>IF(DAY(DecSun1)=1,DecSun1+21,DecSun1+28)</f>
        <v>43821</v>
      </c>
      <c r="P10" s="22"/>
      <c r="Q10" s="6"/>
    </row>
    <row r="11" spans="1:17" ht="21.95" customHeight="1" x14ac:dyDescent="0.2">
      <c r="A11" s="5"/>
      <c r="B11" s="70"/>
      <c r="C11" s="23"/>
      <c r="D11" s="11"/>
      <c r="E11" s="18"/>
      <c r="F11" s="11"/>
      <c r="G11" s="18"/>
      <c r="H11" s="11"/>
      <c r="I11" s="63" t="s">
        <v>26</v>
      </c>
      <c r="J11" s="11"/>
      <c r="K11" s="18"/>
      <c r="L11" s="11"/>
      <c r="M11" s="18"/>
      <c r="N11" s="11"/>
      <c r="O11" s="18"/>
      <c r="P11" s="24"/>
      <c r="Q11" s="6"/>
    </row>
    <row r="12" spans="1:17" ht="21.95" customHeight="1" x14ac:dyDescent="0.2">
      <c r="A12" s="5"/>
      <c r="B12" s="70"/>
      <c r="C12" s="41">
        <f>IF(DAY(DecSun1)=1,DecSun1+22,DecSun1+29)</f>
        <v>43822</v>
      </c>
      <c r="D12" s="15" t="str">
        <f>IFERROR(IF(C12=Parameters!$L$79,December!J10+1,IF(VLOOKUP(December!C12,Parameters!$L$54:$M$84,2,FALSE)="DayOff","",IF(L10=" "," ",IF(L10=12," ",IF(L10&lt;&gt;"",L10+1,IF(C12&lt;Parameters!$O$13,"",1)))))),"")</f>
        <v xml:space="preserve"> </v>
      </c>
      <c r="E12" s="48">
        <f>IF(DAY(DecSun1)=1,DecSun1+23,DecSun1+30)</f>
        <v>43823</v>
      </c>
      <c r="F12" s="15" t="str">
        <f>IFERROR(IF(E12=Parameters!$L$79," ",IF(VLOOKUP(December!E12,Parameters!$L$54:$M$84,2,FALSE)="DayOff","",IF(D12=" "," ",IF(D12=12," ",IF(D12&lt;&gt;"",D12+1,IF(E12&lt;Parameters!$O$13,"",1)))))),"")</f>
        <v xml:space="preserve"> </v>
      </c>
      <c r="G12" s="48">
        <f>IF(DAY(DecSun1)=1,DecSun1+24,DecSun1+31)</f>
        <v>43824</v>
      </c>
      <c r="H12" s="15" t="str">
        <f>IFERROR(IF(G12=Parameters!$L$79," ",IF(VLOOKUP(December!G12,Parameters!$L$54:$M$84,2,FALSE)="DayOff","",IF(F12=" "," ",IF(F12=12," ",IF(F12&lt;&gt;"",F12+1,IF(G12&lt;Parameters!$O$13,"",1)))))),"")</f>
        <v/>
      </c>
      <c r="I12" s="48">
        <f>IF(DAY(DecSun1)=1,DecSun1+25,DecSun1+32)</f>
        <v>43825</v>
      </c>
      <c r="J12" s="15" t="str">
        <f>IFERROR(IF(I12=Parameters!$L$79,December!F12+1,IF(VLOOKUP(December!I12,Parameters!$L$54:$M$84,2,FALSE)="DayOff","",IF(H12=" "," ",IF(H12=12," ",IF(H12&lt;&gt;"",H12+1,IF(I12&lt;Parameters!$O$13,"",1)))))),"")</f>
        <v/>
      </c>
      <c r="K12" s="48">
        <f>IF(DAY(DecSun1)=1,DecSun1+26,DecSun1+33)</f>
        <v>43826</v>
      </c>
      <c r="L12" s="15">
        <f>IFERROR(IF(K12=Parameters!$L$79," ",IF(VLOOKUP(December!K12,Parameters!$L$54:$M$84,2,FALSE)="DayOff","",IF(J12=" "," ",IF(J12=12," ",IF(J12&lt;&gt;"",J12+1,IF(K12&lt;Parameters!$O$13,"",1)))))),"")</f>
        <v>1</v>
      </c>
      <c r="M12" s="48">
        <f>IF(DAY(DecSun1)=1,DecSun1+27,DecSun1+34)</f>
        <v>43827</v>
      </c>
      <c r="N12" s="13"/>
      <c r="O12" s="48">
        <f>IF(DAY(DecSun1)=1,DecSun1+28,DecSun1+35)</f>
        <v>43828</v>
      </c>
      <c r="P12" s="22"/>
      <c r="Q12" s="6"/>
    </row>
    <row r="13" spans="1:17" ht="21.95" customHeight="1" x14ac:dyDescent="0.2">
      <c r="A13" s="5"/>
      <c r="B13" s="70"/>
      <c r="C13" s="23"/>
      <c r="D13" s="11"/>
      <c r="E13" s="18"/>
      <c r="F13" s="11"/>
      <c r="G13" s="18"/>
      <c r="H13" s="11"/>
      <c r="I13" s="18"/>
      <c r="J13" s="11"/>
      <c r="K13" s="18"/>
      <c r="L13" s="11"/>
      <c r="M13" s="18"/>
      <c r="N13" s="11"/>
      <c r="O13" s="18"/>
      <c r="P13" s="24"/>
      <c r="Q13" s="6"/>
    </row>
    <row r="14" spans="1:17" ht="21.95" customHeight="1" x14ac:dyDescent="0.2">
      <c r="A14" s="5"/>
      <c r="B14" s="70"/>
      <c r="C14" s="41">
        <f>IF(DAY(DecSun1)=1,DecSun1+29,DecSun1+36)</f>
        <v>43829</v>
      </c>
      <c r="D14" s="15">
        <f>IFERROR(IF(C14=Parameters!$L$79,December!J12+1,IF(VLOOKUP(December!C14,Parameters!$L$54:$M$84,2,FALSE)="DayOff","",IF(L12=" "," ",IF(L12=12," ",IF(L12&lt;&gt;"",L12+1,IF(C14&lt;Parameters!$O$13,"",1)))))),"")</f>
        <v>2</v>
      </c>
      <c r="E14" s="48">
        <f>IF(DAY(DecSun1)=1,DecSun1+30,DecSun1+37)</f>
        <v>43830</v>
      </c>
      <c r="F14" s="15">
        <f>IFERROR(IF(E14=Parameters!$L$79," ",IF(VLOOKUP(December!E14,Parameters!$L$54:$M$84,2,FALSE)="DayOff","",IF(D14=" "," ",IF(D14=12," ",IF(D14&lt;&gt;"",D14+1,IF(E14&lt;Parameters!$O$13,"",1)))))),"")</f>
        <v>3</v>
      </c>
      <c r="G14" s="48">
        <f>IF(DAY(DecSun1)=1,DecSun1+31,DecSun1+38)</f>
        <v>43831</v>
      </c>
      <c r="H14" s="15" t="str">
        <f>IFERROR(IF(G14=Parameters!$L$79," ",IF(VLOOKUP(December!G14,Parameters!$L$54:$M$84,2,FALSE)="DayOff","",IF(F14=" "," ",IF(F14=12," ",IF(F14&lt;&gt;"",F14+1,IF(G14&lt;Parameters!$O$13,"",1)))))),"")</f>
        <v/>
      </c>
      <c r="I14" s="48">
        <f>IF(DAY(DecSun1)=1,DecSun1+32,DecSun1+39)</f>
        <v>43832</v>
      </c>
      <c r="J14" s="15" t="str">
        <f>IFERROR(IF(I14=Parameters!$L$79," ",IF(VLOOKUP(December!I14,Parameters!$L$54:$M$84,2,FALSE)="DayOff","",IF(H14=" "," ",IF(H14=12," ",IF(H14&lt;&gt;"",H14+1,IF(I14&lt;Parameters!$O$13,"",1)))))),"")</f>
        <v/>
      </c>
      <c r="K14" s="48">
        <f>IF(DAY(DecSun1)=1,DecSun1+33,DecSun1+40)</f>
        <v>43833</v>
      </c>
      <c r="L14" s="15" t="str">
        <f>IFERROR(IF(K14=Parameters!$L$79," ",IF(VLOOKUP(December!K14,Parameters!$L$54:$M$84,2,FALSE)="DayOff","",IF(J14=" "," ",IF(J14=12," ",IF(J14&lt;&gt;"",J14+1,IF(K14&lt;Parameters!$O$13,"",1)))))),"")</f>
        <v/>
      </c>
      <c r="M14" s="48">
        <f>IF(DAY(DecSun1)=1,DecSun1+34,DecSun1+41)</f>
        <v>43834</v>
      </c>
      <c r="N14" s="13"/>
      <c r="O14" s="48">
        <f>IF(DAY(DecSun1)=1,DecSun1+35,DecSun1+42)</f>
        <v>43835</v>
      </c>
      <c r="P14" s="22"/>
      <c r="Q14" s="6"/>
    </row>
    <row r="15" spans="1:17" ht="21.95" customHeight="1" thickBot="1" x14ac:dyDescent="0.25">
      <c r="A15" s="5"/>
      <c r="B15" s="70"/>
      <c r="C15" s="26"/>
      <c r="D15" s="27"/>
      <c r="E15" s="30"/>
      <c r="F15" s="27"/>
      <c r="G15" s="30"/>
      <c r="H15" s="27"/>
      <c r="I15" s="30"/>
      <c r="J15" s="27"/>
      <c r="K15" s="30"/>
      <c r="L15" s="27"/>
      <c r="M15" s="30"/>
      <c r="N15" s="27"/>
      <c r="O15" s="30"/>
      <c r="P15" s="29"/>
      <c r="Q15" s="6"/>
    </row>
    <row r="16" spans="1:17" ht="16.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</row>
  </sheetData>
  <mergeCells count="8">
    <mergeCell ref="M3:N3"/>
    <mergeCell ref="O3:P3"/>
    <mergeCell ref="B2:B15"/>
    <mergeCell ref="C3:D3"/>
    <mergeCell ref="E3:F3"/>
    <mergeCell ref="G3:H3"/>
    <mergeCell ref="I3:J3"/>
    <mergeCell ref="K3:L3"/>
  </mergeCells>
  <conditionalFormatting sqref="C5:N5 C4 E4 G4 I4 K4 M4:N4">
    <cfRule type="expression" dxfId="6" priority="4" stopIfTrue="1">
      <formula>DAY(C4)&gt;8</formula>
    </cfRule>
  </conditionalFormatting>
  <conditionalFormatting sqref="C13:O13 C12 G12 I12 K12 M12:O12 C15:O15 C14 M14:O14 K14 I14 G14 E12 E14">
    <cfRule type="expression" dxfId="5" priority="3" stopIfTrue="1">
      <formula>AND(DAY(C12)&gt;=1,DAY(C12)&lt;=15)</formula>
    </cfRule>
  </conditionalFormatting>
  <conditionalFormatting sqref="C5:O5 C4 E4 G4 I4 K4 M4:O4 C7:O7 C6 M6:O6 K6 I6 G6 C9:O9 C8 G8 I8 K8 M8:O8 C11:H11 C10 M10:O10 K10 I10 G10 C13:O13 C12 G12 I12 K12 M12:O12 C14 M14:O14 K14 I14 G14 E6 E8 E10 E12 E14 J11:O11">
    <cfRule type="expression" dxfId="4" priority="5">
      <formula>VLOOKUP(DAY(C4),AssignmentDays,1,FALSE)=DAY(C4)</formula>
    </cfRule>
  </conditionalFormatting>
  <conditionalFormatting sqref="I11">
    <cfRule type="expression" dxfId="3" priority="1">
      <formula>VLOOKUP(DAY(I11),AssignmentDays,1,FALSE)=DAY(I11)</formula>
    </cfRule>
  </conditionalFormatting>
  <printOptions horizontalCentered="1"/>
  <pageMargins left="0.5" right="0.5" top="0.5" bottom="0.5" header="0.3" footer="0.3"/>
  <pageSetup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nonbusiness" value=""/>
</sisl>
</file>

<file path=customXml/itemProps1.xml><?xml version="1.0" encoding="utf-8"?>
<ds:datastoreItem xmlns:ds="http://schemas.openxmlformats.org/officeDocument/2006/customXml" ds:itemID="{6FF21058-99F3-4238-BEF5-0A42D62435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85AE57-C922-4C64-8414-40CCEDE8DB5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</vt:i4>
      </vt:variant>
    </vt:vector>
  </HeadingPairs>
  <TitlesOfParts>
    <vt:vector size="16" baseType="lpstr">
      <vt:lpstr>Parameters</vt:lpstr>
      <vt:lpstr>Days off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CalendarYear</vt:lpstr>
      <vt:lpstr>January!Print_Area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2017-12-20T16:47:06Z</dcterms:created>
  <dcterms:modified xsi:type="dcterms:W3CDTF">2018-01-15T18:44:52Z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TC025512749991</vt:lpwstr>
  </property>
  <property fmtid="{D5CDD505-2E9C-101B-9397-08002B2CF9AE}" pid="3" name="docIndexRef">
    <vt:lpwstr>409d23e5-5804-4b9c-9d61-890719cbe073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P U B L I C   </vt:lpwstr>
  </property>
  <property fmtid="{D5CDD505-2E9C-101B-9397-08002B2CF9AE}" pid="7" name="SV_QUERY_LIST_4F35BF76-6C0D-4D9B-82B2-816C12CF3733">
    <vt:lpwstr>empty_477D106A-C0D6-4607-AEBD-E2C9D60EA279</vt:lpwstr>
  </property>
  <property fmtid="{D5CDD505-2E9C-101B-9397-08002B2CF9AE}" pid="8" name="bjSaver">
    <vt:lpwstr>ObKocO6U2LQNkgNJc9KAs6KaMDpcu251</vt:lpwstr>
  </property>
</Properties>
</file>