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autoCompressPictures="0"/>
  <bookViews>
    <workbookView xWindow="0" yWindow="120" windowWidth="15600" windowHeight="11640" tabRatio="690" firstSheet="8" activeTab="13"/>
  </bookViews>
  <sheets>
    <sheet name="Parameters" sheetId="18" r:id="rId1"/>
    <sheet name="Days off" sheetId="19" r:id="rId2"/>
    <sheet name="January" sheetId="1" r:id="rId3"/>
    <sheet name="February" sheetId="6" r:id="rId4"/>
    <sheet name="March" sheetId="7" r:id="rId5"/>
    <sheet name="April" sheetId="8" r:id="rId6"/>
    <sheet name="May" sheetId="9" r:id="rId7"/>
    <sheet name="June" sheetId="10" r:id="rId8"/>
    <sheet name="July" sheetId="11" r:id="rId9"/>
    <sheet name="August" sheetId="12" r:id="rId10"/>
    <sheet name="September" sheetId="13" r:id="rId11"/>
    <sheet name="October" sheetId="14" r:id="rId12"/>
    <sheet name="November" sheetId="15" r:id="rId13"/>
    <sheet name="December" sheetId="16" r:id="rId14"/>
  </sheets>
  <definedNames>
    <definedName name="AprSun1">DATE(CalendarYear,4,1)-WEEKDAY(DATE(CalendarYear,4,1))+1</definedName>
    <definedName name="AugSun1">DATE(CalendarYear,8,1)-WEEKDAY(DATE(CalendarYear,8,1))+1</definedName>
    <definedName name="CalendarYear">January!$W$1</definedName>
    <definedName name="DecSun1">DATE(CalendarYear,12,1)-WEEKDAY(DATE(CalendarYear,12,1))+1</definedName>
    <definedName name="FebSun1">DATE(CalendarYear,2,1)-WEEKDAY(DATE(CalendarYear,2,1))+1</definedName>
    <definedName name="JanSun1" localSheetId="0">DATE([0]!CalendarYear,1,1)-WEEKDAY(DATE([0]!CalendarYear,1,1))+1</definedName>
    <definedName name="JanSun1">DATE(CalendarYear,1,1)-WEEKDAY(DATE(CalendarYear,1,1))+1</definedName>
    <definedName name="JulSun1">DATE(CalendarYear,7,1)-WEEKDAY(DATE(CalendarYear,7,1))+1</definedName>
    <definedName name="JunSun1">DATE(CalendarYear,6,1)-WEEKDAY(DATE(CalendarYear,6,1))+1</definedName>
    <definedName name="Mar_Dim1">DATE(Année_Calendaire,3,1)-WEEKDAY(DATE(Année_Calendaire,3,1))+1</definedName>
    <definedName name="MarSun1">DATE(CalendarYear,3,1)-WEEKDAY(DATE(CalendarYear,3,1))+1</definedName>
    <definedName name="MaySun1">DATE(CalendarYear,5,1)-WEEKDAY(DATE(CalendarYear,5,1))+1</definedName>
    <definedName name="NovSun1">DATE(CalendarYear,11,1)-WEEKDAY(DATE(CalendarYear,11,1))+1</definedName>
    <definedName name="OctSun1">DATE(CalendarYear,10,1)-WEEKDAY(DATE(CalendarYear,10,1))+1</definedName>
    <definedName name="_xlnm.Print_Area" localSheetId="2">January!$A$1:$T$16</definedName>
    <definedName name="SepSun1">DATE(CalendarYear,9,1)-WEEKDAY(DATE(CalendarYear,9,1))+1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4" i="16" l="1"/>
  <c r="J14" i="16"/>
  <c r="H14" i="16"/>
  <c r="F14" i="16"/>
  <c r="D14" i="16"/>
  <c r="D12" i="16"/>
  <c r="F12" i="16"/>
  <c r="H12" i="16"/>
  <c r="J12" i="16"/>
  <c r="L12" i="16"/>
  <c r="L10" i="16"/>
  <c r="J10" i="16"/>
  <c r="H10" i="16"/>
  <c r="F10" i="16"/>
  <c r="D10" i="16"/>
  <c r="H8" i="16"/>
  <c r="J8" i="16"/>
  <c r="L8" i="16"/>
  <c r="D6" i="16"/>
  <c r="D8" i="16"/>
  <c r="F8" i="16"/>
  <c r="H6" i="16"/>
  <c r="J6" i="16"/>
  <c r="L6" i="16"/>
  <c r="L4" i="16"/>
  <c r="J4" i="16"/>
  <c r="H4" i="16"/>
  <c r="F4" i="16"/>
  <c r="D4" i="16"/>
  <c r="F6" i="16"/>
  <c r="D14" i="15"/>
  <c r="F14" i="15"/>
  <c r="H14" i="15"/>
  <c r="J14" i="15"/>
  <c r="L14" i="15"/>
  <c r="L12" i="15"/>
  <c r="J12" i="15"/>
  <c r="H12" i="15"/>
  <c r="F12" i="15"/>
  <c r="D12" i="15"/>
  <c r="D10" i="15"/>
  <c r="F10" i="15"/>
  <c r="H10" i="15"/>
  <c r="J10" i="15"/>
  <c r="L10" i="15"/>
  <c r="L8" i="15"/>
  <c r="J8" i="15"/>
  <c r="H8" i="15"/>
  <c r="F8" i="15"/>
  <c r="D8" i="15"/>
  <c r="D6" i="15"/>
  <c r="F6" i="15"/>
  <c r="H6" i="15"/>
  <c r="J6" i="15"/>
  <c r="L6" i="15"/>
  <c r="L4" i="15"/>
  <c r="J4" i="15"/>
  <c r="H4" i="15"/>
  <c r="F4" i="15"/>
  <c r="D4" i="15"/>
  <c r="D12" i="14"/>
  <c r="D14" i="14"/>
  <c r="F14" i="14"/>
  <c r="H14" i="14"/>
  <c r="J14" i="14"/>
  <c r="L14" i="14"/>
  <c r="L12" i="14"/>
  <c r="J12" i="14"/>
  <c r="H12" i="14"/>
  <c r="F12" i="14"/>
  <c r="D10" i="14"/>
  <c r="F10" i="14"/>
  <c r="H10" i="14"/>
  <c r="J10" i="14"/>
  <c r="L10" i="14"/>
  <c r="L8" i="14"/>
  <c r="J8" i="14"/>
  <c r="H8" i="14"/>
  <c r="F8" i="14"/>
  <c r="D8" i="14"/>
  <c r="D6" i="14"/>
  <c r="F6" i="14"/>
  <c r="H6" i="14"/>
  <c r="J6" i="14"/>
  <c r="L6" i="14"/>
  <c r="L4" i="14"/>
  <c r="J4" i="14"/>
  <c r="H4" i="14"/>
  <c r="F4" i="14"/>
  <c r="D4" i="14"/>
  <c r="D14" i="13"/>
  <c r="F14" i="13"/>
  <c r="H14" i="13"/>
  <c r="J14" i="13"/>
  <c r="L14" i="13"/>
  <c r="L12" i="13"/>
  <c r="J12" i="13"/>
  <c r="H12" i="13"/>
  <c r="F12" i="13"/>
  <c r="D12" i="13"/>
  <c r="D10" i="13"/>
  <c r="F10" i="13"/>
  <c r="H10" i="13"/>
  <c r="J10" i="13"/>
  <c r="L10" i="13"/>
  <c r="L8" i="13"/>
  <c r="J8" i="13"/>
  <c r="H8" i="13"/>
  <c r="F8" i="13"/>
  <c r="D8" i="13"/>
  <c r="D6" i="13"/>
  <c r="F6" i="13"/>
  <c r="H6" i="13"/>
  <c r="J6" i="13"/>
  <c r="L6" i="13"/>
  <c r="L4" i="13"/>
  <c r="J4" i="13"/>
  <c r="H4" i="13"/>
  <c r="F4" i="13"/>
  <c r="D4" i="13"/>
  <c r="L14" i="12"/>
  <c r="J14" i="12"/>
  <c r="H14" i="12"/>
  <c r="F14" i="12"/>
  <c r="D14" i="12"/>
  <c r="D12" i="12"/>
  <c r="F12" i="12"/>
  <c r="H12" i="12"/>
  <c r="J12" i="12"/>
  <c r="L12" i="12"/>
  <c r="L10" i="12"/>
  <c r="J10" i="12"/>
  <c r="H10" i="12"/>
  <c r="F10" i="12"/>
  <c r="D10" i="12"/>
  <c r="D8" i="12"/>
  <c r="F8" i="12"/>
  <c r="H8" i="12"/>
  <c r="J8" i="12"/>
  <c r="L8" i="12"/>
  <c r="L6" i="12"/>
  <c r="L4" i="12"/>
  <c r="J4" i="12"/>
  <c r="J6" i="12"/>
  <c r="H6" i="12"/>
  <c r="H4" i="12"/>
  <c r="F4" i="12"/>
  <c r="F6" i="12"/>
  <c r="D6" i="12"/>
  <c r="D4" i="12"/>
  <c r="D14" i="11"/>
  <c r="F14" i="11"/>
  <c r="H14" i="11"/>
  <c r="J14" i="11"/>
  <c r="L14" i="11"/>
  <c r="L12" i="11"/>
  <c r="J12" i="11"/>
  <c r="H12" i="11"/>
  <c r="F12" i="11"/>
  <c r="D12" i="11"/>
  <c r="D10" i="11"/>
  <c r="F10" i="11"/>
  <c r="H10" i="11"/>
  <c r="J10" i="11"/>
  <c r="L10" i="11"/>
  <c r="L8" i="11"/>
  <c r="J8" i="11"/>
  <c r="H8" i="11"/>
  <c r="F8" i="11"/>
  <c r="D8" i="11"/>
  <c r="D6" i="11"/>
  <c r="F6" i="11"/>
  <c r="H6" i="11"/>
  <c r="J6" i="11"/>
  <c r="L6" i="11"/>
  <c r="L4" i="11"/>
  <c r="J4" i="11"/>
  <c r="H4" i="11"/>
  <c r="F4" i="11"/>
  <c r="D4" i="11"/>
  <c r="F6" i="10"/>
  <c r="B19" i="18"/>
  <c r="B54" i="18"/>
  <c r="C54" i="18"/>
  <c r="L54" i="18"/>
  <c r="M54" i="18" s="1"/>
  <c r="J54" i="18"/>
  <c r="K54" i="18" s="1"/>
  <c r="H54" i="18"/>
  <c r="H55" i="18" s="1"/>
  <c r="H56" i="18" s="1"/>
  <c r="H57" i="18" s="1"/>
  <c r="H58" i="18" s="1"/>
  <c r="H59" i="18" s="1"/>
  <c r="H60" i="18" s="1"/>
  <c r="H61" i="18" s="1"/>
  <c r="H62" i="18" s="1"/>
  <c r="H63" i="18" s="1"/>
  <c r="H64" i="18" s="1"/>
  <c r="H65" i="18" s="1"/>
  <c r="H66" i="18" s="1"/>
  <c r="H67" i="18" s="1"/>
  <c r="H68" i="18" s="1"/>
  <c r="H69" i="18" s="1"/>
  <c r="H70" i="18" s="1"/>
  <c r="H71" i="18" s="1"/>
  <c r="H72" i="18" s="1"/>
  <c r="H73" i="18" s="1"/>
  <c r="H74" i="18" s="1"/>
  <c r="H75" i="18" s="1"/>
  <c r="H76" i="18" s="1"/>
  <c r="H77" i="18" s="1"/>
  <c r="H78" i="18" s="1"/>
  <c r="H79" i="18" s="1"/>
  <c r="H80" i="18" s="1"/>
  <c r="H81" i="18" s="1"/>
  <c r="H82" i="18" s="1"/>
  <c r="H83" i="18" s="1"/>
  <c r="H84" i="18" s="1"/>
  <c r="F54" i="18"/>
  <c r="G54" i="18" s="1"/>
  <c r="D54" i="18"/>
  <c r="D55" i="18" s="1"/>
  <c r="D56" i="18" s="1"/>
  <c r="D57" i="18" s="1"/>
  <c r="D58" i="18" s="1"/>
  <c r="D59" i="18" s="1"/>
  <c r="D60" i="18" s="1"/>
  <c r="D61" i="18" s="1"/>
  <c r="D62" i="18" s="1"/>
  <c r="D63" i="18" s="1"/>
  <c r="D64" i="18" s="1"/>
  <c r="D65" i="18" s="1"/>
  <c r="D66" i="18" s="1"/>
  <c r="D67" i="18" s="1"/>
  <c r="D68" i="18" s="1"/>
  <c r="D69" i="18" s="1"/>
  <c r="D70" i="18" s="1"/>
  <c r="D71" i="18" s="1"/>
  <c r="D72" i="18" s="1"/>
  <c r="D73" i="18" s="1"/>
  <c r="D74" i="18" s="1"/>
  <c r="D75" i="18" s="1"/>
  <c r="D76" i="18" s="1"/>
  <c r="D77" i="18" s="1"/>
  <c r="D78" i="18" s="1"/>
  <c r="D79" i="18" s="1"/>
  <c r="D80" i="18" s="1"/>
  <c r="D81" i="18" s="1"/>
  <c r="D82" i="18" s="1"/>
  <c r="D83" i="18" s="1"/>
  <c r="D84" i="18" s="1"/>
  <c r="L19" i="18"/>
  <c r="D14" i="10" s="1"/>
  <c r="J19" i="18"/>
  <c r="D14" i="9" s="1"/>
  <c r="H19" i="18"/>
  <c r="F19" i="18"/>
  <c r="D19" i="18"/>
  <c r="C6" i="6"/>
  <c r="D27" i="18"/>
  <c r="L20" i="18"/>
  <c r="L21" i="18" s="1"/>
  <c r="L22" i="18" s="1"/>
  <c r="L23" i="18" s="1"/>
  <c r="L24" i="18" s="1"/>
  <c r="L25" i="18" s="1"/>
  <c r="L26" i="18" s="1"/>
  <c r="L27" i="18" s="1"/>
  <c r="L28" i="18" s="1"/>
  <c r="L29" i="18" s="1"/>
  <c r="L30" i="18" s="1"/>
  <c r="L31" i="18" s="1"/>
  <c r="L32" i="18" s="1"/>
  <c r="L33" i="18" s="1"/>
  <c r="L34" i="18" s="1"/>
  <c r="L35" i="18" s="1"/>
  <c r="L36" i="18" s="1"/>
  <c r="L37" i="18" s="1"/>
  <c r="L38" i="18" s="1"/>
  <c r="L39" i="18" s="1"/>
  <c r="L40" i="18" s="1"/>
  <c r="L41" i="18" s="1"/>
  <c r="L42" i="18" s="1"/>
  <c r="L43" i="18" s="1"/>
  <c r="L44" i="18" s="1"/>
  <c r="L45" i="18" s="1"/>
  <c r="L46" i="18" s="1"/>
  <c r="L47" i="18" s="1"/>
  <c r="L48" i="18" s="1"/>
  <c r="L49" i="18" s="1"/>
  <c r="J20" i="18"/>
  <c r="J21" i="18" s="1"/>
  <c r="J22" i="18" s="1"/>
  <c r="J23" i="18" s="1"/>
  <c r="J24" i="18" s="1"/>
  <c r="J25" i="18" s="1"/>
  <c r="J26" i="18" s="1"/>
  <c r="J27" i="18" s="1"/>
  <c r="J28" i="18" s="1"/>
  <c r="J29" i="18" s="1"/>
  <c r="J30" i="18" s="1"/>
  <c r="J31" i="18" s="1"/>
  <c r="J32" i="18" s="1"/>
  <c r="J33" i="18" s="1"/>
  <c r="J34" i="18" s="1"/>
  <c r="J35" i="18" s="1"/>
  <c r="J36" i="18" s="1"/>
  <c r="J37" i="18" s="1"/>
  <c r="J38" i="18" s="1"/>
  <c r="J39" i="18" s="1"/>
  <c r="J40" i="18" s="1"/>
  <c r="J41" i="18" s="1"/>
  <c r="J42" i="18" s="1"/>
  <c r="J43" i="18" s="1"/>
  <c r="J44" i="18" s="1"/>
  <c r="J45" i="18" s="1"/>
  <c r="J46" i="18" s="1"/>
  <c r="J47" i="18" s="1"/>
  <c r="J48" i="18" s="1"/>
  <c r="J49" i="18" s="1"/>
  <c r="F20" i="18"/>
  <c r="F21" i="18" s="1"/>
  <c r="F22" i="18" s="1"/>
  <c r="F23" i="18" s="1"/>
  <c r="F24" i="18" s="1"/>
  <c r="F25" i="18" s="1"/>
  <c r="F26" i="18" s="1"/>
  <c r="F27" i="18" s="1"/>
  <c r="F28" i="18" s="1"/>
  <c r="F29" i="18" s="1"/>
  <c r="F30" i="18" s="1"/>
  <c r="F31" i="18" s="1"/>
  <c r="F32" i="18" s="1"/>
  <c r="F33" i="18" s="1"/>
  <c r="F34" i="18" s="1"/>
  <c r="F35" i="18" s="1"/>
  <c r="F36" i="18" s="1"/>
  <c r="F37" i="18" s="1"/>
  <c r="F38" i="18" s="1"/>
  <c r="F39" i="18" s="1"/>
  <c r="F40" i="18" s="1"/>
  <c r="F41" i="18" s="1"/>
  <c r="F42" i="18" s="1"/>
  <c r="F43" i="18" s="1"/>
  <c r="F44" i="18" s="1"/>
  <c r="F45" i="18" s="1"/>
  <c r="F46" i="18" s="1"/>
  <c r="F47" i="18" s="1"/>
  <c r="F48" i="18" s="1"/>
  <c r="F49" i="18" s="1"/>
  <c r="E19" i="18"/>
  <c r="J4" i="6" s="1"/>
  <c r="D20" i="18"/>
  <c r="D21" i="18" s="1"/>
  <c r="D22" i="18" s="1"/>
  <c r="D23" i="18" s="1"/>
  <c r="D24" i="18" s="1"/>
  <c r="D25" i="18" s="1"/>
  <c r="D26" i="18" s="1"/>
  <c r="B20" i="18" l="1"/>
  <c r="B21" i="18" s="1"/>
  <c r="B22" i="18" s="1"/>
  <c r="B23" i="18" s="1"/>
  <c r="B24" i="18" s="1"/>
  <c r="B25" i="18" s="1"/>
  <c r="B26" i="18" s="1"/>
  <c r="B27" i="18" s="1"/>
  <c r="B28" i="18" s="1"/>
  <c r="B29" i="18" s="1"/>
  <c r="B30" i="18" s="1"/>
  <c r="B31" i="18" s="1"/>
  <c r="B32" i="18" s="1"/>
  <c r="B33" i="18" s="1"/>
  <c r="B34" i="18" s="1"/>
  <c r="B35" i="18" s="1"/>
  <c r="B36" i="18" s="1"/>
  <c r="B37" i="18" s="1"/>
  <c r="B38" i="18" s="1"/>
  <c r="B39" i="18" s="1"/>
  <c r="B40" i="18" s="1"/>
  <c r="B41" i="18" s="1"/>
  <c r="B42" i="18" s="1"/>
  <c r="B43" i="18" s="1"/>
  <c r="B44" i="18" s="1"/>
  <c r="B45" i="18" s="1"/>
  <c r="B46" i="18" s="1"/>
  <c r="B47" i="18" s="1"/>
  <c r="B48" i="18" s="1"/>
  <c r="B49" i="18" s="1"/>
  <c r="C19" i="18"/>
  <c r="F5" i="1"/>
  <c r="J4" i="10"/>
  <c r="H14" i="10"/>
  <c r="M19" i="18"/>
  <c r="D4" i="10"/>
  <c r="L4" i="10"/>
  <c r="F14" i="10"/>
  <c r="F4" i="10"/>
  <c r="L14" i="10"/>
  <c r="H4" i="10"/>
  <c r="J14" i="10"/>
  <c r="D4" i="9"/>
  <c r="F6" i="9"/>
  <c r="L12" i="9"/>
  <c r="F14" i="9"/>
  <c r="K19" i="18"/>
  <c r="F4" i="9"/>
  <c r="L14" i="9"/>
  <c r="J6" i="9"/>
  <c r="J14" i="9"/>
  <c r="D10" i="9"/>
  <c r="H14" i="9"/>
  <c r="H20" i="18"/>
  <c r="I19" i="18"/>
  <c r="F6" i="8" s="1"/>
  <c r="D4" i="7"/>
  <c r="H4" i="7"/>
  <c r="G19" i="18"/>
  <c r="F4" i="7"/>
  <c r="D14" i="7"/>
  <c r="H14" i="7"/>
  <c r="L14" i="7"/>
  <c r="F14" i="7"/>
  <c r="J14" i="7"/>
  <c r="N14" i="7"/>
  <c r="D28" i="18"/>
  <c r="B55" i="18"/>
  <c r="B56" i="18" s="1"/>
  <c r="B57" i="18" s="1"/>
  <c r="B58" i="18" s="1"/>
  <c r="B59" i="18" s="1"/>
  <c r="B60" i="18" s="1"/>
  <c r="B61" i="18" s="1"/>
  <c r="B62" i="18" s="1"/>
  <c r="B63" i="18" s="1"/>
  <c r="B64" i="18" s="1"/>
  <c r="B65" i="18" s="1"/>
  <c r="B66" i="18" s="1"/>
  <c r="B67" i="18" s="1"/>
  <c r="B68" i="18" s="1"/>
  <c r="B69" i="18" s="1"/>
  <c r="B70" i="18" s="1"/>
  <c r="B71" i="18" s="1"/>
  <c r="B72" i="18" s="1"/>
  <c r="B73" i="18" s="1"/>
  <c r="B74" i="18" s="1"/>
  <c r="B75" i="18" s="1"/>
  <c r="B76" i="18" s="1"/>
  <c r="B77" i="18" s="1"/>
  <c r="B78" i="18" s="1"/>
  <c r="B79" i="18" s="1"/>
  <c r="B80" i="18" s="1"/>
  <c r="B81" i="18" s="1"/>
  <c r="B82" i="18" s="1"/>
  <c r="B83" i="18" s="1"/>
  <c r="B84" i="18" s="1"/>
  <c r="J55" i="18"/>
  <c r="J56" i="18" s="1"/>
  <c r="J57" i="18" s="1"/>
  <c r="J58" i="18" s="1"/>
  <c r="J59" i="18" s="1"/>
  <c r="J60" i="18" s="1"/>
  <c r="J61" i="18" s="1"/>
  <c r="J62" i="18" s="1"/>
  <c r="J63" i="18" s="1"/>
  <c r="J64" i="18" s="1"/>
  <c r="J65" i="18" s="1"/>
  <c r="J66" i="18" s="1"/>
  <c r="J67" i="18" s="1"/>
  <c r="J68" i="18" s="1"/>
  <c r="J69" i="18" s="1"/>
  <c r="J70" i="18" s="1"/>
  <c r="J71" i="18" s="1"/>
  <c r="J72" i="18" s="1"/>
  <c r="J73" i="18" s="1"/>
  <c r="J74" i="18" s="1"/>
  <c r="J75" i="18" s="1"/>
  <c r="J76" i="18" s="1"/>
  <c r="J77" i="18" s="1"/>
  <c r="J78" i="18" s="1"/>
  <c r="J79" i="18" s="1"/>
  <c r="J80" i="18" s="1"/>
  <c r="J81" i="18" s="1"/>
  <c r="J82" i="18" s="1"/>
  <c r="J83" i="18" s="1"/>
  <c r="J84" i="18" s="1"/>
  <c r="E54" i="18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I54" i="18"/>
  <c r="I55" i="18" s="1"/>
  <c r="I56" i="18" s="1"/>
  <c r="I57" i="18" s="1"/>
  <c r="I58" i="18" s="1"/>
  <c r="I59" i="18" s="1"/>
  <c r="I60" i="18" s="1"/>
  <c r="I61" i="18" s="1"/>
  <c r="I62" i="18" s="1"/>
  <c r="I63" i="18" s="1"/>
  <c r="I64" i="18" s="1"/>
  <c r="I65" i="18" s="1"/>
  <c r="I66" i="18" s="1"/>
  <c r="I67" i="18" s="1"/>
  <c r="I68" i="18" s="1"/>
  <c r="I69" i="18" s="1"/>
  <c r="I70" i="18" s="1"/>
  <c r="I71" i="18" s="1"/>
  <c r="I72" i="18" s="1"/>
  <c r="I73" i="18" s="1"/>
  <c r="I74" i="18" s="1"/>
  <c r="I75" i="18" s="1"/>
  <c r="I76" i="18" s="1"/>
  <c r="I77" i="18" s="1"/>
  <c r="I78" i="18" s="1"/>
  <c r="I79" i="18" s="1"/>
  <c r="I80" i="18" s="1"/>
  <c r="I81" i="18" s="1"/>
  <c r="I82" i="18" s="1"/>
  <c r="I83" i="18" s="1"/>
  <c r="I84" i="18" s="1"/>
  <c r="L55" i="18"/>
  <c r="L56" i="18" s="1"/>
  <c r="L57" i="18" s="1"/>
  <c r="L58" i="18" s="1"/>
  <c r="L59" i="18" s="1"/>
  <c r="L60" i="18" s="1"/>
  <c r="L61" i="18" s="1"/>
  <c r="L62" i="18" s="1"/>
  <c r="L63" i="18" s="1"/>
  <c r="L64" i="18" s="1"/>
  <c r="L65" i="18" s="1"/>
  <c r="L66" i="18" s="1"/>
  <c r="L67" i="18" s="1"/>
  <c r="L68" i="18" s="1"/>
  <c r="L69" i="18" s="1"/>
  <c r="L70" i="18" s="1"/>
  <c r="L71" i="18" s="1"/>
  <c r="L72" i="18" s="1"/>
  <c r="L73" i="18" s="1"/>
  <c r="L74" i="18" s="1"/>
  <c r="L75" i="18" s="1"/>
  <c r="L76" i="18" s="1"/>
  <c r="L77" i="18" s="1"/>
  <c r="L78" i="18" s="1"/>
  <c r="L79" i="18" s="1"/>
  <c r="L80" i="18" s="1"/>
  <c r="L81" i="18" s="1"/>
  <c r="L82" i="18" s="1"/>
  <c r="L83" i="18" s="1"/>
  <c r="L84" i="18" s="1"/>
  <c r="F55" i="18"/>
  <c r="F56" i="18" s="1"/>
  <c r="F57" i="18" s="1"/>
  <c r="F58" i="18" s="1"/>
  <c r="F59" i="18" s="1"/>
  <c r="F60" i="18" s="1"/>
  <c r="F61" i="18" s="1"/>
  <c r="F62" i="18" s="1"/>
  <c r="F63" i="18" s="1"/>
  <c r="F64" i="18" s="1"/>
  <c r="F65" i="18" s="1"/>
  <c r="F66" i="18" s="1"/>
  <c r="F67" i="18" s="1"/>
  <c r="F68" i="18" s="1"/>
  <c r="F69" i="18" s="1"/>
  <c r="F70" i="18" s="1"/>
  <c r="F71" i="18" s="1"/>
  <c r="F72" i="18" s="1"/>
  <c r="F73" i="18" s="1"/>
  <c r="F74" i="18" s="1"/>
  <c r="F75" i="18" s="1"/>
  <c r="F76" i="18" s="1"/>
  <c r="F77" i="18" s="1"/>
  <c r="F78" i="18" s="1"/>
  <c r="F79" i="18" s="1"/>
  <c r="F80" i="18" s="1"/>
  <c r="F81" i="18" s="1"/>
  <c r="F82" i="18" s="1"/>
  <c r="F83" i="18" s="1"/>
  <c r="F84" i="18" s="1"/>
  <c r="E20" i="18"/>
  <c r="M20" i="18"/>
  <c r="M21" i="18" s="1"/>
  <c r="M22" i="18" s="1"/>
  <c r="M23" i="18" s="1"/>
  <c r="M24" i="18" s="1"/>
  <c r="M25" i="18" s="1"/>
  <c r="M26" i="18" s="1"/>
  <c r="M27" i="18" s="1"/>
  <c r="M28" i="18" s="1"/>
  <c r="M29" i="18" s="1"/>
  <c r="M30" i="18" s="1"/>
  <c r="M31" i="18" s="1"/>
  <c r="M32" i="18" s="1"/>
  <c r="M33" i="18" s="1"/>
  <c r="M34" i="18" s="1"/>
  <c r="M35" i="18" s="1"/>
  <c r="M36" i="18" s="1"/>
  <c r="M37" i="18" s="1"/>
  <c r="M38" i="18" s="1"/>
  <c r="M39" i="18" s="1"/>
  <c r="M40" i="18" s="1"/>
  <c r="M41" i="18" s="1"/>
  <c r="M42" i="18" s="1"/>
  <c r="M43" i="18" s="1"/>
  <c r="M44" i="18" s="1"/>
  <c r="M45" i="18" s="1"/>
  <c r="M46" i="18" s="1"/>
  <c r="M47" i="18" s="1"/>
  <c r="M48" i="18" s="1"/>
  <c r="M49" i="18" s="1"/>
  <c r="L53" i="18"/>
  <c r="J53" i="18"/>
  <c r="H53" i="18"/>
  <c r="F53" i="18"/>
  <c r="D53" i="18"/>
  <c r="B53" i="18"/>
  <c r="L18" i="18"/>
  <c r="J18" i="18"/>
  <c r="H18" i="18"/>
  <c r="F18" i="18"/>
  <c r="B18" i="18"/>
  <c r="D18" i="18"/>
  <c r="F15" i="1" l="1"/>
  <c r="L13" i="1"/>
  <c r="D5" i="1"/>
  <c r="C20" i="18"/>
  <c r="D15" i="1"/>
  <c r="H15" i="1"/>
  <c r="J15" i="1"/>
  <c r="L15" i="1"/>
  <c r="J13" i="1"/>
  <c r="C55" i="18"/>
  <c r="C56" i="18" s="1"/>
  <c r="C57" i="18" s="1"/>
  <c r="C58" i="18" s="1"/>
  <c r="C59" i="18" s="1"/>
  <c r="C60" i="18" s="1"/>
  <c r="C61" i="18" s="1"/>
  <c r="C62" i="18" s="1"/>
  <c r="C63" i="18" s="1"/>
  <c r="C64" i="18" s="1"/>
  <c r="C65" i="18" s="1"/>
  <c r="C66" i="18" s="1"/>
  <c r="C67" i="18" s="1"/>
  <c r="C68" i="18" s="1"/>
  <c r="C69" i="18" s="1"/>
  <c r="C70" i="18" s="1"/>
  <c r="C71" i="18" s="1"/>
  <c r="C72" i="18" s="1"/>
  <c r="C73" i="18" s="1"/>
  <c r="C74" i="18" s="1"/>
  <c r="C75" i="18" s="1"/>
  <c r="C76" i="18" s="1"/>
  <c r="C77" i="18" s="1"/>
  <c r="C78" i="18" s="1"/>
  <c r="C79" i="18" s="1"/>
  <c r="C80" i="18" s="1"/>
  <c r="C81" i="18" s="1"/>
  <c r="C82" i="18" s="1"/>
  <c r="M55" i="18"/>
  <c r="M56" i="18" s="1"/>
  <c r="M57" i="18" s="1"/>
  <c r="M58" i="18" s="1"/>
  <c r="M59" i="18" s="1"/>
  <c r="M60" i="18" s="1"/>
  <c r="M61" i="18" s="1"/>
  <c r="M62" i="18" s="1"/>
  <c r="M63" i="18" s="1"/>
  <c r="M64" i="18" s="1"/>
  <c r="M65" i="18" s="1"/>
  <c r="M66" i="18" s="1"/>
  <c r="M67" i="18" s="1"/>
  <c r="M68" i="18" s="1"/>
  <c r="M69" i="18" s="1"/>
  <c r="M70" i="18" s="1"/>
  <c r="M71" i="18" s="1"/>
  <c r="M72" i="18" s="1"/>
  <c r="M73" i="18" s="1"/>
  <c r="M74" i="18" s="1"/>
  <c r="M75" i="18" s="1"/>
  <c r="M76" i="18" s="1"/>
  <c r="M77" i="18" s="1"/>
  <c r="M78" i="18" s="1"/>
  <c r="M79" i="18" s="1"/>
  <c r="M80" i="18" s="1"/>
  <c r="M81" i="18" s="1"/>
  <c r="M82" i="18" s="1"/>
  <c r="M83" i="18" s="1"/>
  <c r="M84" i="18" s="1"/>
  <c r="K55" i="18"/>
  <c r="K56" i="18" s="1"/>
  <c r="K57" i="18" s="1"/>
  <c r="K58" i="18" s="1"/>
  <c r="K59" i="18" s="1"/>
  <c r="K60" i="18" s="1"/>
  <c r="K61" i="18" s="1"/>
  <c r="K62" i="18" s="1"/>
  <c r="K63" i="18" s="1"/>
  <c r="K64" i="18" s="1"/>
  <c r="K65" i="18" s="1"/>
  <c r="K66" i="18" s="1"/>
  <c r="K67" i="18" s="1"/>
  <c r="K68" i="18" s="1"/>
  <c r="K69" i="18" s="1"/>
  <c r="K70" i="18" s="1"/>
  <c r="K71" i="18" s="1"/>
  <c r="K72" i="18" s="1"/>
  <c r="K73" i="18" s="1"/>
  <c r="K74" i="18" s="1"/>
  <c r="K75" i="18" s="1"/>
  <c r="K76" i="18" s="1"/>
  <c r="K77" i="18" s="1"/>
  <c r="K78" i="18" s="1"/>
  <c r="K79" i="18" s="1"/>
  <c r="K80" i="18" s="1"/>
  <c r="K81" i="18" s="1"/>
  <c r="K82" i="18" s="1"/>
  <c r="K83" i="18" s="1"/>
  <c r="K84" i="18" s="1"/>
  <c r="F10" i="10"/>
  <c r="J8" i="10"/>
  <c r="H8" i="10"/>
  <c r="L10" i="10"/>
  <c r="L8" i="10"/>
  <c r="D6" i="10"/>
  <c r="L12" i="10"/>
  <c r="F8" i="10"/>
  <c r="D8" i="10"/>
  <c r="F12" i="10"/>
  <c r="L6" i="10"/>
  <c r="D12" i="10"/>
  <c r="J12" i="10"/>
  <c r="H6" i="10"/>
  <c r="H12" i="10"/>
  <c r="J6" i="10"/>
  <c r="H10" i="10"/>
  <c r="J10" i="10"/>
  <c r="D10" i="10"/>
  <c r="H4" i="9"/>
  <c r="K20" i="18"/>
  <c r="I20" i="18"/>
  <c r="H21" i="18"/>
  <c r="H22" i="18" s="1"/>
  <c r="H23" i="18" s="1"/>
  <c r="H24" i="18" s="1"/>
  <c r="H25" i="18" s="1"/>
  <c r="H26" i="18" s="1"/>
  <c r="H27" i="18" s="1"/>
  <c r="H28" i="18" s="1"/>
  <c r="H29" i="18" s="1"/>
  <c r="H30" i="18" s="1"/>
  <c r="H31" i="18" s="1"/>
  <c r="H32" i="18" s="1"/>
  <c r="H33" i="18" s="1"/>
  <c r="H34" i="18" s="1"/>
  <c r="H35" i="18" s="1"/>
  <c r="H36" i="18" s="1"/>
  <c r="H37" i="18" s="1"/>
  <c r="H38" i="18" s="1"/>
  <c r="H39" i="18" s="1"/>
  <c r="H40" i="18" s="1"/>
  <c r="H41" i="18" s="1"/>
  <c r="H42" i="18" s="1"/>
  <c r="H43" i="18" s="1"/>
  <c r="H44" i="18" s="1"/>
  <c r="H45" i="18" s="1"/>
  <c r="H46" i="18" s="1"/>
  <c r="H47" i="18" s="1"/>
  <c r="H48" i="18" s="1"/>
  <c r="H49" i="18" s="1"/>
  <c r="H6" i="8"/>
  <c r="G20" i="18"/>
  <c r="J4" i="7"/>
  <c r="D29" i="18"/>
  <c r="E21" i="18"/>
  <c r="L4" i="6"/>
  <c r="G55" i="18"/>
  <c r="G56" i="18" s="1"/>
  <c r="G57" i="18" s="1"/>
  <c r="G58" i="18" s="1"/>
  <c r="G59" i="18" s="1"/>
  <c r="G60" i="18" s="1"/>
  <c r="G61" i="18" s="1"/>
  <c r="G62" i="18" s="1"/>
  <c r="G63" i="18" s="1"/>
  <c r="G64" i="18" s="1"/>
  <c r="G65" i="18" s="1"/>
  <c r="G66" i="18" s="1"/>
  <c r="G67" i="18" s="1"/>
  <c r="G68" i="18" s="1"/>
  <c r="G69" i="18" s="1"/>
  <c r="G70" i="18" s="1"/>
  <c r="G71" i="18" s="1"/>
  <c r="G72" i="18" s="1"/>
  <c r="G73" i="18" s="1"/>
  <c r="G74" i="18" s="1"/>
  <c r="G75" i="18" s="1"/>
  <c r="G76" i="18" s="1"/>
  <c r="G77" i="18" s="1"/>
  <c r="G78" i="18" s="1"/>
  <c r="G79" i="18" s="1"/>
  <c r="G80" i="18" s="1"/>
  <c r="G81" i="18" s="1"/>
  <c r="G82" i="18" s="1"/>
  <c r="G83" i="18" s="1"/>
  <c r="G84" i="18" s="1"/>
  <c r="C83" i="18"/>
  <c r="C84" i="18" s="1"/>
  <c r="B2" i="16"/>
  <c r="B2" i="15"/>
  <c r="B2" i="14"/>
  <c r="B2" i="13"/>
  <c r="B2" i="12"/>
  <c r="B2" i="11"/>
  <c r="B2" i="10"/>
  <c r="B2" i="9"/>
  <c r="B2" i="8"/>
  <c r="B2" i="7"/>
  <c r="B2" i="6"/>
  <c r="B2" i="1"/>
  <c r="O12" i="18"/>
  <c r="P12" i="18" s="1"/>
  <c r="O13" i="18"/>
  <c r="P13" i="18" s="1"/>
  <c r="W1" i="1"/>
  <c r="O11" i="18"/>
  <c r="P11" i="18" s="1"/>
  <c r="O10" i="18"/>
  <c r="P10" i="18" s="1"/>
  <c r="O9" i="18"/>
  <c r="P9" i="18" s="1"/>
  <c r="O8" i="18"/>
  <c r="P8" i="18" s="1"/>
  <c r="O7" i="18"/>
  <c r="P7" i="18" s="1"/>
  <c r="O6" i="18"/>
  <c r="P6" i="18" s="1"/>
  <c r="O5" i="18"/>
  <c r="P5" i="18" s="1"/>
  <c r="O4" i="18"/>
  <c r="P4" i="18" s="1"/>
  <c r="O3" i="18"/>
  <c r="P3" i="18" s="1"/>
  <c r="O2" i="18"/>
  <c r="P2" i="18" s="1"/>
  <c r="C21" i="18" l="1"/>
  <c r="H5" i="1"/>
  <c r="J4" i="9"/>
  <c r="K21" i="18"/>
  <c r="F4" i="8"/>
  <c r="J14" i="8"/>
  <c r="H4" i="8"/>
  <c r="J6" i="8"/>
  <c r="D4" i="8"/>
  <c r="L4" i="8"/>
  <c r="H12" i="8"/>
  <c r="J4" i="8"/>
  <c r="D14" i="8"/>
  <c r="D6" i="8"/>
  <c r="H14" i="8"/>
  <c r="D12" i="8"/>
  <c r="I21" i="18"/>
  <c r="I22" i="18" s="1"/>
  <c r="I23" i="18" s="1"/>
  <c r="I24" i="18" s="1"/>
  <c r="I25" i="18" s="1"/>
  <c r="I26" i="18" s="1"/>
  <c r="I27" i="18" s="1"/>
  <c r="I28" i="18" s="1"/>
  <c r="I29" i="18" s="1"/>
  <c r="I30" i="18" s="1"/>
  <c r="I31" i="18" s="1"/>
  <c r="I32" i="18" s="1"/>
  <c r="I33" i="18" s="1"/>
  <c r="I34" i="18" s="1"/>
  <c r="I35" i="18" s="1"/>
  <c r="I36" i="18" s="1"/>
  <c r="I37" i="18" s="1"/>
  <c r="I38" i="18" s="1"/>
  <c r="I39" i="18" s="1"/>
  <c r="I40" i="18" s="1"/>
  <c r="I41" i="18" s="1"/>
  <c r="I42" i="18" s="1"/>
  <c r="I43" i="18" s="1"/>
  <c r="I44" i="18" s="1"/>
  <c r="I45" i="18" s="1"/>
  <c r="I46" i="18" s="1"/>
  <c r="I47" i="18" s="1"/>
  <c r="I48" i="18" s="1"/>
  <c r="I49" i="18" s="1"/>
  <c r="L14" i="8"/>
  <c r="J8" i="8"/>
  <c r="F12" i="8"/>
  <c r="L6" i="8"/>
  <c r="F8" i="8"/>
  <c r="F14" i="8"/>
  <c r="G21" i="18"/>
  <c r="L4" i="7"/>
  <c r="E22" i="18"/>
  <c r="D6" i="6"/>
  <c r="D30" i="18"/>
  <c r="I12" i="16"/>
  <c r="C6" i="9"/>
  <c r="C5" i="1"/>
  <c r="K4" i="6"/>
  <c r="O10" i="13"/>
  <c r="K6" i="13"/>
  <c r="O14" i="13"/>
  <c r="K10" i="13"/>
  <c r="G6" i="13"/>
  <c r="C14" i="13"/>
  <c r="M8" i="13"/>
  <c r="I4" i="13"/>
  <c r="M12" i="13"/>
  <c r="I8" i="13"/>
  <c r="E4" i="13"/>
  <c r="K14" i="13"/>
  <c r="I12" i="13"/>
  <c r="G10" i="13"/>
  <c r="E8" i="13"/>
  <c r="C6" i="13"/>
  <c r="G14" i="13"/>
  <c r="E12" i="13"/>
  <c r="C10" i="13"/>
  <c r="O6" i="13"/>
  <c r="M4" i="13"/>
  <c r="M14" i="13"/>
  <c r="E14" i="13"/>
  <c r="K12" i="13"/>
  <c r="C12" i="13"/>
  <c r="I10" i="13"/>
  <c r="O8" i="13"/>
  <c r="G8" i="13"/>
  <c r="M6" i="13"/>
  <c r="E6" i="13"/>
  <c r="K4" i="13"/>
  <c r="C4" i="13"/>
  <c r="I14" i="13"/>
  <c r="O12" i="13"/>
  <c r="G12" i="13"/>
  <c r="M10" i="13"/>
  <c r="E10" i="13"/>
  <c r="K8" i="13"/>
  <c r="C8" i="13"/>
  <c r="I6" i="13"/>
  <c r="O4" i="13"/>
  <c r="G4" i="13"/>
  <c r="O14" i="8"/>
  <c r="M14" i="8"/>
  <c r="K14" i="8"/>
  <c r="I14" i="8"/>
  <c r="G14" i="8"/>
  <c r="E14" i="8"/>
  <c r="C14" i="8"/>
  <c r="O12" i="8"/>
  <c r="M12" i="8"/>
  <c r="K12" i="8"/>
  <c r="I12" i="8"/>
  <c r="G12" i="8"/>
  <c r="E12" i="8"/>
  <c r="C12" i="8"/>
  <c r="O10" i="8"/>
  <c r="M10" i="8"/>
  <c r="K10" i="8"/>
  <c r="I10" i="8"/>
  <c r="G10" i="8"/>
  <c r="E10" i="8"/>
  <c r="C10" i="8"/>
  <c r="O8" i="8"/>
  <c r="M8" i="8"/>
  <c r="K8" i="8"/>
  <c r="I8" i="8"/>
  <c r="G8" i="8"/>
  <c r="E8" i="8"/>
  <c r="C8" i="8"/>
  <c r="O6" i="8"/>
  <c r="M6" i="8"/>
  <c r="K6" i="8"/>
  <c r="I6" i="8"/>
  <c r="G6" i="8"/>
  <c r="E6" i="8"/>
  <c r="C6" i="8"/>
  <c r="O4" i="8"/>
  <c r="M4" i="8"/>
  <c r="K4" i="8"/>
  <c r="I4" i="8"/>
  <c r="G4" i="8"/>
  <c r="E4" i="8"/>
  <c r="C4" i="8"/>
  <c r="O14" i="16"/>
  <c r="M14" i="16"/>
  <c r="K14" i="16"/>
  <c r="I14" i="16"/>
  <c r="G14" i="16"/>
  <c r="E14" i="16"/>
  <c r="C14" i="16"/>
  <c r="O12" i="16"/>
  <c r="M12" i="16"/>
  <c r="K12" i="16"/>
  <c r="G12" i="16"/>
  <c r="E12" i="16"/>
  <c r="C12" i="16"/>
  <c r="O10" i="16"/>
  <c r="M10" i="16"/>
  <c r="K10" i="16"/>
  <c r="I10" i="16"/>
  <c r="G10" i="16"/>
  <c r="E10" i="16"/>
  <c r="C10" i="16"/>
  <c r="O8" i="16"/>
  <c r="M8" i="16"/>
  <c r="K8" i="16"/>
  <c r="I8" i="16"/>
  <c r="G8" i="16"/>
  <c r="E8" i="16"/>
  <c r="C8" i="16"/>
  <c r="O6" i="16"/>
  <c r="M6" i="16"/>
  <c r="K6" i="16"/>
  <c r="I6" i="16"/>
  <c r="G6" i="16"/>
  <c r="E6" i="16"/>
  <c r="C6" i="16"/>
  <c r="O4" i="16"/>
  <c r="M4" i="16"/>
  <c r="K4" i="16"/>
  <c r="I4" i="16"/>
  <c r="G4" i="16"/>
  <c r="E4" i="16"/>
  <c r="C4" i="16"/>
  <c r="O14" i="15"/>
  <c r="M14" i="15"/>
  <c r="K14" i="15"/>
  <c r="I14" i="15"/>
  <c r="G14" i="15"/>
  <c r="E14" i="15"/>
  <c r="C14" i="15"/>
  <c r="O12" i="15"/>
  <c r="M12" i="15"/>
  <c r="K12" i="15"/>
  <c r="I12" i="15"/>
  <c r="G12" i="15"/>
  <c r="E12" i="15"/>
  <c r="C12" i="15"/>
  <c r="O10" i="15"/>
  <c r="M10" i="15"/>
  <c r="K10" i="15"/>
  <c r="I10" i="15"/>
  <c r="G10" i="15"/>
  <c r="E10" i="15"/>
  <c r="C10" i="15"/>
  <c r="O8" i="15"/>
  <c r="M8" i="15"/>
  <c r="K8" i="15"/>
  <c r="I8" i="15"/>
  <c r="G8" i="15"/>
  <c r="E8" i="15"/>
  <c r="C8" i="15"/>
  <c r="O6" i="15"/>
  <c r="M6" i="15"/>
  <c r="K6" i="15"/>
  <c r="I6" i="15"/>
  <c r="G6" i="15"/>
  <c r="E6" i="15"/>
  <c r="C6" i="15"/>
  <c r="O4" i="15"/>
  <c r="M4" i="15"/>
  <c r="K4" i="15"/>
  <c r="I4" i="15"/>
  <c r="G4" i="15"/>
  <c r="E4" i="15"/>
  <c r="C4" i="15"/>
  <c r="O14" i="14"/>
  <c r="M14" i="14"/>
  <c r="K14" i="14"/>
  <c r="I14" i="14"/>
  <c r="G14" i="14"/>
  <c r="E14" i="14"/>
  <c r="C14" i="14"/>
  <c r="O12" i="14"/>
  <c r="M12" i="14"/>
  <c r="K12" i="14"/>
  <c r="I12" i="14"/>
  <c r="G12" i="14"/>
  <c r="E12" i="14"/>
  <c r="C12" i="14"/>
  <c r="O10" i="14"/>
  <c r="M10" i="14"/>
  <c r="K10" i="14"/>
  <c r="I10" i="14"/>
  <c r="G10" i="14"/>
  <c r="E10" i="14"/>
  <c r="C10" i="14"/>
  <c r="O8" i="14"/>
  <c r="M8" i="14"/>
  <c r="K8" i="14"/>
  <c r="I8" i="14"/>
  <c r="G8" i="14"/>
  <c r="E8" i="14"/>
  <c r="C8" i="14"/>
  <c r="O6" i="14"/>
  <c r="M6" i="14"/>
  <c r="K6" i="14"/>
  <c r="I6" i="14"/>
  <c r="G6" i="14"/>
  <c r="E6" i="14"/>
  <c r="C6" i="14"/>
  <c r="O4" i="14"/>
  <c r="M4" i="14"/>
  <c r="K4" i="14"/>
  <c r="I4" i="14"/>
  <c r="G4" i="14"/>
  <c r="E4" i="14"/>
  <c r="C4" i="14"/>
  <c r="O14" i="12"/>
  <c r="M14" i="12"/>
  <c r="K14" i="12"/>
  <c r="I14" i="12"/>
  <c r="G14" i="12"/>
  <c r="E14" i="12"/>
  <c r="C14" i="12"/>
  <c r="O12" i="12"/>
  <c r="M12" i="12"/>
  <c r="K12" i="12"/>
  <c r="I12" i="12"/>
  <c r="G12" i="12"/>
  <c r="E12" i="12"/>
  <c r="C12" i="12"/>
  <c r="O10" i="12"/>
  <c r="M10" i="12"/>
  <c r="K10" i="12"/>
  <c r="I10" i="12"/>
  <c r="G10" i="12"/>
  <c r="E10" i="12"/>
  <c r="C10" i="12"/>
  <c r="O8" i="12"/>
  <c r="M8" i="12"/>
  <c r="K8" i="12"/>
  <c r="I8" i="12"/>
  <c r="G8" i="12"/>
  <c r="E8" i="12"/>
  <c r="C8" i="12"/>
  <c r="O6" i="12"/>
  <c r="M6" i="12"/>
  <c r="K6" i="12"/>
  <c r="I6" i="12"/>
  <c r="G6" i="12"/>
  <c r="E6" i="12"/>
  <c r="C6" i="12"/>
  <c r="O4" i="12"/>
  <c r="M4" i="12"/>
  <c r="K4" i="12"/>
  <c r="I4" i="12"/>
  <c r="G4" i="12"/>
  <c r="E4" i="12"/>
  <c r="C4" i="12"/>
  <c r="O14" i="11"/>
  <c r="M14" i="11"/>
  <c r="K14" i="11"/>
  <c r="I14" i="11"/>
  <c r="G14" i="11"/>
  <c r="E14" i="11"/>
  <c r="C14" i="11"/>
  <c r="O12" i="11"/>
  <c r="M12" i="11"/>
  <c r="K12" i="11"/>
  <c r="I12" i="11"/>
  <c r="G12" i="11"/>
  <c r="E12" i="11"/>
  <c r="C12" i="11"/>
  <c r="O10" i="11"/>
  <c r="M10" i="11"/>
  <c r="K10" i="11"/>
  <c r="I10" i="11"/>
  <c r="G10" i="11"/>
  <c r="E10" i="11"/>
  <c r="C10" i="11"/>
  <c r="O8" i="11"/>
  <c r="M8" i="11"/>
  <c r="K8" i="11"/>
  <c r="I8" i="11"/>
  <c r="G8" i="11"/>
  <c r="E8" i="11"/>
  <c r="C8" i="11"/>
  <c r="O6" i="11"/>
  <c r="M6" i="11"/>
  <c r="K6" i="11"/>
  <c r="I6" i="11"/>
  <c r="G6" i="11"/>
  <c r="E6" i="11"/>
  <c r="C6" i="11"/>
  <c r="O4" i="11"/>
  <c r="M4" i="11"/>
  <c r="K4" i="11"/>
  <c r="I4" i="11"/>
  <c r="G4" i="11"/>
  <c r="E4" i="11"/>
  <c r="C4" i="11"/>
  <c r="O14" i="10"/>
  <c r="M14" i="10"/>
  <c r="K14" i="10"/>
  <c r="I14" i="10"/>
  <c r="G14" i="10"/>
  <c r="E14" i="10"/>
  <c r="C14" i="10"/>
  <c r="O12" i="10"/>
  <c r="M12" i="10"/>
  <c r="K12" i="10"/>
  <c r="I12" i="10"/>
  <c r="G12" i="10"/>
  <c r="E12" i="10"/>
  <c r="C12" i="10"/>
  <c r="O10" i="10"/>
  <c r="M10" i="10"/>
  <c r="K10" i="10"/>
  <c r="I10" i="10"/>
  <c r="G10" i="10"/>
  <c r="E10" i="10"/>
  <c r="C10" i="10"/>
  <c r="O8" i="10"/>
  <c r="M8" i="10"/>
  <c r="K8" i="10"/>
  <c r="I8" i="10"/>
  <c r="G8" i="10"/>
  <c r="E8" i="10"/>
  <c r="C8" i="10"/>
  <c r="O6" i="10"/>
  <c r="M6" i="10"/>
  <c r="K6" i="10"/>
  <c r="I6" i="10"/>
  <c r="G6" i="10"/>
  <c r="E6" i="10"/>
  <c r="C6" i="10"/>
  <c r="O4" i="10"/>
  <c r="M4" i="10"/>
  <c r="K4" i="10"/>
  <c r="I4" i="10"/>
  <c r="G4" i="10"/>
  <c r="E4" i="10"/>
  <c r="C4" i="10"/>
  <c r="O14" i="9"/>
  <c r="M14" i="9"/>
  <c r="K14" i="9"/>
  <c r="I14" i="9"/>
  <c r="G14" i="9"/>
  <c r="E14" i="9"/>
  <c r="C14" i="9"/>
  <c r="O12" i="9"/>
  <c r="M12" i="9"/>
  <c r="K12" i="9"/>
  <c r="I12" i="9"/>
  <c r="G12" i="9"/>
  <c r="E12" i="9"/>
  <c r="C12" i="9"/>
  <c r="O10" i="9"/>
  <c r="M10" i="9"/>
  <c r="K10" i="9"/>
  <c r="I10" i="9"/>
  <c r="G10" i="9"/>
  <c r="E10" i="9"/>
  <c r="C10" i="9"/>
  <c r="O8" i="9"/>
  <c r="M8" i="9"/>
  <c r="K8" i="9"/>
  <c r="I8" i="9"/>
  <c r="G8" i="9"/>
  <c r="E8" i="9"/>
  <c r="C8" i="9"/>
  <c r="O6" i="9"/>
  <c r="M6" i="9"/>
  <c r="K6" i="9"/>
  <c r="I6" i="9"/>
  <c r="G6" i="9"/>
  <c r="E6" i="9"/>
  <c r="O4" i="9"/>
  <c r="M4" i="9"/>
  <c r="K4" i="9"/>
  <c r="I4" i="9"/>
  <c r="G4" i="9"/>
  <c r="E4" i="9"/>
  <c r="C4" i="9"/>
  <c r="O14" i="7"/>
  <c r="M14" i="7"/>
  <c r="K14" i="7"/>
  <c r="I14" i="7"/>
  <c r="G14" i="7"/>
  <c r="E14" i="7"/>
  <c r="C14" i="7"/>
  <c r="O12" i="7"/>
  <c r="M12" i="7"/>
  <c r="K12" i="7"/>
  <c r="I12" i="7"/>
  <c r="G12" i="7"/>
  <c r="E12" i="7"/>
  <c r="C12" i="7"/>
  <c r="O10" i="7"/>
  <c r="M10" i="7"/>
  <c r="K10" i="7"/>
  <c r="I10" i="7"/>
  <c r="G10" i="7"/>
  <c r="E10" i="7"/>
  <c r="C10" i="7"/>
  <c r="O8" i="7"/>
  <c r="M8" i="7"/>
  <c r="K8" i="7"/>
  <c r="I8" i="7"/>
  <c r="G8" i="7"/>
  <c r="E8" i="7"/>
  <c r="C8" i="7"/>
  <c r="O6" i="7"/>
  <c r="M6" i="7"/>
  <c r="K6" i="7"/>
  <c r="I6" i="7"/>
  <c r="G6" i="7"/>
  <c r="E6" i="7"/>
  <c r="C6" i="7"/>
  <c r="O4" i="7"/>
  <c r="M4" i="7"/>
  <c r="K4" i="7"/>
  <c r="I4" i="7"/>
  <c r="G4" i="7"/>
  <c r="E4" i="7"/>
  <c r="C4" i="7"/>
  <c r="O14" i="6"/>
  <c r="M14" i="6"/>
  <c r="K14" i="6"/>
  <c r="I14" i="6"/>
  <c r="G14" i="6"/>
  <c r="E14" i="6"/>
  <c r="C14" i="6"/>
  <c r="O12" i="6"/>
  <c r="M12" i="6"/>
  <c r="K12" i="6"/>
  <c r="I12" i="6"/>
  <c r="G12" i="6"/>
  <c r="E12" i="6"/>
  <c r="C12" i="6"/>
  <c r="O10" i="6"/>
  <c r="M10" i="6"/>
  <c r="K10" i="6"/>
  <c r="I10" i="6"/>
  <c r="G10" i="6"/>
  <c r="E10" i="6"/>
  <c r="C10" i="6"/>
  <c r="O8" i="6"/>
  <c r="M8" i="6"/>
  <c r="K8" i="6"/>
  <c r="I8" i="6"/>
  <c r="G8" i="6"/>
  <c r="E8" i="6"/>
  <c r="C8" i="6"/>
  <c r="O6" i="6"/>
  <c r="M6" i="6"/>
  <c r="K6" i="6"/>
  <c r="I6" i="6"/>
  <c r="G6" i="6"/>
  <c r="E6" i="6"/>
  <c r="O4" i="6"/>
  <c r="M4" i="6"/>
  <c r="I4" i="6"/>
  <c r="G4" i="6"/>
  <c r="E4" i="6"/>
  <c r="C4" i="6"/>
  <c r="C22" i="18" l="1"/>
  <c r="J5" i="1"/>
  <c r="K22" i="18"/>
  <c r="L4" i="9"/>
  <c r="J12" i="8"/>
  <c r="L8" i="8"/>
  <c r="H10" i="8"/>
  <c r="J10" i="8"/>
  <c r="F10" i="8"/>
  <c r="D8" i="8"/>
  <c r="L10" i="8"/>
  <c r="D10" i="8"/>
  <c r="H8" i="8"/>
  <c r="L12" i="8"/>
  <c r="G22" i="18"/>
  <c r="D6" i="7"/>
  <c r="D31" i="18"/>
  <c r="E23" i="18"/>
  <c r="F6" i="6"/>
  <c r="M5" i="1"/>
  <c r="C23" i="18" l="1"/>
  <c r="L5" i="1"/>
  <c r="K23" i="18"/>
  <c r="D6" i="9"/>
  <c r="G23" i="18"/>
  <c r="F6" i="7"/>
  <c r="E24" i="18"/>
  <c r="H6" i="6"/>
  <c r="D32" i="18"/>
  <c r="O15" i="1"/>
  <c r="M15" i="1"/>
  <c r="K15" i="1"/>
  <c r="I15" i="1"/>
  <c r="G15" i="1"/>
  <c r="E15" i="1"/>
  <c r="C15" i="1"/>
  <c r="O13" i="1"/>
  <c r="M13" i="1"/>
  <c r="K13" i="1"/>
  <c r="I13" i="1"/>
  <c r="G13" i="1"/>
  <c r="E13" i="1"/>
  <c r="C13" i="1"/>
  <c r="O11" i="1"/>
  <c r="M11" i="1"/>
  <c r="K11" i="1"/>
  <c r="I11" i="1"/>
  <c r="G11" i="1"/>
  <c r="E11" i="1"/>
  <c r="C11" i="1"/>
  <c r="O9" i="1"/>
  <c r="M9" i="1"/>
  <c r="K9" i="1"/>
  <c r="I9" i="1"/>
  <c r="G9" i="1"/>
  <c r="E9" i="1"/>
  <c r="C9" i="1"/>
  <c r="O7" i="1"/>
  <c r="M7" i="1"/>
  <c r="K7" i="1"/>
  <c r="I7" i="1"/>
  <c r="G7" i="1"/>
  <c r="E7" i="1"/>
  <c r="C7" i="1"/>
  <c r="O5" i="1"/>
  <c r="K5" i="1"/>
  <c r="I5" i="1"/>
  <c r="G5" i="1"/>
  <c r="E5" i="1"/>
  <c r="C24" i="18" l="1"/>
  <c r="D7" i="1"/>
  <c r="K24" i="18"/>
  <c r="H6" i="9"/>
  <c r="G24" i="18"/>
  <c r="H6" i="7"/>
  <c r="D33" i="18"/>
  <c r="D34" i="18" s="1"/>
  <c r="D35" i="18" s="1"/>
  <c r="D36" i="18" s="1"/>
  <c r="D37" i="18" s="1"/>
  <c r="D38" i="18" s="1"/>
  <c r="D39" i="18" s="1"/>
  <c r="D40" i="18" s="1"/>
  <c r="D41" i="18" s="1"/>
  <c r="D42" i="18" s="1"/>
  <c r="D43" i="18" s="1"/>
  <c r="D44" i="18" s="1"/>
  <c r="D45" i="18" s="1"/>
  <c r="D46" i="18" s="1"/>
  <c r="D47" i="18" s="1"/>
  <c r="D48" i="18" s="1"/>
  <c r="D49" i="18" s="1"/>
  <c r="E25" i="18"/>
  <c r="J6" i="6"/>
  <c r="C25" i="18" l="1"/>
  <c r="F7" i="1"/>
  <c r="K25" i="18"/>
  <c r="L6" i="9"/>
  <c r="G25" i="18"/>
  <c r="J6" i="7"/>
  <c r="E26" i="18"/>
  <c r="L6" i="6"/>
  <c r="H14" i="6"/>
  <c r="D4" i="6"/>
  <c r="L14" i="6"/>
  <c r="L12" i="6"/>
  <c r="J14" i="6"/>
  <c r="D14" i="6"/>
  <c r="F14" i="6"/>
  <c r="F4" i="6"/>
  <c r="H4" i="6"/>
  <c r="N4" i="11"/>
  <c r="C26" i="18" l="1"/>
  <c r="H7" i="1"/>
  <c r="K26" i="18"/>
  <c r="D8" i="9"/>
  <c r="G26" i="18"/>
  <c r="L6" i="7"/>
  <c r="E27" i="18"/>
  <c r="D8" i="6"/>
  <c r="C27" i="18" l="1"/>
  <c r="J7" i="1"/>
  <c r="K27" i="18"/>
  <c r="F8" i="9"/>
  <c r="G27" i="18"/>
  <c r="D8" i="7"/>
  <c r="F8" i="6"/>
  <c r="E28" i="18"/>
  <c r="C28" i="18" l="1"/>
  <c r="L7" i="1"/>
  <c r="K28" i="18"/>
  <c r="H8" i="9"/>
  <c r="G28" i="18"/>
  <c r="F8" i="7"/>
  <c r="E29" i="18"/>
  <c r="H8" i="6"/>
  <c r="C29" i="18" l="1"/>
  <c r="D9" i="1"/>
  <c r="K29" i="18"/>
  <c r="J8" i="9"/>
  <c r="G29" i="18"/>
  <c r="H8" i="7"/>
  <c r="E30" i="18"/>
  <c r="J8" i="6"/>
  <c r="C30" i="18" l="1"/>
  <c r="F9" i="1"/>
  <c r="K30" i="18"/>
  <c r="L8" i="9"/>
  <c r="G30" i="18"/>
  <c r="J8" i="7"/>
  <c r="E31" i="18"/>
  <c r="L8" i="6"/>
  <c r="C31" i="18" l="1"/>
  <c r="H9" i="1"/>
  <c r="K31" i="18"/>
  <c r="F10" i="9"/>
  <c r="G31" i="18"/>
  <c r="L8" i="7"/>
  <c r="E32" i="18"/>
  <c r="D10" i="6"/>
  <c r="C32" i="18" l="1"/>
  <c r="J9" i="1"/>
  <c r="K32" i="18"/>
  <c r="H10" i="9"/>
  <c r="G32" i="18"/>
  <c r="D10" i="7"/>
  <c r="E33" i="18"/>
  <c r="F10" i="6"/>
  <c r="C33" i="18" l="1"/>
  <c r="L9" i="1"/>
  <c r="K33" i="18"/>
  <c r="J10" i="9"/>
  <c r="G33" i="18"/>
  <c r="F10" i="7"/>
  <c r="E34" i="18"/>
  <c r="E35" i="18" s="1"/>
  <c r="E36" i="18" s="1"/>
  <c r="E37" i="18" s="1"/>
  <c r="H10" i="6"/>
  <c r="C34" i="18" l="1"/>
  <c r="D11" i="1"/>
  <c r="K34" i="18"/>
  <c r="L10" i="9"/>
  <c r="G34" i="18"/>
  <c r="H10" i="7"/>
  <c r="E38" i="18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F12" i="6"/>
  <c r="C35" i="18" l="1"/>
  <c r="F11" i="1"/>
  <c r="K35" i="18"/>
  <c r="D12" i="9"/>
  <c r="G35" i="18"/>
  <c r="J10" i="7"/>
  <c r="J12" i="6"/>
  <c r="H12" i="6"/>
  <c r="L10" i="6"/>
  <c r="J10" i="6"/>
  <c r="D12" i="6"/>
  <c r="C36" i="18" l="1"/>
  <c r="H11" i="1"/>
  <c r="K36" i="18"/>
  <c r="F12" i="9"/>
  <c r="G36" i="18"/>
  <c r="L10" i="7"/>
  <c r="C37" i="18" l="1"/>
  <c r="J11" i="1"/>
  <c r="K37" i="18"/>
  <c r="H12" i="9"/>
  <c r="G37" i="18"/>
  <c r="D12" i="7"/>
  <c r="C38" i="18" l="1"/>
  <c r="L11" i="1"/>
  <c r="K38" i="18"/>
  <c r="K39" i="18" s="1"/>
  <c r="K40" i="18" s="1"/>
  <c r="K41" i="18" s="1"/>
  <c r="K42" i="18" s="1"/>
  <c r="K43" i="18" s="1"/>
  <c r="K44" i="18" s="1"/>
  <c r="K45" i="18" s="1"/>
  <c r="K46" i="18" s="1"/>
  <c r="K47" i="18" s="1"/>
  <c r="K48" i="18" s="1"/>
  <c r="K49" i="18" s="1"/>
  <c r="J12" i="9"/>
  <c r="G38" i="18"/>
  <c r="F12" i="7"/>
  <c r="C39" i="18" l="1"/>
  <c r="D13" i="1"/>
  <c r="G39" i="18"/>
  <c r="H12" i="7"/>
  <c r="C40" i="18" l="1"/>
  <c r="F13" i="1"/>
  <c r="G40" i="18"/>
  <c r="J12" i="7"/>
  <c r="C41" i="18" l="1"/>
  <c r="C42" i="18" s="1"/>
  <c r="C43" i="18" s="1"/>
  <c r="C44" i="18" s="1"/>
  <c r="C45" i="18" s="1"/>
  <c r="C46" i="18" s="1"/>
  <c r="C47" i="18" s="1"/>
  <c r="C48" i="18" s="1"/>
  <c r="C49" i="18" s="1"/>
  <c r="H13" i="1"/>
  <c r="G41" i="18"/>
  <c r="G42" i="18" s="1"/>
  <c r="G43" i="18" s="1"/>
  <c r="G44" i="18" s="1"/>
  <c r="G45" i="18" s="1"/>
  <c r="G46" i="18" s="1"/>
  <c r="G47" i="18" s="1"/>
  <c r="G48" i="18" s="1"/>
  <c r="G49" i="18" s="1"/>
  <c r="L12" i="7"/>
</calcChain>
</file>

<file path=xl/sharedStrings.xml><?xml version="1.0" encoding="utf-8"?>
<sst xmlns="http://schemas.openxmlformats.org/spreadsheetml/2006/main" count="116" uniqueCount="29">
  <si>
    <t>Year</t>
  </si>
  <si>
    <t>Mon</t>
  </si>
  <si>
    <t>Tue</t>
  </si>
  <si>
    <t>Wed</t>
  </si>
  <si>
    <t>Thu</t>
  </si>
  <si>
    <t>Fri</t>
  </si>
  <si>
    <t>Sat</t>
  </si>
  <si>
    <t>Sun</t>
  </si>
  <si>
    <t>Tues</t>
  </si>
  <si>
    <t>January</t>
  </si>
  <si>
    <t>Days Off</t>
  </si>
  <si>
    <t>1st day</t>
  </si>
  <si>
    <t>Last day</t>
  </si>
  <si>
    <t>Month</t>
  </si>
  <si>
    <t>N° month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</si>
  <si>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</si>
  <si>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</si>
  <si>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</si>
  <si>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</si>
  <si>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</si>
  <si>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</si>
  <si>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</si>
  <si>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</si>
  <si>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</si>
  <si>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</si>
  <si>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</si>
  <si>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Maintenance</t>
  </si>
  <si>
    <t>Flash 12pm</t>
  </si>
  <si>
    <t>Bank Holiday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</si>
</sst>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&quot;D+&quot;0"/>
    <numFmt numFmtId="166" formatCode="mmmm"/>
    <numFmt numFmtId="167" formatCode="[$-F800]dddd\,\ mmmm\ dd\,\ yyyy"/>
  </numFmts>
  <fonts count="26" x14ac:knownFonts="1"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color indexed="63"/>
      <name val="Calibri"/>
      <family val="4"/>
      <scheme val="minor"/>
    </font>
    <font>
      <b/>
      <sz val="28"/>
      <color theme="1" tint="0.34998626667073579"/>
      <name val="Calibri"/>
      <family val="2"/>
      <scheme val="minor"/>
    </font>
    <font>
      <b/>
      <sz val="12"/>
      <color theme="4"/>
      <name val="Calibri Light"/>
      <family val="2"/>
      <scheme val="major"/>
    </font>
    <font>
      <b/>
      <sz val="10"/>
      <color theme="1"/>
      <name val="Calibri"/>
      <family val="2"/>
      <scheme val="minor"/>
    </font>
    <font>
      <b/>
      <sz val="17"/>
      <color theme="4"/>
      <name val="Calibri"/>
      <family val="4"/>
      <scheme val="minor"/>
    </font>
    <font>
      <b/>
      <sz val="17"/>
      <color theme="4"/>
      <name val="Calibri Light"/>
      <family val="2"/>
      <scheme val="major"/>
    </font>
    <font>
      <sz val="10"/>
      <color theme="1" tint="0.249977111117893"/>
      <name val="Calibri"/>
      <family val="2"/>
      <scheme val="minor"/>
    </font>
    <font>
      <sz val="10.5"/>
      <color theme="1" tint="0.249977111117893"/>
      <name val="Calibri"/>
      <family val="2"/>
      <scheme val="minor"/>
    </font>
    <font>
      <b/>
      <sz val="10.5"/>
      <name val="Calibri"/>
      <family val="2"/>
      <scheme val="minor"/>
    </font>
    <font>
      <b/>
      <sz val="24"/>
      <color theme="4"/>
      <name val="Calibri Light"/>
      <family val="2"/>
      <scheme val="major"/>
    </font>
    <font>
      <sz val="10.5"/>
      <color theme="0" tint="-0.249977111117893"/>
      <name val="Calibri"/>
      <family val="2"/>
      <scheme val="minor"/>
    </font>
    <font>
      <b/>
      <sz val="16"/>
      <color theme="1"/>
      <name val="Arial Rounded MT Bold"/>
      <family val="2"/>
    </font>
    <font>
      <b/>
      <sz val="10"/>
      <color theme="2"/>
      <name val="Calibri Light"/>
      <family val="2"/>
      <scheme val="major"/>
    </font>
    <font>
      <b/>
      <sz val="14"/>
      <color theme="1"/>
      <name val="Calibri"/>
      <family val="2"/>
      <scheme val="minor"/>
    </font>
    <font>
      <b/>
      <sz val="14"/>
      <color theme="1" tint="0.249977111117893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i/>
      <sz val="14"/>
      <color theme="2"/>
      <name val="Calibri"/>
      <family val="2"/>
      <scheme val="minor"/>
    </font>
    <font>
      <b/>
      <sz val="16"/>
      <color theme="1" tint="0.249977111117893"/>
      <name val="Calibri"/>
      <family val="2"/>
      <scheme val="minor"/>
    </font>
    <font>
      <sz val="14"/>
      <color theme="1" tint="0.249977111117893"/>
      <name val="Calibri"/>
      <family val="2"/>
      <scheme val="minor"/>
    </font>
    <font>
      <b/>
      <sz val="10.5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3" fillId="0" borderId="0"/>
    <xf numFmtId="0" fontId="2" fillId="2" borderId="1" applyNumberFormat="0" applyAlignment="0" applyProtection="0"/>
    <xf numFmtId="0" fontId="4" fillId="3" borderId="0" applyNumberFormat="0" applyBorder="0" applyAlignment="0" applyProtection="0"/>
    <xf numFmtId="0" fontId="5" fillId="0" borderId="0" applyNumberFormat="0" applyFill="0" applyAlignment="0" applyProtection="0"/>
  </cellStyleXfs>
  <cellXfs count="82">
    <xf numFmtId="0" fontId="0" fillId="0" borderId="0" xfId="0"/>
    <xf numFmtId="0" fontId="0" fillId="0" borderId="0" xfId="0" applyFont="1"/>
    <xf numFmtId="164" fontId="11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textRotation="90"/>
    </xf>
    <xf numFmtId="0" fontId="7" fillId="0" borderId="0" xfId="0" applyFont="1" applyBorder="1" applyAlignment="1">
      <alignment horizontal="right" vertical="center"/>
    </xf>
    <xf numFmtId="0" fontId="0" fillId="0" borderId="0" xfId="0" applyFont="1" applyBorder="1"/>
    <xf numFmtId="0" fontId="0" fillId="0" borderId="0" xfId="0" applyBorder="1"/>
    <xf numFmtId="0" fontId="7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164" fontId="11" fillId="0" borderId="3" xfId="0" applyNumberFormat="1" applyFont="1" applyFill="1" applyBorder="1" applyAlignment="1">
      <alignment horizontal="center" vertical="center" wrapText="1"/>
    </xf>
    <xf numFmtId="164" fontId="11" fillId="0" borderId="4" xfId="0" applyNumberFormat="1" applyFont="1" applyFill="1" applyBorder="1" applyAlignment="1">
      <alignment horizontal="center" vertical="center" wrapText="1"/>
    </xf>
    <xf numFmtId="164" fontId="11" fillId="0" borderId="5" xfId="0" applyNumberFormat="1" applyFont="1" applyFill="1" applyBorder="1" applyAlignment="1">
      <alignment horizontal="center" vertical="center" wrapText="1"/>
    </xf>
    <xf numFmtId="164" fontId="11" fillId="0" borderId="6" xfId="0" applyNumberFormat="1" applyFont="1" applyFill="1" applyBorder="1" applyAlignment="1">
      <alignment horizontal="center" vertical="center" wrapText="1"/>
    </xf>
    <xf numFmtId="164" fontId="11" fillId="0" borderId="7" xfId="0" applyNumberFormat="1" applyFont="1" applyFill="1" applyBorder="1" applyAlignment="1">
      <alignment horizontal="center" vertical="center" wrapText="1"/>
    </xf>
    <xf numFmtId="164" fontId="11" fillId="0" borderId="8" xfId="0" applyNumberFormat="1" applyFont="1" applyFill="1" applyBorder="1" applyAlignment="1">
      <alignment horizontal="center" vertical="center" wrapText="1"/>
    </xf>
    <xf numFmtId="165" fontId="14" fillId="0" borderId="3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5" fillId="0" borderId="0" xfId="0" applyFont="1" applyAlignment="1">
      <alignment horizontal="center" vertical="center"/>
    </xf>
    <xf numFmtId="164" fontId="11" fillId="0" borderId="9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165" fontId="14" fillId="0" borderId="7" xfId="0" applyNumberFormat="1" applyFont="1" applyFill="1" applyBorder="1" applyAlignment="1">
      <alignment horizontal="center" vertical="center" wrapText="1"/>
    </xf>
    <xf numFmtId="164" fontId="11" fillId="0" borderId="14" xfId="0" applyNumberFormat="1" applyFont="1" applyFill="1" applyBorder="1" applyAlignment="1">
      <alignment horizontal="center" vertical="center" wrapText="1"/>
    </xf>
    <xf numFmtId="0" fontId="0" fillId="0" borderId="15" xfId="0" applyFont="1" applyBorder="1"/>
    <xf numFmtId="164" fontId="11" fillId="0" borderId="16" xfId="0" applyNumberFormat="1" applyFont="1" applyFill="1" applyBorder="1" applyAlignment="1">
      <alignment horizontal="center" vertical="center" wrapText="1"/>
    </xf>
    <xf numFmtId="0" fontId="0" fillId="0" borderId="17" xfId="0" applyFont="1" applyBorder="1"/>
    <xf numFmtId="0" fontId="0" fillId="0" borderId="19" xfId="0" applyFont="1" applyBorder="1"/>
    <xf numFmtId="164" fontId="12" fillId="0" borderId="20" xfId="0" applyNumberFormat="1" applyFont="1" applyFill="1" applyBorder="1" applyAlignment="1">
      <alignment horizontal="left" vertical="center" wrapText="1" indent="1"/>
    </xf>
    <xf numFmtId="164" fontId="12" fillId="0" borderId="21" xfId="0" applyNumberFormat="1" applyFont="1" applyFill="1" applyBorder="1" applyAlignment="1">
      <alignment horizontal="left" vertical="center" wrapText="1" indent="1"/>
    </xf>
    <xf numFmtId="164" fontId="12" fillId="0" borderId="22" xfId="0" applyNumberFormat="1" applyFont="1" applyFill="1" applyBorder="1" applyAlignment="1">
      <alignment horizontal="left" vertical="center" wrapText="1" indent="1"/>
    </xf>
    <xf numFmtId="0" fontId="0" fillId="0" borderId="23" xfId="0" applyFont="1" applyBorder="1"/>
    <xf numFmtId="164" fontId="12" fillId="0" borderId="24" xfId="0" applyNumberFormat="1" applyFont="1" applyFill="1" applyBorder="1" applyAlignment="1">
      <alignment horizontal="left" vertical="center" wrapText="1" indent="1"/>
    </xf>
    <xf numFmtId="0" fontId="17" fillId="0" borderId="0" xfId="0" applyFont="1" applyAlignment="1">
      <alignment horizontal="center" vertical="center"/>
    </xf>
    <xf numFmtId="164" fontId="11" fillId="0" borderId="16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7" xfId="0" applyFont="1" applyBorder="1" applyProtection="1">
      <protection locked="0"/>
    </xf>
    <xf numFmtId="164" fontId="12" fillId="0" borderId="20" xfId="0" applyNumberFormat="1" applyFont="1" applyFill="1" applyBorder="1" applyAlignment="1" applyProtection="1">
      <alignment horizontal="left" vertical="center" wrapText="1" indent="1"/>
      <protection locked="0"/>
    </xf>
    <xf numFmtId="164" fontId="12" fillId="0" borderId="21" xfId="0" applyNumberFormat="1" applyFont="1" applyFill="1" applyBorder="1" applyAlignment="1" applyProtection="1">
      <alignment horizontal="left" vertical="center" wrapText="1" indent="1"/>
      <protection locked="0"/>
    </xf>
    <xf numFmtId="164" fontId="12" fillId="0" borderId="22" xfId="0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23" xfId="0" applyFont="1" applyBorder="1" applyProtection="1">
      <protection locked="0"/>
    </xf>
    <xf numFmtId="164" fontId="18" fillId="0" borderId="8" xfId="0" applyNumberFormat="1" applyFont="1" applyFill="1" applyBorder="1" applyAlignment="1">
      <alignment horizontal="center" vertical="center" wrapText="1"/>
    </xf>
    <xf numFmtId="164" fontId="18" fillId="0" borderId="14" xfId="0" applyNumberFormat="1" applyFont="1" applyFill="1" applyBorder="1" applyAlignment="1">
      <alignment horizontal="center" vertical="center" wrapText="1"/>
    </xf>
    <xf numFmtId="164" fontId="18" fillId="0" borderId="18" xfId="0" applyNumberFormat="1" applyFont="1" applyFill="1" applyBorder="1" applyAlignment="1">
      <alignment horizontal="center" vertical="center" wrapText="1"/>
    </xf>
    <xf numFmtId="164" fontId="18" fillId="0" borderId="2" xfId="0" applyNumberFormat="1" applyFont="1" applyFill="1" applyBorder="1" applyAlignment="1">
      <alignment horizontal="center" vertical="center" wrapText="1"/>
    </xf>
    <xf numFmtId="164" fontId="11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5" xfId="0" applyFont="1" applyBorder="1" applyProtection="1">
      <protection locked="0"/>
    </xf>
    <xf numFmtId="164" fontId="11" fillId="0" borderId="9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24" xfId="0" applyNumberFormat="1" applyFont="1" applyFill="1" applyBorder="1" applyAlignment="1" applyProtection="1">
      <alignment horizontal="left" vertical="center" wrapText="1" indent="1"/>
      <protection locked="0"/>
    </xf>
    <xf numFmtId="164" fontId="18" fillId="0" borderId="0" xfId="0" applyNumberFormat="1" applyFont="1" applyFill="1" applyBorder="1" applyAlignment="1">
      <alignment horizontal="center" vertical="center" wrapText="1"/>
    </xf>
    <xf numFmtId="164" fontId="18" fillId="0" borderId="6" xfId="0" applyNumberFormat="1" applyFont="1" applyFill="1" applyBorder="1" applyAlignment="1">
      <alignment horizontal="center" vertical="center" wrapText="1"/>
    </xf>
    <xf numFmtId="14" fontId="0" fillId="0" borderId="0" xfId="0" applyNumberFormat="1" applyFill="1"/>
    <xf numFmtId="166" fontId="19" fillId="0" borderId="0" xfId="0" applyNumberFormat="1" applyFont="1"/>
    <xf numFmtId="0" fontId="20" fillId="4" borderId="0" xfId="0" applyFont="1" applyFill="1"/>
    <xf numFmtId="166" fontId="21" fillId="4" borderId="0" xfId="0" applyNumberFormat="1" applyFont="1" applyFill="1"/>
    <xf numFmtId="164" fontId="18" fillId="0" borderId="25" xfId="0" applyNumberFormat="1" applyFont="1" applyFill="1" applyBorder="1" applyAlignment="1">
      <alignment horizontal="center" vertical="center" wrapText="1"/>
    </xf>
    <xf numFmtId="165" fontId="14" fillId="0" borderId="26" xfId="0" applyNumberFormat="1" applyFont="1" applyFill="1" applyBorder="1" applyAlignment="1">
      <alignment horizontal="center" vertical="center" wrapText="1"/>
    </xf>
    <xf numFmtId="164" fontId="18" fillId="0" borderId="27" xfId="0" applyNumberFormat="1" applyFont="1" applyFill="1" applyBorder="1" applyAlignment="1">
      <alignment horizontal="center" vertical="center" wrapText="1"/>
    </xf>
    <xf numFmtId="164" fontId="18" fillId="0" borderId="28" xfId="0" applyNumberFormat="1" applyFont="1" applyFill="1" applyBorder="1" applyAlignment="1">
      <alignment horizontal="center" vertical="center" wrapText="1"/>
    </xf>
    <xf numFmtId="164" fontId="11" fillId="0" borderId="26" xfId="0" applyNumberFormat="1" applyFont="1" applyFill="1" applyBorder="1" applyAlignment="1">
      <alignment horizontal="center" vertical="center" wrapText="1"/>
    </xf>
    <xf numFmtId="0" fontId="0" fillId="0" borderId="29" xfId="0" applyFont="1" applyBorder="1"/>
    <xf numFmtId="164" fontId="23" fillId="0" borderId="2" xfId="0" applyNumberFormat="1" applyFont="1" applyFill="1" applyBorder="1" applyAlignment="1">
      <alignment horizontal="center" vertical="center" wrapText="1"/>
    </xf>
    <xf numFmtId="167" fontId="0" fillId="0" borderId="0" xfId="0" applyNumberFormat="1"/>
    <xf numFmtId="164" fontId="24" fillId="0" borderId="18" xfId="0" applyNumberFormat="1" applyFont="1" applyFill="1" applyBorder="1" applyAlignment="1">
      <alignment horizontal="center" vertical="center" wrapText="1"/>
    </xf>
    <xf numFmtId="164" fontId="11" fillId="5" borderId="4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14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11" fillId="5" borderId="16" xfId="0" applyNumberFormat="1" applyFont="1" applyFill="1" applyBorder="1" applyAlignment="1" applyProtection="1">
      <alignment horizontal="center" vertical="center" wrapText="1"/>
      <protection locked="0"/>
    </xf>
    <xf numFmtId="164" fontId="25" fillId="4" borderId="4" xfId="0" applyNumberFormat="1" applyFont="1" applyFill="1" applyBorder="1" applyAlignment="1" applyProtection="1">
      <alignment horizontal="center" vertical="center" wrapText="1"/>
      <protection locked="0"/>
    </xf>
    <xf numFmtId="167" fontId="0" fillId="0" borderId="0" xfId="0" applyNumberFormat="1" applyFont="1"/>
    <xf numFmtId="0" fontId="22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 vertical="center" indent="2"/>
    </xf>
    <xf numFmtId="0" fontId="6" fillId="0" borderId="0" xfId="0" applyFont="1" applyBorder="1" applyAlignment="1">
      <alignment horizontal="right" vertical="center" textRotation="90"/>
    </xf>
    <xf numFmtId="0" fontId="10" fillId="0" borderId="0" xfId="0" applyFont="1" applyBorder="1" applyAlignment="1">
      <alignment horizontal="left"/>
    </xf>
    <xf numFmtId="0" fontId="13" fillId="0" borderId="0" xfId="0" applyFont="1" applyFill="1" applyBorder="1" applyAlignment="1">
      <alignment horizontal="center" vertical="center" textRotation="90"/>
    </xf>
    <xf numFmtId="0" fontId="16" fillId="0" borderId="10" xfId="0" applyFont="1" applyFill="1" applyBorder="1" applyAlignment="1">
      <alignment horizontal="center" vertical="center"/>
    </xf>
    <xf numFmtId="0" fontId="0" fillId="0" borderId="0" xfId="0" applyNumberFormat="1"/>
    <xf numFmtId="164" fontId="11" fillId="5" borderId="8" xfId="0" applyNumberFormat="1" applyFont="1" applyFill="1" applyBorder="1" applyAlignment="1" applyProtection="1">
      <alignment horizontal="center" vertical="center" wrapText="1"/>
      <protection locked="0"/>
    </xf>
  </cellXfs>
  <cellStyles count="5">
    <cellStyle name="40% - Accent1 2" xfId="3"/>
    <cellStyle name="Accent1 2" xfId="2"/>
    <cellStyle name="Heading 1 2" xfId="4"/>
    <cellStyle name="Normal" xfId="0" builtinId="0" customBuiltin="1"/>
    <cellStyle name="Normal 2" xfId="1"/>
  </cellStyles>
  <dxfs count="93"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top style="double">
          <color theme="6" tint="-0.24994659260841701"/>
        </top>
      </border>
    </dxf>
    <dxf>
      <font>
        <color theme="0"/>
      </font>
      <fill>
        <patternFill patternType="solid">
          <fgColor theme="4"/>
          <bgColor theme="7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/>
        <horizontal style="dashDotDot">
          <color theme="9" tint="0.59996337778862885"/>
        </horizontal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b/>
        <color theme="9" tint="-0.249977111117893"/>
      </font>
      <border>
        <bottom style="thin">
          <color theme="9"/>
        </bottom>
      </border>
    </dxf>
    <dxf>
      <font>
        <color theme="9" tint="-0.249977111117893"/>
      </font>
      <fill>
        <patternFill>
          <bgColor theme="0"/>
        </patternFill>
      </fill>
      <border>
        <top style="thin">
          <color theme="9"/>
        </top>
        <bottom style="thin">
          <color theme="9"/>
        </bottom>
      </border>
    </dxf>
  </dxfs>
  <tableStyles count="2" defaultTableStyle="TableStyleMedium2" defaultPivotStyle="PivotStyleLight16">
    <tableStyle name="TableStyleLight7 2" pivot="0" count="7">
      <tableStyleElement type="wholeTable" dxfId="92"/>
      <tableStyleElement type="headerRow" dxfId="91"/>
      <tableStyleElement type="totalRow" dxfId="90"/>
      <tableStyleElement type="firstColumn" dxfId="89"/>
      <tableStyleElement type="lastColumn" dxfId="88"/>
      <tableStyleElement type="firstRowStripe" dxfId="87"/>
      <tableStyleElement type="firstColumnStripe" dxfId="86"/>
    </tableStyle>
    <tableStyle name="TableStyleLight9 2" pivot="0" count="4">
      <tableStyleElement type="wholeTable" dxfId="85"/>
      <tableStyleElement type="headerRow" dxfId="84"/>
      <tableStyleElement type="totalRow" dxfId="83"/>
      <tableStyleElement type="firstColumn" dxfId="82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Spin" dx="16" fmlaLink="$B$14" max="30000" page="10" val="201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12</xdr:row>
          <xdr:rowOff>66675</xdr:rowOff>
        </xdr:from>
        <xdr:to>
          <xdr:col>3</xdr:col>
          <xdr:colOff>161925</xdr:colOff>
          <xdr:row>14</xdr:row>
          <xdr:rowOff>123825</xdr:rowOff>
        </xdr:to>
        <xdr:sp macro="" textlink="">
          <xdr:nvSpPr>
            <xdr:cNvPr id="14337" name="Spinner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152400</xdr:colOff>
      <xdr:row>0</xdr:row>
      <xdr:rowOff>85725</xdr:rowOff>
    </xdr:from>
    <xdr:to>
      <xdr:col>10</xdr:col>
      <xdr:colOff>609600</xdr:colOff>
      <xdr:row>11</xdr:row>
      <xdr:rowOff>123825</xdr:rowOff>
    </xdr:to>
    <xdr:sp macro="" textlink="">
      <xdr:nvSpPr>
        <xdr:cNvPr id="2" name="Rectangle 1"/>
        <xdr:cNvSpPr/>
      </xdr:nvSpPr>
      <xdr:spPr>
        <a:xfrm>
          <a:off x="152400" y="85725"/>
          <a:ext cx="8077200" cy="1819275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600" b="1" u="sng">
              <a:solidFill>
                <a:schemeClr val="bg2"/>
              </a:solidFill>
            </a:rPr>
            <a:t>HOW</a:t>
          </a:r>
          <a:r>
            <a:rPr lang="en-US" sz="1600" b="1" u="sng" baseline="0">
              <a:solidFill>
                <a:schemeClr val="bg2"/>
              </a:solidFill>
            </a:rPr>
            <a:t> TO USE THIS FILE :</a:t>
          </a:r>
        </a:p>
        <a:p>
          <a:pPr algn="l"/>
          <a:endParaRPr lang="en-US" sz="1100" baseline="0">
            <a:solidFill>
              <a:schemeClr val="bg2"/>
            </a:solidFill>
          </a:endParaRPr>
        </a:p>
        <a:p>
          <a:pPr algn="l"/>
          <a:r>
            <a:rPr lang="en-US" sz="1100" baseline="0">
              <a:solidFill>
                <a:schemeClr val="bg2"/>
              </a:solidFill>
            </a:rPr>
            <a:t>1st : Change the </a:t>
          </a:r>
          <a:r>
            <a:rPr lang="en-US" sz="1100" i="1" baseline="0">
              <a:solidFill>
                <a:schemeClr val="bg2"/>
              </a:solidFill>
            </a:rPr>
            <a:t>Year</a:t>
          </a:r>
          <a:r>
            <a:rPr lang="en-US" sz="1100" baseline="0">
              <a:solidFill>
                <a:schemeClr val="bg2"/>
              </a:solidFill>
            </a:rPr>
            <a:t> that you want with arrows, </a:t>
          </a:r>
        </a:p>
        <a:p>
          <a:pPr algn="l"/>
          <a:endParaRPr lang="en-US" sz="1100" baseline="0">
            <a:solidFill>
              <a:schemeClr val="bg2"/>
            </a:solidFill>
          </a:endParaRPr>
        </a:p>
        <a:p>
          <a:pPr algn="l"/>
          <a:r>
            <a:rPr lang="en-US" sz="1100" baseline="0">
              <a:solidFill>
                <a:schemeClr val="bg2"/>
              </a:solidFill>
            </a:rPr>
            <a:t>2nd : Fill "</a:t>
          </a:r>
          <a:r>
            <a:rPr lang="en-US" sz="1100" i="1" u="sng" baseline="0">
              <a:solidFill>
                <a:schemeClr val="bg2"/>
              </a:solidFill>
            </a:rPr>
            <a:t>day off</a:t>
          </a:r>
          <a:r>
            <a:rPr lang="en-US" sz="1100" baseline="0">
              <a:solidFill>
                <a:schemeClr val="bg2"/>
              </a:solidFill>
            </a:rPr>
            <a:t>" sheet (date format)</a:t>
          </a:r>
        </a:p>
        <a:p>
          <a:pPr algn="l"/>
          <a:endParaRPr lang="en-US" sz="1100" baseline="0">
            <a:solidFill>
              <a:schemeClr val="bg2"/>
            </a:solidFill>
          </a:endParaRPr>
        </a:p>
        <a:p>
          <a:pPr algn="l"/>
          <a:r>
            <a:rPr lang="en-US" sz="1100" baseline="0">
              <a:solidFill>
                <a:schemeClr val="bg2"/>
              </a:solidFill>
            </a:rPr>
            <a:t>3rd : Have a look to the corresponding monthly closing</a:t>
          </a:r>
        </a:p>
        <a:p>
          <a:pPr algn="l"/>
          <a:endParaRPr lang="en-US" sz="1100" baseline="0">
            <a:solidFill>
              <a:schemeClr val="bg2"/>
            </a:solidFill>
          </a:endParaRPr>
        </a:p>
        <a:p>
          <a:pPr algn="l"/>
          <a:endParaRPr lang="en-US" sz="1100" baseline="0">
            <a:solidFill>
              <a:schemeClr val="bg2"/>
            </a:solidFill>
          </a:endParaRPr>
        </a:p>
      </xdr:txBody>
    </xdr:sp>
    <xdr:clientData/>
  </xdr:twoCellAnchor>
  <xdr:twoCellAnchor>
    <xdr:from>
      <xdr:col>6</xdr:col>
      <xdr:colOff>238125</xdr:colOff>
      <xdr:row>0</xdr:row>
      <xdr:rowOff>95250</xdr:rowOff>
    </xdr:from>
    <xdr:to>
      <xdr:col>10</xdr:col>
      <xdr:colOff>600075</xdr:colOff>
      <xdr:row>11</xdr:row>
      <xdr:rowOff>114300</xdr:rowOff>
    </xdr:to>
    <xdr:sp macro="" textlink="">
      <xdr:nvSpPr>
        <xdr:cNvPr id="3" name="Rectangle 2"/>
        <xdr:cNvSpPr/>
      </xdr:nvSpPr>
      <xdr:spPr>
        <a:xfrm>
          <a:off x="4810125" y="95250"/>
          <a:ext cx="3409950" cy="1800225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bg2"/>
              </a:solidFill>
            </a:rPr>
            <a:t>Please note : </a:t>
          </a:r>
        </a:p>
        <a:p>
          <a:pPr algn="l"/>
          <a:endParaRPr lang="en-US" sz="1100">
            <a:solidFill>
              <a:schemeClr val="bg2"/>
            </a:solidFill>
          </a:endParaRPr>
        </a:p>
        <a:p>
          <a:pPr algn="l"/>
          <a:r>
            <a:rPr lang="en-US" sz="1100">
              <a:solidFill>
                <a:schemeClr val="bg2"/>
              </a:solidFill>
            </a:rPr>
            <a:t>WD = Working day</a:t>
          </a:r>
        </a:p>
        <a:p>
          <a:pPr algn="l"/>
          <a:endParaRPr lang="en-US" sz="1100">
            <a:solidFill>
              <a:schemeClr val="bg2"/>
            </a:solidFill>
          </a:endParaRPr>
        </a:p>
        <a:p>
          <a:pPr algn="l"/>
          <a:r>
            <a:rPr lang="en-US" sz="1200" b="1" u="sng">
              <a:solidFill>
                <a:schemeClr val="bg2"/>
              </a:solidFill>
            </a:rPr>
            <a:t>Do</a:t>
          </a:r>
          <a:r>
            <a:rPr lang="en-US" sz="1200" b="1" u="sng" baseline="0">
              <a:solidFill>
                <a:schemeClr val="bg2"/>
              </a:solidFill>
            </a:rPr>
            <a:t> not edit anything in parameters except the year</a:t>
          </a:r>
          <a:endParaRPr lang="en-US" sz="1100" b="1" u="sng">
            <a:solidFill>
              <a:schemeClr val="bg2"/>
            </a:solidFill>
          </a:endParaRPr>
        </a:p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Faurecia">
  <a:themeElements>
    <a:clrScheme name="Faurecia">
      <a:dk1>
        <a:srgbClr val="001884"/>
      </a:dk1>
      <a:lt1>
        <a:srgbClr val="FFFFFF"/>
      </a:lt1>
      <a:dk2>
        <a:srgbClr val="575756"/>
      </a:dk2>
      <a:lt2>
        <a:srgbClr val="FA0057"/>
      </a:lt2>
      <a:accent1>
        <a:srgbClr val="00AAA8"/>
      </a:accent1>
      <a:accent2>
        <a:srgbClr val="FFCC00"/>
      </a:accent2>
      <a:accent3>
        <a:srgbClr val="CF122E"/>
      </a:accent3>
      <a:accent4>
        <a:srgbClr val="458AC9"/>
      </a:accent4>
      <a:accent5>
        <a:srgbClr val="B4DEDF"/>
      </a:accent5>
      <a:accent6>
        <a:srgbClr val="FFF29A"/>
      </a:accent6>
      <a:hlink>
        <a:srgbClr val="F1896E"/>
      </a:hlink>
      <a:folHlink>
        <a:srgbClr val="AEC9E8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interiors 4 3" id="{B0474000-8490-45CE-B9BB-965B74870235}" vid="{DA6163C5-3154-42F5-B62E-FBECD08C1BDC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P84"/>
  <sheetViews>
    <sheetView topLeftCell="C62" workbookViewId="0">
      <selection activeCell="C62" sqref="C62"/>
    </sheetView>
  </sheetViews>
  <sheetFormatPr defaultColWidth="11.42578125" defaultRowHeight="12.75" x14ac:dyDescent="0.2"/>
  <sheetData>
    <row r="1" spans="1:16" x14ac:dyDescent="0.2">
      <c r="M1" s="52" t="s">
        <v>14</v>
      </c>
      <c r="N1" s="52" t="s">
        <v>13</v>
      </c>
      <c r="O1" s="52" t="s">
        <v>11</v>
      </c>
      <c r="P1" s="52" t="s">
        <v>12</v>
      </c>
    </row>
    <row r="2" spans="1:16" x14ac:dyDescent="0.2">
      <c r="M2">
        <v>1</v>
      </c>
      <c r="N2" t="s">
        <v>9</v>
      </c>
      <c r="O2" s="16">
        <f>DATE($B$14,M2,1)</f>
        <v>43101</v>
      </c>
      <c r="P2" s="16">
        <f>EOMONTH(O2,0)</f>
        <v>43131</v>
      </c>
    </row>
    <row r="3" spans="1:16" x14ac:dyDescent="0.2">
      <c r="M3">
        <v>2</v>
      </c>
      <c r="N3" t="s">
        <v>15</v>
      </c>
      <c r="O3" s="16">
        <f t="shared" ref="O3:O11" si="0">DATE($B$14,M3,1)</f>
        <v>43132</v>
      </c>
      <c r="P3" s="16">
        <f t="shared" ref="P3:P12" si="1">EOMONTH(O3,0)</f>
        <v>43159</v>
      </c>
    </row>
    <row r="4" spans="1:16" x14ac:dyDescent="0.2">
      <c r="M4">
        <v>3</v>
      </c>
      <c r="N4" t="s">
        <v>16</v>
      </c>
      <c r="O4" s="16">
        <f t="shared" si="0"/>
        <v>43160</v>
      </c>
      <c r="P4" s="16">
        <f t="shared" si="1"/>
        <v>43190</v>
      </c>
    </row>
    <row r="5" spans="1:16" x14ac:dyDescent="0.2">
      <c r="M5">
        <v>4</v>
      </c>
      <c r="N5" t="s">
        <v>17</v>
      </c>
      <c r="O5" s="16">
        <f t="shared" si="0"/>
        <v>43191</v>
      </c>
      <c r="P5" s="16">
        <f t="shared" si="1"/>
        <v>43220</v>
      </c>
    </row>
    <row r="6" spans="1:16" x14ac:dyDescent="0.2">
      <c r="M6">
        <v>5</v>
      </c>
      <c r="N6" t="s">
        <v>18</v>
      </c>
      <c r="O6" s="16">
        <f t="shared" si="0"/>
        <v>43221</v>
      </c>
      <c r="P6" s="16">
        <f t="shared" si="1"/>
        <v>43251</v>
      </c>
    </row>
    <row r="7" spans="1:16" x14ac:dyDescent="0.2">
      <c r="M7">
        <v>6</v>
      </c>
      <c r="N7" t="s">
        <v>19</v>
      </c>
      <c r="O7" s="16">
        <f t="shared" si="0"/>
        <v>43252</v>
      </c>
      <c r="P7" s="16">
        <f t="shared" si="1"/>
        <v>43281</v>
      </c>
    </row>
    <row r="8" spans="1:16" x14ac:dyDescent="0.2">
      <c r="M8">
        <v>7</v>
      </c>
      <c r="N8" t="s">
        <v>20</v>
      </c>
      <c r="O8" s="16">
        <f t="shared" si="0"/>
        <v>43282</v>
      </c>
      <c r="P8" s="16">
        <f t="shared" si="1"/>
        <v>43312</v>
      </c>
    </row>
    <row r="9" spans="1:16" x14ac:dyDescent="0.2">
      <c r="M9">
        <v>8</v>
      </c>
      <c r="N9" t="s">
        <v>21</v>
      </c>
      <c r="O9" s="16">
        <f t="shared" si="0"/>
        <v>43313</v>
      </c>
      <c r="P9" s="16">
        <f t="shared" si="1"/>
        <v>43343</v>
      </c>
    </row>
    <row r="10" spans="1:16" x14ac:dyDescent="0.2">
      <c r="M10">
        <v>9</v>
      </c>
      <c r="N10" t="s">
        <v>22</v>
      </c>
      <c r="O10" s="16">
        <f t="shared" si="0"/>
        <v>43344</v>
      </c>
      <c r="P10" s="16">
        <f t="shared" si="1"/>
        <v>43373</v>
      </c>
    </row>
    <row r="11" spans="1:16" x14ac:dyDescent="0.2">
      <c r="M11">
        <v>10</v>
      </c>
      <c r="N11" t="s">
        <v>23</v>
      </c>
      <c r="O11" s="16">
        <f t="shared" si="0"/>
        <v>43374</v>
      </c>
      <c r="P11" s="16">
        <f t="shared" si="1"/>
        <v>43404</v>
      </c>
    </row>
    <row r="12" spans="1:16" x14ac:dyDescent="0.2">
      <c r="M12">
        <v>11</v>
      </c>
      <c r="N12" t="s">
        <v>24</v>
      </c>
      <c r="O12" s="16">
        <f>DATE($B$14,M12,1)</f>
        <v>43405</v>
      </c>
      <c r="P12" s="16">
        <f t="shared" si="1"/>
        <v>43434</v>
      </c>
    </row>
    <row r="13" spans="1:16" x14ac:dyDescent="0.2">
      <c r="M13">
        <v>12</v>
      </c>
      <c r="N13" t="s">
        <v>25</v>
      </c>
      <c r="O13" s="16">
        <f>DATE($B$14,M13,1)</f>
        <v>43435</v>
      </c>
      <c r="P13" s="16">
        <f>EOMONTH(O13,0)</f>
        <v>43465</v>
      </c>
    </row>
    <row r="14" spans="1:16" ht="35.25" customHeight="1" x14ac:dyDescent="0.2">
      <c r="A14" s="31" t="s">
        <v>0</v>
      </c>
      <c r="B14" s="17">
        <v>2018</v>
      </c>
      <c r="C14" s="17"/>
    </row>
    <row r="16" spans="1:16" x14ac:dyDescent="0.2">
      <c r="B16" s="70" t="s">
        <v>10</v>
      </c>
      <c r="C16" s="70"/>
      <c r="D16" s="70"/>
      <c r="E16" s="70"/>
      <c r="F16" s="70"/>
      <c r="G16" s="70"/>
      <c r="H16" s="70"/>
      <c r="I16" s="70"/>
      <c r="J16" s="70"/>
      <c r="K16" s="70"/>
      <c r="L16" s="70"/>
    </row>
    <row r="17" spans="2:13" x14ac:dyDescent="0.2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</row>
    <row r="18" spans="2:13" x14ac:dyDescent="0.2">
      <c r="B18" s="53">
        <f>DATE(B14,M2,1)</f>
        <v>43101</v>
      </c>
      <c r="C18" s="51"/>
      <c r="D18" s="53">
        <f>DATE(B14,M3,1)</f>
        <v>43132</v>
      </c>
      <c r="E18" s="51"/>
      <c r="F18" s="53">
        <f>DATE($B$14,$M4,1)</f>
        <v>43160</v>
      </c>
      <c r="G18" s="51"/>
      <c r="H18" s="53">
        <f>DATE($B$14,$M5,1)</f>
        <v>43191</v>
      </c>
      <c r="I18" s="51"/>
      <c r="J18" s="53">
        <f>DATE($B$14,$M6,1)</f>
        <v>43221</v>
      </c>
      <c r="K18" s="51"/>
      <c r="L18" s="53">
        <f>DATE($B$14,$M7,1)</f>
        <v>43252</v>
      </c>
    </row>
    <row r="19" spans="2:13" x14ac:dyDescent="0.2">
      <c r="B19" s="16">
        <f>WORKDAY.INTL(EOMONTH(B18-1,0),1,1,'Days off'!$B$2:$B$50)</f>
        <v>43102</v>
      </c>
      <c r="C19" s="80">
        <f>IFERROR(IF(VLOOKUP(B19,'Days off'!$B$2:$B$50,1,FALSE)=Parameters!B19,"DayOff",""),Parameters!C18+1)</f>
        <v>1</v>
      </c>
      <c r="D19" s="16">
        <f>WORKDAY.INTL(EOMONTH(B18,0),1,1,'Days off'!$B$2:$B$50)</f>
        <v>43132</v>
      </c>
      <c r="E19" s="80">
        <f>IFERROR(IF(VLOOKUP(D19,'Days off'!$B$2:$B$50,1,FALSE)=Parameters!D19,"DayOff",""),Parameters!E18+1)</f>
        <v>1</v>
      </c>
      <c r="F19" s="16">
        <f>WORKDAY.INTL(EOMONTH(D18,0),1,1,'Days off'!$B$2:$B$50)</f>
        <v>43160</v>
      </c>
      <c r="G19" s="80">
        <f>IFERROR(IF(VLOOKUP(F19,'Days off'!$B$2:$B$50,1,FALSE)=Parameters!F19,"DayOff",""),Parameters!G18+1)</f>
        <v>1</v>
      </c>
      <c r="H19" s="16">
        <f>WORKDAY.INTL(EOMONTH(F18,0),1,1,'Days off'!$B$2:$B$50)</f>
        <v>43193</v>
      </c>
      <c r="I19" s="80">
        <f>IFERROR(IF(VLOOKUP(H19,'Days off'!$B$2:$B$50,1,FALSE)=Parameters!H19,"DayOff",""),Parameters!I18+1)</f>
        <v>1</v>
      </c>
      <c r="J19" s="16">
        <f>WORKDAY.INTL(EOMONTH(H18,0),1,1,'Days off'!$B$2:$B$50)</f>
        <v>43222</v>
      </c>
      <c r="K19" s="80">
        <f>IFERROR(IF(VLOOKUP(J19,'Days off'!$B$2:$B$50,1,FALSE)=Parameters!J19,"DayOff",""),Parameters!K18+1)</f>
        <v>1</v>
      </c>
      <c r="L19" s="16">
        <f>WORKDAY.INTL(EOMONTH(J18,0),1,1,'Days off'!$B$2:$B$50)</f>
        <v>43252</v>
      </c>
      <c r="M19" s="80">
        <f>IFERROR(IF(VLOOKUP(L19,'Days off'!$B$2:$B$50,1,FALSE)=Parameters!L19,"DayOff",""),Parameters!M18+1)</f>
        <v>1</v>
      </c>
    </row>
    <row r="20" spans="2:13" x14ac:dyDescent="0.2">
      <c r="B20" s="16">
        <f>IFERROR(IF(WORKDAY.INTL(B19,1,1,'Days off'!$B$2:$B$50)&lt;=$P$2,WORKDAY.INTL(B19,1,1,'Days off'!$B$2:$B$50),""),"")</f>
        <v>43103</v>
      </c>
      <c r="C20" s="80">
        <f>IF(C19=12,"",IF(C19="","",IF(C19="DayOff",C18+1,IFERROR(IF(VLOOKUP(B20,'Days off'!$B$2:$B$50,1,FALSE)=Parameters!B20,"DayOff",""),Parameters!C19+1))))</f>
        <v>2</v>
      </c>
      <c r="D20" s="16">
        <f>IFERROR(IF(WORKDAY.INTL(D19,1,1,'Days off'!$B$2:$B$50)&lt;=$P$3,WORKDAY.INTL(D19,1,1,'Days off'!$B$2:$B$50),""),"")</f>
        <v>43133</v>
      </c>
      <c r="E20" s="80">
        <f>IF(E19=12,"",IF(E19="","",IF(E19="DayOff",E18+1,IFERROR(IF(VLOOKUP(D20,'Days off'!$B$2:$B$50,1,FALSE)=Parameters!D20,"DayOff",""),Parameters!E19+1))))</f>
        <v>2</v>
      </c>
      <c r="F20" s="16">
        <f>IFERROR(IF(WORKDAY.INTL(F19,1,1,'Days off'!$B$2:$B$50)&lt;=$P$4,WORKDAY.INTL(F19,1,1,'Days off'!$B$2:$B$50),""),"")</f>
        <v>43161</v>
      </c>
      <c r="G20" s="80">
        <f>IF(G19=12,"",IF(G19="","",IF(G19="DayOff",G18+1,IFERROR(IF(VLOOKUP(F20,'Days off'!$B$2:$B$50,1,FALSE)=Parameters!F20,"DayOff",""),Parameters!G19+1))))</f>
        <v>2</v>
      </c>
      <c r="H20" s="16">
        <f>IFERROR(IF(WORKDAY.INTL(H19,1,1,'Days off'!$B$2:$B$50)&lt;=$P$5,WORKDAY.INTL(H19,1,1,'Days off'!$B$2:$B$50),""),"")</f>
        <v>43194</v>
      </c>
      <c r="I20" s="80">
        <f>IF(I19=12,"",IF(I19="","",IF(I19="DayOff",I18+1,IFERROR(IF(VLOOKUP(H20,'Days off'!$B$2:$B$50,1,FALSE)=Parameters!H20,"DayOff",""),Parameters!I19+1))))</f>
        <v>2</v>
      </c>
      <c r="J20" s="16">
        <f>IFERROR(IF(WORKDAY.INTL(J19,1,1,'Days off'!$B$2:$B$50)&lt;=$P$6,WORKDAY.INTL(J19,1,1,'Days off'!$B$2:$B$50),""),"")</f>
        <v>43223</v>
      </c>
      <c r="K20" s="80">
        <f>IF(K19=12,"",IF(K19="","",IF(K19="DayOff",K18+1,IFERROR(IF(VLOOKUP(J20,'Days off'!$B$2:$B$50,1,FALSE)=Parameters!J20,"DayOff",""),Parameters!K19+1))))</f>
        <v>2</v>
      </c>
      <c r="L20" s="16">
        <f>IFERROR(IF(WORKDAY.INTL(L19,1,1,'Days off'!$B$2:$B$50)&lt;=$P$7,WORKDAY.INTL(L19,1,1,'Days off'!$B$2:$B$50),""),"")</f>
        <v>43255</v>
      </c>
      <c r="M20" s="80">
        <f>IF(M19=12,"",IF(M19="","",IF(M19="DayOff",M18+1,IFERROR(IF(VLOOKUP(L20,'Days off'!$B$2:$B$50,1,FALSE)=Parameters!L20,"DayOff",""),Parameters!M19+1))))</f>
        <v>2</v>
      </c>
    </row>
    <row r="21" spans="2:13" x14ac:dyDescent="0.2">
      <c r="B21" s="16">
        <f>IFERROR(IF(WORKDAY.INTL(B20,1,1,'Days off'!$B$2:$B$50)&lt;=$P$2,WORKDAY.INTL(B20,1,1,'Days off'!$B$2:$B$50),""),"")</f>
        <v>43104</v>
      </c>
      <c r="C21" s="80">
        <f>IF(C20=12,"",IF(C20="","",IF(C20="DayOff",C19+1,IFERROR(IF(VLOOKUP(B21,'Days off'!$B$2:$B$50,1,FALSE)=Parameters!B21,"DayOff",""),Parameters!C20+1))))</f>
        <v>3</v>
      </c>
      <c r="D21" s="16">
        <f>IFERROR(IF(WORKDAY.INTL(D20,1,1,'Days off'!$B$2:$B$50)&lt;=$P$3,WORKDAY.INTL(D20,1,1,'Days off'!$B$2:$B$50),""),"")</f>
        <v>43136</v>
      </c>
      <c r="E21" s="80">
        <f>IF(E20=12,"",IF(E20="","",IF(E20="DayOff",E19+1,IFERROR(IF(VLOOKUP(D21,'Days off'!$B$2:$B$50,1,FALSE)=Parameters!D21,"DayOff",""),Parameters!E20+1))))</f>
        <v>3</v>
      </c>
      <c r="F21" s="16">
        <f>IFERROR(IF(WORKDAY.INTL(F20,1,1,'Days off'!$B$2:$B$50)&lt;=$P$4,WORKDAY.INTL(F20,1,1,'Days off'!$B$2:$B$50),""),"")</f>
        <v>43164</v>
      </c>
      <c r="G21" s="80">
        <f>IF(G20=12,"",IF(G20="","",IF(G20="DayOff",G19+1,IFERROR(IF(VLOOKUP(F21,'Days off'!$B$2:$B$50,1,FALSE)=Parameters!F21,"DayOff",""),Parameters!G20+1))))</f>
        <v>3</v>
      </c>
      <c r="H21" s="16">
        <f>IFERROR(IF(WORKDAY.INTL(H20,1,1,'Days off'!$B$2:$B$50)&lt;=$P$5,WORKDAY.INTL(H20,1,1,'Days off'!$B$2:$B$50),""),"")</f>
        <v>43195</v>
      </c>
      <c r="I21" s="80">
        <f>IF(I20=12,"",IF(I20="","",IF(I20="DayOff",I19+1,IFERROR(IF(VLOOKUP(H21,'Days off'!$B$2:$B$50,1,FALSE)=Parameters!H21,"DayOff",""),Parameters!I20+1))))</f>
        <v>3</v>
      </c>
      <c r="J21" s="16">
        <f>IFERROR(IF(WORKDAY.INTL(J20,1,1,'Days off'!$B$2:$B$50)&lt;=$P$6,WORKDAY.INTL(J20,1,1,'Days off'!$B$2:$B$50),""),"")</f>
        <v>43224</v>
      </c>
      <c r="K21" s="80">
        <f>IF(K20=12,"",IF(K20="","",IF(K20="DayOff",K19+1,IFERROR(IF(VLOOKUP(J21,'Days off'!$B$2:$B$50,1,FALSE)=Parameters!J21,"DayOff",""),Parameters!K20+1))))</f>
        <v>3</v>
      </c>
      <c r="L21" s="16">
        <f>IFERROR(IF(WORKDAY.INTL(L20,1,1,'Days off'!$B$2:$B$50)&lt;=$P$7,WORKDAY.INTL(L20,1,1,'Days off'!$B$2:$B$50),""),"")</f>
        <v>43256</v>
      </c>
      <c r="M21" s="80">
        <f>IF(M20=12,"",IF(M20="","",IF(M20="DayOff",M19+1,IFERROR(IF(VLOOKUP(L21,'Days off'!$B$2:$B$50,1,FALSE)=Parameters!L21,"DayOff",""),Parameters!M20+1))))</f>
        <v>3</v>
      </c>
    </row>
    <row r="22" spans="2:13" x14ac:dyDescent="0.2">
      <c r="B22" s="16">
        <f>IFERROR(IF(WORKDAY.INTL(B21,1,1,'Days off'!$B$2:$B$50)&lt;=$P$2,WORKDAY.INTL(B21,1,1,'Days off'!$B$2:$B$50),""),"")</f>
        <v>43105</v>
      </c>
      <c r="C22" s="80">
        <f>IF(C21=12,"",IF(C21="","",IF(C21="DayOff",C20+1,IFERROR(IF(VLOOKUP(B22,'Days off'!$B$2:$B$50,1,FALSE)=Parameters!B22,"DayOff",""),Parameters!C21+1))))</f>
        <v>4</v>
      </c>
      <c r="D22" s="16">
        <f>IFERROR(IF(WORKDAY.INTL(D21,1,1,'Days off'!$B$2:$B$50)&lt;=$P$3,WORKDAY.INTL(D21,1,1,'Days off'!$B$2:$B$50),""),"")</f>
        <v>43137</v>
      </c>
      <c r="E22" s="80">
        <f>IF(E21=12,"",IF(E21="","",IF(E21="DayOff",E20+1,IFERROR(IF(VLOOKUP(D22,'Days off'!$B$2:$B$50,1,FALSE)=Parameters!D22,"DayOff",""),Parameters!E21+1))))</f>
        <v>4</v>
      </c>
      <c r="F22" s="16">
        <f>IFERROR(IF(WORKDAY.INTL(F21,1,1,'Days off'!$B$2:$B$50)&lt;=$P$4,WORKDAY.INTL(F21,1,1,'Days off'!$B$2:$B$50),""),"")</f>
        <v>43165</v>
      </c>
      <c r="G22" s="80">
        <f>IF(G21=12,"",IF(G21="","",IF(G21="DayOff",G20+1,IFERROR(IF(VLOOKUP(F22,'Days off'!$B$2:$B$50,1,FALSE)=Parameters!F22,"DayOff",""),Parameters!G21+1))))</f>
        <v>4</v>
      </c>
      <c r="H22" s="16">
        <f>IFERROR(IF(WORKDAY.INTL(H21,1,1,'Days off'!$B$2:$B$50)&lt;=$P$5,WORKDAY.INTL(H21,1,1,'Days off'!$B$2:$B$50),""),"")</f>
        <v>43196</v>
      </c>
      <c r="I22" s="80">
        <f>IF(I21=12,"",IF(I21="","",IF(I21="DayOff",I20+1,IFERROR(IF(VLOOKUP(H22,'Days off'!$B$2:$B$50,1,FALSE)=Parameters!H22,"DayOff",""),Parameters!I21+1))))</f>
        <v>4</v>
      </c>
      <c r="J22" s="16">
        <f>IFERROR(IF(WORKDAY.INTL(J21,1,1,'Days off'!$B$2:$B$50)&lt;=$P$6,WORKDAY.INTL(J21,1,1,'Days off'!$B$2:$B$50),""),"")</f>
        <v>43227</v>
      </c>
      <c r="K22" s="80">
        <f>IF(K21=12,"",IF(K21="","",IF(K21="DayOff",K20+1,IFERROR(IF(VLOOKUP(J22,'Days off'!$B$2:$B$50,1,FALSE)=Parameters!J22,"DayOff",""),Parameters!K21+1))))</f>
        <v>4</v>
      </c>
      <c r="L22" s="16">
        <f>IFERROR(IF(WORKDAY.INTL(L21,1,1,'Days off'!$B$2:$B$50)&lt;=$P$7,WORKDAY.INTL(L21,1,1,'Days off'!$B$2:$B$50),""),"")</f>
        <v>43257</v>
      </c>
      <c r="M22" s="80">
        <f>IF(M21=12,"",IF(M21="","",IF(M21="DayOff",M20+1,IFERROR(IF(VLOOKUP(L22,'Days off'!$B$2:$B$50,1,FALSE)=Parameters!L22,"DayOff",""),Parameters!M21+1))))</f>
        <v>4</v>
      </c>
    </row>
    <row r="23" spans="2:13" x14ac:dyDescent="0.2">
      <c r="B23" s="16">
        <f>IFERROR(IF(WORKDAY.INTL(B22,1,1,'Days off'!$B$2:$B$50)&lt;=$P$2,WORKDAY.INTL(B22,1,1,'Days off'!$B$2:$B$50),""),"")</f>
        <v>43108</v>
      </c>
      <c r="C23" s="80">
        <f>IF(C22=12,"",IF(C22="","",IF(C22="DayOff",C21+1,IFERROR(IF(VLOOKUP(B23,'Days off'!$B$2:$B$50,1,FALSE)=Parameters!B23,"DayOff",""),Parameters!C22+1))))</f>
        <v>5</v>
      </c>
      <c r="D23" s="16">
        <f>IFERROR(IF(WORKDAY.INTL(D22,1,1,'Days off'!$B$2:$B$50)&lt;=$P$3,WORKDAY.INTL(D22,1,1,'Days off'!$B$2:$B$50),""),"")</f>
        <v>43138</v>
      </c>
      <c r="E23" s="80">
        <f>IF(E22=12,"",IF(E22="","",IF(E22="DayOff",E21+1,IFERROR(IF(VLOOKUP(D23,'Days off'!$B$2:$B$50,1,FALSE)=Parameters!D23,"DayOff",""),Parameters!E22+1))))</f>
        <v>5</v>
      </c>
      <c r="F23" s="16">
        <f>IFERROR(IF(WORKDAY.INTL(F22,1,1,'Days off'!$B$2:$B$50)&lt;=$P$4,WORKDAY.INTL(F22,1,1,'Days off'!$B$2:$B$50),""),"")</f>
        <v>43166</v>
      </c>
      <c r="G23" s="80">
        <f>IF(G22=12,"",IF(G22="","",IF(G22="DayOff",G21+1,IFERROR(IF(VLOOKUP(F23,'Days off'!$B$2:$B$50,1,FALSE)=Parameters!F23,"DayOff",""),Parameters!G22+1))))</f>
        <v>5</v>
      </c>
      <c r="H23" s="16">
        <f>IFERROR(IF(WORKDAY.INTL(H22,1,1,'Days off'!$B$2:$B$50)&lt;=$P$5,WORKDAY.INTL(H22,1,1,'Days off'!$B$2:$B$50),""),"")</f>
        <v>43199</v>
      </c>
      <c r="I23" s="80">
        <f>IF(I22=12,"",IF(I22="","",IF(I22="DayOff",I21+1,IFERROR(IF(VLOOKUP(H23,'Days off'!$B$2:$B$50,1,FALSE)=Parameters!H23,"DayOff",""),Parameters!I22+1))))</f>
        <v>5</v>
      </c>
      <c r="J23" s="16">
        <f>IFERROR(IF(WORKDAY.INTL(J22,1,1,'Days off'!$B$2:$B$50)&lt;=$P$6,WORKDAY.INTL(J22,1,1,'Days off'!$B$2:$B$50),""),"")</f>
        <v>43229</v>
      </c>
      <c r="K23" s="80">
        <f>IF(K22=12,"",IF(K22="","",IF(K22="DayOff",K21+1,IFERROR(IF(VLOOKUP(J23,'Days off'!$B$2:$B$50,1,FALSE)=Parameters!J23,"DayOff",""),Parameters!K22+1))))</f>
        <v>5</v>
      </c>
      <c r="L23" s="16">
        <f>IFERROR(IF(WORKDAY.INTL(L22,1,1,'Days off'!$B$2:$B$50)&lt;=$P$7,WORKDAY.INTL(L22,1,1,'Days off'!$B$2:$B$50),""),"")</f>
        <v>43258</v>
      </c>
      <c r="M23" s="80">
        <f>IF(M22=12,"",IF(M22="","",IF(M22="DayOff",M21+1,IFERROR(IF(VLOOKUP(L23,'Days off'!$B$2:$B$50,1,FALSE)=Parameters!L23,"DayOff",""),Parameters!M22+1))))</f>
        <v>5</v>
      </c>
    </row>
    <row r="24" spans="2:13" x14ac:dyDescent="0.2">
      <c r="B24" s="16">
        <f>IFERROR(IF(WORKDAY.INTL(B23,1,1,'Days off'!$B$2:$B$50)&lt;=$P$2,WORKDAY.INTL(B23,1,1,'Days off'!$B$2:$B$50),""),"")</f>
        <v>43109</v>
      </c>
      <c r="C24" s="80">
        <f>IF(C23=12,"",IF(C23="","",IF(C23="DayOff",C22+1,IFERROR(IF(VLOOKUP(B24,'Days off'!$B$2:$B$50,1,FALSE)=Parameters!B24,"DayOff",""),Parameters!C23+1))))</f>
        <v>6</v>
      </c>
      <c r="D24" s="16">
        <f>IFERROR(IF(WORKDAY.INTL(D23,1,1,'Days off'!$B$2:$B$50)&lt;=$P$3,WORKDAY.INTL(D23,1,1,'Days off'!$B$2:$B$50),""),"")</f>
        <v>43139</v>
      </c>
      <c r="E24" s="80">
        <f>IF(E23=12,"",IF(E23="","",IF(E23="DayOff",E22+1,IFERROR(IF(VLOOKUP(D24,'Days off'!$B$2:$B$50,1,FALSE)=Parameters!D24,"DayOff",""),Parameters!E23+1))))</f>
        <v>6</v>
      </c>
      <c r="F24" s="16">
        <f>IFERROR(IF(WORKDAY.INTL(F23,1,1,'Days off'!$B$2:$B$50)&lt;=$P$4,WORKDAY.INTL(F23,1,1,'Days off'!$B$2:$B$50),""),"")</f>
        <v>43167</v>
      </c>
      <c r="G24" s="80">
        <f>IF(G23=12,"",IF(G23="","",IF(G23="DayOff",G22+1,IFERROR(IF(VLOOKUP(F24,'Days off'!$B$2:$B$50,1,FALSE)=Parameters!F24,"DayOff",""),Parameters!G23+1))))</f>
        <v>6</v>
      </c>
      <c r="H24" s="16">
        <f>IFERROR(IF(WORKDAY.INTL(H23,1,1,'Days off'!$B$2:$B$50)&lt;=$P$5,WORKDAY.INTL(H23,1,1,'Days off'!$B$2:$B$50),""),"")</f>
        <v>43200</v>
      </c>
      <c r="I24" s="80">
        <f>IF(I23=12,"",IF(I23="","",IF(I23="DayOff",I22+1,IFERROR(IF(VLOOKUP(H24,'Days off'!$B$2:$B$50,1,FALSE)=Parameters!H24,"DayOff",""),Parameters!I23+1))))</f>
        <v>6</v>
      </c>
      <c r="J24" s="16">
        <f>IFERROR(IF(WORKDAY.INTL(J23,1,1,'Days off'!$B$2:$B$50)&lt;=$P$6,WORKDAY.INTL(J23,1,1,'Days off'!$B$2:$B$50),""),"")</f>
        <v>43231</v>
      </c>
      <c r="K24" s="80">
        <f>IF(K23=12,"",IF(K23="","",IF(K23="DayOff",K22+1,IFERROR(IF(VLOOKUP(J24,'Days off'!$B$2:$B$50,1,FALSE)=Parameters!J24,"DayOff",""),Parameters!K23+1))))</f>
        <v>6</v>
      </c>
      <c r="L24" s="16">
        <f>IFERROR(IF(WORKDAY.INTL(L23,1,1,'Days off'!$B$2:$B$50)&lt;=$P$7,WORKDAY.INTL(L23,1,1,'Days off'!$B$2:$B$50),""),"")</f>
        <v>43259</v>
      </c>
      <c r="M24" s="80">
        <f>IF(M23=12,"",IF(M23="","",IF(M23="DayOff",M22+1,IFERROR(IF(VLOOKUP(L24,'Days off'!$B$2:$B$50,1,FALSE)=Parameters!L24,"DayOff",""),Parameters!M23+1))))</f>
        <v>6</v>
      </c>
    </row>
    <row r="25" spans="2:13" x14ac:dyDescent="0.2">
      <c r="B25" s="16">
        <f>IFERROR(IF(WORKDAY.INTL(B24,1,1,'Days off'!$B$2:$B$50)&lt;=$P$2,WORKDAY.INTL(B24,1,1,'Days off'!$B$2:$B$50),""),"")</f>
        <v>43110</v>
      </c>
      <c r="C25" s="80">
        <f>IF(C24=12,"",IF(C24="","",IF(C24="DayOff",C23+1,IFERROR(IF(VLOOKUP(B25,'Days off'!$B$2:$B$50,1,FALSE)=Parameters!B25,"DayOff",""),Parameters!C24+1))))</f>
        <v>7</v>
      </c>
      <c r="D25" s="16">
        <f>IFERROR(IF(WORKDAY.INTL(D24,1,1,'Days off'!$B$2:$B$50)&lt;=$P$3,WORKDAY.INTL(D24,1,1,'Days off'!$B$2:$B$50),""),"")</f>
        <v>43140</v>
      </c>
      <c r="E25" s="80">
        <f>IF(E24=12,"",IF(E24="","",IF(E24="DayOff",E23+1,IFERROR(IF(VLOOKUP(D25,'Days off'!$B$2:$B$50,1,FALSE)=Parameters!D25,"DayOff",""),Parameters!E24+1))))</f>
        <v>7</v>
      </c>
      <c r="F25" s="16">
        <f>IFERROR(IF(WORKDAY.INTL(F24,1,1,'Days off'!$B$2:$B$50)&lt;=$P$4,WORKDAY.INTL(F24,1,1,'Days off'!$B$2:$B$50),""),"")</f>
        <v>43168</v>
      </c>
      <c r="G25" s="80">
        <f>IF(G24=12,"",IF(G24="","",IF(G24="DayOff",G23+1,IFERROR(IF(VLOOKUP(F25,'Days off'!$B$2:$B$50,1,FALSE)=Parameters!F25,"DayOff",""),Parameters!G24+1))))</f>
        <v>7</v>
      </c>
      <c r="H25" s="16">
        <f>IFERROR(IF(WORKDAY.INTL(H24,1,1,'Days off'!$B$2:$B$50)&lt;=$P$5,WORKDAY.INTL(H24,1,1,'Days off'!$B$2:$B$50),""),"")</f>
        <v>43201</v>
      </c>
      <c r="I25" s="80">
        <f>IF(I24=12,"",IF(I24="","",IF(I24="DayOff",I23+1,IFERROR(IF(VLOOKUP(H25,'Days off'!$B$2:$B$50,1,FALSE)=Parameters!H25,"DayOff",""),Parameters!I24+1))))</f>
        <v>7</v>
      </c>
      <c r="J25" s="16">
        <f>IFERROR(IF(WORKDAY.INTL(J24,1,1,'Days off'!$B$2:$B$50)&lt;=$P$6,WORKDAY.INTL(J24,1,1,'Days off'!$B$2:$B$50),""),"")</f>
        <v>43234</v>
      </c>
      <c r="K25" s="80">
        <f>IF(K24=12,"",IF(K24="","",IF(K24="DayOff",K23+1,IFERROR(IF(VLOOKUP(J25,'Days off'!$B$2:$B$50,1,FALSE)=Parameters!J25,"DayOff",""),Parameters!K24+1))))</f>
        <v>7</v>
      </c>
      <c r="L25" s="16">
        <f>IFERROR(IF(WORKDAY.INTL(L24,1,1,'Days off'!$B$2:$B$50)&lt;=$P$7,WORKDAY.INTL(L24,1,1,'Days off'!$B$2:$B$50),""),"")</f>
        <v>43262</v>
      </c>
      <c r="M25" s="80">
        <f>IF(M24=12,"",IF(M24="","",IF(M24="DayOff",M23+1,IFERROR(IF(VLOOKUP(L25,'Days off'!$B$2:$B$50,1,FALSE)=Parameters!L25,"DayOff",""),Parameters!M24+1))))</f>
        <v>7</v>
      </c>
    </row>
    <row r="26" spans="2:13" x14ac:dyDescent="0.2">
      <c r="B26" s="16">
        <f>IFERROR(IF(WORKDAY.INTL(B25,1,1,'Days off'!$B$2:$B$50)&lt;=$P$2,WORKDAY.INTL(B25,1,1,'Days off'!$B$2:$B$50),""),"")</f>
        <v>43111</v>
      </c>
      <c r="C26" s="80">
        <f>IF(C25=12,"",IF(C25="","",IF(C25="DayOff",C24+1,IFERROR(IF(VLOOKUP(B26,'Days off'!$B$2:$B$50,1,FALSE)=Parameters!B26,"DayOff",""),Parameters!C25+1))))</f>
        <v>8</v>
      </c>
      <c r="D26" s="16">
        <f>IFERROR(IF(WORKDAY.INTL(D25,1,1,'Days off'!$B$2:$B$50)&lt;=$P$3,WORKDAY.INTL(D25,1,1,'Days off'!$B$2:$B$50),""),"")</f>
        <v>43143</v>
      </c>
      <c r="E26" s="80">
        <f>IF(E25=12,"",IF(E25="","",IF(E25="DayOff",E24+1,IFERROR(IF(VLOOKUP(D26,'Days off'!$B$2:$B$50,1,FALSE)=Parameters!D26,"DayOff",""),Parameters!E25+1))))</f>
        <v>8</v>
      </c>
      <c r="F26" s="16">
        <f>IFERROR(IF(WORKDAY.INTL(F25,1,1,'Days off'!$B$2:$B$50)&lt;=$P$4,WORKDAY.INTL(F25,1,1,'Days off'!$B$2:$B$50),""),"")</f>
        <v>43171</v>
      </c>
      <c r="G26" s="80">
        <f>IF(G25=12,"",IF(G25="","",IF(G25="DayOff",G24+1,IFERROR(IF(VLOOKUP(F26,'Days off'!$B$2:$B$50,1,FALSE)=Parameters!F26,"DayOff",""),Parameters!G25+1))))</f>
        <v>8</v>
      </c>
      <c r="H26" s="16">
        <f>IFERROR(IF(WORKDAY.INTL(H25,1,1,'Days off'!$B$2:$B$50)&lt;=$P$5,WORKDAY.INTL(H25,1,1,'Days off'!$B$2:$B$50),""),"")</f>
        <v>43202</v>
      </c>
      <c r="I26" s="80">
        <f>IF(I25=12,"",IF(I25="","",IF(I25="DayOff",I24+1,IFERROR(IF(VLOOKUP(H26,'Days off'!$B$2:$B$50,1,FALSE)=Parameters!H26,"DayOff",""),Parameters!I25+1))))</f>
        <v>8</v>
      </c>
      <c r="J26" s="16">
        <f>IFERROR(IF(WORKDAY.INTL(J25,1,1,'Days off'!$B$2:$B$50)&lt;=$P$6,WORKDAY.INTL(J25,1,1,'Days off'!$B$2:$B$50),""),"")</f>
        <v>43235</v>
      </c>
      <c r="K26" s="80">
        <f>IF(K25=12,"",IF(K25="","",IF(K25="DayOff",K24+1,IFERROR(IF(VLOOKUP(J26,'Days off'!$B$2:$B$50,1,FALSE)=Parameters!J26,"DayOff",""),Parameters!K25+1))))</f>
        <v>8</v>
      </c>
      <c r="L26" s="16">
        <f>IFERROR(IF(WORKDAY.INTL(L25,1,1,'Days off'!$B$2:$B$50)&lt;=$P$7,WORKDAY.INTL(L25,1,1,'Days off'!$B$2:$B$50),""),"")</f>
        <v>43263</v>
      </c>
      <c r="M26" s="80">
        <f>IF(M25=12,"",IF(M25="","",IF(M25="DayOff",M24+1,IFERROR(IF(VLOOKUP(L26,'Days off'!$B$2:$B$50,1,FALSE)=Parameters!L26,"DayOff",""),Parameters!M25+1))))</f>
        <v>8</v>
      </c>
    </row>
    <row r="27" spans="2:13" x14ac:dyDescent="0.2">
      <c r="B27" s="16">
        <f>IFERROR(IF(WORKDAY.INTL(B26,1,1,'Days off'!$B$2:$B$50)&lt;=$P$2,WORKDAY.INTL(B26,1,1,'Days off'!$B$2:$B$50),""),"")</f>
        <v>43112</v>
      </c>
      <c r="C27" s="80">
        <f>IF(C26=12,"",IF(C26="","",IF(C26="DayOff",C25+1,IFERROR(IF(VLOOKUP(B27,'Days off'!$B$2:$B$50,1,FALSE)=Parameters!B27,"DayOff",""),Parameters!C26+1))))</f>
        <v>9</v>
      </c>
      <c r="D27" s="16">
        <f>IFERROR(IF(WORKDAY.INTL(D26,1,1,'Days off'!$B$2:$B$50)&lt;=$P$3,WORKDAY.INTL(D26,1,1,'Days off'!$B$2:$B$50),""),"")</f>
        <v>43144</v>
      </c>
      <c r="E27" s="80">
        <f>IF(E26=12,"",IF(E26="","",IF(E26="DayOff",E25+1,IFERROR(IF(VLOOKUP(D27,'Days off'!$B$2:$B$50,1,FALSE)=Parameters!D27,"DayOff",""),Parameters!E26+1))))</f>
        <v>9</v>
      </c>
      <c r="F27" s="16">
        <f>IFERROR(IF(WORKDAY.INTL(F26,1,1,'Days off'!$B$2:$B$50)&lt;=$P$4,WORKDAY.INTL(F26,1,1,'Days off'!$B$2:$B$50),""),"")</f>
        <v>43172</v>
      </c>
      <c r="G27" s="80">
        <f>IF(G26=12,"",IF(G26="","",IF(G26="DayOff",G25+1,IFERROR(IF(VLOOKUP(F27,'Days off'!$B$2:$B$50,1,FALSE)=Parameters!F27,"DayOff",""),Parameters!G26+1))))</f>
        <v>9</v>
      </c>
      <c r="H27" s="16">
        <f>IFERROR(IF(WORKDAY.INTL(H26,1,1,'Days off'!$B$2:$B$50)&lt;=$P$5,WORKDAY.INTL(H26,1,1,'Days off'!$B$2:$B$50),""),"")</f>
        <v>43203</v>
      </c>
      <c r="I27" s="80">
        <f>IF(I26=12,"",IF(I26="","",IF(I26="DayOff",I25+1,IFERROR(IF(VLOOKUP(H27,'Days off'!$B$2:$B$50,1,FALSE)=Parameters!H27,"DayOff",""),Parameters!I26+1))))</f>
        <v>9</v>
      </c>
      <c r="J27" s="16">
        <f>IFERROR(IF(WORKDAY.INTL(J26,1,1,'Days off'!$B$2:$B$50)&lt;=$P$6,WORKDAY.INTL(J26,1,1,'Days off'!$B$2:$B$50),""),"")</f>
        <v>43236</v>
      </c>
      <c r="K27" s="80">
        <f>IF(K26=12,"",IF(K26="","",IF(K26="DayOff",K25+1,IFERROR(IF(VLOOKUP(J27,'Days off'!$B$2:$B$50,1,FALSE)=Parameters!J27,"DayOff",""),Parameters!K26+1))))</f>
        <v>9</v>
      </c>
      <c r="L27" s="16">
        <f>IFERROR(IF(WORKDAY.INTL(L26,1,1,'Days off'!$B$2:$B$50)&lt;=$P$7,WORKDAY.INTL(L26,1,1,'Days off'!$B$2:$B$50),""),"")</f>
        <v>43264</v>
      </c>
      <c r="M27" s="80">
        <f>IF(M26=12,"",IF(M26="","",IF(M26="DayOff",M25+1,IFERROR(IF(VLOOKUP(L27,'Days off'!$B$2:$B$50,1,FALSE)=Parameters!L27,"DayOff",""),Parameters!M26+1))))</f>
        <v>9</v>
      </c>
    </row>
    <row r="28" spans="2:13" x14ac:dyDescent="0.2">
      <c r="B28" s="16">
        <f>IFERROR(IF(WORKDAY.INTL(B27,1,1,'Days off'!$B$2:$B$50)&lt;=$P$2,WORKDAY.INTL(B27,1,1,'Days off'!$B$2:$B$50),""),"")</f>
        <v>43115</v>
      </c>
      <c r="C28" s="80">
        <f>IF(C27=12,"",IF(C27="","",IF(C27="DayOff",C26+1,IFERROR(IF(VLOOKUP(B28,'Days off'!$B$2:$B$50,1,FALSE)=Parameters!B28,"DayOff",""),Parameters!C27+1))))</f>
        <v>10</v>
      </c>
      <c r="D28" s="16">
        <f>IFERROR(IF(WORKDAY.INTL(D27,1,1,'Days off'!$B$2:$B$50)&lt;=$P$3,WORKDAY.INTL(D27,1,1,'Days off'!$B$2:$B$50),""),"")</f>
        <v>43145</v>
      </c>
      <c r="E28" s="80">
        <f>IF(E27=12,"",IF(E27="","",IF(E27="DayOff",E26+1,IFERROR(IF(VLOOKUP(D28,'Days off'!$B$2:$B$50,1,FALSE)=Parameters!D28,"DayOff",""),Parameters!E27+1))))</f>
        <v>10</v>
      </c>
      <c r="F28" s="16">
        <f>IFERROR(IF(WORKDAY.INTL(F27,1,1,'Days off'!$B$2:$B$50)&lt;=$P$4,WORKDAY.INTL(F27,1,1,'Days off'!$B$2:$B$50),""),"")</f>
        <v>43173</v>
      </c>
      <c r="G28" s="80">
        <f>IF(G27=12,"",IF(G27="","",IF(G27="DayOff",G26+1,IFERROR(IF(VLOOKUP(F28,'Days off'!$B$2:$B$50,1,FALSE)=Parameters!F28,"DayOff",""),Parameters!G27+1))))</f>
        <v>10</v>
      </c>
      <c r="H28" s="16">
        <f>IFERROR(IF(WORKDAY.INTL(H27,1,1,'Days off'!$B$2:$B$50)&lt;=$P$5,WORKDAY.INTL(H27,1,1,'Days off'!$B$2:$B$50),""),"")</f>
        <v>43206</v>
      </c>
      <c r="I28" s="80">
        <f>IF(I27=12,"",IF(I27="","",IF(I27="DayOff",I26+1,IFERROR(IF(VLOOKUP(H28,'Days off'!$B$2:$B$50,1,FALSE)=Parameters!H28,"DayOff",""),Parameters!I27+1))))</f>
        <v>10</v>
      </c>
      <c r="J28" s="16">
        <f>IFERROR(IF(WORKDAY.INTL(J27,1,1,'Days off'!$B$2:$B$50)&lt;=$P$6,WORKDAY.INTL(J27,1,1,'Days off'!$B$2:$B$50),""),"")</f>
        <v>43237</v>
      </c>
      <c r="K28" s="80">
        <f>IF(K27=12,"",IF(K27="","",IF(K27="DayOff",K26+1,IFERROR(IF(VLOOKUP(J28,'Days off'!$B$2:$B$50,1,FALSE)=Parameters!J28,"DayOff",""),Parameters!K27+1))))</f>
        <v>10</v>
      </c>
      <c r="L28" s="16">
        <f>IFERROR(IF(WORKDAY.INTL(L27,1,1,'Days off'!$B$2:$B$50)&lt;=$P$7,WORKDAY.INTL(L27,1,1,'Days off'!$B$2:$B$50),""),"")</f>
        <v>43265</v>
      </c>
      <c r="M28" s="80">
        <f>IF(M27=12,"",IF(M27="","",IF(M27="DayOff",M26+1,IFERROR(IF(VLOOKUP(L28,'Days off'!$B$2:$B$50,1,FALSE)=Parameters!L28,"DayOff",""),Parameters!M27+1))))</f>
        <v>10</v>
      </c>
    </row>
    <row r="29" spans="2:13" x14ac:dyDescent="0.2">
      <c r="B29" s="16">
        <f>IFERROR(IF(WORKDAY.INTL(B28,1,1,'Days off'!$B$2:$B$50)&lt;=$P$2,WORKDAY.INTL(B28,1,1,'Days off'!$B$2:$B$50),""),"")</f>
        <v>43116</v>
      </c>
      <c r="C29" s="80">
        <f>IF(C28=12,"",IF(C28="","",IF(C28="DayOff",C27+1,IFERROR(IF(VLOOKUP(B29,'Days off'!$B$2:$B$50,1,FALSE)=Parameters!B29,"DayOff",""),Parameters!C28+1))))</f>
        <v>11</v>
      </c>
      <c r="D29" s="16">
        <f>IFERROR(IF(WORKDAY.INTL(D28,1,1,'Days off'!$B$2:$B$50)&lt;=$P$3,WORKDAY.INTL(D28,1,1,'Days off'!$B$2:$B$50),""),"")</f>
        <v>43146</v>
      </c>
      <c r="E29" s="80">
        <f>IF(E28=12,"",IF(E28="","",IF(E28="DayOff",E27+1,IFERROR(IF(VLOOKUP(D29,'Days off'!$B$2:$B$50,1,FALSE)=Parameters!D29,"DayOff",""),Parameters!E28+1))))</f>
        <v>11</v>
      </c>
      <c r="F29" s="16">
        <f>IFERROR(IF(WORKDAY.INTL(F28,1,1,'Days off'!$B$2:$B$50)&lt;=$P$4,WORKDAY.INTL(F28,1,1,'Days off'!$B$2:$B$50),""),"")</f>
        <v>43174</v>
      </c>
      <c r="G29" s="80">
        <f>IF(G28=12,"",IF(G28="","",IF(G28="DayOff",G27+1,IFERROR(IF(VLOOKUP(F29,'Days off'!$B$2:$B$50,1,FALSE)=Parameters!F29,"DayOff",""),Parameters!G28+1))))</f>
        <v>11</v>
      </c>
      <c r="H29" s="16">
        <f>IFERROR(IF(WORKDAY.INTL(H28,1,1,'Days off'!$B$2:$B$50)&lt;=$P$5,WORKDAY.INTL(H28,1,1,'Days off'!$B$2:$B$50),""),"")</f>
        <v>43207</v>
      </c>
      <c r="I29" s="80">
        <f>IF(I28=12,"",IF(I28="","",IF(I28="DayOff",I27+1,IFERROR(IF(VLOOKUP(H29,'Days off'!$B$2:$B$50,1,FALSE)=Parameters!H29,"DayOff",""),Parameters!I28+1))))</f>
        <v>11</v>
      </c>
      <c r="J29" s="16">
        <f>IFERROR(IF(WORKDAY.INTL(J28,1,1,'Days off'!$B$2:$B$50)&lt;=$P$6,WORKDAY.INTL(J28,1,1,'Days off'!$B$2:$B$50),""),"")</f>
        <v>43238</v>
      </c>
      <c r="K29" s="80">
        <f>IF(K28=12,"",IF(K28="","",IF(K28="DayOff",K27+1,IFERROR(IF(VLOOKUP(J29,'Days off'!$B$2:$B$50,1,FALSE)=Parameters!J29,"DayOff",""),Parameters!K28+1))))</f>
        <v>11</v>
      </c>
      <c r="L29" s="16">
        <f>IFERROR(IF(WORKDAY.INTL(L28,1,1,'Days off'!$B$2:$B$50)&lt;=$P$7,WORKDAY.INTL(L28,1,1,'Days off'!$B$2:$B$50),""),"")</f>
        <v>43266</v>
      </c>
      <c r="M29" s="80">
        <f>IF(M28=12,"",IF(M28="","",IF(M28="DayOff",M27+1,IFERROR(IF(VLOOKUP(L29,'Days off'!$B$2:$B$50,1,FALSE)=Parameters!L29,"DayOff",""),Parameters!M28+1))))</f>
        <v>11</v>
      </c>
    </row>
    <row r="30" spans="2:13" x14ac:dyDescent="0.2">
      <c r="B30" s="16">
        <f>IFERROR(IF(WORKDAY.INTL(B29,1,1,'Days off'!$B$2:$B$50)&lt;=$P$2,WORKDAY.INTL(B29,1,1,'Days off'!$B$2:$B$50),""),"")</f>
        <v>43117</v>
      </c>
      <c r="C30" s="80">
        <f>IF(C29=12,"",IF(C29="","",IF(C29="DayOff",C28+1,IFERROR(IF(VLOOKUP(B30,'Days off'!$B$2:$B$50,1,FALSE)=Parameters!B30,"DayOff",""),Parameters!C29+1))))</f>
        <v>12</v>
      </c>
      <c r="D30" s="16">
        <f>IFERROR(IF(WORKDAY.INTL(D29,1,1,'Days off'!$B$2:$B$50)&lt;=$P$3,WORKDAY.INTL(D29,1,1,'Days off'!$B$2:$B$50),""),"")</f>
        <v>43147</v>
      </c>
      <c r="E30" s="80">
        <f>IF(E29=12,"",IF(E29="","",IF(E29="DayOff",E28+1,IFERROR(IF(VLOOKUP(D30,'Days off'!$B$2:$B$50,1,FALSE)=Parameters!D30,"DayOff",""),Parameters!E29+1))))</f>
        <v>12</v>
      </c>
      <c r="F30" s="16">
        <f>IFERROR(IF(WORKDAY.INTL(F29,1,1,'Days off'!$B$2:$B$50)&lt;=$P$4,WORKDAY.INTL(F29,1,1,'Days off'!$B$2:$B$50),""),"")</f>
        <v>43175</v>
      </c>
      <c r="G30" s="80">
        <f>IF(G29=12,"",IF(G29="","",IF(G29="DayOff",G28+1,IFERROR(IF(VLOOKUP(F30,'Days off'!$B$2:$B$50,1,FALSE)=Parameters!F30,"DayOff",""),Parameters!G29+1))))</f>
        <v>12</v>
      </c>
      <c r="H30" s="16">
        <f>IFERROR(IF(WORKDAY.INTL(H29,1,1,'Days off'!$B$2:$B$50)&lt;=$P$5,WORKDAY.INTL(H29,1,1,'Days off'!$B$2:$B$50),""),"")</f>
        <v>43208</v>
      </c>
      <c r="I30" s="80">
        <f>IF(I29=12,"",IF(I29="","",IF(I29="DayOff",I28+1,IFERROR(IF(VLOOKUP(H30,'Days off'!$B$2:$B$50,1,FALSE)=Parameters!H30,"DayOff",""),Parameters!I29+1))))</f>
        <v>12</v>
      </c>
      <c r="J30" s="16">
        <f>IFERROR(IF(WORKDAY.INTL(J29,1,1,'Days off'!$B$2:$B$50)&lt;=$P$6,WORKDAY.INTL(J29,1,1,'Days off'!$B$2:$B$50),""),"")</f>
        <v>43242</v>
      </c>
      <c r="K30" s="80">
        <f>IF(K29=12,"",IF(K29="","",IF(K29="DayOff",K28+1,IFERROR(IF(VLOOKUP(J30,'Days off'!$B$2:$B$50,1,FALSE)=Parameters!J30,"DayOff",""),Parameters!K29+1))))</f>
        <v>12</v>
      </c>
      <c r="L30" s="16">
        <f>IFERROR(IF(WORKDAY.INTL(L29,1,1,'Days off'!$B$2:$B$50)&lt;=$P$7,WORKDAY.INTL(L29,1,1,'Days off'!$B$2:$B$50),""),"")</f>
        <v>43269</v>
      </c>
      <c r="M30" s="80">
        <f>IF(M29=12,"",IF(M29="","",IF(M29="DayOff",M28+1,IFERROR(IF(VLOOKUP(L30,'Days off'!$B$2:$B$50,1,FALSE)=Parameters!L30,"DayOff",""),Parameters!M29+1))))</f>
        <v>12</v>
      </c>
    </row>
    <row r="31" spans="2:13" x14ac:dyDescent="0.2">
      <c r="B31" s="16">
        <f>IFERROR(IF(WORKDAY.INTL(B30,1,1,'Days off'!$B$2:$B$50)&lt;=$P$2,WORKDAY.INTL(B30,1,1,'Days off'!$B$2:$B$50),""),"")</f>
        <v>43118</v>
      </c>
      <c r="C31" s="80" t="str">
        <f>IF(C30=12,"",IF(C30="","",IF(C30="DayOff",C29+1,IFERROR(IF(VLOOKUP(B31,'Days off'!$B$2:$B$50,1,FALSE)=Parameters!B31,"DayOff",""),Parameters!C30+1))))</f>
        <v/>
      </c>
      <c r="D31" s="16">
        <f>IFERROR(IF(WORKDAY.INTL(D30,1,1,'Days off'!$B$2:$B$50)&lt;=$P$3,WORKDAY.INTL(D30,1,1,'Days off'!$B$2:$B$50),""),"")</f>
        <v>43150</v>
      </c>
      <c r="E31" s="80" t="str">
        <f>IF(E30=12,"",IF(E30="","",IF(E30="DayOff",E29+1,IFERROR(IF(VLOOKUP(D31,'Days off'!$B$2:$B$50,1,FALSE)=Parameters!D31,"DayOff",""),Parameters!E30+1))))</f>
        <v/>
      </c>
      <c r="F31" s="16">
        <f>IFERROR(IF(WORKDAY.INTL(F30,1,1,'Days off'!$B$2:$B$50)&lt;=$P$4,WORKDAY.INTL(F30,1,1,'Days off'!$B$2:$B$50),""),"")</f>
        <v>43178</v>
      </c>
      <c r="G31" s="80" t="str">
        <f>IF(G30=12,"",IF(G30="","",IF(G30="DayOff",G29+1,IFERROR(IF(VLOOKUP(F31,'Days off'!$B$2:$B$50,1,FALSE)=Parameters!F31,"DayOff",""),Parameters!G30+1))))</f>
        <v/>
      </c>
      <c r="H31" s="16">
        <f>IFERROR(IF(WORKDAY.INTL(H30,1,1,'Days off'!$B$2:$B$50)&lt;=$P$5,WORKDAY.INTL(H30,1,1,'Days off'!$B$2:$B$50),""),"")</f>
        <v>43209</v>
      </c>
      <c r="I31" s="80" t="str">
        <f>IF(I30=12,"",IF(I30="","",IF(I30="DayOff",I29+1,IFERROR(IF(VLOOKUP(H31,'Days off'!$B$2:$B$50,1,FALSE)=Parameters!H31,"DayOff",""),Parameters!I30+1))))</f>
        <v/>
      </c>
      <c r="J31" s="16">
        <f>IFERROR(IF(WORKDAY.INTL(J30,1,1,'Days off'!$B$2:$B$50)&lt;=$P$6,WORKDAY.INTL(J30,1,1,'Days off'!$B$2:$B$50),""),"")</f>
        <v>43243</v>
      </c>
      <c r="K31" s="80" t="str">
        <f>IF(K30=12,"",IF(K30="","",IF(K30="DayOff",K29+1,IFERROR(IF(VLOOKUP(J31,'Days off'!$B$2:$B$50,1,FALSE)=Parameters!J31,"DayOff",""),Parameters!K30+1))))</f>
        <v/>
      </c>
      <c r="L31" s="16">
        <f>IFERROR(IF(WORKDAY.INTL(L30,1,1,'Days off'!$B$2:$B$50)&lt;=$P$7,WORKDAY.INTL(L30,1,1,'Days off'!$B$2:$B$50),""),"")</f>
        <v>43270</v>
      </c>
      <c r="M31" s="80" t="str">
        <f>IF(M30=12,"",IF(M30="","",IF(M30="DayOff",M29+1,IFERROR(IF(VLOOKUP(L31,'Days off'!$B$2:$B$50,1,FALSE)=Parameters!L31,"DayOff",""),Parameters!M30+1))))</f>
        <v/>
      </c>
    </row>
    <row r="32" spans="2:13" x14ac:dyDescent="0.2">
      <c r="B32" s="16">
        <f>IFERROR(IF(WORKDAY.INTL(B31,1,1,'Days off'!$B$2:$B$50)&lt;=$P$2,WORKDAY.INTL(B31,1,1,'Days off'!$B$2:$B$50),""),"")</f>
        <v>43119</v>
      </c>
      <c r="C32" s="80" t="str">
        <f>IF(C31=12,"",IF(C31="","",IF(C31="DayOff",C30+1,IFERROR(IF(VLOOKUP(B32,'Days off'!$B$2:$B$50,1,FALSE)=Parameters!B32,"DayOff",""),Parameters!C31+1))))</f>
        <v/>
      </c>
      <c r="D32" s="16">
        <f>IFERROR(IF(WORKDAY.INTL(D31,1,1,'Days off'!$B$2:$B$50)&lt;=$P$3,WORKDAY.INTL(D31,1,1,'Days off'!$B$2:$B$50),""),"")</f>
        <v>43151</v>
      </c>
      <c r="E32" s="80" t="str">
        <f>IF(E31=12,"",IF(E31="","",IF(E31="DayOff",E30+1,IFERROR(IF(VLOOKUP(D32,'Days off'!$B$2:$B$50,1,FALSE)=Parameters!D32,"DayOff",""),Parameters!E31+1))))</f>
        <v/>
      </c>
      <c r="F32" s="16">
        <f>IFERROR(IF(WORKDAY.INTL(F31,1,1,'Days off'!$B$2:$B$50)&lt;=$P$4,WORKDAY.INTL(F31,1,1,'Days off'!$B$2:$B$50),""),"")</f>
        <v>43179</v>
      </c>
      <c r="G32" s="80" t="str">
        <f>IF(G31=12,"",IF(G31="","",IF(G31="DayOff",G30+1,IFERROR(IF(VLOOKUP(F32,'Days off'!$B$2:$B$50,1,FALSE)=Parameters!F32,"DayOff",""),Parameters!G31+1))))</f>
        <v/>
      </c>
      <c r="H32" s="16">
        <f>IFERROR(IF(WORKDAY.INTL(H31,1,1,'Days off'!$B$2:$B$50)&lt;=$P$5,WORKDAY.INTL(H31,1,1,'Days off'!$B$2:$B$50),""),"")</f>
        <v>43210</v>
      </c>
      <c r="I32" s="80" t="str">
        <f>IF(I31=12,"",IF(I31="","",IF(I31="DayOff",I30+1,IFERROR(IF(VLOOKUP(H32,'Days off'!$B$2:$B$50,1,FALSE)=Parameters!H32,"DayOff",""),Parameters!I31+1))))</f>
        <v/>
      </c>
      <c r="J32" s="16">
        <f>IFERROR(IF(WORKDAY.INTL(J31,1,1,'Days off'!$B$2:$B$50)&lt;=$P$6,WORKDAY.INTL(J31,1,1,'Days off'!$B$2:$B$50),""),"")</f>
        <v>43244</v>
      </c>
      <c r="K32" s="80" t="str">
        <f>IF(K31=12,"",IF(K31="","",IF(K31="DayOff",K30+1,IFERROR(IF(VLOOKUP(J32,'Days off'!$B$2:$B$50,1,FALSE)=Parameters!J32,"DayOff",""),Parameters!K31+1))))</f>
        <v/>
      </c>
      <c r="L32" s="16">
        <f>IFERROR(IF(WORKDAY.INTL(L31,1,1,'Days off'!$B$2:$B$50)&lt;=$P$7,WORKDAY.INTL(L31,1,1,'Days off'!$B$2:$B$50),""),"")</f>
        <v>43271</v>
      </c>
      <c r="M32" s="80" t="str">
        <f>IF(M31=12,"",IF(M31="","",IF(M31="DayOff",M30+1,IFERROR(IF(VLOOKUP(L32,'Days off'!$B$2:$B$50,1,FALSE)=Parameters!L32,"DayOff",""),Parameters!M31+1))))</f>
        <v/>
      </c>
    </row>
    <row r="33" spans="2:13" x14ac:dyDescent="0.2">
      <c r="B33" s="16">
        <f>IFERROR(IF(WORKDAY.INTL(B32,1,1,'Days off'!$B$2:$B$50)&lt;=$P$2,WORKDAY.INTL(B32,1,1,'Days off'!$B$2:$B$50),""),"")</f>
        <v>43122</v>
      </c>
      <c r="C33" s="80" t="str">
        <f>IF(C32=12,"",IF(C32="","",IF(C32="DayOff",C31+1,IFERROR(IF(VLOOKUP(B33,'Days off'!$B$2:$B$50,1,FALSE)=Parameters!B33,"DayOff",""),Parameters!C32+1))))</f>
        <v/>
      </c>
      <c r="D33" s="16">
        <f>IFERROR(IF(WORKDAY.INTL(D32,1,1,'Days off'!$B$2:$B$50)&lt;=$P$3,WORKDAY.INTL(D32,1,1,'Days off'!$B$2:$B$50),""),"")</f>
        <v>43152</v>
      </c>
      <c r="E33" s="80" t="str">
        <f>IF(E32=12,"",IF(E32="","",IF(E32="DayOff",E31+1,IFERROR(IF(VLOOKUP(D33,'Days off'!$B$2:$B$50,1,FALSE)=Parameters!D33,"DayOff",""),Parameters!E32+1))))</f>
        <v/>
      </c>
      <c r="F33" s="16">
        <f>IFERROR(IF(WORKDAY.INTL(F32,1,1,'Days off'!$B$2:$B$50)&lt;=$P$4,WORKDAY.INTL(F32,1,1,'Days off'!$B$2:$B$50),""),"")</f>
        <v>43180</v>
      </c>
      <c r="G33" s="80" t="str">
        <f>IF(G32=12,"",IF(G32="","",IF(G32="DayOff",G31+1,IFERROR(IF(VLOOKUP(F33,'Days off'!$B$2:$B$50,1,FALSE)=Parameters!F33,"DayOff",""),Parameters!G32+1))))</f>
        <v/>
      </c>
      <c r="H33" s="16">
        <f>IFERROR(IF(WORKDAY.INTL(H32,1,1,'Days off'!$B$2:$B$50)&lt;=$P$5,WORKDAY.INTL(H32,1,1,'Days off'!$B$2:$B$50),""),"")</f>
        <v>43213</v>
      </c>
      <c r="I33" s="80" t="str">
        <f>IF(I32=12,"",IF(I32="","",IF(I32="DayOff",I31+1,IFERROR(IF(VLOOKUP(H33,'Days off'!$B$2:$B$50,1,FALSE)=Parameters!H33,"DayOff",""),Parameters!I32+1))))</f>
        <v/>
      </c>
      <c r="J33" s="16">
        <f>IFERROR(IF(WORKDAY.INTL(J32,1,1,'Days off'!$B$2:$B$50)&lt;=$P$6,WORKDAY.INTL(J32,1,1,'Days off'!$B$2:$B$50),""),"")</f>
        <v>43245</v>
      </c>
      <c r="K33" s="80" t="str">
        <f>IF(K32=12,"",IF(K32="","",IF(K32="DayOff",K31+1,IFERROR(IF(VLOOKUP(J33,'Days off'!$B$2:$B$50,1,FALSE)=Parameters!J33,"DayOff",""),Parameters!K32+1))))</f>
        <v/>
      </c>
      <c r="L33" s="16">
        <f>IFERROR(IF(WORKDAY.INTL(L32,1,1,'Days off'!$B$2:$B$50)&lt;=$P$7,WORKDAY.INTL(L32,1,1,'Days off'!$B$2:$B$50),""),"")</f>
        <v>43272</v>
      </c>
      <c r="M33" s="80" t="str">
        <f>IF(M32=12,"",IF(M32="","",IF(M32="DayOff",M31+1,IFERROR(IF(VLOOKUP(L33,'Days off'!$B$2:$B$50,1,FALSE)=Parameters!L33,"DayOff",""),Parameters!M32+1))))</f>
        <v/>
      </c>
    </row>
    <row r="34" spans="2:13" x14ac:dyDescent="0.2">
      <c r="B34" s="16">
        <f>IFERROR(IF(WORKDAY.INTL(B33,1,1,'Days off'!$B$2:$B$50)&lt;=$P$2,WORKDAY.INTL(B33,1,1,'Days off'!$B$2:$B$50),""),"")</f>
        <v>43123</v>
      </c>
      <c r="C34" s="80" t="str">
        <f>IF(C33=12,"",IF(C33="","",IF(C33="DayOff",C32+1,IFERROR(IF(VLOOKUP(B34,'Days off'!$B$2:$B$50,1,FALSE)=Parameters!B34,"DayOff",""),Parameters!C33+1))))</f>
        <v/>
      </c>
      <c r="D34" s="16">
        <f>IFERROR(IF(WORKDAY.INTL(D33,1,1,'Days off'!$B$2:$B$50)&lt;=$P$3,WORKDAY.INTL(D33,1,1,'Days off'!$B$2:$B$50),""),"")</f>
        <v>43153</v>
      </c>
      <c r="E34" s="80" t="str">
        <f>IF(E33=12,"",IF(E33="","",IF(E33="DayOff",E32+1,IFERROR(IF(VLOOKUP(D34,'Days off'!$B$2:$B$50,1,FALSE)=Parameters!D34,"DayOff",""),Parameters!E33+1))))</f>
        <v/>
      </c>
      <c r="F34" s="16">
        <f>IFERROR(IF(WORKDAY.INTL(F33,1,1,'Days off'!$B$2:$B$50)&lt;=$P$4,WORKDAY.INTL(F33,1,1,'Days off'!$B$2:$B$50),""),"")</f>
        <v>43181</v>
      </c>
      <c r="G34" s="80" t="str">
        <f>IF(G33=12,"",IF(G33="","",IF(G33="DayOff",G32+1,IFERROR(IF(VLOOKUP(F34,'Days off'!$B$2:$B$50,1,FALSE)=Parameters!F34,"DayOff",""),Parameters!G33+1))))</f>
        <v/>
      </c>
      <c r="H34" s="16">
        <f>IFERROR(IF(WORKDAY.INTL(H33,1,1,'Days off'!$B$2:$B$50)&lt;=$P$5,WORKDAY.INTL(H33,1,1,'Days off'!$B$2:$B$50),""),"")</f>
        <v>43214</v>
      </c>
      <c r="I34" s="80" t="str">
        <f>IF(I33=12,"",IF(I33="","",IF(I33="DayOff",I32+1,IFERROR(IF(VLOOKUP(H34,'Days off'!$B$2:$B$50,1,FALSE)=Parameters!H34,"DayOff",""),Parameters!I33+1))))</f>
        <v/>
      </c>
      <c r="J34" s="16">
        <f>IFERROR(IF(WORKDAY.INTL(J33,1,1,'Days off'!$B$2:$B$50)&lt;=$P$6,WORKDAY.INTL(J33,1,1,'Days off'!$B$2:$B$50),""),"")</f>
        <v>43248</v>
      </c>
      <c r="K34" s="80" t="str">
        <f>IF(K33=12,"",IF(K33="","",IF(K33="DayOff",K32+1,IFERROR(IF(VLOOKUP(J34,'Days off'!$B$2:$B$50,1,FALSE)=Parameters!J34,"DayOff",""),Parameters!K33+1))))</f>
        <v/>
      </c>
      <c r="L34" s="16">
        <f>IFERROR(IF(WORKDAY.INTL(L33,1,1,'Days off'!$B$2:$B$50)&lt;=$P$7,WORKDAY.INTL(L33,1,1,'Days off'!$B$2:$B$50),""),"")</f>
        <v>43273</v>
      </c>
      <c r="M34" s="80" t="str">
        <f>IF(M33=12,"",IF(M33="","",IF(M33="DayOff",M32+1,IFERROR(IF(VLOOKUP(L34,'Days off'!$B$2:$B$50,1,FALSE)=Parameters!L34,"DayOff",""),Parameters!M33+1))))</f>
        <v/>
      </c>
    </row>
    <row r="35" spans="2:13" x14ac:dyDescent="0.2">
      <c r="B35" s="16">
        <f>IFERROR(IF(WORKDAY.INTL(B34,1,1,'Days off'!$B$2:$B$50)&lt;=$P$2,WORKDAY.INTL(B34,1,1,'Days off'!$B$2:$B$50),""),"")</f>
        <v>43124</v>
      </c>
      <c r="C35" s="80" t="str">
        <f>IF(C34=12,"",IF(C34="","",IF(C34="DayOff",C33+1,IFERROR(IF(VLOOKUP(B35,'Days off'!$B$2:$B$50,1,FALSE)=Parameters!B35,"DayOff",""),Parameters!C34+1))))</f>
        <v/>
      </c>
      <c r="D35" s="16">
        <f>IFERROR(IF(WORKDAY.INTL(D34,1,1,'Days off'!$B$2:$B$50)&lt;=$P$3,WORKDAY.INTL(D34,1,1,'Days off'!$B$2:$B$50),""),"")</f>
        <v>43154</v>
      </c>
      <c r="E35" s="80" t="str">
        <f>IF(E34=12,"",IF(E34="","",IF(E34="DayOff",E33+1,IFERROR(IF(VLOOKUP(D35,'Days off'!$B$2:$B$50,1,FALSE)=Parameters!D35,"DayOff",""),Parameters!E34+1))))</f>
        <v/>
      </c>
      <c r="F35" s="16">
        <f>IFERROR(IF(WORKDAY.INTL(F34,1,1,'Days off'!$B$2:$B$50)&lt;=$P$4,WORKDAY.INTL(F34,1,1,'Days off'!$B$2:$B$50),""),"")</f>
        <v>43182</v>
      </c>
      <c r="G35" s="80" t="str">
        <f>IF(G34=12,"",IF(G34="","",IF(G34="DayOff",G33+1,IFERROR(IF(VLOOKUP(F35,'Days off'!$B$2:$B$50,1,FALSE)=Parameters!F35,"DayOff",""),Parameters!G34+1))))</f>
        <v/>
      </c>
      <c r="H35" s="16">
        <f>IFERROR(IF(WORKDAY.INTL(H34,1,1,'Days off'!$B$2:$B$50)&lt;=$P$5,WORKDAY.INTL(H34,1,1,'Days off'!$B$2:$B$50),""),"")</f>
        <v>43215</v>
      </c>
      <c r="I35" s="80" t="str">
        <f>IF(I34=12,"",IF(I34="","",IF(I34="DayOff",I33+1,IFERROR(IF(VLOOKUP(H35,'Days off'!$B$2:$B$50,1,FALSE)=Parameters!H35,"DayOff",""),Parameters!I34+1))))</f>
        <v/>
      </c>
      <c r="J35" s="16">
        <f>IFERROR(IF(WORKDAY.INTL(J34,1,1,'Days off'!$B$2:$B$50)&lt;=$P$6,WORKDAY.INTL(J34,1,1,'Days off'!$B$2:$B$50),""),"")</f>
        <v>43249</v>
      </c>
      <c r="K35" s="80" t="str">
        <f>IF(K34=12,"",IF(K34="","",IF(K34="DayOff",K33+1,IFERROR(IF(VLOOKUP(J35,'Days off'!$B$2:$B$50,1,FALSE)=Parameters!J35,"DayOff",""),Parameters!K34+1))))</f>
        <v/>
      </c>
      <c r="L35" s="16">
        <f>IFERROR(IF(WORKDAY.INTL(L34,1,1,'Days off'!$B$2:$B$50)&lt;=$P$7,WORKDAY.INTL(L34,1,1,'Days off'!$B$2:$B$50),""),"")</f>
        <v>43276</v>
      </c>
      <c r="M35" s="80" t="str">
        <f>IF(M34=12,"",IF(M34="","",IF(M34="DayOff",M33+1,IFERROR(IF(VLOOKUP(L35,'Days off'!$B$2:$B$50,1,FALSE)=Parameters!L35,"DayOff",""),Parameters!M34+1))))</f>
        <v/>
      </c>
    </row>
    <row r="36" spans="2:13" x14ac:dyDescent="0.2">
      <c r="B36" s="16">
        <f>IFERROR(IF(WORKDAY.INTL(B35,1,1,'Days off'!$B$2:$B$50)&lt;=$P$2,WORKDAY.INTL(B35,1,1,'Days off'!$B$2:$B$50),""),"")</f>
        <v>43125</v>
      </c>
      <c r="C36" s="80" t="str">
        <f>IF(C35=12,"",IF(C35="","",IF(C35="DayOff",C34+1,IFERROR(IF(VLOOKUP(B36,'Days off'!$B$2:$B$50,1,FALSE)=Parameters!B36,"DayOff",""),Parameters!C35+1))))</f>
        <v/>
      </c>
      <c r="D36" s="16">
        <f>IFERROR(IF(WORKDAY.INTL(D35,1,1,'Days off'!$B$2:$B$50)&lt;=$P$3,WORKDAY.INTL(D35,1,1,'Days off'!$B$2:$B$50),""),"")</f>
        <v>43157</v>
      </c>
      <c r="E36" s="80" t="str">
        <f>IF(E35=12,"",IF(E35="","",IF(E35="DayOff",E34+1,IFERROR(IF(VLOOKUP(D36,'Days off'!$B$2:$B$50,1,FALSE)=Parameters!D36,"DayOff",""),Parameters!E35+1))))</f>
        <v/>
      </c>
      <c r="F36" s="16">
        <f>IFERROR(IF(WORKDAY.INTL(F35,1,1,'Days off'!$B$2:$B$50)&lt;=$P$4,WORKDAY.INTL(F35,1,1,'Days off'!$B$2:$B$50),""),"")</f>
        <v>43185</v>
      </c>
      <c r="G36" s="80" t="str">
        <f>IF(G35=12,"",IF(G35="","",IF(G35="DayOff",G34+1,IFERROR(IF(VLOOKUP(F36,'Days off'!$B$2:$B$50,1,FALSE)=Parameters!F36,"DayOff",""),Parameters!G35+1))))</f>
        <v/>
      </c>
      <c r="H36" s="16">
        <f>IFERROR(IF(WORKDAY.INTL(H35,1,1,'Days off'!$B$2:$B$50)&lt;=$P$5,WORKDAY.INTL(H35,1,1,'Days off'!$B$2:$B$50),""),"")</f>
        <v>43216</v>
      </c>
      <c r="I36" s="80" t="str">
        <f>IF(I35=12,"",IF(I35="","",IF(I35="DayOff",I34+1,IFERROR(IF(VLOOKUP(H36,'Days off'!$B$2:$B$50,1,FALSE)=Parameters!H36,"DayOff",""),Parameters!I35+1))))</f>
        <v/>
      </c>
      <c r="J36" s="16">
        <f>IFERROR(IF(WORKDAY.INTL(J35,1,1,'Days off'!$B$2:$B$50)&lt;=$P$6,WORKDAY.INTL(J35,1,1,'Days off'!$B$2:$B$50),""),"")</f>
        <v>43250</v>
      </c>
      <c r="K36" s="80" t="str">
        <f>IF(K35=12,"",IF(K35="","",IF(K35="DayOff",K34+1,IFERROR(IF(VLOOKUP(J36,'Days off'!$B$2:$B$50,1,FALSE)=Parameters!J36,"DayOff",""),Parameters!K35+1))))</f>
        <v/>
      </c>
      <c r="L36" s="16">
        <f>IFERROR(IF(WORKDAY.INTL(L35,1,1,'Days off'!$B$2:$B$50)&lt;=$P$7,WORKDAY.INTL(L35,1,1,'Days off'!$B$2:$B$50),""),"")</f>
        <v>43277</v>
      </c>
      <c r="M36" s="80" t="str">
        <f>IF(M35=12,"",IF(M35="","",IF(M35="DayOff",M34+1,IFERROR(IF(VLOOKUP(L36,'Days off'!$B$2:$B$50,1,FALSE)=Parameters!L36,"DayOff",""),Parameters!M35+1))))</f>
        <v/>
      </c>
    </row>
    <row r="37" spans="2:13" x14ac:dyDescent="0.2">
      <c r="B37" s="16">
        <f>IFERROR(IF(WORKDAY.INTL(B36,1,1,'Days off'!$B$2:$B$50)&lt;=$P$2,WORKDAY.INTL(B36,1,1,'Days off'!$B$2:$B$50),""),"")</f>
        <v>43126</v>
      </c>
      <c r="C37" s="80" t="str">
        <f>IF(C36=12,"",IF(C36="","",IF(C36="DayOff",C35+1,IFERROR(IF(VLOOKUP(B37,'Days off'!$B$2:$B$50,1,FALSE)=Parameters!B37,"DayOff",""),Parameters!C36+1))))</f>
        <v/>
      </c>
      <c r="D37" s="16">
        <f>IFERROR(IF(WORKDAY.INTL(D36,1,1,'Days off'!$B$2:$B$50)&lt;=$P$3,WORKDAY.INTL(D36,1,1,'Days off'!$B$2:$B$50),""),"")</f>
        <v>43158</v>
      </c>
      <c r="E37" s="80" t="str">
        <f>IF(E36=12,"",IF(E36="","",IF(E36="DayOff",E35+1,IFERROR(IF(VLOOKUP(D37,'Days off'!$B$2:$B$50,1,FALSE)=Parameters!D37,"DayOff",""),Parameters!E36+1))))</f>
        <v/>
      </c>
      <c r="F37" s="16">
        <f>IFERROR(IF(WORKDAY.INTL(F36,1,1,'Days off'!$B$2:$B$50)&lt;=$P$4,WORKDAY.INTL(F36,1,1,'Days off'!$B$2:$B$50),""),"")</f>
        <v>43186</v>
      </c>
      <c r="G37" s="80" t="str">
        <f>IF(G36=12,"",IF(G36="","",IF(G36="DayOff",G35+1,IFERROR(IF(VLOOKUP(F37,'Days off'!$B$2:$B$50,1,FALSE)=Parameters!F37,"DayOff",""),Parameters!G36+1))))</f>
        <v/>
      </c>
      <c r="H37" s="16">
        <f>IFERROR(IF(WORKDAY.INTL(H36,1,1,'Days off'!$B$2:$B$50)&lt;=$P$5,WORKDAY.INTL(H36,1,1,'Days off'!$B$2:$B$50),""),"")</f>
        <v>43217</v>
      </c>
      <c r="I37" s="80" t="str">
        <f>IF(I36=12,"",IF(I36="","",IF(I36="DayOff",I35+1,IFERROR(IF(VLOOKUP(H37,'Days off'!$B$2:$B$50,1,FALSE)=Parameters!H37,"DayOff",""),Parameters!I36+1))))</f>
        <v/>
      </c>
      <c r="J37" s="16">
        <f>IFERROR(IF(WORKDAY.INTL(J36,1,1,'Days off'!$B$2:$B$50)&lt;=$P$6,WORKDAY.INTL(J36,1,1,'Days off'!$B$2:$B$50),""),"")</f>
        <v>43251</v>
      </c>
      <c r="K37" s="80" t="str">
        <f>IF(K36=12,"",IF(K36="","",IF(K36="DayOff",K35+1,IFERROR(IF(VLOOKUP(J37,'Days off'!$B$2:$B$50,1,FALSE)=Parameters!J37,"DayOff",""),Parameters!K36+1))))</f>
        <v/>
      </c>
      <c r="L37" s="16">
        <f>IFERROR(IF(WORKDAY.INTL(L36,1,1,'Days off'!$B$2:$B$50)&lt;=$P$7,WORKDAY.INTL(L36,1,1,'Days off'!$B$2:$B$50),""),"")</f>
        <v>43278</v>
      </c>
      <c r="M37" s="80" t="str">
        <f>IF(M36=12,"",IF(M36="","",IF(M36="DayOff",M35+1,IFERROR(IF(VLOOKUP(L37,'Days off'!$B$2:$B$50,1,FALSE)=Parameters!L37,"DayOff",""),Parameters!M36+1))))</f>
        <v/>
      </c>
    </row>
    <row r="38" spans="2:13" x14ac:dyDescent="0.2">
      <c r="B38" s="16">
        <f>IFERROR(IF(WORKDAY.INTL(B37,1,1,'Days off'!$B$2:$B$50)&lt;=$P$2,WORKDAY.INTL(B37,1,1,'Days off'!$B$2:$B$50),""),"")</f>
        <v>43129</v>
      </c>
      <c r="C38" s="80" t="str">
        <f>IF(C37=12,"",IF(C37="","",IF(C37="DayOff",C36+1,IFERROR(IF(VLOOKUP(B38,'Days off'!$B$2:$B$50,1,FALSE)=Parameters!B38,"DayOff",""),Parameters!C37+1))))</f>
        <v/>
      </c>
      <c r="D38" s="16">
        <f>IFERROR(IF(WORKDAY.INTL(D37,1,1,'Days off'!$B$2:$B$50)&lt;=$P$3,WORKDAY.INTL(D37,1,1,'Days off'!$B$2:$B$50),""),"")</f>
        <v>43159</v>
      </c>
      <c r="E38" s="80" t="str">
        <f>IF(E37=12,"",IF(E37="","",IF(E37="DayOff",E36+1,IFERROR(IF(VLOOKUP(D38,'Days off'!$B$2:$B$50,1,FALSE)=Parameters!D38,"DayOff",""),Parameters!E37+1))))</f>
        <v/>
      </c>
      <c r="F38" s="16">
        <f>IFERROR(IF(WORKDAY.INTL(F37,1,1,'Days off'!$B$2:$B$50)&lt;=$P$4,WORKDAY.INTL(F37,1,1,'Days off'!$B$2:$B$50),""),"")</f>
        <v>43187</v>
      </c>
      <c r="G38" s="80" t="str">
        <f>IF(G37=12,"",IF(G37="","",IF(G37="DayOff",G36+1,IFERROR(IF(VLOOKUP(F38,'Days off'!$B$2:$B$50,1,FALSE)=Parameters!F38,"DayOff",""),Parameters!G37+1))))</f>
        <v/>
      </c>
      <c r="H38" s="16">
        <f>IFERROR(IF(WORKDAY.INTL(H37,1,1,'Days off'!$B$2:$B$50)&lt;=$P$5,WORKDAY.INTL(H37,1,1,'Days off'!$B$2:$B$50),""),"")</f>
        <v>43220</v>
      </c>
      <c r="I38" s="80" t="str">
        <f>IF(I37=12,"",IF(I37="","",IF(I37="DayOff",I36+1,IFERROR(IF(VLOOKUP(H38,'Days off'!$B$2:$B$50,1,FALSE)=Parameters!H38,"DayOff",""),Parameters!I37+1))))</f>
        <v/>
      </c>
      <c r="J38" s="16" t="str">
        <f>IFERROR(IF(WORKDAY.INTL(J37,1,1,'Days off'!$B$2:$B$50)&lt;=$P$6,WORKDAY.INTL(J37,1,1,'Days off'!$B$2:$B$50),""),"")</f>
        <v/>
      </c>
      <c r="K38" s="80" t="str">
        <f>IF(K37=12,"",IF(K37="","",IF(K37="DayOff",K36+1,IFERROR(IF(VLOOKUP(J38,'Days off'!$B$2:$B$50,1,FALSE)=Parameters!J38,"DayOff",""),Parameters!K37+1))))</f>
        <v/>
      </c>
      <c r="L38" s="16">
        <f>IFERROR(IF(WORKDAY.INTL(L37,1,1,'Days off'!$B$2:$B$50)&lt;=$P$7,WORKDAY.INTL(L37,1,1,'Days off'!$B$2:$B$50),""),"")</f>
        <v>43279</v>
      </c>
      <c r="M38" s="80" t="str">
        <f>IF(M37=12,"",IF(M37="","",IF(M37="DayOff",M36+1,IFERROR(IF(VLOOKUP(L38,'Days off'!$B$2:$B$50,1,FALSE)=Parameters!L38,"DayOff",""),Parameters!M37+1))))</f>
        <v/>
      </c>
    </row>
    <row r="39" spans="2:13" x14ac:dyDescent="0.2">
      <c r="B39" s="16">
        <f>IFERROR(IF(WORKDAY.INTL(B38,1,1,'Days off'!$B$2:$B$50)&lt;=$P$2,WORKDAY.INTL(B38,1,1,'Days off'!$B$2:$B$50),""),"")</f>
        <v>43130</v>
      </c>
      <c r="C39" s="80" t="str">
        <f>IF(C38=12,"",IF(C38="","",IF(C38="DayOff",C37+1,IFERROR(IF(VLOOKUP(B39,'Days off'!$B$2:$B$50,1,FALSE)=Parameters!B39,"DayOff",""),Parameters!C38+1))))</f>
        <v/>
      </c>
      <c r="D39" s="16" t="str">
        <f>IFERROR(IF(WORKDAY.INTL(D38,1,1,'Days off'!$B$2:$B$50)&lt;=$P$3,WORKDAY.INTL(D38,1,1,'Days off'!$B$2:$B$50),""),"")</f>
        <v/>
      </c>
      <c r="E39" s="80" t="str">
        <f>IF(E38=12,"",IF(E38="","",IF(E38="DayOff",E37+1,IFERROR(IF(VLOOKUP(D39,'Days off'!$B$2:$B$50,1,FALSE)=Parameters!D39,"DayOff",""),Parameters!E38+1))))</f>
        <v/>
      </c>
      <c r="F39" s="16">
        <f>IFERROR(IF(WORKDAY.INTL(F38,1,1,'Days off'!$B$2:$B$50)&lt;=$P$4,WORKDAY.INTL(F38,1,1,'Days off'!$B$2:$B$50),""),"")</f>
        <v>43188</v>
      </c>
      <c r="G39" s="80" t="str">
        <f>IF(G38=12,"",IF(G38="","",IF(G38="DayOff",G37+1,IFERROR(IF(VLOOKUP(F39,'Days off'!$B$2:$B$50,1,FALSE)=Parameters!F39,"DayOff",""),Parameters!G38+1))))</f>
        <v/>
      </c>
      <c r="H39" s="16" t="str">
        <f>IFERROR(IF(WORKDAY.INTL(H38,1,1,'Days off'!$B$2:$B$50)&lt;=$P$5,WORKDAY.INTL(H38,1,1,'Days off'!$B$2:$B$50),""),"")</f>
        <v/>
      </c>
      <c r="I39" s="80" t="str">
        <f>IF(I38=12,"",IF(I38="","",IF(I38="DayOff",I37+1,IFERROR(IF(VLOOKUP(H39,'Days off'!$B$2:$B$50,1,FALSE)=Parameters!H39,"DayOff",""),Parameters!I38+1))))</f>
        <v/>
      </c>
      <c r="J39" s="16" t="str">
        <f>IFERROR(IF(WORKDAY.INTL(J38,1,1,'Days off'!$B$2:$B$50)&lt;=$P$6,WORKDAY.INTL(J38,1,1,'Days off'!$B$2:$B$50),""),"")</f>
        <v/>
      </c>
      <c r="K39" s="80" t="str">
        <f>IF(K38=12,"",IF(K38="","",IF(K38="DayOff",K37+1,IFERROR(IF(VLOOKUP(J39,'Days off'!$B$2:$B$50,1,FALSE)=Parameters!J39,"DayOff",""),Parameters!K38+1))))</f>
        <v/>
      </c>
      <c r="L39" s="16">
        <f>IFERROR(IF(WORKDAY.INTL(L38,1,1,'Days off'!$B$2:$B$50)&lt;=$P$7,WORKDAY.INTL(L38,1,1,'Days off'!$B$2:$B$50),""),"")</f>
        <v>43280</v>
      </c>
      <c r="M39" s="80" t="str">
        <f>IF(M38=12,"",IF(M38="","",IF(M38="DayOff",M37+1,IFERROR(IF(VLOOKUP(L39,'Days off'!$B$2:$B$50,1,FALSE)=Parameters!L39,"DayOff",""),Parameters!M38+1))))</f>
        <v/>
      </c>
    </row>
    <row r="40" spans="2:13" x14ac:dyDescent="0.2">
      <c r="B40" s="16">
        <f>IFERROR(IF(WORKDAY.INTL(B39,1,1,'Days off'!$B$2:$B$50)&lt;=$P$2,WORKDAY.INTL(B39,1,1,'Days off'!$B$2:$B$50),""),"")</f>
        <v>43131</v>
      </c>
      <c r="C40" s="80" t="str">
        <f>IF(C39=12,"",IF(C39="","",IF(C39="DayOff",C38+1,IFERROR(IF(VLOOKUP(B40,'Days off'!$B$2:$B$50,1,FALSE)=Parameters!B40,"DayOff",""),Parameters!C39+1))))</f>
        <v/>
      </c>
      <c r="D40" s="16" t="str">
        <f>IFERROR(IF(WORKDAY.INTL(D39,1,1,'Days off'!$B$2:$B$50)&lt;=$P$3,WORKDAY.INTL(D39,1,1,'Days off'!$B$2:$B$50),""),"")</f>
        <v/>
      </c>
      <c r="E40" s="80" t="str">
        <f>IF(E39=12,"",IF(E39="","",IF(E39="DayOff",E38+1,IFERROR(IF(VLOOKUP(D40,'Days off'!$B$2:$B$50,1,FALSE)=Parameters!D40,"DayOff",""),Parameters!E39+1))))</f>
        <v/>
      </c>
      <c r="F40" s="16">
        <f>IFERROR(IF(WORKDAY.INTL(F39,1,1,'Days off'!$B$2:$B$50)&lt;=$P$4,WORKDAY.INTL(F39,1,1,'Days off'!$B$2:$B$50),""),"")</f>
        <v>43189</v>
      </c>
      <c r="G40" s="80" t="str">
        <f>IF(G39=12,"",IF(G39="","",IF(G39="DayOff",G38+1,IFERROR(IF(VLOOKUP(F40,'Days off'!$B$2:$B$50,1,FALSE)=Parameters!F40,"DayOff",""),Parameters!G39+1))))</f>
        <v/>
      </c>
      <c r="H40" s="16" t="str">
        <f>IFERROR(IF(WORKDAY.INTL(H39,1,1,'Days off'!$B$2:$B$50)&lt;=$P$5,WORKDAY.INTL(H39,1,1,'Days off'!$B$2:$B$50),""),"")</f>
        <v/>
      </c>
      <c r="I40" s="80" t="str">
        <f>IF(I39=12,"",IF(I39="","",IF(I39="DayOff",I38+1,IFERROR(IF(VLOOKUP(H40,'Days off'!$B$2:$B$50,1,FALSE)=Parameters!H40,"DayOff",""),Parameters!I39+1))))</f>
        <v/>
      </c>
      <c r="J40" s="16" t="str">
        <f>IFERROR(IF(WORKDAY.INTL(J39,1,1,'Days off'!$B$2:$B$50)&lt;=$P$6,WORKDAY.INTL(J39,1,1,'Days off'!$B$2:$B$50),""),"")</f>
        <v/>
      </c>
      <c r="K40" s="80" t="str">
        <f>IF(K39=12,"",IF(K39="","",IF(K39="DayOff",K38+1,IFERROR(IF(VLOOKUP(J40,'Days off'!$B$2:$B$50,1,FALSE)=Parameters!J40,"DayOff",""),Parameters!K39+1))))</f>
        <v/>
      </c>
      <c r="L40" s="16" t="str">
        <f>IFERROR(IF(WORKDAY.INTL(L39,1,1,'Days off'!$B$2:$B$50)&lt;=$P$7,WORKDAY.INTL(L39,1,1,'Days off'!$B$2:$B$50),""),"")</f>
        <v/>
      </c>
      <c r="M40" s="80" t="str">
        <f>IF(M39=12,"",IF(M39="","",IF(M39="DayOff",M38+1,IFERROR(IF(VLOOKUP(L40,'Days off'!$B$2:$B$50,1,FALSE)=Parameters!L40,"DayOff",""),Parameters!M39+1))))</f>
        <v/>
      </c>
    </row>
    <row r="41" spans="2:13" x14ac:dyDescent="0.2">
      <c r="B41" s="16" t="str">
        <f>IFERROR(IF(WORKDAY.INTL(B40,1,1,'Days off'!$B$2:$B$50)&lt;=$P$2,WORKDAY.INTL(B40,1,1,'Days off'!$B$2:$B$50),""),"")</f>
        <v/>
      </c>
      <c r="C41" s="80" t="str">
        <f>IF(C40=12,"",IF(C40="","",IF(C40="DayOff",C39+1,IFERROR(IF(VLOOKUP(B41,'Days off'!$B$2:$B$50,1,FALSE)=Parameters!B41,"DayOff",""),Parameters!C40+1))))</f>
        <v/>
      </c>
      <c r="D41" s="16" t="str">
        <f>IFERROR(IF(WORKDAY.INTL(D40,1,1,'Days off'!$B$2:$B$50)&lt;=$P$3,WORKDAY.INTL(D40,1,1,'Days off'!$B$2:$B$50),""),"")</f>
        <v/>
      </c>
      <c r="E41" s="80" t="str">
        <f>IF(E40=12,"",IF(E40="","",IF(E40="DayOff",E39+1,IFERROR(IF(VLOOKUP(D41,'Days off'!$B$2:$B$50,1,FALSE)=Parameters!D41,"DayOff",""),Parameters!E40+1))))</f>
        <v/>
      </c>
      <c r="F41" s="16" t="str">
        <f>IFERROR(IF(WORKDAY.INTL(F40,1,1,'Days off'!$B$2:$B$50)&lt;=$P$4,WORKDAY.INTL(F40,1,1,'Days off'!$B$2:$B$50),""),"")</f>
        <v/>
      </c>
      <c r="G41" s="80" t="str">
        <f>IF(G40=12,"",IF(G40="","",IF(G40="DayOff",G39+1,IFERROR(IF(VLOOKUP(F41,'Days off'!$B$2:$B$50,1,FALSE)=Parameters!F41,"DayOff",""),Parameters!G40+1))))</f>
        <v/>
      </c>
      <c r="H41" s="16" t="str">
        <f>IFERROR(IF(WORKDAY.INTL(H40,1,1,'Days off'!$B$2:$B$50)&lt;=$P$5,WORKDAY.INTL(H40,1,1,'Days off'!$B$2:$B$50),""),"")</f>
        <v/>
      </c>
      <c r="I41" s="80" t="str">
        <f>IF(I40=12,"",IF(I40="","",IF(I40="DayOff",I39+1,IFERROR(IF(VLOOKUP(H41,'Days off'!$B$2:$B$50,1,FALSE)=Parameters!H41,"DayOff",""),Parameters!I40+1))))</f>
        <v/>
      </c>
      <c r="J41" s="16" t="str">
        <f>IFERROR(IF(WORKDAY.INTL(J40,1,1,'Days off'!$B$2:$B$50)&lt;=$P$6,WORKDAY.INTL(J40,1,1,'Days off'!$B$2:$B$50),""),"")</f>
        <v/>
      </c>
      <c r="K41" s="80" t="str">
        <f>IF(K40=12,"",IF(K40="","",IF(K40="DayOff",K39+1,IFERROR(IF(VLOOKUP(J41,'Days off'!$B$2:$B$50,1,FALSE)=Parameters!J41,"DayOff",""),Parameters!K40+1))))</f>
        <v/>
      </c>
      <c r="L41" s="16" t="str">
        <f>IFERROR(IF(WORKDAY.INTL(L40,1,1,'Days off'!$B$2:$B$50)&lt;=$P$7,WORKDAY.INTL(L40,1,1,'Days off'!$B$2:$B$50),""),"")</f>
        <v/>
      </c>
      <c r="M41" s="80" t="str">
        <f>IF(M40=12,"",IF(M40="","",IF(M40="DayOff",M39+1,IFERROR(IF(VLOOKUP(L41,'Days off'!$B$2:$B$50,1,FALSE)=Parameters!L41,"DayOff",""),Parameters!M40+1))))</f>
        <v/>
      </c>
    </row>
    <row r="42" spans="2:13" x14ac:dyDescent="0.2">
      <c r="B42" s="16" t="str">
        <f>IFERROR(IF(WORKDAY.INTL(B41,1,1,'Days off'!$B$2:$B$50)&lt;=$P$2,WORKDAY.INTL(B41,1,1,'Days off'!$B$2:$B$50),""),"")</f>
        <v/>
      </c>
      <c r="C42" s="80" t="str">
        <f>IF(C41=12,"",IF(C41="","",IF(C41="DayOff",C40+1,IFERROR(IF(VLOOKUP(B42,'Days off'!$B$2:$B$50,1,FALSE)=Parameters!B42,"DayOff",""),Parameters!C41+1))))</f>
        <v/>
      </c>
      <c r="D42" s="16" t="str">
        <f>IFERROR(IF(WORKDAY.INTL(D41,1,1,'Days off'!$B$2:$B$50)&lt;=$P$3,WORKDAY.INTL(D41,1,1,'Days off'!$B$2:$B$50),""),"")</f>
        <v/>
      </c>
      <c r="E42" s="80" t="str">
        <f>IF(E41=12,"",IF(E41="","",IF(E41="DayOff",E40+1,IFERROR(IF(VLOOKUP(D42,'Days off'!$B$2:$B$50,1,FALSE)=Parameters!D42,"DayOff",""),Parameters!E41+1))))</f>
        <v/>
      </c>
      <c r="F42" s="16" t="str">
        <f>IFERROR(IF(WORKDAY.INTL(F41,1,1,'Days off'!$B$2:$B$50)&lt;=$P$4,WORKDAY.INTL(F41,1,1,'Days off'!$B$2:$B$50),""),"")</f>
        <v/>
      </c>
      <c r="G42" s="80" t="str">
        <f>IF(G41=12,"",IF(G41="","",IF(G41="DayOff",G40+1,IFERROR(IF(VLOOKUP(F42,'Days off'!$B$2:$B$50,1,FALSE)=Parameters!F42,"DayOff",""),Parameters!G41+1))))</f>
        <v/>
      </c>
      <c r="H42" s="16" t="str">
        <f>IFERROR(IF(WORKDAY.INTL(H41,1,1,'Days off'!$B$2:$B$50)&lt;=$P$5,WORKDAY.INTL(H41,1,1,'Days off'!$B$2:$B$50),""),"")</f>
        <v/>
      </c>
      <c r="I42" s="80" t="str">
        <f>IF(I41=12,"",IF(I41="","",IF(I41="DayOff",I40+1,IFERROR(IF(VLOOKUP(H42,'Days off'!$B$2:$B$50,1,FALSE)=Parameters!H42,"DayOff",""),Parameters!I41+1))))</f>
        <v/>
      </c>
      <c r="J42" s="16" t="str">
        <f>IFERROR(IF(WORKDAY.INTL(J41,1,1,'Days off'!$B$2:$B$50)&lt;=$P$6,WORKDAY.INTL(J41,1,1,'Days off'!$B$2:$B$50),""),"")</f>
        <v/>
      </c>
      <c r="K42" s="80" t="str">
        <f>IF(K41=12,"",IF(K41="","",IF(K41="DayOff",K40+1,IFERROR(IF(VLOOKUP(J42,'Days off'!$B$2:$B$50,1,FALSE)=Parameters!J42,"DayOff",""),Parameters!K41+1))))</f>
        <v/>
      </c>
      <c r="L42" s="16" t="str">
        <f>IFERROR(IF(WORKDAY.INTL(L41,1,1,'Days off'!$B$2:$B$50)&lt;=$P$7,WORKDAY.INTL(L41,1,1,'Days off'!$B$2:$B$50),""),"")</f>
        <v/>
      </c>
      <c r="M42" s="80" t="str">
        <f>IF(M41=12,"",IF(M41="","",IF(M41="DayOff",M40+1,IFERROR(IF(VLOOKUP(L42,'Days off'!$B$2:$B$50,1,FALSE)=Parameters!L42,"DayOff",""),Parameters!M41+1))))</f>
        <v/>
      </c>
    </row>
    <row r="43" spans="2:13" x14ac:dyDescent="0.2">
      <c r="B43" s="16" t="str">
        <f>IFERROR(IF(WORKDAY.INTL(B42,1,1,'Days off'!$B$2:$B$50)&lt;=$P$2,WORKDAY.INTL(B42,1,1,'Days off'!$B$2:$B$50),""),"")</f>
        <v/>
      </c>
      <c r="C43" s="80" t="str">
        <f>IF(C42=12,"",IF(C42="","",IF(C42="DayOff",C41+1,IFERROR(IF(VLOOKUP(B43,'Days off'!$B$2:$B$50,1,FALSE)=Parameters!B43,"DayOff",""),Parameters!C42+1))))</f>
        <v/>
      </c>
      <c r="D43" s="16" t="str">
        <f>IFERROR(IF(WORKDAY.INTL(D42,1,1,'Days off'!$B$2:$B$50)&lt;=$P$3,WORKDAY.INTL(D42,1,1,'Days off'!$B$2:$B$50),""),"")</f>
        <v/>
      </c>
      <c r="E43" s="80" t="str">
        <f>IF(E42=12,"",IF(E42="","",IF(E42="DayOff",E41+1,IFERROR(IF(VLOOKUP(D43,'Days off'!$B$2:$B$50,1,FALSE)=Parameters!D43,"DayOff",""),Parameters!E42+1))))</f>
        <v/>
      </c>
      <c r="F43" s="16" t="str">
        <f>IFERROR(IF(WORKDAY.INTL(F42,1,1,'Days off'!$B$2:$B$50)&lt;=$P$4,WORKDAY.INTL(F42,1,1,'Days off'!$B$2:$B$50),""),"")</f>
        <v/>
      </c>
      <c r="G43" s="80" t="str">
        <f>IF(G42=12,"",IF(G42="","",IF(G42="DayOff",G41+1,IFERROR(IF(VLOOKUP(F43,'Days off'!$B$2:$B$50,1,FALSE)=Parameters!F43,"DayOff",""),Parameters!G42+1))))</f>
        <v/>
      </c>
      <c r="H43" s="16" t="str">
        <f>IFERROR(IF(WORKDAY.INTL(H42,1,1,'Days off'!$B$2:$B$50)&lt;=$P$5,WORKDAY.INTL(H42,1,1,'Days off'!$B$2:$B$50),""),"")</f>
        <v/>
      </c>
      <c r="I43" s="80" t="str">
        <f>IF(I42=12,"",IF(I42="","",IF(I42="DayOff",I41+1,IFERROR(IF(VLOOKUP(H43,'Days off'!$B$2:$B$50,1,FALSE)=Parameters!H43,"DayOff",""),Parameters!I42+1))))</f>
        <v/>
      </c>
      <c r="J43" s="16" t="str">
        <f>IFERROR(IF(WORKDAY.INTL(J42,1,1,'Days off'!$B$2:$B$50)&lt;=$P$6,WORKDAY.INTL(J42,1,1,'Days off'!$B$2:$B$50),""),"")</f>
        <v/>
      </c>
      <c r="K43" s="80" t="str">
        <f>IF(K42=12,"",IF(K42="","",IF(K42="DayOff",K41+1,IFERROR(IF(VLOOKUP(J43,'Days off'!$B$2:$B$50,1,FALSE)=Parameters!J43,"DayOff",""),Parameters!K42+1))))</f>
        <v/>
      </c>
      <c r="L43" s="16" t="str">
        <f>IFERROR(IF(WORKDAY.INTL(L42,1,1,'Days off'!$B$2:$B$50)&lt;=$P$7,WORKDAY.INTL(L42,1,1,'Days off'!$B$2:$B$50),""),"")</f>
        <v/>
      </c>
      <c r="M43" s="80" t="str">
        <f>IF(M42=12,"",IF(M42="","",IF(M42="DayOff",M41+1,IFERROR(IF(VLOOKUP(L43,'Days off'!$B$2:$B$50,1,FALSE)=Parameters!L43,"DayOff",""),Parameters!M42+1))))</f>
        <v/>
      </c>
    </row>
    <row r="44" spans="2:13" x14ac:dyDescent="0.2">
      <c r="B44" s="16" t="str">
        <f>IFERROR(IF(WORKDAY.INTL(B43,1,1,'Days off'!$B$2:$B$50)&lt;=$P$2,WORKDAY.INTL(B43,1,1,'Days off'!$B$2:$B$50),""),"")</f>
        <v/>
      </c>
      <c r="C44" s="80" t="str">
        <f>IF(C43=12,"",IF(C43="","",IF(C43="DayOff",C42+1,IFERROR(IF(VLOOKUP(B44,'Days off'!$B$2:$B$50,1,FALSE)=Parameters!B44,"DayOff",""),Parameters!C43+1))))</f>
        <v/>
      </c>
      <c r="D44" s="16" t="str">
        <f>IFERROR(IF(WORKDAY.INTL(D43,1,1,'Days off'!$B$2:$B$50)&lt;=$P$3,WORKDAY.INTL(D43,1,1,'Days off'!$B$2:$B$50),""),"")</f>
        <v/>
      </c>
      <c r="E44" s="80" t="str">
        <f>IF(E43=12,"",IF(E43="","",IF(E43="DayOff",E42+1,IFERROR(IF(VLOOKUP(D44,'Days off'!$B$2:$B$50,1,FALSE)=Parameters!D44,"DayOff",""),Parameters!E43+1))))</f>
        <v/>
      </c>
      <c r="F44" s="16" t="str">
        <f>IFERROR(IF(WORKDAY.INTL(F43,1,1,'Days off'!$B$2:$B$50)&lt;=$P$4,WORKDAY.INTL(F43,1,1,'Days off'!$B$2:$B$50),""),"")</f>
        <v/>
      </c>
      <c r="G44" s="80" t="str">
        <f>IF(G43=12,"",IF(G43="","",IF(G43="DayOff",G42+1,IFERROR(IF(VLOOKUP(F44,'Days off'!$B$2:$B$50,1,FALSE)=Parameters!F44,"DayOff",""),Parameters!G43+1))))</f>
        <v/>
      </c>
      <c r="H44" s="16" t="str">
        <f>IFERROR(IF(WORKDAY.INTL(H43,1,1,'Days off'!$B$2:$B$50)&lt;=$P$5,WORKDAY.INTL(H43,1,1,'Days off'!$B$2:$B$50),""),"")</f>
        <v/>
      </c>
      <c r="I44" s="80" t="str">
        <f>IF(I43=12,"",IF(I43="","",IF(I43="DayOff",I42+1,IFERROR(IF(VLOOKUP(H44,'Days off'!$B$2:$B$50,1,FALSE)=Parameters!H44,"DayOff",""),Parameters!I43+1))))</f>
        <v/>
      </c>
      <c r="J44" s="16" t="str">
        <f>IFERROR(IF(WORKDAY.INTL(J43,1,1,'Days off'!$B$2:$B$50)&lt;=$P$6,WORKDAY.INTL(J43,1,1,'Days off'!$B$2:$B$50),""),"")</f>
        <v/>
      </c>
      <c r="K44" s="80" t="str">
        <f>IF(K43=12,"",IF(K43="","",IF(K43="DayOff",K42+1,IFERROR(IF(VLOOKUP(J44,'Days off'!$B$2:$B$50,1,FALSE)=Parameters!J44,"DayOff",""),Parameters!K43+1))))</f>
        <v/>
      </c>
      <c r="L44" s="16" t="str">
        <f>IFERROR(IF(WORKDAY.INTL(L43,1,1,'Days off'!$B$2:$B$50)&lt;=$P$7,WORKDAY.INTL(L43,1,1,'Days off'!$B$2:$B$50),""),"")</f>
        <v/>
      </c>
      <c r="M44" s="80" t="str">
        <f>IF(M43=12,"",IF(M43="","",IF(M43="DayOff",M42+1,IFERROR(IF(VLOOKUP(L44,'Days off'!$B$2:$B$50,1,FALSE)=Parameters!L44,"DayOff",""),Parameters!M43+1))))</f>
        <v/>
      </c>
    </row>
    <row r="45" spans="2:13" x14ac:dyDescent="0.2">
      <c r="B45" s="16" t="str">
        <f>IFERROR(IF(WORKDAY.INTL(B44,1,1,'Days off'!$B$2:$B$50)&lt;=$P$2,WORKDAY.INTL(B44,1,1,'Days off'!$B$2:$B$50),""),"")</f>
        <v/>
      </c>
      <c r="C45" s="80" t="str">
        <f>IF(C44=12,"",IF(C44="","",IF(C44="DayOff",C43+1,IFERROR(IF(VLOOKUP(B45,'Days off'!$B$2:$B$50,1,FALSE)=Parameters!B45,"DayOff",""),Parameters!C44+1))))</f>
        <v/>
      </c>
      <c r="D45" s="16" t="str">
        <f>IFERROR(IF(WORKDAY.INTL(D44,1,1,'Days off'!$B$2:$B$50)&lt;=$P$3,WORKDAY.INTL(D44,1,1,'Days off'!$B$2:$B$50),""),"")</f>
        <v/>
      </c>
      <c r="E45" s="80" t="str">
        <f>IF(E44=12,"",IF(E44="","",IF(E44="DayOff",E43+1,IFERROR(IF(VLOOKUP(D45,'Days off'!$B$2:$B$50,1,FALSE)=Parameters!D45,"DayOff",""),Parameters!E44+1))))</f>
        <v/>
      </c>
      <c r="F45" s="16" t="str">
        <f>IFERROR(IF(WORKDAY.INTL(F44,1,1,'Days off'!$B$2:$B$50)&lt;=$P$4,WORKDAY.INTL(F44,1,1,'Days off'!$B$2:$B$50),""),"")</f>
        <v/>
      </c>
      <c r="G45" s="80" t="str">
        <f>IF(G44=12,"",IF(G44="","",IF(G44="DayOff",G43+1,IFERROR(IF(VLOOKUP(F45,'Days off'!$B$2:$B$50,1,FALSE)=Parameters!F45,"DayOff",""),Parameters!G44+1))))</f>
        <v/>
      </c>
      <c r="H45" s="16" t="str">
        <f>IFERROR(IF(WORKDAY.INTL(H44,1,1,'Days off'!$B$2:$B$50)&lt;=$P$5,WORKDAY.INTL(H44,1,1,'Days off'!$B$2:$B$50),""),"")</f>
        <v/>
      </c>
      <c r="I45" s="80" t="str">
        <f>IF(I44=12,"",IF(I44="","",IF(I44="DayOff",I43+1,IFERROR(IF(VLOOKUP(H45,'Days off'!$B$2:$B$50,1,FALSE)=Parameters!H45,"DayOff",""),Parameters!I44+1))))</f>
        <v/>
      </c>
      <c r="J45" s="16" t="str">
        <f>IFERROR(IF(WORKDAY.INTL(J44,1,1,'Days off'!$B$2:$B$50)&lt;=$P$6,WORKDAY.INTL(J44,1,1,'Days off'!$B$2:$B$50),""),"")</f>
        <v/>
      </c>
      <c r="K45" s="80" t="str">
        <f>IF(K44=12,"",IF(K44="","",IF(K44="DayOff",K43+1,IFERROR(IF(VLOOKUP(J45,'Days off'!$B$2:$B$50,1,FALSE)=Parameters!J45,"DayOff",""),Parameters!K44+1))))</f>
        <v/>
      </c>
      <c r="L45" s="16" t="str">
        <f>IFERROR(IF(WORKDAY.INTL(L44,1,1,'Days off'!$B$2:$B$50)&lt;=$P$7,WORKDAY.INTL(L44,1,1,'Days off'!$B$2:$B$50),""),"")</f>
        <v/>
      </c>
      <c r="M45" s="80" t="str">
        <f>IF(M44=12,"",IF(M44="","",IF(M44="DayOff",M43+1,IFERROR(IF(VLOOKUP(L45,'Days off'!$B$2:$B$50,1,FALSE)=Parameters!L45,"DayOff",""),Parameters!M44+1))))</f>
        <v/>
      </c>
    </row>
    <row r="46" spans="2:13" x14ac:dyDescent="0.2">
      <c r="B46" s="16" t="str">
        <f>IFERROR(IF(WORKDAY.INTL(B45,1,1,'Days off'!$B$2:$B$50)&lt;=$P$2,WORKDAY.INTL(B45,1,1,'Days off'!$B$2:$B$50),""),"")</f>
        <v/>
      </c>
      <c r="C46" s="80" t="str">
        <f>IF(C45=12,"",IF(C45="","",IF(C45="DayOff",C44+1,IFERROR(IF(VLOOKUP(B46,'Days off'!$B$2:$B$50,1,FALSE)=Parameters!B46,"DayOff",""),Parameters!C45+1))))</f>
        <v/>
      </c>
      <c r="D46" s="16" t="str">
        <f>IFERROR(IF(WORKDAY.INTL(D45,1,1,'Days off'!$B$2:$B$50)&lt;=$P$3,WORKDAY.INTL(D45,1,1,'Days off'!$B$2:$B$50),""),"")</f>
        <v/>
      </c>
      <c r="E46" s="80" t="str">
        <f>IF(E45=12,"",IF(E45="","",IF(E45="DayOff",E44+1,IFERROR(IF(VLOOKUP(D46,'Days off'!$B$2:$B$50,1,FALSE)=Parameters!D46,"DayOff",""),Parameters!E45+1))))</f>
        <v/>
      </c>
      <c r="F46" s="16" t="str">
        <f>IFERROR(IF(WORKDAY.INTL(F45,1,1,'Days off'!$B$2:$B$50)&lt;=$P$4,WORKDAY.INTL(F45,1,1,'Days off'!$B$2:$B$50),""),"")</f>
        <v/>
      </c>
      <c r="G46" s="80" t="str">
        <f>IF(G45=12,"",IF(G45="","",IF(G45="DayOff",G44+1,IFERROR(IF(VLOOKUP(F46,'Days off'!$B$2:$B$50,1,FALSE)=Parameters!F46,"DayOff",""),Parameters!G45+1))))</f>
        <v/>
      </c>
      <c r="H46" s="16" t="str">
        <f>IFERROR(IF(WORKDAY.INTL(H45,1,1,'Days off'!$B$2:$B$50)&lt;=$P$5,WORKDAY.INTL(H45,1,1,'Days off'!$B$2:$B$50),""),"")</f>
        <v/>
      </c>
      <c r="I46" s="80" t="str">
        <f>IF(I45=12,"",IF(I45="","",IF(I45="DayOff",I44+1,IFERROR(IF(VLOOKUP(H46,'Days off'!$B$2:$B$50,1,FALSE)=Parameters!H46,"DayOff",""),Parameters!I45+1))))</f>
        <v/>
      </c>
      <c r="J46" s="16" t="str">
        <f>IFERROR(IF(WORKDAY.INTL(J45,1,1,'Days off'!$B$2:$B$50)&lt;=$P$6,WORKDAY.INTL(J45,1,1,'Days off'!$B$2:$B$50),""),"")</f>
        <v/>
      </c>
      <c r="K46" s="80" t="str">
        <f>IF(K45=12,"",IF(K45="","",IF(K45="DayOff",K44+1,IFERROR(IF(VLOOKUP(J46,'Days off'!$B$2:$B$50,1,FALSE)=Parameters!J46,"DayOff",""),Parameters!K45+1))))</f>
        <v/>
      </c>
      <c r="L46" s="16" t="str">
        <f>IFERROR(IF(WORKDAY.INTL(L45,1,1,'Days off'!$B$2:$B$50)&lt;=$P$7,WORKDAY.INTL(L45,1,1,'Days off'!$B$2:$B$50),""),"")</f>
        <v/>
      </c>
      <c r="M46" s="80" t="str">
        <f>IF(M45=12,"",IF(M45="","",IF(M45="DayOff",M44+1,IFERROR(IF(VLOOKUP(L46,'Days off'!$B$2:$B$50,1,FALSE)=Parameters!L46,"DayOff",""),Parameters!M45+1))))</f>
        <v/>
      </c>
    </row>
    <row r="47" spans="2:13" x14ac:dyDescent="0.2">
      <c r="B47" s="16" t="str">
        <f>IFERROR(IF(WORKDAY.INTL(B46,1,1,'Days off'!$B$2:$B$50)&lt;=$P$2,WORKDAY.INTL(B46,1,1,'Days off'!$B$2:$B$50),""),"")</f>
        <v/>
      </c>
      <c r="C47" s="80" t="str">
        <f>IF(C46=12,"",IF(C46="","",IF(C46="DayOff",C45+1,IFERROR(IF(VLOOKUP(B47,'Days off'!$B$2:$B$50,1,FALSE)=Parameters!B47,"DayOff",""),Parameters!C46+1))))</f>
        <v/>
      </c>
      <c r="D47" s="16" t="str">
        <f>IFERROR(IF(WORKDAY.INTL(D46,1,1,'Days off'!$B$2:$B$50)&lt;=$P$3,WORKDAY.INTL(D46,1,1,'Days off'!$B$2:$B$50),""),"")</f>
        <v/>
      </c>
      <c r="E47" s="80" t="str">
        <f>IF(E46=12,"",IF(E46="","",IF(E46="DayOff",E45+1,IFERROR(IF(VLOOKUP(D47,'Days off'!$B$2:$B$50,1,FALSE)=Parameters!D47,"DayOff",""),Parameters!E46+1))))</f>
        <v/>
      </c>
      <c r="F47" s="16" t="str">
        <f>IFERROR(IF(WORKDAY.INTL(F46,1,1,'Days off'!$B$2:$B$50)&lt;=$P$4,WORKDAY.INTL(F46,1,1,'Days off'!$B$2:$B$50),""),"")</f>
        <v/>
      </c>
      <c r="G47" s="80" t="str">
        <f>IF(G46=12,"",IF(G46="","",IF(G46="DayOff",G45+1,IFERROR(IF(VLOOKUP(F47,'Days off'!$B$2:$B$50,1,FALSE)=Parameters!F47,"DayOff",""),Parameters!G46+1))))</f>
        <v/>
      </c>
      <c r="H47" s="16" t="str">
        <f>IFERROR(IF(WORKDAY.INTL(H46,1,1,'Days off'!$B$2:$B$50)&lt;=$P$5,WORKDAY.INTL(H46,1,1,'Days off'!$B$2:$B$50),""),"")</f>
        <v/>
      </c>
      <c r="I47" s="80" t="str">
        <f>IF(I46=12,"",IF(I46="","",IF(I46="DayOff",I45+1,IFERROR(IF(VLOOKUP(H47,'Days off'!$B$2:$B$50,1,FALSE)=Parameters!H47,"DayOff",""),Parameters!I46+1))))</f>
        <v/>
      </c>
      <c r="J47" s="16" t="str">
        <f>IFERROR(IF(WORKDAY.INTL(J46,1,1,'Days off'!$B$2:$B$50)&lt;=$P$6,WORKDAY.INTL(J46,1,1,'Days off'!$B$2:$B$50),""),"")</f>
        <v/>
      </c>
      <c r="K47" s="80" t="str">
        <f>IF(K46=12,"",IF(K46="","",IF(K46="DayOff",K45+1,IFERROR(IF(VLOOKUP(J47,'Days off'!$B$2:$B$50,1,FALSE)=Parameters!J47,"DayOff",""),Parameters!K46+1))))</f>
        <v/>
      </c>
      <c r="L47" s="16" t="str">
        <f>IFERROR(IF(WORKDAY.INTL(L46,1,1,'Days off'!$B$2:$B$50)&lt;=$P$7,WORKDAY.INTL(L46,1,1,'Days off'!$B$2:$B$50),""),"")</f>
        <v/>
      </c>
      <c r="M47" s="80" t="str">
        <f>IF(M46=12,"",IF(M46="","",IF(M46="DayOff",M45+1,IFERROR(IF(VLOOKUP(L47,'Days off'!$B$2:$B$50,1,FALSE)=Parameters!L47,"DayOff",""),Parameters!M46+1))))</f>
        <v/>
      </c>
    </row>
    <row r="48" spans="2:13" x14ac:dyDescent="0.2">
      <c r="B48" s="16" t="str">
        <f>IFERROR(IF(WORKDAY.INTL(B47,1,1,'Days off'!$B$2:$B$50)&lt;=$P$2,WORKDAY.INTL(B47,1,1,'Days off'!$B$2:$B$50),""),"")</f>
        <v/>
      </c>
      <c r="C48" s="80" t="str">
        <f>IF(C47=12,"",IF(C47="","",IF(C47="DayOff",C46+1,IFERROR(IF(VLOOKUP(B48,'Days off'!$B$2:$B$50,1,FALSE)=Parameters!B48,"DayOff",""),Parameters!C47+1))))</f>
        <v/>
      </c>
      <c r="D48" s="16" t="str">
        <f>IFERROR(IF(WORKDAY.INTL(D47,1,1,'Days off'!$B$2:$B$50)&lt;=$P$3,WORKDAY.INTL(D47,1,1,'Days off'!$B$2:$B$50),""),"")</f>
        <v/>
      </c>
      <c r="E48" s="80" t="str">
        <f>IF(E47=12,"",IF(E47="","",IF(E47="DayOff",E46+1,IFERROR(IF(VLOOKUP(D48,'Days off'!$B$2:$B$50,1,FALSE)=Parameters!D48,"DayOff",""),Parameters!E47+1))))</f>
        <v/>
      </c>
      <c r="F48" s="16" t="str">
        <f>IFERROR(IF(WORKDAY.INTL(F47,1,1,'Days off'!$B$2:$B$50)&lt;=$P$4,WORKDAY.INTL(F47,1,1,'Days off'!$B$2:$B$50),""),"")</f>
        <v/>
      </c>
      <c r="G48" s="80" t="str">
        <f>IF(G47=12,"",IF(G47="","",IF(G47="DayOff",G46+1,IFERROR(IF(VLOOKUP(F48,'Days off'!$B$2:$B$50,1,FALSE)=Parameters!F48,"DayOff",""),Parameters!G47+1))))</f>
        <v/>
      </c>
      <c r="H48" s="16" t="str">
        <f>IFERROR(IF(WORKDAY.INTL(H47,1,1,'Days off'!$B$2:$B$50)&lt;=$P$5,WORKDAY.INTL(H47,1,1,'Days off'!$B$2:$B$50),""),"")</f>
        <v/>
      </c>
      <c r="I48" s="80" t="str">
        <f>IF(I47=12,"",IF(I47="","",IF(I47="DayOff",I46+1,IFERROR(IF(VLOOKUP(H48,'Days off'!$B$2:$B$50,1,FALSE)=Parameters!H48,"DayOff",""),Parameters!I47+1))))</f>
        <v/>
      </c>
      <c r="J48" s="16" t="str">
        <f>IFERROR(IF(WORKDAY.INTL(J47,1,1,'Days off'!$B$2:$B$50)&lt;=$P$6,WORKDAY.INTL(J47,1,1,'Days off'!$B$2:$B$50),""),"")</f>
        <v/>
      </c>
      <c r="K48" s="80" t="str">
        <f>IF(K47=12,"",IF(K47="","",IF(K47="DayOff",K46+1,IFERROR(IF(VLOOKUP(J48,'Days off'!$B$2:$B$50,1,FALSE)=Parameters!J48,"DayOff",""),Parameters!K47+1))))</f>
        <v/>
      </c>
      <c r="L48" s="16" t="str">
        <f>IFERROR(IF(WORKDAY.INTL(L47,1,1,'Days off'!$B$2:$B$50)&lt;=$P$7,WORKDAY.INTL(L47,1,1,'Days off'!$B$2:$B$50),""),"")</f>
        <v/>
      </c>
      <c r="M48" s="80" t="str">
        <f>IF(M47=12,"",IF(M47="","",IF(M47="DayOff",M46+1,IFERROR(IF(VLOOKUP(L48,'Days off'!$B$2:$B$50,1,FALSE)=Parameters!L48,"DayOff",""),Parameters!M47+1))))</f>
        <v/>
      </c>
    </row>
    <row r="49" spans="2:13" x14ac:dyDescent="0.2">
      <c r="B49" s="16" t="str">
        <f>IFERROR(IF(WORKDAY.INTL(B48,1,1,'Days off'!$B$2:$B$50)&lt;=$P$2,WORKDAY.INTL(B48,1,1,'Days off'!$B$2:$B$50),""),"")</f>
        <v/>
      </c>
      <c r="C49" s="80" t="str">
        <f>IF(C48=12,"",IF(C48="","",IF(C48="DayOff",C47+1,IFERROR(IF(VLOOKUP(B49,'Days off'!$B$2:$B$50,1,FALSE)=Parameters!B49,"DayOff",""),Parameters!C48+1))))</f>
        <v/>
      </c>
      <c r="D49" s="16" t="str">
        <f>IFERROR(IF(WORKDAY.INTL(D48,1,1,'Days off'!$B$2:$B$50)&lt;=$P$3,WORKDAY.INTL(D48,1,1,'Days off'!$B$2:$B$50),""),"")</f>
        <v/>
      </c>
      <c r="E49" s="80" t="str">
        <f>IF(E48=12,"",IF(E48="","",IF(E48="DayOff",E47+1,IFERROR(IF(VLOOKUP(D49,'Days off'!$B$2:$B$50,1,FALSE)=Parameters!D49,"DayOff",""),Parameters!E48+1))))</f>
        <v/>
      </c>
      <c r="F49" s="16" t="str">
        <f>IFERROR(IF(WORKDAY.INTL(F48,1,1,'Days off'!$B$2:$B$50)&lt;=$P$4,WORKDAY.INTL(F48,1,1,'Days off'!$B$2:$B$50),""),"")</f>
        <v/>
      </c>
      <c r="G49" s="80" t="str">
        <f>IF(G48=12,"",IF(G48="","",IF(G48="DayOff",G47+1,IFERROR(IF(VLOOKUP(F49,'Days off'!$B$2:$B$50,1,FALSE)=Parameters!F49,"DayOff",""),Parameters!G48+1))))</f>
        <v/>
      </c>
      <c r="H49" s="16" t="str">
        <f>IFERROR(IF(WORKDAY.INTL(H48,1,1,'Days off'!$B$2:$B$50)&lt;=$P$5,WORKDAY.INTL(H48,1,1,'Days off'!$B$2:$B$50),""),"")</f>
        <v/>
      </c>
      <c r="I49" s="80" t="str">
        <f>IF(I48=12,"",IF(I48="","",IF(I48="DayOff",I47+1,IFERROR(IF(VLOOKUP(H49,'Days off'!$B$2:$B$50,1,FALSE)=Parameters!H49,"DayOff",""),Parameters!I48+1))))</f>
        <v/>
      </c>
      <c r="J49" s="16" t="str">
        <f>IFERROR(IF(WORKDAY.INTL(J48,1,1,'Days off'!$B$2:$B$50)&lt;=$P$6,WORKDAY.INTL(J48,1,1,'Days off'!$B$2:$B$50),""),"")</f>
        <v/>
      </c>
      <c r="K49" s="80" t="str">
        <f>IF(K48=12,"",IF(K48="","",IF(K48="DayOff",K47+1,IFERROR(IF(VLOOKUP(J49,'Days off'!$B$2:$B$50,1,FALSE)=Parameters!J49,"DayOff",""),Parameters!K48+1))))</f>
        <v/>
      </c>
      <c r="L49" s="16" t="str">
        <f>IFERROR(IF(WORKDAY.INTL(L48,1,1,'Days off'!$B$2:$B$50)&lt;=$P$7,WORKDAY.INTL(L48,1,1,'Days off'!$B$2:$B$50),""),"")</f>
        <v/>
      </c>
      <c r="M49" s="80" t="str">
        <f>IF(M48=12,"",IF(M48="","",IF(M48="DayOff",M47+1,IFERROR(IF(VLOOKUP(L49,'Days off'!$B$2:$B$50,1,FALSE)=Parameters!L49,"DayOff",""),Parameters!M48+1))))</f>
        <v/>
      </c>
    </row>
    <row r="53" spans="2:13" x14ac:dyDescent="0.2">
      <c r="B53" s="53">
        <f>DATE($B$14,$M8,1)</f>
        <v>43282</v>
      </c>
      <c r="C53" s="51"/>
      <c r="D53" s="53">
        <f>DATE($B$14,$M9,1)</f>
        <v>43313</v>
      </c>
      <c r="E53" s="51"/>
      <c r="F53" s="53">
        <f>DATE($B$14,$M10,1)</f>
        <v>43344</v>
      </c>
      <c r="G53" s="51"/>
      <c r="H53" s="53">
        <f>DATE($B$14,$M11,1)</f>
        <v>43374</v>
      </c>
      <c r="J53" s="53">
        <f>DATE($B$14,$M12,1)</f>
        <v>43405</v>
      </c>
      <c r="L53" s="53">
        <f>DATE($B$14,$M13,1)</f>
        <v>43435</v>
      </c>
    </row>
    <row r="54" spans="2:13" x14ac:dyDescent="0.2">
      <c r="B54" s="16">
        <f>WORKDAY.INTL(EOMONTH(L18,0),1,1,'Days off'!$B$2:$B$50)</f>
        <v>43283</v>
      </c>
      <c r="C54" s="80">
        <f>IFERROR(IF(VLOOKUP(B54,'Days off'!$B$2:$B$50,1,FALSE)=Parameters!B54,"DayOff",""),Parameters!C53+1)</f>
        <v>1</v>
      </c>
      <c r="D54" s="16">
        <f>WORKDAY.INTL(EOMONTH(B53,0),1,1,'Days off'!$B$2:$B$50)</f>
        <v>43313</v>
      </c>
      <c r="E54" s="80">
        <f>IFERROR(IF(VLOOKUP(D54,'Days off'!$B$2:$B$50,1,FALSE)=Parameters!D54,"DayOff",""),Parameters!E53+1)</f>
        <v>1</v>
      </c>
      <c r="F54" s="16">
        <f>WORKDAY.INTL(EOMONTH(D53,0),1,1,'Days off'!$B$2:$B$50)</f>
        <v>43346</v>
      </c>
      <c r="G54" s="80">
        <f>IFERROR(IF(VLOOKUP(F54,'Days off'!$B$2:$B$50,1,FALSE)=Parameters!F54,"DayOff",""),Parameters!G53+1)</f>
        <v>1</v>
      </c>
      <c r="H54" s="16">
        <f>WORKDAY.INTL(EOMONTH(F53,0),1,1,'Days off'!$B$2:$B$50)</f>
        <v>43374</v>
      </c>
      <c r="I54" s="80">
        <f>IFERROR(IF(VLOOKUP(H54,'Days off'!$B$2:$B$50,1,FALSE)=Parameters!H54,"DayOff",""),Parameters!I53+1)</f>
        <v>1</v>
      </c>
      <c r="J54" s="16">
        <f>WORKDAY.INTL(EOMONTH(H53,0),1,1,'Days off'!$B$2:$B$50)</f>
        <v>43406</v>
      </c>
      <c r="K54" s="80">
        <f>IFERROR(IF(VLOOKUP(J54,'Days off'!$B$2:$B$50,1,FALSE)=Parameters!J54,"DayOff",""),Parameters!K53+1)</f>
        <v>1</v>
      </c>
      <c r="L54" s="16">
        <f>WORKDAY.INTL(EOMONTH(J53,0),1,1,'Days off'!$B$2:$B$50)</f>
        <v>43437</v>
      </c>
      <c r="M54" s="80">
        <f>IFERROR(IF(VLOOKUP(L54,'Days off'!$B$2:$B$50,1,FALSE)=Parameters!L54,"DayOff",""),Parameters!M53+1)</f>
        <v>1</v>
      </c>
    </row>
    <row r="55" spans="2:13" x14ac:dyDescent="0.2">
      <c r="B55" s="16">
        <f>IFERROR(IF(WORKDAY.INTL(B54,1,1,'Days off'!$B$2:$B$50)&lt;=$P$8,WORKDAY.INTL(B54,1,1,'Days off'!$B$2:$B$50),""),"")</f>
        <v>43284</v>
      </c>
      <c r="C55" s="80">
        <f>IF(C54=12,"",IF(C54="","",IF(C54="DayOff",C53+1,IFERROR(IF(VLOOKUP(B55,'Days off'!$B$2:$B$50,1,FALSE)=Parameters!B55,"DayOff",""),Parameters!C54+1))))</f>
        <v>2</v>
      </c>
      <c r="D55" s="16">
        <f>IFERROR(IF(WORKDAY.INTL(D54,1,1,'Days off'!$B$2:$B$50)&lt;=$P$9,WORKDAY.INTL(D54,1,1,'Days off'!$B$2:$B$50),""),"")</f>
        <v>43314</v>
      </c>
      <c r="E55" s="80">
        <f>IF(E54=12,"",IF(E54="","",IF(E54="DayOff",E53+1,IFERROR(IF(VLOOKUP(D55,'Days off'!$B$2:$B$50,1,FALSE)=Parameters!D55,"DayOff",""),Parameters!E54+1))))</f>
        <v>2</v>
      </c>
      <c r="F55" s="16">
        <f>IFERROR(IF(WORKDAY.INTL(F54,1,1,'Days off'!$B$2:$B$50)&lt;=$P$10,WORKDAY.INTL(F54,1,1,'Days off'!$B$2:$B$50),""),"")</f>
        <v>43347</v>
      </c>
      <c r="G55" s="80">
        <f>IF(G54=12,"",IF(G54="","",IF(G54="DayOff",G53+1,IFERROR(IF(VLOOKUP(F55,'Days off'!$B$2:$B$50,1,FALSE)=Parameters!F55,"DayOff",""),Parameters!G54+1))))</f>
        <v>2</v>
      </c>
      <c r="H55" s="16">
        <f>IFERROR(IF(WORKDAY.INTL(H54,1,1,'Days off'!$B$2:$B$50)&lt;=$P$11,WORKDAY.INTL(H54,1,1,'Days off'!$B$2:$B$50),""),"")</f>
        <v>43375</v>
      </c>
      <c r="I55" s="80">
        <f>IF(I54=12,"",IF(I54="","",IF(I54="DayOff",I53+1,IFERROR(IF(VLOOKUP(H55,'Days off'!$B$2:$B$50,1,FALSE)=Parameters!H55,"DayOff",""),Parameters!I54+1))))</f>
        <v>2</v>
      </c>
      <c r="J55" s="16">
        <f>IFERROR(IF(WORKDAY.INTL(J54,1,1,'Days off'!$B$2:$B$50)&lt;=$P$12,WORKDAY.INTL(J54,1,1,'Days off'!$B$2:$B$50),""),"")</f>
        <v>43409</v>
      </c>
      <c r="K55" s="80">
        <f>IF(K54=12,"",IF(K54="","",IF(K54="DayOff",K53+1,IFERROR(IF(VLOOKUP(J55,'Days off'!$B$2:$B$50,1,FALSE)=Parameters!J55,"DayOff",""),Parameters!K54+1))))</f>
        <v>2</v>
      </c>
      <c r="L55" s="16">
        <f>IFERROR(IF(WORKDAY.INTL(L54,1,1,'Days off'!$B$2:$B$50)&lt;=$P$13,WORKDAY.INTL(L54,1,1,'Days off'!$B$2:$B$50),""),"")</f>
        <v>43438</v>
      </c>
      <c r="M55" s="80">
        <f>IF(M54=12,"",IF(M54="","",IF(M54="DayOff",M53+1,IFERROR(IF(VLOOKUP(L55,'Days off'!$B$2:$B$50,1,FALSE)=Parameters!L55,"DayOff",""),Parameters!M54+1))))</f>
        <v>2</v>
      </c>
    </row>
    <row r="56" spans="2:13" x14ac:dyDescent="0.2">
      <c r="B56" s="16">
        <f>IFERROR(IF(WORKDAY.INTL(B55,1,1,'Days off'!$B$2:$B$50)&lt;=$P$8,WORKDAY.INTL(B55,1,1,'Days off'!$B$2:$B$50),""),"")</f>
        <v>43285</v>
      </c>
      <c r="C56" s="80">
        <f>IF(C55=12,"",IF(C55="","",IF(C55="DayOff",C54+1,IFERROR(IF(VLOOKUP(B56,'Days off'!$B$2:$B$50,1,FALSE)=Parameters!B56,"DayOff",""),Parameters!C55+1))))</f>
        <v>3</v>
      </c>
      <c r="D56" s="16">
        <f>IFERROR(IF(WORKDAY.INTL(D55,1,1,'Days off'!$B$2:$B$50)&lt;=$P$9,WORKDAY.INTL(D55,1,1,'Days off'!$B$2:$B$50),""),"")</f>
        <v>43315</v>
      </c>
      <c r="E56" s="80">
        <f>IF(E55=12,"",IF(E55="","",IF(E55="DayOff",E54+1,IFERROR(IF(VLOOKUP(D56,'Days off'!$B$2:$B$50,1,FALSE)=Parameters!D56,"DayOff",""),Parameters!E55+1))))</f>
        <v>3</v>
      </c>
      <c r="F56" s="16">
        <f>IFERROR(IF(WORKDAY.INTL(F55,1,1,'Days off'!$B$2:$B$50)&lt;=$P$10,WORKDAY.INTL(F55,1,1,'Days off'!$B$2:$B$50),""),"")</f>
        <v>43348</v>
      </c>
      <c r="G56" s="80">
        <f>IF(G55=12,"",IF(G55="","",IF(G55="DayOff",G54+1,IFERROR(IF(VLOOKUP(F56,'Days off'!$B$2:$B$50,1,FALSE)=Parameters!F56,"DayOff",""),Parameters!G55+1))))</f>
        <v>3</v>
      </c>
      <c r="H56" s="16">
        <f>IFERROR(IF(WORKDAY.INTL(H55,1,1,'Days off'!$B$2:$B$50)&lt;=$P$11,WORKDAY.INTL(H55,1,1,'Days off'!$B$2:$B$50),""),"")</f>
        <v>43376</v>
      </c>
      <c r="I56" s="80">
        <f>IF(I55=12,"",IF(I55="","",IF(I55="DayOff",I54+1,IFERROR(IF(VLOOKUP(H56,'Days off'!$B$2:$B$50,1,FALSE)=Parameters!H56,"DayOff",""),Parameters!I55+1))))</f>
        <v>3</v>
      </c>
      <c r="J56" s="16">
        <f>IFERROR(IF(WORKDAY.INTL(J55,1,1,'Days off'!$B$2:$B$50)&lt;=$P$12,WORKDAY.INTL(J55,1,1,'Days off'!$B$2:$B$50),""),"")</f>
        <v>43410</v>
      </c>
      <c r="K56" s="80">
        <f>IF(K55=12,"",IF(K55="","",IF(K55="DayOff",K54+1,IFERROR(IF(VLOOKUP(J56,'Days off'!$B$2:$B$50,1,FALSE)=Parameters!J56,"DayOff",""),Parameters!K55+1))))</f>
        <v>3</v>
      </c>
      <c r="L56" s="16">
        <f>IFERROR(IF(WORKDAY.INTL(L55,1,1,'Days off'!$B$2:$B$50)&lt;=$P$13,WORKDAY.INTL(L55,1,1,'Days off'!$B$2:$B$50),""),"")</f>
        <v>43439</v>
      </c>
      <c r="M56" s="80">
        <f>IF(M55=12,"",IF(M55="","",IF(M55="DayOff",M54+1,IFERROR(IF(VLOOKUP(L56,'Days off'!$B$2:$B$50,1,FALSE)=Parameters!L56,"DayOff",""),Parameters!M55+1))))</f>
        <v>3</v>
      </c>
    </row>
    <row r="57" spans="2:13" x14ac:dyDescent="0.2">
      <c r="B57" s="16">
        <f>IFERROR(IF(WORKDAY.INTL(B56,1,1,'Days off'!$B$2:$B$50)&lt;=$P$8,WORKDAY.INTL(B56,1,1,'Days off'!$B$2:$B$50),""),"")</f>
        <v>43286</v>
      </c>
      <c r="C57" s="80">
        <f>IF(C56=12,"",IF(C56="","",IF(C56="DayOff",C55+1,IFERROR(IF(VLOOKUP(B57,'Days off'!$B$2:$B$50,1,FALSE)=Parameters!B57,"DayOff",""),Parameters!C56+1))))</f>
        <v>4</v>
      </c>
      <c r="D57" s="16">
        <f>IFERROR(IF(WORKDAY.INTL(D56,1,1,'Days off'!$B$2:$B$50)&lt;=$P$9,WORKDAY.INTL(D56,1,1,'Days off'!$B$2:$B$50),""),"")</f>
        <v>43318</v>
      </c>
      <c r="E57" s="80">
        <f>IF(E56=12,"",IF(E56="","",IF(E56="DayOff",E55+1,IFERROR(IF(VLOOKUP(D57,'Days off'!$B$2:$B$50,1,FALSE)=Parameters!D57,"DayOff",""),Parameters!E56+1))))</f>
        <v>4</v>
      </c>
      <c r="F57" s="16">
        <f>IFERROR(IF(WORKDAY.INTL(F56,1,1,'Days off'!$B$2:$B$50)&lt;=$P$10,WORKDAY.INTL(F56,1,1,'Days off'!$B$2:$B$50),""),"")</f>
        <v>43349</v>
      </c>
      <c r="G57" s="80">
        <f>IF(G56=12,"",IF(G56="","",IF(G56="DayOff",G55+1,IFERROR(IF(VLOOKUP(F57,'Days off'!$B$2:$B$50,1,FALSE)=Parameters!F57,"DayOff",""),Parameters!G56+1))))</f>
        <v>4</v>
      </c>
      <c r="H57" s="16">
        <f>IFERROR(IF(WORKDAY.INTL(H56,1,1,'Days off'!$B$2:$B$50)&lt;=$P$11,WORKDAY.INTL(H56,1,1,'Days off'!$B$2:$B$50),""),"")</f>
        <v>43377</v>
      </c>
      <c r="I57" s="80">
        <f>IF(I56=12,"",IF(I56="","",IF(I56="DayOff",I55+1,IFERROR(IF(VLOOKUP(H57,'Days off'!$B$2:$B$50,1,FALSE)=Parameters!H57,"DayOff",""),Parameters!I56+1))))</f>
        <v>4</v>
      </c>
      <c r="J57" s="16">
        <f>IFERROR(IF(WORKDAY.INTL(J56,1,1,'Days off'!$B$2:$B$50)&lt;=$P$12,WORKDAY.INTL(J56,1,1,'Days off'!$B$2:$B$50),""),"")</f>
        <v>43411</v>
      </c>
      <c r="K57" s="80">
        <f>IF(K56=12,"",IF(K56="","",IF(K56="DayOff",K55+1,IFERROR(IF(VLOOKUP(J57,'Days off'!$B$2:$B$50,1,FALSE)=Parameters!J57,"DayOff",""),Parameters!K56+1))))</f>
        <v>4</v>
      </c>
      <c r="L57" s="16">
        <f>IFERROR(IF(WORKDAY.INTL(L56,1,1,'Days off'!$B$2:$B$50)&lt;=$P$13,WORKDAY.INTL(L56,1,1,'Days off'!$B$2:$B$50),""),"")</f>
        <v>43440</v>
      </c>
      <c r="M57" s="80">
        <f>IF(M56=12,"",IF(M56="","",IF(M56="DayOff",M55+1,IFERROR(IF(VLOOKUP(L57,'Days off'!$B$2:$B$50,1,FALSE)=Parameters!L57,"DayOff",""),Parameters!M56+1))))</f>
        <v>4</v>
      </c>
    </row>
    <row r="58" spans="2:13" x14ac:dyDescent="0.2">
      <c r="B58" s="16">
        <f>IFERROR(IF(WORKDAY.INTL(B57,1,1,'Days off'!$B$2:$B$50)&lt;=$P$8,WORKDAY.INTL(B57,1,1,'Days off'!$B$2:$B$50),""),"")</f>
        <v>43287</v>
      </c>
      <c r="C58" s="80">
        <f>IF(C57=12,"",IF(C57="","",IF(C57="DayOff",C56+1,IFERROR(IF(VLOOKUP(B58,'Days off'!$B$2:$B$50,1,FALSE)=Parameters!B58,"DayOff",""),Parameters!C57+1))))</f>
        <v>5</v>
      </c>
      <c r="D58" s="16">
        <f>IFERROR(IF(WORKDAY.INTL(D57,1,1,'Days off'!$B$2:$B$50)&lt;=$P$9,WORKDAY.INTL(D57,1,1,'Days off'!$B$2:$B$50),""),"")</f>
        <v>43319</v>
      </c>
      <c r="E58" s="80">
        <f>IF(E57=12,"",IF(E57="","",IF(E57="DayOff",E56+1,IFERROR(IF(VLOOKUP(D58,'Days off'!$B$2:$B$50,1,FALSE)=Parameters!D58,"DayOff",""),Parameters!E57+1))))</f>
        <v>5</v>
      </c>
      <c r="F58" s="16">
        <f>IFERROR(IF(WORKDAY.INTL(F57,1,1,'Days off'!$B$2:$B$50)&lt;=$P$10,WORKDAY.INTL(F57,1,1,'Days off'!$B$2:$B$50),""),"")</f>
        <v>43350</v>
      </c>
      <c r="G58" s="80">
        <f>IF(G57=12,"",IF(G57="","",IF(G57="DayOff",G56+1,IFERROR(IF(VLOOKUP(F58,'Days off'!$B$2:$B$50,1,FALSE)=Parameters!F58,"DayOff",""),Parameters!G57+1))))</f>
        <v>5</v>
      </c>
      <c r="H58" s="16">
        <f>IFERROR(IF(WORKDAY.INTL(H57,1,1,'Days off'!$B$2:$B$50)&lt;=$P$11,WORKDAY.INTL(H57,1,1,'Days off'!$B$2:$B$50),""),"")</f>
        <v>43378</v>
      </c>
      <c r="I58" s="80">
        <f>IF(I57=12,"",IF(I57="","",IF(I57="DayOff",I56+1,IFERROR(IF(VLOOKUP(H58,'Days off'!$B$2:$B$50,1,FALSE)=Parameters!H58,"DayOff",""),Parameters!I57+1))))</f>
        <v>5</v>
      </c>
      <c r="J58" s="16">
        <f>IFERROR(IF(WORKDAY.INTL(J57,1,1,'Days off'!$B$2:$B$50)&lt;=$P$12,WORKDAY.INTL(J57,1,1,'Days off'!$B$2:$B$50),""),"")</f>
        <v>43412</v>
      </c>
      <c r="K58" s="80">
        <f>IF(K57=12,"",IF(K57="","",IF(K57="DayOff",K56+1,IFERROR(IF(VLOOKUP(J58,'Days off'!$B$2:$B$50,1,FALSE)=Parameters!J58,"DayOff",""),Parameters!K57+1))))</f>
        <v>5</v>
      </c>
      <c r="L58" s="16">
        <f>IFERROR(IF(WORKDAY.INTL(L57,1,1,'Days off'!$B$2:$B$50)&lt;=$P$13,WORKDAY.INTL(L57,1,1,'Days off'!$B$2:$B$50),""),"")</f>
        <v>43441</v>
      </c>
      <c r="M58" s="80">
        <f>IF(M57=12,"",IF(M57="","",IF(M57="DayOff",M56+1,IFERROR(IF(VLOOKUP(L58,'Days off'!$B$2:$B$50,1,FALSE)=Parameters!L58,"DayOff",""),Parameters!M57+1))))</f>
        <v>5</v>
      </c>
    </row>
    <row r="59" spans="2:13" x14ac:dyDescent="0.2">
      <c r="B59" s="16">
        <f>IFERROR(IF(WORKDAY.INTL(B58,1,1,'Days off'!$B$2:$B$50)&lt;=$P$8,WORKDAY.INTL(B58,1,1,'Days off'!$B$2:$B$50),""),"")</f>
        <v>43290</v>
      </c>
      <c r="C59" s="80">
        <f>IF(C58=12,"",IF(C58="","",IF(C58="DayOff",C57+1,IFERROR(IF(VLOOKUP(B59,'Days off'!$B$2:$B$50,1,FALSE)=Parameters!B59,"DayOff",""),Parameters!C58+1))))</f>
        <v>6</v>
      </c>
      <c r="D59" s="16">
        <f>IFERROR(IF(WORKDAY.INTL(D58,1,1,'Days off'!$B$2:$B$50)&lt;=$P$9,WORKDAY.INTL(D58,1,1,'Days off'!$B$2:$B$50),""),"")</f>
        <v>43320</v>
      </c>
      <c r="E59" s="80">
        <f>IF(E58=12,"",IF(E58="","",IF(E58="DayOff",E57+1,IFERROR(IF(VLOOKUP(D59,'Days off'!$B$2:$B$50,1,FALSE)=Parameters!D59,"DayOff",""),Parameters!E58+1))))</f>
        <v>6</v>
      </c>
      <c r="F59" s="16">
        <f>IFERROR(IF(WORKDAY.INTL(F58,1,1,'Days off'!$B$2:$B$50)&lt;=$P$10,WORKDAY.INTL(F58,1,1,'Days off'!$B$2:$B$50),""),"")</f>
        <v>43353</v>
      </c>
      <c r="G59" s="80">
        <f>IF(G58=12,"",IF(G58="","",IF(G58="DayOff",G57+1,IFERROR(IF(VLOOKUP(F59,'Days off'!$B$2:$B$50,1,FALSE)=Parameters!F59,"DayOff",""),Parameters!G58+1))))</f>
        <v>6</v>
      </c>
      <c r="H59" s="16">
        <f>IFERROR(IF(WORKDAY.INTL(H58,1,1,'Days off'!$B$2:$B$50)&lt;=$P$11,WORKDAY.INTL(H58,1,1,'Days off'!$B$2:$B$50),""),"")</f>
        <v>43381</v>
      </c>
      <c r="I59" s="80">
        <f>IF(I58=12,"",IF(I58="","",IF(I58="DayOff",I57+1,IFERROR(IF(VLOOKUP(H59,'Days off'!$B$2:$B$50,1,FALSE)=Parameters!H59,"DayOff",""),Parameters!I58+1))))</f>
        <v>6</v>
      </c>
      <c r="J59" s="16">
        <f>IFERROR(IF(WORKDAY.INTL(J58,1,1,'Days off'!$B$2:$B$50)&lt;=$P$12,WORKDAY.INTL(J58,1,1,'Days off'!$B$2:$B$50),""),"")</f>
        <v>43413</v>
      </c>
      <c r="K59" s="80">
        <f>IF(K58=12,"",IF(K58="","",IF(K58="DayOff",K57+1,IFERROR(IF(VLOOKUP(J59,'Days off'!$B$2:$B$50,1,FALSE)=Parameters!J59,"DayOff",""),Parameters!K58+1))))</f>
        <v>6</v>
      </c>
      <c r="L59" s="16">
        <f>IFERROR(IF(WORKDAY.INTL(L58,1,1,'Days off'!$B$2:$B$50)&lt;=$P$13,WORKDAY.INTL(L58,1,1,'Days off'!$B$2:$B$50),""),"")</f>
        <v>43444</v>
      </c>
      <c r="M59" s="80">
        <f>IF(M58=12,"",IF(M58="","",IF(M58="DayOff",M57+1,IFERROR(IF(VLOOKUP(L59,'Days off'!$B$2:$B$50,1,FALSE)=Parameters!L59,"DayOff",""),Parameters!M58+1))))</f>
        <v>6</v>
      </c>
    </row>
    <row r="60" spans="2:13" x14ac:dyDescent="0.2">
      <c r="B60" s="16">
        <f>IFERROR(IF(WORKDAY.INTL(B59,1,1,'Days off'!$B$2:$B$50)&lt;=$P$8,WORKDAY.INTL(B59,1,1,'Days off'!$B$2:$B$50),""),"")</f>
        <v>43291</v>
      </c>
      <c r="C60" s="80">
        <f>IF(C59=12,"",IF(C59="","",IF(C59="DayOff",C58+1,IFERROR(IF(VLOOKUP(B60,'Days off'!$B$2:$B$50,1,FALSE)=Parameters!B60,"DayOff",""),Parameters!C59+1))))</f>
        <v>7</v>
      </c>
      <c r="D60" s="16">
        <f>IFERROR(IF(WORKDAY.INTL(D59,1,1,'Days off'!$B$2:$B$50)&lt;=$P$9,WORKDAY.INTL(D59,1,1,'Days off'!$B$2:$B$50),""),"")</f>
        <v>43321</v>
      </c>
      <c r="E60" s="80">
        <f>IF(E59=12,"",IF(E59="","",IF(E59="DayOff",E58+1,IFERROR(IF(VLOOKUP(D60,'Days off'!$B$2:$B$50,1,FALSE)=Parameters!D60,"DayOff",""),Parameters!E59+1))))</f>
        <v>7</v>
      </c>
      <c r="F60" s="16">
        <f>IFERROR(IF(WORKDAY.INTL(F59,1,1,'Days off'!$B$2:$B$50)&lt;=$P$10,WORKDAY.INTL(F59,1,1,'Days off'!$B$2:$B$50),""),"")</f>
        <v>43354</v>
      </c>
      <c r="G60" s="80">
        <f>IF(G59=12,"",IF(G59="","",IF(G59="DayOff",G58+1,IFERROR(IF(VLOOKUP(F60,'Days off'!$B$2:$B$50,1,FALSE)=Parameters!F60,"DayOff",""),Parameters!G59+1))))</f>
        <v>7</v>
      </c>
      <c r="H60" s="16">
        <f>IFERROR(IF(WORKDAY.INTL(H59,1,1,'Days off'!$B$2:$B$50)&lt;=$P$11,WORKDAY.INTL(H59,1,1,'Days off'!$B$2:$B$50),""),"")</f>
        <v>43382</v>
      </c>
      <c r="I60" s="80">
        <f>IF(I59=12,"",IF(I59="","",IF(I59="DayOff",I58+1,IFERROR(IF(VLOOKUP(H60,'Days off'!$B$2:$B$50,1,FALSE)=Parameters!H60,"DayOff",""),Parameters!I59+1))))</f>
        <v>7</v>
      </c>
      <c r="J60" s="16">
        <f>IFERROR(IF(WORKDAY.INTL(J59,1,1,'Days off'!$B$2:$B$50)&lt;=$P$12,WORKDAY.INTL(J59,1,1,'Days off'!$B$2:$B$50),""),"")</f>
        <v>43416</v>
      </c>
      <c r="K60" s="80">
        <f>IF(K59=12,"",IF(K59="","",IF(K59="DayOff",K58+1,IFERROR(IF(VLOOKUP(J60,'Days off'!$B$2:$B$50,1,FALSE)=Parameters!J60,"DayOff",""),Parameters!K59+1))))</f>
        <v>7</v>
      </c>
      <c r="L60" s="16">
        <f>IFERROR(IF(WORKDAY.INTL(L59,1,1,'Days off'!$B$2:$B$50)&lt;=$P$13,WORKDAY.INTL(L59,1,1,'Days off'!$B$2:$B$50),""),"")</f>
        <v>43445</v>
      </c>
      <c r="M60" s="80">
        <f>IF(M59=12,"",IF(M59="","",IF(M59="DayOff",M58+1,IFERROR(IF(VLOOKUP(L60,'Days off'!$B$2:$B$50,1,FALSE)=Parameters!L60,"DayOff",""),Parameters!M59+1))))</f>
        <v>7</v>
      </c>
    </row>
    <row r="61" spans="2:13" x14ac:dyDescent="0.2">
      <c r="B61" s="16">
        <f>IFERROR(IF(WORKDAY.INTL(B60,1,1,'Days off'!$B$2:$B$50)&lt;=$P$8,WORKDAY.INTL(B60,1,1,'Days off'!$B$2:$B$50),""),"")</f>
        <v>43292</v>
      </c>
      <c r="C61" s="80">
        <f>IF(C60=12,"",IF(C60="","",IF(C60="DayOff",C59+1,IFERROR(IF(VLOOKUP(B61,'Days off'!$B$2:$B$50,1,FALSE)=Parameters!B61,"DayOff",""),Parameters!C60+1))))</f>
        <v>8</v>
      </c>
      <c r="D61" s="16">
        <f>IFERROR(IF(WORKDAY.INTL(D60,1,1,'Days off'!$B$2:$B$50)&lt;=$P$9,WORKDAY.INTL(D60,1,1,'Days off'!$B$2:$B$50),""),"")</f>
        <v>43322</v>
      </c>
      <c r="E61" s="80">
        <f>IF(E60=12,"",IF(E60="","",IF(E60="DayOff",E59+1,IFERROR(IF(VLOOKUP(D61,'Days off'!$B$2:$B$50,1,FALSE)=Parameters!D61,"DayOff",""),Parameters!E60+1))))</f>
        <v>8</v>
      </c>
      <c r="F61" s="16">
        <f>IFERROR(IF(WORKDAY.INTL(F60,1,1,'Days off'!$B$2:$B$50)&lt;=$P$10,WORKDAY.INTL(F60,1,1,'Days off'!$B$2:$B$50),""),"")</f>
        <v>43355</v>
      </c>
      <c r="G61" s="80">
        <f>IF(G60=12,"",IF(G60="","",IF(G60="DayOff",G59+1,IFERROR(IF(VLOOKUP(F61,'Days off'!$B$2:$B$50,1,FALSE)=Parameters!F61,"DayOff",""),Parameters!G60+1))))</f>
        <v>8</v>
      </c>
      <c r="H61" s="16">
        <f>IFERROR(IF(WORKDAY.INTL(H60,1,1,'Days off'!$B$2:$B$50)&lt;=$P$11,WORKDAY.INTL(H60,1,1,'Days off'!$B$2:$B$50),""),"")</f>
        <v>43383</v>
      </c>
      <c r="I61" s="80">
        <f>IF(I60=12,"",IF(I60="","",IF(I60="DayOff",I59+1,IFERROR(IF(VLOOKUP(H61,'Days off'!$B$2:$B$50,1,FALSE)=Parameters!H61,"DayOff",""),Parameters!I60+1))))</f>
        <v>8</v>
      </c>
      <c r="J61" s="16">
        <f>IFERROR(IF(WORKDAY.INTL(J60,1,1,'Days off'!$B$2:$B$50)&lt;=$P$12,WORKDAY.INTL(J60,1,1,'Days off'!$B$2:$B$50),""),"")</f>
        <v>43417</v>
      </c>
      <c r="K61" s="80">
        <f>IF(K60=12,"",IF(K60="","",IF(K60="DayOff",K59+1,IFERROR(IF(VLOOKUP(J61,'Days off'!$B$2:$B$50,1,FALSE)=Parameters!J61,"DayOff",""),Parameters!K60+1))))</f>
        <v>8</v>
      </c>
      <c r="L61" s="16">
        <f>IFERROR(IF(WORKDAY.INTL(L60,1,1,'Days off'!$B$2:$B$50)&lt;=$P$13,WORKDAY.INTL(L60,1,1,'Days off'!$B$2:$B$50),""),"")</f>
        <v>43446</v>
      </c>
      <c r="M61" s="80">
        <f>IF(M60=12,"",IF(M60="","",IF(M60="DayOff",M59+1,IFERROR(IF(VLOOKUP(L61,'Days off'!$B$2:$B$50,1,FALSE)=Parameters!L61,"DayOff",""),Parameters!M60+1))))</f>
        <v>8</v>
      </c>
    </row>
    <row r="62" spans="2:13" x14ac:dyDescent="0.2">
      <c r="B62" s="16">
        <f>IFERROR(IF(WORKDAY.INTL(B61,1,1,'Days off'!$B$2:$B$50)&lt;=$P$8,WORKDAY.INTL(B61,1,1,'Days off'!$B$2:$B$50),""),"")</f>
        <v>43293</v>
      </c>
      <c r="C62" s="80">
        <f>IF(C61=12,"",IF(C61="","",IF(C61="DayOff",C60+1,IFERROR(IF(VLOOKUP(B62,'Days off'!$B$2:$B$50,1,FALSE)=Parameters!B62,"DayOff",""),Parameters!C61+1))))</f>
        <v>9</v>
      </c>
      <c r="D62" s="16">
        <f>IFERROR(IF(WORKDAY.INTL(D61,1,1,'Days off'!$B$2:$B$50)&lt;=$P$9,WORKDAY.INTL(D61,1,1,'Days off'!$B$2:$B$50),""),"")</f>
        <v>43325</v>
      </c>
      <c r="E62" s="80">
        <f>IF(E61=12,"",IF(E61="","",IF(E61="DayOff",E60+1,IFERROR(IF(VLOOKUP(D62,'Days off'!$B$2:$B$50,1,FALSE)=Parameters!D62,"DayOff",""),Parameters!E61+1))))</f>
        <v>9</v>
      </c>
      <c r="F62" s="16">
        <f>IFERROR(IF(WORKDAY.INTL(F61,1,1,'Days off'!$B$2:$B$50)&lt;=$P$10,WORKDAY.INTL(F61,1,1,'Days off'!$B$2:$B$50),""),"")</f>
        <v>43356</v>
      </c>
      <c r="G62" s="80">
        <f>IF(G61=12,"",IF(G61="","",IF(G61="DayOff",G60+1,IFERROR(IF(VLOOKUP(F62,'Days off'!$B$2:$B$50,1,FALSE)=Parameters!F62,"DayOff",""),Parameters!G61+1))))</f>
        <v>9</v>
      </c>
      <c r="H62" s="16">
        <f>IFERROR(IF(WORKDAY.INTL(H61,1,1,'Days off'!$B$2:$B$50)&lt;=$P$11,WORKDAY.INTL(H61,1,1,'Days off'!$B$2:$B$50),""),"")</f>
        <v>43384</v>
      </c>
      <c r="I62" s="80">
        <f>IF(I61=12,"",IF(I61="","",IF(I61="DayOff",I60+1,IFERROR(IF(VLOOKUP(H62,'Days off'!$B$2:$B$50,1,FALSE)=Parameters!H62,"DayOff",""),Parameters!I61+1))))</f>
        <v>9</v>
      </c>
      <c r="J62" s="16">
        <f>IFERROR(IF(WORKDAY.INTL(J61,1,1,'Days off'!$B$2:$B$50)&lt;=$P$12,WORKDAY.INTL(J61,1,1,'Days off'!$B$2:$B$50),""),"")</f>
        <v>43418</v>
      </c>
      <c r="K62" s="80">
        <f>IF(K61=12,"",IF(K61="","",IF(K61="DayOff",K60+1,IFERROR(IF(VLOOKUP(J62,'Days off'!$B$2:$B$50,1,FALSE)=Parameters!J62,"DayOff",""),Parameters!K61+1))))</f>
        <v>9</v>
      </c>
      <c r="L62" s="16">
        <f>IFERROR(IF(WORKDAY.INTL(L61,1,1,'Days off'!$B$2:$B$50)&lt;=$P$13,WORKDAY.INTL(L61,1,1,'Days off'!$B$2:$B$50),""),"")</f>
        <v>43447</v>
      </c>
      <c r="M62" s="80">
        <f>IF(M61=12,"",IF(M61="","",IF(M61="DayOff",M60+1,IFERROR(IF(VLOOKUP(L62,'Days off'!$B$2:$B$50,1,FALSE)=Parameters!L62,"DayOff",""),Parameters!M61+1))))</f>
        <v>9</v>
      </c>
    </row>
    <row r="63" spans="2:13" x14ac:dyDescent="0.2">
      <c r="B63" s="16">
        <f>IFERROR(IF(WORKDAY.INTL(B62,1,1,'Days off'!$B$2:$B$50)&lt;=$P$8,WORKDAY.INTL(B62,1,1,'Days off'!$B$2:$B$50),""),"")</f>
        <v>43294</v>
      </c>
      <c r="C63" s="80">
        <f>IF(C62=12,"",IF(C62="","",IF(C62="DayOff",C61+1,IFERROR(IF(VLOOKUP(B63,'Days off'!$B$2:$B$50,1,FALSE)=Parameters!B63,"DayOff",""),Parameters!C62+1))))</f>
        <v>10</v>
      </c>
      <c r="D63" s="16">
        <f>IFERROR(IF(WORKDAY.INTL(D62,1,1,'Days off'!$B$2:$B$50)&lt;=$P$9,WORKDAY.INTL(D62,1,1,'Days off'!$B$2:$B$50),""),"")</f>
        <v>43326</v>
      </c>
      <c r="E63" s="80">
        <f>IF(E62=12,"",IF(E62="","",IF(E62="DayOff",E61+1,IFERROR(IF(VLOOKUP(D63,'Days off'!$B$2:$B$50,1,FALSE)=Parameters!D63,"DayOff",""),Parameters!E62+1))))</f>
        <v>10</v>
      </c>
      <c r="F63" s="16">
        <f>IFERROR(IF(WORKDAY.INTL(F62,1,1,'Days off'!$B$2:$B$50)&lt;=$P$10,WORKDAY.INTL(F62,1,1,'Days off'!$B$2:$B$50),""),"")</f>
        <v>43357</v>
      </c>
      <c r="G63" s="80">
        <f>IF(G62=12,"",IF(G62="","",IF(G62="DayOff",G61+1,IFERROR(IF(VLOOKUP(F63,'Days off'!$B$2:$B$50,1,FALSE)=Parameters!F63,"DayOff",""),Parameters!G62+1))))</f>
        <v>10</v>
      </c>
      <c r="H63" s="16">
        <f>IFERROR(IF(WORKDAY.INTL(H62,1,1,'Days off'!$B$2:$B$50)&lt;=$P$11,WORKDAY.INTL(H62,1,1,'Days off'!$B$2:$B$50),""),"")</f>
        <v>43385</v>
      </c>
      <c r="I63" s="80">
        <f>IF(I62=12,"",IF(I62="","",IF(I62="DayOff",I61+1,IFERROR(IF(VLOOKUP(H63,'Days off'!$B$2:$B$50,1,FALSE)=Parameters!H63,"DayOff",""),Parameters!I62+1))))</f>
        <v>10</v>
      </c>
      <c r="J63" s="16">
        <f>IFERROR(IF(WORKDAY.INTL(J62,1,1,'Days off'!$B$2:$B$50)&lt;=$P$12,WORKDAY.INTL(J62,1,1,'Days off'!$B$2:$B$50),""),"")</f>
        <v>43419</v>
      </c>
      <c r="K63" s="80">
        <f>IF(K62=12,"",IF(K62="","",IF(K62="DayOff",K61+1,IFERROR(IF(VLOOKUP(J63,'Days off'!$B$2:$B$50,1,FALSE)=Parameters!J63,"DayOff",""),Parameters!K62+1))))</f>
        <v>10</v>
      </c>
      <c r="L63" s="16">
        <f>IFERROR(IF(WORKDAY.INTL(L62,1,1,'Days off'!$B$2:$B$50)&lt;=$P$13,WORKDAY.INTL(L62,1,1,'Days off'!$B$2:$B$50),""),"")</f>
        <v>43448</v>
      </c>
      <c r="M63" s="80">
        <f>IF(M62=12,"",IF(M62="","",IF(M62="DayOff",M61+1,IFERROR(IF(VLOOKUP(L63,'Days off'!$B$2:$B$50,1,FALSE)=Parameters!L63,"DayOff",""),Parameters!M62+1))))</f>
        <v>10</v>
      </c>
    </row>
    <row r="64" spans="2:13" x14ac:dyDescent="0.2">
      <c r="B64" s="16">
        <f>IFERROR(IF(WORKDAY.INTL(B63,1,1,'Days off'!$B$2:$B$50)&lt;=$P$8,WORKDAY.INTL(B63,1,1,'Days off'!$B$2:$B$50),""),"")</f>
        <v>43297</v>
      </c>
      <c r="C64" s="80">
        <f>IF(C63=12,"",IF(C63="","",IF(C63="DayOff",C62+1,IFERROR(IF(VLOOKUP(B64,'Days off'!$B$2:$B$50,1,FALSE)=Parameters!B64,"DayOff",""),Parameters!C63+1))))</f>
        <v>11</v>
      </c>
      <c r="D64" s="16">
        <f>IFERROR(IF(WORKDAY.INTL(D63,1,1,'Days off'!$B$2:$B$50)&lt;=$P$9,WORKDAY.INTL(D63,1,1,'Days off'!$B$2:$B$50),""),"")</f>
        <v>43328</v>
      </c>
      <c r="E64" s="80">
        <f>IF(E63=12,"",IF(E63="","",IF(E63="DayOff",E62+1,IFERROR(IF(VLOOKUP(D64,'Days off'!$B$2:$B$50,1,FALSE)=Parameters!D64,"DayOff",""),Parameters!E63+1))))</f>
        <v>11</v>
      </c>
      <c r="F64" s="16">
        <f>IFERROR(IF(WORKDAY.INTL(F63,1,1,'Days off'!$B$2:$B$50)&lt;=$P$10,WORKDAY.INTL(F63,1,1,'Days off'!$B$2:$B$50),""),"")</f>
        <v>43360</v>
      </c>
      <c r="G64" s="80">
        <f>IF(G63=12,"",IF(G63="","",IF(G63="DayOff",G62+1,IFERROR(IF(VLOOKUP(F64,'Days off'!$B$2:$B$50,1,FALSE)=Parameters!F64,"DayOff",""),Parameters!G63+1))))</f>
        <v>11</v>
      </c>
      <c r="H64" s="16">
        <f>IFERROR(IF(WORKDAY.INTL(H63,1,1,'Days off'!$B$2:$B$50)&lt;=$P$11,WORKDAY.INTL(H63,1,1,'Days off'!$B$2:$B$50),""),"")</f>
        <v>43388</v>
      </c>
      <c r="I64" s="80">
        <f>IF(I63=12,"",IF(I63="","",IF(I63="DayOff",I62+1,IFERROR(IF(VLOOKUP(H64,'Days off'!$B$2:$B$50,1,FALSE)=Parameters!H64,"DayOff",""),Parameters!I63+1))))</f>
        <v>11</v>
      </c>
      <c r="J64" s="16">
        <f>IFERROR(IF(WORKDAY.INTL(J63,1,1,'Days off'!$B$2:$B$50)&lt;=$P$12,WORKDAY.INTL(J63,1,1,'Days off'!$B$2:$B$50),""),"")</f>
        <v>43420</v>
      </c>
      <c r="K64" s="80">
        <f>IF(K63=12,"",IF(K63="","",IF(K63="DayOff",K62+1,IFERROR(IF(VLOOKUP(J64,'Days off'!$B$2:$B$50,1,FALSE)=Parameters!J64,"DayOff",""),Parameters!K63+1))))</f>
        <v>11</v>
      </c>
      <c r="L64" s="16">
        <f>IFERROR(IF(WORKDAY.INTL(L63,1,1,'Days off'!$B$2:$B$50)&lt;=$P$13,WORKDAY.INTL(L63,1,1,'Days off'!$B$2:$B$50),""),"")</f>
        <v>43451</v>
      </c>
      <c r="M64" s="80">
        <f>IF(M63=12,"",IF(M63="","",IF(M63="DayOff",M62+1,IFERROR(IF(VLOOKUP(L64,'Days off'!$B$2:$B$50,1,FALSE)=Parameters!L64,"DayOff",""),Parameters!M63+1))))</f>
        <v>11</v>
      </c>
    </row>
    <row r="65" spans="2:13" x14ac:dyDescent="0.2">
      <c r="B65" s="16">
        <f>IFERROR(IF(WORKDAY.INTL(B64,1,1,'Days off'!$B$2:$B$50)&lt;=$P$8,WORKDAY.INTL(B64,1,1,'Days off'!$B$2:$B$50),""),"")</f>
        <v>43298</v>
      </c>
      <c r="C65" s="80">
        <f>IF(C64=12,"",IF(C64="","",IF(C64="DayOff",C63+1,IFERROR(IF(VLOOKUP(B65,'Days off'!$B$2:$B$50,1,FALSE)=Parameters!B65,"DayOff",""),Parameters!C64+1))))</f>
        <v>12</v>
      </c>
      <c r="D65" s="16">
        <f>IFERROR(IF(WORKDAY.INTL(D64,1,1,'Days off'!$B$2:$B$50)&lt;=$P$9,WORKDAY.INTL(D64,1,1,'Days off'!$B$2:$B$50),""),"")</f>
        <v>43329</v>
      </c>
      <c r="E65" s="80">
        <f>IF(E64=12,"",IF(E64="","",IF(E64="DayOff",E63+1,IFERROR(IF(VLOOKUP(D65,'Days off'!$B$2:$B$50,1,FALSE)=Parameters!D65,"DayOff",""),Parameters!E64+1))))</f>
        <v>12</v>
      </c>
      <c r="F65" s="16">
        <f>IFERROR(IF(WORKDAY.INTL(F64,1,1,'Days off'!$B$2:$B$50)&lt;=$P$10,WORKDAY.INTL(F64,1,1,'Days off'!$B$2:$B$50),""),"")</f>
        <v>43361</v>
      </c>
      <c r="G65" s="80">
        <f>IF(G64=12,"",IF(G64="","",IF(G64="DayOff",G63+1,IFERROR(IF(VLOOKUP(F65,'Days off'!$B$2:$B$50,1,FALSE)=Parameters!F65,"DayOff",""),Parameters!G64+1))))</f>
        <v>12</v>
      </c>
      <c r="H65" s="16">
        <f>IFERROR(IF(WORKDAY.INTL(H64,1,1,'Days off'!$B$2:$B$50)&lt;=$P$11,WORKDAY.INTL(H64,1,1,'Days off'!$B$2:$B$50),""),"")</f>
        <v>43389</v>
      </c>
      <c r="I65" s="80">
        <f>IF(I64=12,"",IF(I64="","",IF(I64="DayOff",I63+1,IFERROR(IF(VLOOKUP(H65,'Days off'!$B$2:$B$50,1,FALSE)=Parameters!H65,"DayOff",""),Parameters!I64+1))))</f>
        <v>12</v>
      </c>
      <c r="J65" s="16">
        <f>IFERROR(IF(WORKDAY.INTL(J64,1,1,'Days off'!$B$2:$B$50)&lt;=$P$12,WORKDAY.INTL(J64,1,1,'Days off'!$B$2:$B$50),""),"")</f>
        <v>43423</v>
      </c>
      <c r="K65" s="80">
        <f>IF(K64=12,"",IF(K64="","",IF(K64="DayOff",K63+1,IFERROR(IF(VLOOKUP(J65,'Days off'!$B$2:$B$50,1,FALSE)=Parameters!J65,"DayOff",""),Parameters!K64+1))))</f>
        <v>12</v>
      </c>
      <c r="L65" s="16">
        <f>IFERROR(IF(WORKDAY.INTL(L64,1,1,'Days off'!$B$2:$B$50)&lt;=$P$13,WORKDAY.INTL(L64,1,1,'Days off'!$B$2:$B$50),""),"")</f>
        <v>43452</v>
      </c>
      <c r="M65" s="80">
        <f>IF(M64=12,"",IF(M64="","",IF(M64="DayOff",M63+1,IFERROR(IF(VLOOKUP(L65,'Days off'!$B$2:$B$50,1,FALSE)=Parameters!L65,"DayOff",""),Parameters!M64+1))))</f>
        <v>12</v>
      </c>
    </row>
    <row r="66" spans="2:13" x14ac:dyDescent="0.2">
      <c r="B66" s="16">
        <f>IFERROR(IF(WORKDAY.INTL(B65,1,1,'Days off'!$B$2:$B$50)&lt;=$P$8,WORKDAY.INTL(B65,1,1,'Days off'!$B$2:$B$50),""),"")</f>
        <v>43299</v>
      </c>
      <c r="C66" s="80" t="str">
        <f>IF(C65=12,"",IF(C65="","",IF(C65="DayOff",C64+1,IFERROR(IF(VLOOKUP(B66,'Days off'!$B$2:$B$50,1,FALSE)=Parameters!B66,"DayOff",""),Parameters!C65+1))))</f>
        <v/>
      </c>
      <c r="D66" s="16">
        <f>IFERROR(IF(WORKDAY.INTL(D65,1,1,'Days off'!$B$2:$B$50)&lt;=$P$9,WORKDAY.INTL(D65,1,1,'Days off'!$B$2:$B$50),""),"")</f>
        <v>43332</v>
      </c>
      <c r="E66" s="80" t="str">
        <f>IF(E65=12,"",IF(E65="","",IF(E65="DayOff",E64+1,IFERROR(IF(VLOOKUP(D66,'Days off'!$B$2:$B$50,1,FALSE)=Parameters!D66,"DayOff",""),Parameters!E65+1))))</f>
        <v/>
      </c>
      <c r="F66" s="16">
        <f>IFERROR(IF(WORKDAY.INTL(F65,1,1,'Days off'!$B$2:$B$50)&lt;=$P$10,WORKDAY.INTL(F65,1,1,'Days off'!$B$2:$B$50),""),"")</f>
        <v>43362</v>
      </c>
      <c r="G66" s="80" t="str">
        <f>IF(G65=12,"",IF(G65="","",IF(G65="DayOff",G64+1,IFERROR(IF(VLOOKUP(F66,'Days off'!$B$2:$B$50,1,FALSE)=Parameters!F66,"DayOff",""),Parameters!G65+1))))</f>
        <v/>
      </c>
      <c r="H66" s="16">
        <f>IFERROR(IF(WORKDAY.INTL(H65,1,1,'Days off'!$B$2:$B$50)&lt;=$P$11,WORKDAY.INTL(H65,1,1,'Days off'!$B$2:$B$50),""),"")</f>
        <v>43390</v>
      </c>
      <c r="I66" s="80" t="str">
        <f>IF(I65=12,"",IF(I65="","",IF(I65="DayOff",I64+1,IFERROR(IF(VLOOKUP(H66,'Days off'!$B$2:$B$50,1,FALSE)=Parameters!H66,"DayOff",""),Parameters!I65+1))))</f>
        <v/>
      </c>
      <c r="J66" s="16">
        <f>IFERROR(IF(WORKDAY.INTL(J65,1,1,'Days off'!$B$2:$B$50)&lt;=$P$12,WORKDAY.INTL(J65,1,1,'Days off'!$B$2:$B$50),""),"")</f>
        <v>43424</v>
      </c>
      <c r="K66" s="80" t="str">
        <f>IF(K65=12,"",IF(K65="","",IF(K65="DayOff",K64+1,IFERROR(IF(VLOOKUP(J66,'Days off'!$B$2:$B$50,1,FALSE)=Parameters!J66,"DayOff",""),Parameters!K65+1))))</f>
        <v/>
      </c>
      <c r="L66" s="16">
        <f>IFERROR(IF(WORKDAY.INTL(L65,1,1,'Days off'!$B$2:$B$50)&lt;=$P$13,WORKDAY.INTL(L65,1,1,'Days off'!$B$2:$B$50),""),"")</f>
        <v>43453</v>
      </c>
      <c r="M66" s="80" t="str">
        <f>IF(M65=12,"",IF(M65="","",IF(M65="DayOff",M64+1,IFERROR(IF(VLOOKUP(L66,'Days off'!$B$2:$B$50,1,FALSE)=Parameters!L66,"DayOff",""),Parameters!M65+1))))</f>
        <v/>
      </c>
    </row>
    <row r="67" spans="2:13" x14ac:dyDescent="0.2">
      <c r="B67" s="16">
        <f>IFERROR(IF(WORKDAY.INTL(B66,1,1,'Days off'!$B$2:$B$50)&lt;=$P$8,WORKDAY.INTL(B66,1,1,'Days off'!$B$2:$B$50),""),"")</f>
        <v>43300</v>
      </c>
      <c r="C67" s="80" t="str">
        <f>IF(C66=12,"",IF(C66="","",IF(C66="DayOff",C65+1,IFERROR(IF(VLOOKUP(B67,'Days off'!$B$2:$B$50,1,FALSE)=Parameters!B67,"DayOff",""),Parameters!C66+1))))</f>
        <v/>
      </c>
      <c r="D67" s="16">
        <f>IFERROR(IF(WORKDAY.INTL(D66,1,1,'Days off'!$B$2:$B$50)&lt;=$P$9,WORKDAY.INTL(D66,1,1,'Days off'!$B$2:$B$50),""),"")</f>
        <v>43333</v>
      </c>
      <c r="E67" s="80" t="str">
        <f>IF(E66=12,"",IF(E66="","",IF(E66="DayOff",E65+1,IFERROR(IF(VLOOKUP(D67,'Days off'!$B$2:$B$50,1,FALSE)=Parameters!D67,"DayOff",""),Parameters!E66+1))))</f>
        <v/>
      </c>
      <c r="F67" s="16">
        <f>IFERROR(IF(WORKDAY.INTL(F66,1,1,'Days off'!$B$2:$B$50)&lt;=$P$10,WORKDAY.INTL(F66,1,1,'Days off'!$B$2:$B$50),""),"")</f>
        <v>43363</v>
      </c>
      <c r="G67" s="80" t="str">
        <f>IF(G66=12,"",IF(G66="","",IF(G66="DayOff",G65+1,IFERROR(IF(VLOOKUP(F67,'Days off'!$B$2:$B$50,1,FALSE)=Parameters!F67,"DayOff",""),Parameters!G66+1))))</f>
        <v/>
      </c>
      <c r="H67" s="16">
        <f>IFERROR(IF(WORKDAY.INTL(H66,1,1,'Days off'!$B$2:$B$50)&lt;=$P$11,WORKDAY.INTL(H66,1,1,'Days off'!$B$2:$B$50),""),"")</f>
        <v>43391</v>
      </c>
      <c r="I67" s="80" t="str">
        <f>IF(I66=12,"",IF(I66="","",IF(I66="DayOff",I65+1,IFERROR(IF(VLOOKUP(H67,'Days off'!$B$2:$B$50,1,FALSE)=Parameters!H67,"DayOff",""),Parameters!I66+1))))</f>
        <v/>
      </c>
      <c r="J67" s="16">
        <f>IFERROR(IF(WORKDAY.INTL(J66,1,1,'Days off'!$B$2:$B$50)&lt;=$P$12,WORKDAY.INTL(J66,1,1,'Days off'!$B$2:$B$50),""),"")</f>
        <v>43425</v>
      </c>
      <c r="K67" s="80" t="str">
        <f>IF(K66=12,"",IF(K66="","",IF(K66="DayOff",K65+1,IFERROR(IF(VLOOKUP(J67,'Days off'!$B$2:$B$50,1,FALSE)=Parameters!J67,"DayOff",""),Parameters!K66+1))))</f>
        <v/>
      </c>
      <c r="L67" s="16">
        <f>IFERROR(IF(WORKDAY.INTL(L66,1,1,'Days off'!$B$2:$B$50)&lt;=$P$13,WORKDAY.INTL(L66,1,1,'Days off'!$B$2:$B$50),""),"")</f>
        <v>43454</v>
      </c>
      <c r="M67" s="80" t="str">
        <f>IF(M66=12,"",IF(M66="","",IF(M66="DayOff",M65+1,IFERROR(IF(VLOOKUP(L67,'Days off'!$B$2:$B$50,1,FALSE)=Parameters!L67,"DayOff",""),Parameters!M66+1))))</f>
        <v/>
      </c>
    </row>
    <row r="68" spans="2:13" x14ac:dyDescent="0.2">
      <c r="B68" s="16">
        <f>IFERROR(IF(WORKDAY.INTL(B67,1,1,'Days off'!$B$2:$B$50)&lt;=$P$8,WORKDAY.INTL(B67,1,1,'Days off'!$B$2:$B$50),""),"")</f>
        <v>43301</v>
      </c>
      <c r="C68" s="80" t="str">
        <f>IF(C67=12,"",IF(C67="","",IF(C67="DayOff",C66+1,IFERROR(IF(VLOOKUP(B68,'Days off'!$B$2:$B$50,1,FALSE)=Parameters!B68,"DayOff",""),Parameters!C67+1))))</f>
        <v/>
      </c>
      <c r="D68" s="16">
        <f>IFERROR(IF(WORKDAY.INTL(D67,1,1,'Days off'!$B$2:$B$50)&lt;=$P$9,WORKDAY.INTL(D67,1,1,'Days off'!$B$2:$B$50),""),"")</f>
        <v>43334</v>
      </c>
      <c r="E68" s="80" t="str">
        <f>IF(E67=12,"",IF(E67="","",IF(E67="DayOff",E66+1,IFERROR(IF(VLOOKUP(D68,'Days off'!$B$2:$B$50,1,FALSE)=Parameters!D68,"DayOff",""),Parameters!E67+1))))</f>
        <v/>
      </c>
      <c r="F68" s="16">
        <f>IFERROR(IF(WORKDAY.INTL(F67,1,1,'Days off'!$B$2:$B$50)&lt;=$P$10,WORKDAY.INTL(F67,1,1,'Days off'!$B$2:$B$50),""),"")</f>
        <v>43364</v>
      </c>
      <c r="G68" s="80" t="str">
        <f>IF(G67=12,"",IF(G67="","",IF(G67="DayOff",G66+1,IFERROR(IF(VLOOKUP(F68,'Days off'!$B$2:$B$50,1,FALSE)=Parameters!F68,"DayOff",""),Parameters!G67+1))))</f>
        <v/>
      </c>
      <c r="H68" s="16">
        <f>IFERROR(IF(WORKDAY.INTL(H67,1,1,'Days off'!$B$2:$B$50)&lt;=$P$11,WORKDAY.INTL(H67,1,1,'Days off'!$B$2:$B$50),""),"")</f>
        <v>43392</v>
      </c>
      <c r="I68" s="80" t="str">
        <f>IF(I67=12,"",IF(I67="","",IF(I67="DayOff",I66+1,IFERROR(IF(VLOOKUP(H68,'Days off'!$B$2:$B$50,1,FALSE)=Parameters!H68,"DayOff",""),Parameters!I67+1))))</f>
        <v/>
      </c>
      <c r="J68" s="16">
        <f>IFERROR(IF(WORKDAY.INTL(J67,1,1,'Days off'!$B$2:$B$50)&lt;=$P$12,WORKDAY.INTL(J67,1,1,'Days off'!$B$2:$B$50),""),"")</f>
        <v>43426</v>
      </c>
      <c r="K68" s="80" t="str">
        <f>IF(K67=12,"",IF(K67="","",IF(K67="DayOff",K66+1,IFERROR(IF(VLOOKUP(J68,'Days off'!$B$2:$B$50,1,FALSE)=Parameters!J68,"DayOff",""),Parameters!K67+1))))</f>
        <v/>
      </c>
      <c r="L68" s="16">
        <f>IFERROR(IF(WORKDAY.INTL(L67,1,1,'Days off'!$B$2:$B$50)&lt;=$P$13,WORKDAY.INTL(L67,1,1,'Days off'!$B$2:$B$50),""),"")</f>
        <v>43455</v>
      </c>
      <c r="M68" s="80" t="str">
        <f>IF(M67=12,"",IF(M67="","",IF(M67="DayOff",M66+1,IFERROR(IF(VLOOKUP(L68,'Days off'!$B$2:$B$50,1,FALSE)=Parameters!L68,"DayOff",""),Parameters!M67+1))))</f>
        <v/>
      </c>
    </row>
    <row r="69" spans="2:13" x14ac:dyDescent="0.2">
      <c r="B69" s="16">
        <f>IFERROR(IF(WORKDAY.INTL(B68,1,1,'Days off'!$B$2:$B$50)&lt;=$P$8,WORKDAY.INTL(B68,1,1,'Days off'!$B$2:$B$50),""),"")</f>
        <v>43304</v>
      </c>
      <c r="C69" s="80" t="str">
        <f>IF(C68=12,"",IF(C68="","",IF(C68="DayOff",C67+1,IFERROR(IF(VLOOKUP(B69,'Days off'!$B$2:$B$50,1,FALSE)=Parameters!B69,"DayOff",""),Parameters!C68+1))))</f>
        <v/>
      </c>
      <c r="D69" s="16">
        <f>IFERROR(IF(WORKDAY.INTL(D68,1,1,'Days off'!$B$2:$B$50)&lt;=$P$9,WORKDAY.INTL(D68,1,1,'Days off'!$B$2:$B$50),""),"")</f>
        <v>43335</v>
      </c>
      <c r="E69" s="80" t="str">
        <f>IF(E68=12,"",IF(E68="","",IF(E68="DayOff",E67+1,IFERROR(IF(VLOOKUP(D69,'Days off'!$B$2:$B$50,1,FALSE)=Parameters!D69,"DayOff",""),Parameters!E68+1))))</f>
        <v/>
      </c>
      <c r="F69" s="16">
        <f>IFERROR(IF(WORKDAY.INTL(F68,1,1,'Days off'!$B$2:$B$50)&lt;=$P$10,WORKDAY.INTL(F68,1,1,'Days off'!$B$2:$B$50),""),"")</f>
        <v>43367</v>
      </c>
      <c r="G69" s="80" t="str">
        <f>IF(G68=12,"",IF(G68="","",IF(G68="DayOff",G67+1,IFERROR(IF(VLOOKUP(F69,'Days off'!$B$2:$B$50,1,FALSE)=Parameters!F69,"DayOff",""),Parameters!G68+1))))</f>
        <v/>
      </c>
      <c r="H69" s="16">
        <f>IFERROR(IF(WORKDAY.INTL(H68,1,1,'Days off'!$B$2:$B$50)&lt;=$P$11,WORKDAY.INTL(H68,1,1,'Days off'!$B$2:$B$50),""),"")</f>
        <v>43395</v>
      </c>
      <c r="I69" s="80" t="str">
        <f>IF(I68=12,"",IF(I68="","",IF(I68="DayOff",I67+1,IFERROR(IF(VLOOKUP(H69,'Days off'!$B$2:$B$50,1,FALSE)=Parameters!H69,"DayOff",""),Parameters!I68+1))))</f>
        <v/>
      </c>
      <c r="J69" s="16">
        <f>IFERROR(IF(WORKDAY.INTL(J68,1,1,'Days off'!$B$2:$B$50)&lt;=$P$12,WORKDAY.INTL(J68,1,1,'Days off'!$B$2:$B$50),""),"")</f>
        <v>43427</v>
      </c>
      <c r="K69" s="80" t="str">
        <f>IF(K68=12,"",IF(K68="","",IF(K68="DayOff",K67+1,IFERROR(IF(VLOOKUP(J69,'Days off'!$B$2:$B$50,1,FALSE)=Parameters!J69,"DayOff",""),Parameters!K68+1))))</f>
        <v/>
      </c>
      <c r="L69" s="16">
        <f>IFERROR(IF(WORKDAY.INTL(L68,1,1,'Days off'!$B$2:$B$50)&lt;=$P$13,WORKDAY.INTL(L68,1,1,'Days off'!$B$2:$B$50),""),"")</f>
        <v>43458</v>
      </c>
      <c r="M69" s="80" t="str">
        <f>IF(M68=12,"",IF(M68="","",IF(M68="DayOff",M67+1,IFERROR(IF(VLOOKUP(L69,'Days off'!$B$2:$B$50,1,FALSE)=Parameters!L69,"DayOff",""),Parameters!M68+1))))</f>
        <v/>
      </c>
    </row>
    <row r="70" spans="2:13" x14ac:dyDescent="0.2">
      <c r="B70" s="16">
        <f>IFERROR(IF(WORKDAY.INTL(B69,1,1,'Days off'!$B$2:$B$50)&lt;=$P$8,WORKDAY.INTL(B69,1,1,'Days off'!$B$2:$B$50),""),"")</f>
        <v>43305</v>
      </c>
      <c r="C70" s="80" t="str">
        <f>IF(C69=12,"",IF(C69="","",IF(C69="DayOff",C68+1,IFERROR(IF(VLOOKUP(B70,'Days off'!$B$2:$B$50,1,FALSE)=Parameters!B70,"DayOff",""),Parameters!C69+1))))</f>
        <v/>
      </c>
      <c r="D70" s="16">
        <f>IFERROR(IF(WORKDAY.INTL(D69,1,1,'Days off'!$B$2:$B$50)&lt;=$P$9,WORKDAY.INTL(D69,1,1,'Days off'!$B$2:$B$50),""),"")</f>
        <v>43336</v>
      </c>
      <c r="E70" s="80" t="str">
        <f>IF(E69=12,"",IF(E69="","",IF(E69="DayOff",E68+1,IFERROR(IF(VLOOKUP(D70,'Days off'!$B$2:$B$50,1,FALSE)=Parameters!D70,"DayOff",""),Parameters!E69+1))))</f>
        <v/>
      </c>
      <c r="F70" s="16">
        <f>IFERROR(IF(WORKDAY.INTL(F69,1,1,'Days off'!$B$2:$B$50)&lt;=$P$10,WORKDAY.INTL(F69,1,1,'Days off'!$B$2:$B$50),""),"")</f>
        <v>43368</v>
      </c>
      <c r="G70" s="80" t="str">
        <f>IF(G69=12,"",IF(G69="","",IF(G69="DayOff",G68+1,IFERROR(IF(VLOOKUP(F70,'Days off'!$B$2:$B$50,1,FALSE)=Parameters!F70,"DayOff",""),Parameters!G69+1))))</f>
        <v/>
      </c>
      <c r="H70" s="16">
        <f>IFERROR(IF(WORKDAY.INTL(H69,1,1,'Days off'!$B$2:$B$50)&lt;=$P$11,WORKDAY.INTL(H69,1,1,'Days off'!$B$2:$B$50),""),"")</f>
        <v>43396</v>
      </c>
      <c r="I70" s="80" t="str">
        <f>IF(I69=12,"",IF(I69="","",IF(I69="DayOff",I68+1,IFERROR(IF(VLOOKUP(H70,'Days off'!$B$2:$B$50,1,FALSE)=Parameters!H70,"DayOff",""),Parameters!I69+1))))</f>
        <v/>
      </c>
      <c r="J70" s="16">
        <f>IFERROR(IF(WORKDAY.INTL(J69,1,1,'Days off'!$B$2:$B$50)&lt;=$P$12,WORKDAY.INTL(J69,1,1,'Days off'!$B$2:$B$50),""),"")</f>
        <v>43430</v>
      </c>
      <c r="K70" s="80" t="str">
        <f>IF(K69=12,"",IF(K69="","",IF(K69="DayOff",K68+1,IFERROR(IF(VLOOKUP(J70,'Days off'!$B$2:$B$50,1,FALSE)=Parameters!J70,"DayOff",""),Parameters!K69+1))))</f>
        <v/>
      </c>
      <c r="L70" s="16">
        <f>IFERROR(IF(WORKDAY.INTL(L69,1,1,'Days off'!$B$2:$B$50)&lt;=$P$13,WORKDAY.INTL(L69,1,1,'Days off'!$B$2:$B$50),""),"")</f>
        <v>43460</v>
      </c>
      <c r="M70" s="80" t="str">
        <f>IF(M69=12,"",IF(M69="","",IF(M69="DayOff",M68+1,IFERROR(IF(VLOOKUP(L70,'Days off'!$B$2:$B$50,1,FALSE)=Parameters!L70,"DayOff",""),Parameters!M69+1))))</f>
        <v/>
      </c>
    </row>
    <row r="71" spans="2:13" x14ac:dyDescent="0.2">
      <c r="B71" s="16">
        <f>IFERROR(IF(WORKDAY.INTL(B70,1,1,'Days off'!$B$2:$B$50)&lt;=$P$8,WORKDAY.INTL(B70,1,1,'Days off'!$B$2:$B$50),""),"")</f>
        <v>43306</v>
      </c>
      <c r="C71" s="80" t="str">
        <f>IF(C70=12,"",IF(C70="","",IF(C70="DayOff",C69+1,IFERROR(IF(VLOOKUP(B71,'Days off'!$B$2:$B$50,1,FALSE)=Parameters!B71,"DayOff",""),Parameters!C70+1))))</f>
        <v/>
      </c>
      <c r="D71" s="16">
        <f>IFERROR(IF(WORKDAY.INTL(D70,1,1,'Days off'!$B$2:$B$50)&lt;=$P$9,WORKDAY.INTL(D70,1,1,'Days off'!$B$2:$B$50),""),"")</f>
        <v>43339</v>
      </c>
      <c r="E71" s="80" t="str">
        <f>IF(E70=12,"",IF(E70="","",IF(E70="DayOff",E69+1,IFERROR(IF(VLOOKUP(D71,'Days off'!$B$2:$B$50,1,FALSE)=Parameters!D71,"DayOff",""),Parameters!E70+1))))</f>
        <v/>
      </c>
      <c r="F71" s="16">
        <f>IFERROR(IF(WORKDAY.INTL(F70,1,1,'Days off'!$B$2:$B$50)&lt;=$P$10,WORKDAY.INTL(F70,1,1,'Days off'!$B$2:$B$50),""),"")</f>
        <v>43369</v>
      </c>
      <c r="G71" s="80" t="str">
        <f>IF(G70=12,"",IF(G70="","",IF(G70="DayOff",G69+1,IFERROR(IF(VLOOKUP(F71,'Days off'!$B$2:$B$50,1,FALSE)=Parameters!F71,"DayOff",""),Parameters!G70+1))))</f>
        <v/>
      </c>
      <c r="H71" s="16">
        <f>IFERROR(IF(WORKDAY.INTL(H70,1,1,'Days off'!$B$2:$B$50)&lt;=$P$11,WORKDAY.INTL(H70,1,1,'Days off'!$B$2:$B$50),""),"")</f>
        <v>43397</v>
      </c>
      <c r="I71" s="80" t="str">
        <f>IF(I70=12,"",IF(I70="","",IF(I70="DayOff",I69+1,IFERROR(IF(VLOOKUP(H71,'Days off'!$B$2:$B$50,1,FALSE)=Parameters!H71,"DayOff",""),Parameters!I70+1))))</f>
        <v/>
      </c>
      <c r="J71" s="16">
        <f>IFERROR(IF(WORKDAY.INTL(J70,1,1,'Days off'!$B$2:$B$50)&lt;=$P$12,WORKDAY.INTL(J70,1,1,'Days off'!$B$2:$B$50),""),"")</f>
        <v>43431</v>
      </c>
      <c r="K71" s="80" t="str">
        <f>IF(K70=12,"",IF(K70="","",IF(K70="DayOff",K69+1,IFERROR(IF(VLOOKUP(J71,'Days off'!$B$2:$B$50,1,FALSE)=Parameters!J71,"DayOff",""),Parameters!K70+1))))</f>
        <v/>
      </c>
      <c r="L71" s="16">
        <f>IFERROR(IF(WORKDAY.INTL(L70,1,1,'Days off'!$B$2:$B$50)&lt;=$P$13,WORKDAY.INTL(L70,1,1,'Days off'!$B$2:$B$50),""),"")</f>
        <v>43461</v>
      </c>
      <c r="M71" s="80" t="str">
        <f>IF(M70=12,"",IF(M70="","",IF(M70="DayOff",M69+1,IFERROR(IF(VLOOKUP(L71,'Days off'!$B$2:$B$50,1,FALSE)=Parameters!L71,"DayOff",""),Parameters!M70+1))))</f>
        <v/>
      </c>
    </row>
    <row r="72" spans="2:13" x14ac:dyDescent="0.2">
      <c r="B72" s="16">
        <f>IFERROR(IF(WORKDAY.INTL(B71,1,1,'Days off'!$B$2:$B$50)&lt;=$P$8,WORKDAY.INTL(B71,1,1,'Days off'!$B$2:$B$50),""),"")</f>
        <v>43307</v>
      </c>
      <c r="C72" s="80" t="str">
        <f>IF(C71=12,"",IF(C71="","",IF(C71="DayOff",C70+1,IFERROR(IF(VLOOKUP(B72,'Days off'!$B$2:$B$50,1,FALSE)=Parameters!B72,"DayOff",""),Parameters!C71+1))))</f>
        <v/>
      </c>
      <c r="D72" s="16">
        <f>IFERROR(IF(WORKDAY.INTL(D71,1,1,'Days off'!$B$2:$B$50)&lt;=$P$9,WORKDAY.INTL(D71,1,1,'Days off'!$B$2:$B$50),""),"")</f>
        <v>43340</v>
      </c>
      <c r="E72" s="80" t="str">
        <f>IF(E71=12,"",IF(E71="","",IF(E71="DayOff",E70+1,IFERROR(IF(VLOOKUP(D72,'Days off'!$B$2:$B$50,1,FALSE)=Parameters!D72,"DayOff",""),Parameters!E71+1))))</f>
        <v/>
      </c>
      <c r="F72" s="16">
        <f>IFERROR(IF(WORKDAY.INTL(F71,1,1,'Days off'!$B$2:$B$50)&lt;=$P$10,WORKDAY.INTL(F71,1,1,'Days off'!$B$2:$B$50),""),"")</f>
        <v>43370</v>
      </c>
      <c r="G72" s="80" t="str">
        <f>IF(G71=12,"",IF(G71="","",IF(G71="DayOff",G70+1,IFERROR(IF(VLOOKUP(F72,'Days off'!$B$2:$B$50,1,FALSE)=Parameters!F72,"DayOff",""),Parameters!G71+1))))</f>
        <v/>
      </c>
      <c r="H72" s="16">
        <f>IFERROR(IF(WORKDAY.INTL(H71,1,1,'Days off'!$B$2:$B$50)&lt;=$P$11,WORKDAY.INTL(H71,1,1,'Days off'!$B$2:$B$50),""),"")</f>
        <v>43398</v>
      </c>
      <c r="I72" s="80" t="str">
        <f>IF(I71=12,"",IF(I71="","",IF(I71="DayOff",I70+1,IFERROR(IF(VLOOKUP(H72,'Days off'!$B$2:$B$50,1,FALSE)=Parameters!H72,"DayOff",""),Parameters!I71+1))))</f>
        <v/>
      </c>
      <c r="J72" s="16">
        <f>IFERROR(IF(WORKDAY.INTL(J71,1,1,'Days off'!$B$2:$B$50)&lt;=$P$12,WORKDAY.INTL(J71,1,1,'Days off'!$B$2:$B$50),""),"")</f>
        <v>43432</v>
      </c>
      <c r="K72" s="80" t="str">
        <f>IF(K71=12,"",IF(K71="","",IF(K71="DayOff",K70+1,IFERROR(IF(VLOOKUP(J72,'Days off'!$B$2:$B$50,1,FALSE)=Parameters!J72,"DayOff",""),Parameters!K71+1))))</f>
        <v/>
      </c>
      <c r="L72" s="16">
        <f>IFERROR(IF(WORKDAY.INTL(L71,1,1,'Days off'!$B$2:$B$50)&lt;=$P$13,WORKDAY.INTL(L71,1,1,'Days off'!$B$2:$B$50),""),"")</f>
        <v>43462</v>
      </c>
      <c r="M72" s="80" t="str">
        <f>IF(M71=12,"",IF(M71="","",IF(M71="DayOff",M70+1,IFERROR(IF(VLOOKUP(L72,'Days off'!$B$2:$B$50,1,FALSE)=Parameters!L72,"DayOff",""),Parameters!M71+1))))</f>
        <v/>
      </c>
    </row>
    <row r="73" spans="2:13" x14ac:dyDescent="0.2">
      <c r="B73" s="16">
        <f>IFERROR(IF(WORKDAY.INTL(B72,1,1,'Days off'!$B$2:$B$50)&lt;=$P$8,WORKDAY.INTL(B72,1,1,'Days off'!$B$2:$B$50),""),"")</f>
        <v>43308</v>
      </c>
      <c r="C73" s="80" t="str">
        <f>IF(C72=12,"",IF(C72="","",IF(C72="DayOff",C71+1,IFERROR(IF(VLOOKUP(B73,'Days off'!$B$2:$B$50,1,FALSE)=Parameters!B73,"DayOff",""),Parameters!C72+1))))</f>
        <v/>
      </c>
      <c r="D73" s="16">
        <f>IFERROR(IF(WORKDAY.INTL(D72,1,1,'Days off'!$B$2:$B$50)&lt;=$P$9,WORKDAY.INTL(D72,1,1,'Days off'!$B$2:$B$50),""),"")</f>
        <v>43341</v>
      </c>
      <c r="E73" s="80" t="str">
        <f>IF(E72=12,"",IF(E72="","",IF(E72="DayOff",E71+1,IFERROR(IF(VLOOKUP(D73,'Days off'!$B$2:$B$50,1,FALSE)=Parameters!D73,"DayOff",""),Parameters!E72+1))))</f>
        <v/>
      </c>
      <c r="F73" s="16">
        <f>IFERROR(IF(WORKDAY.INTL(F72,1,1,'Days off'!$B$2:$B$50)&lt;=$P$10,WORKDAY.INTL(F72,1,1,'Days off'!$B$2:$B$50),""),"")</f>
        <v>43371</v>
      </c>
      <c r="G73" s="80" t="str">
        <f>IF(G72=12,"",IF(G72="","",IF(G72="DayOff",G71+1,IFERROR(IF(VLOOKUP(F73,'Days off'!$B$2:$B$50,1,FALSE)=Parameters!F73,"DayOff",""),Parameters!G72+1))))</f>
        <v/>
      </c>
      <c r="H73" s="16">
        <f>IFERROR(IF(WORKDAY.INTL(H72,1,1,'Days off'!$B$2:$B$50)&lt;=$P$11,WORKDAY.INTL(H72,1,1,'Days off'!$B$2:$B$50),""),"")</f>
        <v>43399</v>
      </c>
      <c r="I73" s="80" t="str">
        <f>IF(I72=12,"",IF(I72="","",IF(I72="DayOff",I71+1,IFERROR(IF(VLOOKUP(H73,'Days off'!$B$2:$B$50,1,FALSE)=Parameters!H73,"DayOff",""),Parameters!I72+1))))</f>
        <v/>
      </c>
      <c r="J73" s="16">
        <f>IFERROR(IF(WORKDAY.INTL(J72,1,1,'Days off'!$B$2:$B$50)&lt;=$P$12,WORKDAY.INTL(J72,1,1,'Days off'!$B$2:$B$50),""),"")</f>
        <v>43433</v>
      </c>
      <c r="K73" s="80" t="str">
        <f>IF(K72=12,"",IF(K72="","",IF(K72="DayOff",K71+1,IFERROR(IF(VLOOKUP(J73,'Days off'!$B$2:$B$50,1,FALSE)=Parameters!J73,"DayOff",""),Parameters!K72+1))))</f>
        <v/>
      </c>
      <c r="L73" s="16">
        <f>IFERROR(IF(WORKDAY.INTL(L72,1,1,'Days off'!$B$2:$B$50)&lt;=$P$13,WORKDAY.INTL(L72,1,1,'Days off'!$B$2:$B$50),""),"")</f>
        <v>43465</v>
      </c>
      <c r="M73" s="80" t="str">
        <f>IF(M72=12,"",IF(M72="","",IF(M72="DayOff",M71+1,IFERROR(IF(VLOOKUP(L73,'Days off'!$B$2:$B$50,1,FALSE)=Parameters!L73,"DayOff",""),Parameters!M72+1))))</f>
        <v/>
      </c>
    </row>
    <row r="74" spans="2:13" x14ac:dyDescent="0.2">
      <c r="B74" s="16">
        <f>IFERROR(IF(WORKDAY.INTL(B73,1,1,'Days off'!$B$2:$B$50)&lt;=$P$8,WORKDAY.INTL(B73,1,1,'Days off'!$B$2:$B$50),""),"")</f>
        <v>43311</v>
      </c>
      <c r="C74" s="80" t="str">
        <f>IF(C73=12,"",IF(C73="","",IF(C73="DayOff",C72+1,IFERROR(IF(VLOOKUP(B74,'Days off'!$B$2:$B$50,1,FALSE)=Parameters!B74,"DayOff",""),Parameters!C73+1))))</f>
        <v/>
      </c>
      <c r="D74" s="16">
        <f>IFERROR(IF(WORKDAY.INTL(D73,1,1,'Days off'!$B$2:$B$50)&lt;=$P$9,WORKDAY.INTL(D73,1,1,'Days off'!$B$2:$B$50),""),"")</f>
        <v>43342</v>
      </c>
      <c r="E74" s="80" t="str">
        <f>IF(E73=12,"",IF(E73="","",IF(E73="DayOff",E72+1,IFERROR(IF(VLOOKUP(D74,'Days off'!$B$2:$B$50,1,FALSE)=Parameters!D74,"DayOff",""),Parameters!E73+1))))</f>
        <v/>
      </c>
      <c r="F74" s="16" t="str">
        <f>IFERROR(IF(WORKDAY.INTL(F73,1,1,'Days off'!$B$2:$B$50)&lt;=$P$10,WORKDAY.INTL(F73,1,1,'Days off'!$B$2:$B$50),""),"")</f>
        <v/>
      </c>
      <c r="G74" s="80" t="str">
        <f>IF(G73=12,"",IF(G73="","",IF(G73="DayOff",G72+1,IFERROR(IF(VLOOKUP(F74,'Days off'!$B$2:$B$50,1,FALSE)=Parameters!F74,"DayOff",""),Parameters!G73+1))))</f>
        <v/>
      </c>
      <c r="H74" s="16">
        <f>IFERROR(IF(WORKDAY.INTL(H73,1,1,'Days off'!$B$2:$B$50)&lt;=$P$11,WORKDAY.INTL(H73,1,1,'Days off'!$B$2:$B$50),""),"")</f>
        <v>43402</v>
      </c>
      <c r="I74" s="80" t="str">
        <f>IF(I73=12,"",IF(I73="","",IF(I73="DayOff",I72+1,IFERROR(IF(VLOOKUP(H74,'Days off'!$B$2:$B$50,1,FALSE)=Parameters!H74,"DayOff",""),Parameters!I73+1))))</f>
        <v/>
      </c>
      <c r="J74" s="16">
        <f>IFERROR(IF(WORKDAY.INTL(J73,1,1,'Days off'!$B$2:$B$50)&lt;=$P$12,WORKDAY.INTL(J73,1,1,'Days off'!$B$2:$B$50),""),"")</f>
        <v>43434</v>
      </c>
      <c r="K74" s="80" t="str">
        <f>IF(K73=12,"",IF(K73="","",IF(K73="DayOff",K72+1,IFERROR(IF(VLOOKUP(J74,'Days off'!$B$2:$B$50,1,FALSE)=Parameters!J74,"DayOff",""),Parameters!K73+1))))</f>
        <v/>
      </c>
      <c r="L74" s="16" t="str">
        <f>IFERROR(IF(WORKDAY.INTL(L73,1,1,'Days off'!$B$2:$B$50)&lt;=$P$13,WORKDAY.INTL(L73,1,1,'Days off'!$B$2:$B$50),""),"")</f>
        <v/>
      </c>
      <c r="M74" s="80" t="str">
        <f>IF(M73=12,"",IF(M73="","",IF(M73="DayOff",M72+1,IFERROR(IF(VLOOKUP(L74,'Days off'!$B$2:$B$50,1,FALSE)=Parameters!L74,"DayOff",""),Parameters!M73+1))))</f>
        <v/>
      </c>
    </row>
    <row r="75" spans="2:13" x14ac:dyDescent="0.2">
      <c r="B75" s="16">
        <f>IFERROR(IF(WORKDAY.INTL(B74,1,1,'Days off'!$B$2:$B$50)&lt;=$P$8,WORKDAY.INTL(B74,1,1,'Days off'!$B$2:$B$50),""),"")</f>
        <v>43312</v>
      </c>
      <c r="C75" s="80" t="str">
        <f>IF(C74=12,"",IF(C74="","",IF(C74="DayOff",C73+1,IFERROR(IF(VLOOKUP(B75,'Days off'!$B$2:$B$50,1,FALSE)=Parameters!B75,"DayOff",""),Parameters!C74+1))))</f>
        <v/>
      </c>
      <c r="D75" s="16">
        <f>IFERROR(IF(WORKDAY.INTL(D74,1,1,'Days off'!$B$2:$B$50)&lt;=$P$9,WORKDAY.INTL(D74,1,1,'Days off'!$B$2:$B$50),""),"")</f>
        <v>43343</v>
      </c>
      <c r="E75" s="80" t="str">
        <f>IF(E74=12,"",IF(E74="","",IF(E74="DayOff",E73+1,IFERROR(IF(VLOOKUP(D75,'Days off'!$B$2:$B$50,1,FALSE)=Parameters!D75,"DayOff",""),Parameters!E74+1))))</f>
        <v/>
      </c>
      <c r="F75" s="16" t="str">
        <f>IFERROR(IF(WORKDAY.INTL(F74,1,1,'Days off'!$B$2:$B$50)&lt;=$P$10,WORKDAY.INTL(F74,1,1,'Days off'!$B$2:$B$50),""),"")</f>
        <v/>
      </c>
      <c r="G75" s="80" t="str">
        <f>IF(G74=12,"",IF(G74="","",IF(G74="DayOff",G73+1,IFERROR(IF(VLOOKUP(F75,'Days off'!$B$2:$B$50,1,FALSE)=Parameters!F75,"DayOff",""),Parameters!G74+1))))</f>
        <v/>
      </c>
      <c r="H75" s="16">
        <f>IFERROR(IF(WORKDAY.INTL(H74,1,1,'Days off'!$B$2:$B$50)&lt;=$P$11,WORKDAY.INTL(H74,1,1,'Days off'!$B$2:$B$50),""),"")</f>
        <v>43403</v>
      </c>
      <c r="I75" s="80" t="str">
        <f>IF(I74=12,"",IF(I74="","",IF(I74="DayOff",I73+1,IFERROR(IF(VLOOKUP(H75,'Days off'!$B$2:$B$50,1,FALSE)=Parameters!H75,"DayOff",""),Parameters!I74+1))))</f>
        <v/>
      </c>
      <c r="J75" s="16" t="str">
        <f>IFERROR(IF(WORKDAY.INTL(J74,1,1,'Days off'!$B$2:$B$50)&lt;=$P$12,WORKDAY.INTL(J74,1,1,'Days off'!$B$2:$B$50),""),"")</f>
        <v/>
      </c>
      <c r="K75" s="80" t="str">
        <f>IF(K74=12,"",IF(K74="","",IF(K74="DayOff",K73+1,IFERROR(IF(VLOOKUP(J75,'Days off'!$B$2:$B$50,1,FALSE)=Parameters!J75,"DayOff",""),Parameters!K74+1))))</f>
        <v/>
      </c>
      <c r="L75" s="16" t="str">
        <f>IFERROR(IF(WORKDAY.INTL(L74,1,1,'Days off'!$B$2:$B$50)&lt;=$P$13,WORKDAY.INTL(L74,1,1,'Days off'!$B$2:$B$50),""),"")</f>
        <v/>
      </c>
      <c r="M75" s="80" t="str">
        <f>IF(M74=12,"",IF(M74="","",IF(M74="DayOff",M73+1,IFERROR(IF(VLOOKUP(L75,'Days off'!$B$2:$B$50,1,FALSE)=Parameters!L75,"DayOff",""),Parameters!M74+1))))</f>
        <v/>
      </c>
    </row>
    <row r="76" spans="2:13" x14ac:dyDescent="0.2">
      <c r="B76" s="16" t="str">
        <f>IFERROR(IF(WORKDAY.INTL(B75,1,1,'Days off'!$B$2:$B$50)&lt;=$P$8,WORKDAY.INTL(B75,1,1,'Days off'!$B$2:$B$50),""),"")</f>
        <v/>
      </c>
      <c r="C76" s="80" t="str">
        <f>IF(C75=12,"",IF(C75="","",IF(C75="DayOff",C74+1,IFERROR(IF(VLOOKUP(B76,'Days off'!$B$2:$B$50,1,FALSE)=Parameters!B76,"DayOff",""),Parameters!C75+1))))</f>
        <v/>
      </c>
      <c r="D76" s="16" t="str">
        <f>IFERROR(IF(WORKDAY.INTL(D75,1,1,'Days off'!$B$2:$B$50)&lt;=$P$9,WORKDAY.INTL(D75,1,1,'Days off'!$B$2:$B$50),""),"")</f>
        <v/>
      </c>
      <c r="E76" s="80" t="str">
        <f>IF(E75=12,"",IF(E75="","",IF(E75="DayOff",E74+1,IFERROR(IF(VLOOKUP(D76,'Days off'!$B$2:$B$50,1,FALSE)=Parameters!D76,"DayOff",""),Parameters!E75+1))))</f>
        <v/>
      </c>
      <c r="F76" s="16" t="str">
        <f>IFERROR(IF(WORKDAY.INTL(F75,1,1,'Days off'!$B$2:$B$50)&lt;=$P$10,WORKDAY.INTL(F75,1,1,'Days off'!$B$2:$B$50),""),"")</f>
        <v/>
      </c>
      <c r="G76" s="80" t="str">
        <f>IF(G75=12,"",IF(G75="","",IF(G75="DayOff",G74+1,IFERROR(IF(VLOOKUP(F76,'Days off'!$B$2:$B$50,1,FALSE)=Parameters!F76,"DayOff",""),Parameters!G75+1))))</f>
        <v/>
      </c>
      <c r="H76" s="16">
        <f>IFERROR(IF(WORKDAY.INTL(H75,1,1,'Days off'!$B$2:$B$50)&lt;=$P$11,WORKDAY.INTL(H75,1,1,'Days off'!$B$2:$B$50),""),"")</f>
        <v>43404</v>
      </c>
      <c r="I76" s="80" t="str">
        <f>IF(I75=12,"",IF(I75="","",IF(I75="DayOff",I74+1,IFERROR(IF(VLOOKUP(H76,'Days off'!$B$2:$B$50,1,FALSE)=Parameters!H76,"DayOff",""),Parameters!I75+1))))</f>
        <v/>
      </c>
      <c r="J76" s="16" t="str">
        <f>IFERROR(IF(WORKDAY.INTL(J75,1,1,'Days off'!$B$2:$B$50)&lt;=$P$12,WORKDAY.INTL(J75,1,1,'Days off'!$B$2:$B$50),""),"")</f>
        <v/>
      </c>
      <c r="K76" s="80" t="str">
        <f>IF(K75=12,"",IF(K75="","",IF(K75="DayOff",K74+1,IFERROR(IF(VLOOKUP(J76,'Days off'!$B$2:$B$50,1,FALSE)=Parameters!J76,"DayOff",""),Parameters!K75+1))))</f>
        <v/>
      </c>
      <c r="L76" s="16" t="str">
        <f>IFERROR(IF(WORKDAY.INTL(L75,1,1,'Days off'!$B$2:$B$50)&lt;=$P$13,WORKDAY.INTL(L75,1,1,'Days off'!$B$2:$B$50),""),"")</f>
        <v/>
      </c>
      <c r="M76" s="80" t="str">
        <f>IF(M75=12,"",IF(M75="","",IF(M75="DayOff",M74+1,IFERROR(IF(VLOOKUP(L76,'Days off'!$B$2:$B$50,1,FALSE)=Parameters!L76,"DayOff",""),Parameters!M75+1))))</f>
        <v/>
      </c>
    </row>
    <row r="77" spans="2:13" x14ac:dyDescent="0.2">
      <c r="B77" s="16" t="str">
        <f>IFERROR(IF(WORKDAY.INTL(B76,1,1,'Days off'!$B$2:$B$50)&lt;=$P$8,WORKDAY.INTL(B76,1,1,'Days off'!$B$2:$B$50),""),"")</f>
        <v/>
      </c>
      <c r="C77" s="80" t="str">
        <f>IF(C76=12,"",IF(C76="","",IF(C76="DayOff",C75+1,IFERROR(IF(VLOOKUP(B77,'Days off'!$B$2:$B$50,1,FALSE)=Parameters!B77,"DayOff",""),Parameters!C76+1))))</f>
        <v/>
      </c>
      <c r="D77" s="16" t="str">
        <f>IFERROR(IF(WORKDAY.INTL(D76,1,1,'Days off'!$B$2:$B$50)&lt;=$P$9,WORKDAY.INTL(D76,1,1,'Days off'!$B$2:$B$50),""),"")</f>
        <v/>
      </c>
      <c r="E77" s="80" t="str">
        <f>IF(E76=12,"",IF(E76="","",IF(E76="DayOff",E75+1,IFERROR(IF(VLOOKUP(D77,'Days off'!$B$2:$B$50,1,FALSE)=Parameters!D77,"DayOff",""),Parameters!E76+1))))</f>
        <v/>
      </c>
      <c r="F77" s="16" t="str">
        <f>IFERROR(IF(WORKDAY.INTL(F76,1,1,'Days off'!$B$2:$B$50)&lt;=$P$10,WORKDAY.INTL(F76,1,1,'Days off'!$B$2:$B$50),""),"")</f>
        <v/>
      </c>
      <c r="G77" s="80" t="str">
        <f>IF(G76=12,"",IF(G76="","",IF(G76="DayOff",G75+1,IFERROR(IF(VLOOKUP(F77,'Days off'!$B$2:$B$50,1,FALSE)=Parameters!F77,"DayOff",""),Parameters!G76+1))))</f>
        <v/>
      </c>
      <c r="H77" s="16" t="str">
        <f>IFERROR(IF(WORKDAY.INTL(H76,1,1,'Days off'!$B$2:$B$50)&lt;=$P$11,WORKDAY.INTL(H76,1,1,'Days off'!$B$2:$B$50),""),"")</f>
        <v/>
      </c>
      <c r="I77" s="80" t="str">
        <f>IF(I76=12,"",IF(I76="","",IF(I76="DayOff",I75+1,IFERROR(IF(VLOOKUP(H77,'Days off'!$B$2:$B$50,1,FALSE)=Parameters!H77,"DayOff",""),Parameters!I76+1))))</f>
        <v/>
      </c>
      <c r="J77" s="16" t="str">
        <f>IFERROR(IF(WORKDAY.INTL(J76,1,1,'Days off'!$B$2:$B$50)&lt;=$P$12,WORKDAY.INTL(J76,1,1,'Days off'!$B$2:$B$50),""),"")</f>
        <v/>
      </c>
      <c r="K77" s="80" t="str">
        <f>IF(K76=12,"",IF(K76="","",IF(K76="DayOff",K75+1,IFERROR(IF(VLOOKUP(J77,'Days off'!$B$2:$B$50,1,FALSE)=Parameters!J77,"DayOff",""),Parameters!K76+1))))</f>
        <v/>
      </c>
      <c r="L77" s="16" t="str">
        <f>IFERROR(IF(WORKDAY.INTL(L76,1,1,'Days off'!$B$2:$B$50)&lt;=$P$13,WORKDAY.INTL(L76,1,1,'Days off'!$B$2:$B$50),""),"")</f>
        <v/>
      </c>
      <c r="M77" s="80" t="str">
        <f>IF(M76=12,"",IF(M76="","",IF(M76="DayOff",M75+1,IFERROR(IF(VLOOKUP(L77,'Days off'!$B$2:$B$50,1,FALSE)=Parameters!L77,"DayOff",""),Parameters!M76+1))))</f>
        <v/>
      </c>
    </row>
    <row r="78" spans="2:13" x14ac:dyDescent="0.2">
      <c r="B78" s="16" t="str">
        <f>IFERROR(IF(WORKDAY.INTL(B77,1,1,'Days off'!$B$2:$B$50)&lt;=$P$8,WORKDAY.INTL(B77,1,1,'Days off'!$B$2:$B$50),""),"")</f>
        <v/>
      </c>
      <c r="C78" s="80" t="str">
        <f>IF(C77=12,"",IF(C77="","",IF(C77="DayOff",C76+1,IFERROR(IF(VLOOKUP(B78,'Days off'!$B$2:$B$50,1,FALSE)=Parameters!B78,"DayOff",""),Parameters!C77+1))))</f>
        <v/>
      </c>
      <c r="D78" s="16" t="str">
        <f>IFERROR(IF(WORKDAY.INTL(D77,1,1,'Days off'!$B$2:$B$50)&lt;=$P$9,WORKDAY.INTL(D77,1,1,'Days off'!$B$2:$B$50),""),"")</f>
        <v/>
      </c>
      <c r="E78" s="80" t="str">
        <f>IF(E77=12,"",IF(E77="","",IF(E77="DayOff",E76+1,IFERROR(IF(VLOOKUP(D78,'Days off'!$B$2:$B$50,1,FALSE)=Parameters!D78,"DayOff",""),Parameters!E77+1))))</f>
        <v/>
      </c>
      <c r="F78" s="16" t="str">
        <f>IFERROR(IF(WORKDAY.INTL(F77,1,1,'Days off'!$B$2:$B$50)&lt;=$P$10,WORKDAY.INTL(F77,1,1,'Days off'!$B$2:$B$50),""),"")</f>
        <v/>
      </c>
      <c r="G78" s="80" t="str">
        <f>IF(G77=12,"",IF(G77="","",IF(G77="DayOff",G76+1,IFERROR(IF(VLOOKUP(F78,'Days off'!$B$2:$B$50,1,FALSE)=Parameters!F78,"DayOff",""),Parameters!G77+1))))</f>
        <v/>
      </c>
      <c r="H78" s="16" t="str">
        <f>IFERROR(IF(WORKDAY.INTL(H77,1,1,'Days off'!$B$2:$B$50)&lt;=$P$11,WORKDAY.INTL(H77,1,1,'Days off'!$B$2:$B$50),""),"")</f>
        <v/>
      </c>
      <c r="I78" s="80" t="str">
        <f>IF(I77=12,"",IF(I77="","",IF(I77="DayOff",I76+1,IFERROR(IF(VLOOKUP(H78,'Days off'!$B$2:$B$50,1,FALSE)=Parameters!H78,"DayOff",""),Parameters!I77+1))))</f>
        <v/>
      </c>
      <c r="J78" s="16" t="str">
        <f>IFERROR(IF(WORKDAY.INTL(J77,1,1,'Days off'!$B$2:$B$50)&lt;=$P$12,WORKDAY.INTL(J77,1,1,'Days off'!$B$2:$B$50),""),"")</f>
        <v/>
      </c>
      <c r="K78" s="80" t="str">
        <f>IF(K77=12,"",IF(K77="","",IF(K77="DayOff",K76+1,IFERROR(IF(VLOOKUP(J78,'Days off'!$B$2:$B$50,1,FALSE)=Parameters!J78,"DayOff",""),Parameters!K77+1))))</f>
        <v/>
      </c>
      <c r="L78" s="16" t="str">
        <f>IFERROR(IF(WORKDAY.INTL(L77,1,1,'Days off'!$B$2:$B$50)&lt;=$P$13,WORKDAY.INTL(L77,1,1,'Days off'!$B$2:$B$50),""),"")</f>
        <v/>
      </c>
      <c r="M78" s="80" t="str">
        <f>IF(M77=12,"",IF(M77="","",IF(M77="DayOff",M76+1,IFERROR(IF(VLOOKUP(L78,'Days off'!$B$2:$B$50,1,FALSE)=Parameters!L78,"DayOff",""),Parameters!M77+1))))</f>
        <v/>
      </c>
    </row>
    <row r="79" spans="2:13" x14ac:dyDescent="0.2">
      <c r="B79" s="16" t="str">
        <f>IFERROR(IF(WORKDAY.INTL(B78,1,1,'Days off'!$B$2:$B$50)&lt;=$P$8,WORKDAY.INTL(B78,1,1,'Days off'!$B$2:$B$50),""),"")</f>
        <v/>
      </c>
      <c r="C79" s="80" t="str">
        <f>IF(C78=12,"",IF(C78="","",IF(C78="DayOff",C77+1,IFERROR(IF(VLOOKUP(B79,'Days off'!$B$2:$B$50,1,FALSE)=Parameters!B79,"DayOff",""),Parameters!C78+1))))</f>
        <v/>
      </c>
      <c r="D79" s="16" t="str">
        <f>IFERROR(IF(WORKDAY.INTL(D78,1,1,'Days off'!$B$2:$B$50)&lt;=$P$9,WORKDAY.INTL(D78,1,1,'Days off'!$B$2:$B$50),""),"")</f>
        <v/>
      </c>
      <c r="E79" s="80" t="str">
        <f>IF(E78=12,"",IF(E78="","",IF(E78="DayOff",E77+1,IFERROR(IF(VLOOKUP(D79,'Days off'!$B$2:$B$50,1,FALSE)=Parameters!D79,"DayOff",""),Parameters!E78+1))))</f>
        <v/>
      </c>
      <c r="F79" s="16" t="str">
        <f>IFERROR(IF(WORKDAY.INTL(F78,1,1,'Days off'!$B$2:$B$50)&lt;=$P$10,WORKDAY.INTL(F78,1,1,'Days off'!$B$2:$B$50),""),"")</f>
        <v/>
      </c>
      <c r="G79" s="80" t="str">
        <f>IF(G78=12,"",IF(G78="","",IF(G78="DayOff",G77+1,IFERROR(IF(VLOOKUP(F79,'Days off'!$B$2:$B$50,1,FALSE)=Parameters!F79,"DayOff",""),Parameters!G78+1))))</f>
        <v/>
      </c>
      <c r="H79" s="16" t="str">
        <f>IFERROR(IF(WORKDAY.INTL(H78,1,1,'Days off'!$B$2:$B$50)&lt;=$P$11,WORKDAY.INTL(H78,1,1,'Days off'!$B$2:$B$50),""),"")</f>
        <v/>
      </c>
      <c r="I79" s="80" t="str">
        <f>IF(I78=12,"",IF(I78="","",IF(I78="DayOff",I77+1,IFERROR(IF(VLOOKUP(H79,'Days off'!$B$2:$B$50,1,FALSE)=Parameters!H79,"DayOff",""),Parameters!I78+1))))</f>
        <v/>
      </c>
      <c r="J79" s="16" t="str">
        <f>IFERROR(IF(WORKDAY.INTL(J78,1,1,'Days off'!$B$2:$B$50)&lt;=$P$12,WORKDAY.INTL(J78,1,1,'Days off'!$B$2:$B$50),""),"")</f>
        <v/>
      </c>
      <c r="K79" s="80" t="str">
        <f>IF(K78=12,"",IF(K78="","",IF(K78="DayOff",K77+1,IFERROR(IF(VLOOKUP(J79,'Days off'!$B$2:$B$50,1,FALSE)=Parameters!J79,"DayOff",""),Parameters!K78+1))))</f>
        <v/>
      </c>
      <c r="L79" s="16" t="str">
        <f>IFERROR(IF(WORKDAY.INTL(L78,1,1,'Days off'!$B$2:$B$50)&lt;=$P$13,WORKDAY.INTL(L78,1,1,'Days off'!$B$2:$B$50),""),"")</f>
        <v/>
      </c>
      <c r="M79" s="80" t="str">
        <f>IF(M78=12,"",IF(M78="","",IF(M78="DayOff",M77+1,IFERROR(IF(VLOOKUP(L79,'Days off'!$B$2:$B$50,1,FALSE)=Parameters!L79,"DayOff",""),Parameters!M78+1))))</f>
        <v/>
      </c>
    </row>
    <row r="80" spans="2:13" x14ac:dyDescent="0.2">
      <c r="B80" s="16" t="str">
        <f>IFERROR(IF(WORKDAY.INTL(B79,1,1,'Days off'!$B$2:$B$50)&lt;=$P$8,WORKDAY.INTL(B79,1,1,'Days off'!$B$2:$B$50),""),"")</f>
        <v/>
      </c>
      <c r="C80" s="80" t="str">
        <f>IF(C79=12,"",IF(C79="","",IF(C79="DayOff",C78+1,IFERROR(IF(VLOOKUP(B80,'Days off'!$B$2:$B$50,1,FALSE)=Parameters!B80,"DayOff",""),Parameters!C79+1))))</f>
        <v/>
      </c>
      <c r="D80" s="16" t="str">
        <f>IFERROR(IF(WORKDAY.INTL(D79,1,1,'Days off'!$B$2:$B$50)&lt;=$P$9,WORKDAY.INTL(D79,1,1,'Days off'!$B$2:$B$50),""),"")</f>
        <v/>
      </c>
      <c r="E80" s="80" t="str">
        <f>IF(E79=12,"",IF(E79="","",IF(E79="DayOff",E78+1,IFERROR(IF(VLOOKUP(D80,'Days off'!$B$2:$B$50,1,FALSE)=Parameters!D80,"DayOff",""),Parameters!E79+1))))</f>
        <v/>
      </c>
      <c r="F80" s="16" t="str">
        <f>IFERROR(IF(WORKDAY.INTL(F79,1,1,'Days off'!$B$2:$B$50)&lt;=$P$10,WORKDAY.INTL(F79,1,1,'Days off'!$B$2:$B$50),""),"")</f>
        <v/>
      </c>
      <c r="G80" s="80" t="str">
        <f>IF(G79=12,"",IF(G79="","",IF(G79="DayOff",G78+1,IFERROR(IF(VLOOKUP(F80,'Days off'!$B$2:$B$50,1,FALSE)=Parameters!F80,"DayOff",""),Parameters!G79+1))))</f>
        <v/>
      </c>
      <c r="H80" s="16" t="str">
        <f>IFERROR(IF(WORKDAY.INTL(H79,1,1,'Days off'!$B$2:$B$50)&lt;=$P$11,WORKDAY.INTL(H79,1,1,'Days off'!$B$2:$B$50),""),"")</f>
        <v/>
      </c>
      <c r="I80" s="80" t="str">
        <f>IF(I79=12,"",IF(I79="","",IF(I79="DayOff",I78+1,IFERROR(IF(VLOOKUP(H80,'Days off'!$B$2:$B$50,1,FALSE)=Parameters!H80,"DayOff",""),Parameters!I79+1))))</f>
        <v/>
      </c>
      <c r="J80" s="16" t="str">
        <f>IFERROR(IF(WORKDAY.INTL(J79,1,1,'Days off'!$B$2:$B$50)&lt;=$P$12,WORKDAY.INTL(J79,1,1,'Days off'!$B$2:$B$50),""),"")</f>
        <v/>
      </c>
      <c r="K80" s="80" t="str">
        <f>IF(K79=12,"",IF(K79="","",IF(K79="DayOff",K78+1,IFERROR(IF(VLOOKUP(J80,'Days off'!$B$2:$B$50,1,FALSE)=Parameters!J80,"DayOff",""),Parameters!K79+1))))</f>
        <v/>
      </c>
      <c r="L80" s="16" t="str">
        <f>IFERROR(IF(WORKDAY.INTL(L79,1,1,'Days off'!$B$2:$B$50)&lt;=$P$13,WORKDAY.INTL(L79,1,1,'Days off'!$B$2:$B$50),""),"")</f>
        <v/>
      </c>
      <c r="M80" s="80" t="str">
        <f>IF(M79=12,"",IF(M79="","",IF(M79="DayOff",M78+1,IFERROR(IF(VLOOKUP(L80,'Days off'!$B$2:$B$50,1,FALSE)=Parameters!L80,"DayOff",""),Parameters!M79+1))))</f>
        <v/>
      </c>
    </row>
    <row r="81" spans="2:13" x14ac:dyDescent="0.2">
      <c r="B81" s="16" t="str">
        <f>IFERROR(IF(WORKDAY.INTL(B80,1,1,'Days off'!$B$2:$B$50)&lt;=$P$8,WORKDAY.INTL(B80,1,1,'Days off'!$B$2:$B$50),""),"")</f>
        <v/>
      </c>
      <c r="C81" s="80" t="str">
        <f>IF(C80=12,"",IF(C80="","",IF(C80="DayOff",C79+1,IFERROR(IF(VLOOKUP(B81,'Days off'!$B$2:$B$50,1,FALSE)=Parameters!B81,"DayOff",""),Parameters!C80+1))))</f>
        <v/>
      </c>
      <c r="D81" s="16" t="str">
        <f>IFERROR(IF(WORKDAY.INTL(D80,1,1,'Days off'!$B$2:$B$50)&lt;=$P$9,WORKDAY.INTL(D80,1,1,'Days off'!$B$2:$B$50),""),"")</f>
        <v/>
      </c>
      <c r="E81" s="80" t="str">
        <f>IF(E80=12,"",IF(E80="","",IF(E80="DayOff",E79+1,IFERROR(IF(VLOOKUP(D81,'Days off'!$B$2:$B$50,1,FALSE)=Parameters!D81,"DayOff",""),Parameters!E80+1))))</f>
        <v/>
      </c>
      <c r="F81" s="16" t="str">
        <f>IFERROR(IF(WORKDAY.INTL(F80,1,1,'Days off'!$B$2:$B$50)&lt;=$P$10,WORKDAY.INTL(F80,1,1,'Days off'!$B$2:$B$50),""),"")</f>
        <v/>
      </c>
      <c r="G81" s="80" t="str">
        <f>IF(G80=12,"",IF(G80="","",IF(G80="DayOff",G79+1,IFERROR(IF(VLOOKUP(F81,'Days off'!$B$2:$B$50,1,FALSE)=Parameters!F81,"DayOff",""),Parameters!G80+1))))</f>
        <v/>
      </c>
      <c r="H81" s="16" t="str">
        <f>IFERROR(IF(WORKDAY.INTL(H80,1,1,'Days off'!$B$2:$B$50)&lt;=$P$11,WORKDAY.INTL(H80,1,1,'Days off'!$B$2:$B$50),""),"")</f>
        <v/>
      </c>
      <c r="I81" s="80" t="str">
        <f>IF(I80=12,"",IF(I80="","",IF(I80="DayOff",I79+1,IFERROR(IF(VLOOKUP(H81,'Days off'!$B$2:$B$50,1,FALSE)=Parameters!H81,"DayOff",""),Parameters!I80+1))))</f>
        <v/>
      </c>
      <c r="J81" s="16" t="str">
        <f>IFERROR(IF(WORKDAY.INTL(J80,1,1,'Days off'!$B$2:$B$50)&lt;=$P$12,WORKDAY.INTL(J80,1,1,'Days off'!$B$2:$B$50),""),"")</f>
        <v/>
      </c>
      <c r="K81" s="80" t="str">
        <f>IF(K80=12,"",IF(K80="","",IF(K80="DayOff",K79+1,IFERROR(IF(VLOOKUP(J81,'Days off'!$B$2:$B$50,1,FALSE)=Parameters!J81,"DayOff",""),Parameters!K80+1))))</f>
        <v/>
      </c>
      <c r="L81" s="16" t="str">
        <f>IFERROR(IF(WORKDAY.INTL(L80,1,1,'Days off'!$B$2:$B$50)&lt;=$P$13,WORKDAY.INTL(L80,1,1,'Days off'!$B$2:$B$50),""),"")</f>
        <v/>
      </c>
      <c r="M81" s="80" t="str">
        <f>IF(M80=12,"",IF(M80="","",IF(M80="DayOff",M79+1,IFERROR(IF(VLOOKUP(L81,'Days off'!$B$2:$B$50,1,FALSE)=Parameters!L81,"DayOff",""),Parameters!M80+1))))</f>
        <v/>
      </c>
    </row>
    <row r="82" spans="2:13" x14ac:dyDescent="0.2">
      <c r="B82" s="16" t="str">
        <f>IFERROR(IF(WORKDAY.INTL(B81,1,1,'Days off'!$B$2:$B$50)&lt;=$P$8,WORKDAY.INTL(B81,1,1,'Days off'!$B$2:$B$50),""),"")</f>
        <v/>
      </c>
      <c r="C82" s="80" t="str">
        <f>IF(C81=12,"",IF(C81="","",IF(C81="DayOff",C80+1,IFERROR(IF(VLOOKUP(B82,'Days off'!$B$2:$B$50,1,FALSE)=Parameters!B82,"DayOff",""),Parameters!C81+1))))</f>
        <v/>
      </c>
      <c r="D82" s="16" t="str">
        <f>IFERROR(IF(WORKDAY.INTL(D81,1,1,'Days off'!$B$2:$B$50)&lt;=$P$9,WORKDAY.INTL(D81,1,1,'Days off'!$B$2:$B$50),""),"")</f>
        <v/>
      </c>
      <c r="E82" s="80" t="str">
        <f>IF(E81=12,"",IF(E81="","",IF(E81="DayOff",E80+1,IFERROR(IF(VLOOKUP(D82,'Days off'!$B$2:$B$50,1,FALSE)=Parameters!D82,"DayOff",""),Parameters!E81+1))))</f>
        <v/>
      </c>
      <c r="F82" s="16" t="str">
        <f>IFERROR(IF(WORKDAY.INTL(F81,1,1,'Days off'!$B$2:$B$50)&lt;=$P$10,WORKDAY.INTL(F81,1,1,'Days off'!$B$2:$B$50),""),"")</f>
        <v/>
      </c>
      <c r="G82" s="80" t="str">
        <f>IF(G81=12,"",IF(G81="","",IF(G81="DayOff",G80+1,IFERROR(IF(VLOOKUP(F82,'Days off'!$B$2:$B$50,1,FALSE)=Parameters!F82,"DayOff",""),Parameters!G81+1))))</f>
        <v/>
      </c>
      <c r="H82" s="16" t="str">
        <f>IFERROR(IF(WORKDAY.INTL(H81,1,1,'Days off'!$B$2:$B$50)&lt;=$P$11,WORKDAY.INTL(H81,1,1,'Days off'!$B$2:$B$50),""),"")</f>
        <v/>
      </c>
      <c r="I82" s="80" t="str">
        <f>IF(I81=12,"",IF(I81="","",IF(I81="DayOff",I80+1,IFERROR(IF(VLOOKUP(H82,'Days off'!$B$2:$B$50,1,FALSE)=Parameters!H82,"DayOff",""),Parameters!I81+1))))</f>
        <v/>
      </c>
      <c r="J82" s="16" t="str">
        <f>IFERROR(IF(WORKDAY.INTL(J81,1,1,'Days off'!$B$2:$B$50)&lt;=$P$12,WORKDAY.INTL(J81,1,1,'Days off'!$B$2:$B$50),""),"")</f>
        <v/>
      </c>
      <c r="K82" s="80" t="str">
        <f>IF(K81=12,"",IF(K81="","",IF(K81="DayOff",K80+1,IFERROR(IF(VLOOKUP(J82,'Days off'!$B$2:$B$50,1,FALSE)=Parameters!J82,"DayOff",""),Parameters!K81+1))))</f>
        <v/>
      </c>
      <c r="L82" s="16" t="str">
        <f>IFERROR(IF(WORKDAY.INTL(L81,1,1,'Days off'!$B$2:$B$50)&lt;=$P$13,WORKDAY.INTL(L81,1,1,'Days off'!$B$2:$B$50),""),"")</f>
        <v/>
      </c>
      <c r="M82" s="80" t="str">
        <f>IF(M81=12,"",IF(M81="","",IF(M81="DayOff",M80+1,IFERROR(IF(VLOOKUP(L82,'Days off'!$B$2:$B$50,1,FALSE)=Parameters!L82,"DayOff",""),Parameters!M81+1))))</f>
        <v/>
      </c>
    </row>
    <row r="83" spans="2:13" x14ac:dyDescent="0.2">
      <c r="B83" s="16" t="str">
        <f>IFERROR(IF(WORKDAY.INTL(B82,1,1,'Days off'!$B$2:$B$12)&lt;=$P$8,WORKDAY.INTL(B82,1,1,'Days off'!$B$2:$B$12),""),"")</f>
        <v/>
      </c>
      <c r="C83" s="80" t="str">
        <f>IF(C82=12,"",IF(C82="","",IF(C82="DayOff",C81+1,IFERROR(IF(VLOOKUP(B83,'Days off'!$B$2:$B$12,1,FALSE)=Parameters!B83,"DayOff",""),Parameters!C82+1))))</f>
        <v/>
      </c>
      <c r="D83" s="16" t="str">
        <f>IFERROR(IF(WORKDAY.INTL(D82,1,1,'Days off'!$B$2:$B$12)&lt;=$P$9,WORKDAY.INTL(D82,1,1,'Days off'!$B$2:$B$12),""),"")</f>
        <v/>
      </c>
      <c r="E83" s="80" t="str">
        <f>IF(E82=12,"",IF(E82="","",IF(E82="DayOff",E81+1,IFERROR(IF(VLOOKUP(D83,'Days off'!$B$2:$B$12,1,FALSE)=Parameters!D83,"DayOff",""),Parameters!E82+1))))</f>
        <v/>
      </c>
      <c r="F83" s="16" t="str">
        <f>IFERROR(IF(WORKDAY.INTL(F82,1,1,'Days off'!$B$2:$B$12)&lt;=$P$10,WORKDAY.INTL(F82,1,1,'Days off'!$B$2:$B$12),""),"")</f>
        <v/>
      </c>
      <c r="G83" s="80" t="str">
        <f>IF(G82=12,"",IF(G82="","",IF(G82="DayOff",G81+1,IFERROR(IF(VLOOKUP(F83,'Days off'!$B$2:$B$12,1,FALSE)=Parameters!F83,"DayOff",""),Parameters!G82+1))))</f>
        <v/>
      </c>
      <c r="H83" s="16" t="str">
        <f>IFERROR(IF(WORKDAY.INTL(H82,1,1,'Days off'!$B$2:$B$12)&lt;=$P$11,WORKDAY.INTL(H82,1,1,'Days off'!$B$2:$B$12),""),"")</f>
        <v/>
      </c>
      <c r="I83" s="80" t="str">
        <f>IF(I82=12,"",IF(I82="","",IF(I82="DayOff",I81+1,IFERROR(IF(VLOOKUP(H83,'Days off'!$B$2:$B$12,1,FALSE)=Parameters!H83,"DayOff",""),Parameters!I82+1))))</f>
        <v/>
      </c>
      <c r="J83" s="16" t="str">
        <f>IFERROR(IF(WORKDAY.INTL(J82,1,1,'Days off'!$B$2:$B$12)&lt;=$P$12,WORKDAY.INTL(J82,1,1,'Days off'!$B$2:$B$12),""),"")</f>
        <v/>
      </c>
      <c r="K83" s="80" t="str">
        <f>IF(K82=12,"",IF(K82="","",IF(K82="DayOff",K81+1,IFERROR(IF(VLOOKUP(J83,'Days off'!$B$2:$B$12,1,FALSE)=Parameters!J83,"DayOff",""),Parameters!K82+1))))</f>
        <v/>
      </c>
      <c r="L83" s="16" t="str">
        <f>IFERROR(IF(WORKDAY.INTL(L82,1,1,'Days off'!$B$2:$B$12)&lt;=$P$13,WORKDAY.INTL(L82,1,1,'Days off'!$B$2:$B$12),""),"")</f>
        <v/>
      </c>
      <c r="M83" s="80" t="str">
        <f>IF(M82=12,"",IF(M82="","",IF(M82="DayOff",M81+1,IFERROR(IF(VLOOKUP(L83,'Days off'!$B$2:$B$12,1,FALSE)=Parameters!L83,"DayOff",""),Parameters!M82+1))))</f>
        <v/>
      </c>
    </row>
    <row r="84" spans="2:13" x14ac:dyDescent="0.2">
      <c r="B84" s="16" t="str">
        <f>IFERROR(IF(WORKDAY.INTL(B83,1,1,'Days off'!$B$2:$B$12)&lt;=$P$8,WORKDAY.INTL(B83,1,1,'Days off'!$B$2:$B$12),""),"")</f>
        <v/>
      </c>
      <c r="C84" s="80" t="str">
        <f>IF(C83=12,"",IF(C83="","",IF(C83="DayOff",C82+1,IFERROR(IF(VLOOKUP(B84,'Days off'!$B$2:$B$12,1,FALSE)=Parameters!B84,"DayOff",""),Parameters!C83+1))))</f>
        <v/>
      </c>
      <c r="D84" s="16" t="str">
        <f>IFERROR(IF(WORKDAY.INTL(D83,1,1,'Days off'!$B$2:$B$12)&lt;=$P$9,WORKDAY.INTL(D83,1,1,'Days off'!$B$2:$B$12),""),"")</f>
        <v/>
      </c>
      <c r="E84" s="80" t="str">
        <f>IF(E83=12,"",IF(E83="","",IF(E83="DayOff",E82+1,IFERROR(IF(VLOOKUP(D84,'Days off'!$B$2:$B$12,1,FALSE)=Parameters!D84,"DayOff",""),Parameters!E83+1))))</f>
        <v/>
      </c>
      <c r="F84" s="16" t="str">
        <f>IFERROR(IF(WORKDAY.INTL(F83,1,1,'Days off'!$B$2:$B$12)&lt;=$P$10,WORKDAY.INTL(F83,1,1,'Days off'!$B$2:$B$12),""),"")</f>
        <v/>
      </c>
      <c r="G84" s="80" t="str">
        <f>IF(G83=12,"",IF(G83="","",IF(G83="DayOff",G82+1,IFERROR(IF(VLOOKUP(F84,'Days off'!$B$2:$B$12,1,FALSE)=Parameters!F84,"DayOff",""),Parameters!G83+1))))</f>
        <v/>
      </c>
      <c r="H84" s="16" t="str">
        <f>IFERROR(IF(WORKDAY.INTL(H83,1,1,'Days off'!$B$2:$B$12)&lt;=$P$11,WORKDAY.INTL(H83,1,1,'Days off'!$B$2:$B$12),""),"")</f>
        <v/>
      </c>
      <c r="I84" s="80" t="str">
        <f>IF(I83=12,"",IF(I83="","",IF(I83="DayOff",I82+1,IFERROR(IF(VLOOKUP(H84,'Days off'!$B$2:$B$12,1,FALSE)=Parameters!H84,"DayOff",""),Parameters!I83+1))))</f>
        <v/>
      </c>
      <c r="J84" s="16" t="str">
        <f>IFERROR(IF(WORKDAY.INTL(J83,1,1,'Days off'!$B$2:$B$12)&lt;=$P$12,WORKDAY.INTL(J83,1,1,'Days off'!$B$2:$B$12),""),"")</f>
        <v/>
      </c>
      <c r="K84" s="80" t="str">
        <f>IF(K83=12,"",IF(K83="","",IF(K83="DayOff",K82+1,IFERROR(IF(VLOOKUP(J84,'Days off'!$B$2:$B$12,1,FALSE)=Parameters!J84,"DayOff",""),Parameters!K83+1))))</f>
        <v/>
      </c>
      <c r="L84" s="16" t="str">
        <f>IFERROR(IF(WORKDAY.INTL(L83,1,1,'Days off'!$B$2:$B$12)&lt;=$P$13,WORKDAY.INTL(L83,1,1,'Days off'!$B$2:$B$12),""),"")</f>
        <v/>
      </c>
      <c r="M84" s="80" t="str">
        <f>IF(M83=12,"",IF(M83="","",IF(M83="DayOff",M82+1,IFERROR(IF(VLOOKUP(L84,'Days off'!$B$2:$B$12,1,FALSE)=Parameters!L84,"DayOff",""),Parameters!M83+1))))</f>
        <v/>
      </c>
    </row>
  </sheetData>
  <mergeCells count="1">
    <mergeCell ref="B16:L1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Spinner 1">
              <controlPr defaultSize="0" autoPict="0">
                <anchor moveWithCells="1" sizeWithCells="1">
                  <from>
                    <xdr:col>3</xdr:col>
                    <xdr:colOff>47625</xdr:colOff>
                    <xdr:row>12</xdr:row>
                    <xdr:rowOff>66675</xdr:rowOff>
                  </from>
                  <to>
                    <xdr:col>3</xdr:col>
                    <xdr:colOff>161925</xdr:colOff>
                    <xdr:row>14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1"/>
  <sheetViews>
    <sheetView topLeftCell="A3" workbookViewId="0">
      <selection activeCell="B8" sqref="B8:B9"/>
    </sheetView>
  </sheetViews>
  <sheetFormatPr defaultRowHeight="12.75" x14ac:dyDescent="0.2"/>
  <cols>
    <col min="2" max="2" width="20.28515625" bestFit="1" customWidth="1"/>
    <col min="3" max="4" width="10.42578125" bestFit="1" customWidth="1"/>
  </cols>
  <sheetData>
    <row r="1" spans="2:4" x14ac:dyDescent="0.2">
      <c r="B1" t="s">
        <v>28</v>
      </c>
    </row>
    <row r="2" spans="2:4" x14ac:dyDescent="0.2">
      <c r="B2" s="50">
        <v>43101</v>
      </c>
      <c r="C2" s="16"/>
      <c r="D2" s="16"/>
    </row>
    <row r="3" spans="2:4" x14ac:dyDescent="0.2">
      <c r="B3" s="50">
        <v>43192</v>
      </c>
      <c r="C3" s="16"/>
      <c r="D3" s="16"/>
    </row>
    <row r="4" spans="2:4" x14ac:dyDescent="0.2">
      <c r="B4" s="50">
        <v>43221</v>
      </c>
      <c r="C4" s="16"/>
      <c r="D4" s="16"/>
    </row>
    <row r="5" spans="2:4" x14ac:dyDescent="0.2">
      <c r="B5" s="50">
        <v>43228</v>
      </c>
      <c r="C5" s="16"/>
      <c r="D5" s="16"/>
    </row>
    <row r="6" spans="2:4" x14ac:dyDescent="0.2">
      <c r="B6" s="50">
        <v>43230</v>
      </c>
      <c r="C6" s="16"/>
      <c r="D6" s="16"/>
    </row>
    <row r="7" spans="2:4" x14ac:dyDescent="0.2">
      <c r="B7" s="50">
        <v>43241</v>
      </c>
      <c r="C7" s="16"/>
      <c r="D7" s="16"/>
    </row>
    <row r="8" spans="2:4" x14ac:dyDescent="0.2">
      <c r="B8" s="50">
        <v>43295</v>
      </c>
      <c r="C8" s="16"/>
      <c r="D8" s="16"/>
    </row>
    <row r="9" spans="2:4" x14ac:dyDescent="0.2">
      <c r="B9" s="50">
        <v>43327</v>
      </c>
      <c r="C9" s="16"/>
      <c r="D9" s="16"/>
    </row>
    <row r="10" spans="2:4" x14ac:dyDescent="0.2">
      <c r="B10" s="50">
        <v>43405</v>
      </c>
      <c r="C10" s="16"/>
      <c r="D10" s="16"/>
    </row>
    <row r="11" spans="2:4" x14ac:dyDescent="0.2">
      <c r="B11" s="50">
        <v>43415</v>
      </c>
      <c r="C11" s="16"/>
      <c r="D11" s="16"/>
    </row>
    <row r="12" spans="2:4" x14ac:dyDescent="0.2">
      <c r="B12" s="50">
        <v>43459</v>
      </c>
      <c r="C12" s="16"/>
      <c r="D12" s="16"/>
    </row>
    <row r="13" spans="2:4" x14ac:dyDescent="0.2">
      <c r="B13" s="50"/>
    </row>
    <row r="14" spans="2:4" x14ac:dyDescent="0.2">
      <c r="B14" s="61"/>
    </row>
    <row r="15" spans="2:4" x14ac:dyDescent="0.2">
      <c r="B15" s="61"/>
    </row>
    <row r="16" spans="2:4" x14ac:dyDescent="0.2">
      <c r="B16" s="61"/>
    </row>
    <row r="17" spans="2:2" x14ac:dyDescent="0.2">
      <c r="B17" s="61"/>
    </row>
    <row r="18" spans="2:2" x14ac:dyDescent="0.2">
      <c r="B18" s="61"/>
    </row>
    <row r="19" spans="2:2" x14ac:dyDescent="0.2">
      <c r="B19" s="61"/>
    </row>
    <row r="20" spans="2:2" x14ac:dyDescent="0.2">
      <c r="B20" s="61"/>
    </row>
    <row r="21" spans="2:2" x14ac:dyDescent="0.2">
      <c r="B21" s="61"/>
    </row>
    <row r="22" spans="2:2" x14ac:dyDescent="0.2">
      <c r="B22" s="61"/>
    </row>
    <row r="23" spans="2:2" x14ac:dyDescent="0.2">
      <c r="B23" s="61"/>
    </row>
    <row r="24" spans="2:2" x14ac:dyDescent="0.2">
      <c r="B24" s="61"/>
    </row>
    <row r="25" spans="2:2" x14ac:dyDescent="0.2">
      <c r="B25" s="61"/>
    </row>
    <row r="26" spans="2:2" x14ac:dyDescent="0.2">
      <c r="B26" s="61"/>
    </row>
    <row r="27" spans="2:2" x14ac:dyDescent="0.2">
      <c r="B27" s="61"/>
    </row>
    <row r="28" spans="2:2" x14ac:dyDescent="0.2">
      <c r="B28" s="61"/>
    </row>
    <row r="29" spans="2:2" x14ac:dyDescent="0.2">
      <c r="B29" s="61"/>
    </row>
    <row r="30" spans="2:2" x14ac:dyDescent="0.2">
      <c r="B30" s="61"/>
    </row>
    <row r="31" spans="2:2" x14ac:dyDescent="0.2">
      <c r="B31" s="61"/>
    </row>
  </sheetData>
  <sheetProtection select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U19"/>
  <sheetViews>
    <sheetView showGridLines="0" topLeftCell="A3" zoomScale="90" zoomScaleNormal="90" zoomScalePageLayoutView="84" workbookViewId="0">
      <selection activeCell="J7" sqref="J7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17" width="7.28515625" style="5" customWidth="1"/>
    <col min="18" max="18" width="3.85546875" style="6" customWidth="1"/>
    <col min="19" max="19" width="51.42578125" style="5" customWidth="1"/>
    <col min="20" max="20" width="10.7109375" style="5" customWidth="1"/>
    <col min="21" max="21" width="2.28515625" customWidth="1"/>
    <col min="22" max="28" width="8.85546875" customWidth="1"/>
    <col min="48" max="16384" width="8.7109375" style="1"/>
  </cols>
  <sheetData>
    <row r="1" spans="1:23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W1" s="71">
        <f>Parameters!B14</f>
        <v>2018</v>
      </c>
    </row>
    <row r="2" spans="1:23" ht="18" hidden="1" customHeight="1" x14ac:dyDescent="0.2">
      <c r="A2" s="5"/>
      <c r="B2" s="78" t="str">
        <f>" JANUARY "&amp;Parameters!B14</f>
        <v xml:space="preserve"> JANUARY 2018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75"/>
      <c r="R2" s="75"/>
      <c r="S2" s="75"/>
      <c r="W2" s="71"/>
    </row>
    <row r="3" spans="1:23" ht="18" customHeight="1" thickBot="1" x14ac:dyDescent="0.25">
      <c r="A3" s="5"/>
      <c r="B3" s="78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5"/>
      <c r="R3" s="75"/>
      <c r="S3" s="75"/>
      <c r="W3" s="19"/>
    </row>
    <row r="4" spans="1:23" ht="21.95" customHeight="1" thickBot="1" x14ac:dyDescent="0.25">
      <c r="A4" s="5"/>
      <c r="B4" s="78"/>
      <c r="C4" s="79" t="s">
        <v>1</v>
      </c>
      <c r="D4" s="73"/>
      <c r="E4" s="72" t="s">
        <v>2</v>
      </c>
      <c r="F4" s="73"/>
      <c r="G4" s="72" t="s">
        <v>3</v>
      </c>
      <c r="H4" s="73"/>
      <c r="I4" s="72" t="s">
        <v>4</v>
      </c>
      <c r="J4" s="73"/>
      <c r="K4" s="72" t="s">
        <v>5</v>
      </c>
      <c r="L4" s="73"/>
      <c r="M4" s="72" t="s">
        <v>6</v>
      </c>
      <c r="N4" s="73"/>
      <c r="O4" s="72" t="s">
        <v>7</v>
      </c>
      <c r="P4" s="74"/>
      <c r="Q4" s="75"/>
      <c r="R4" s="75"/>
      <c r="S4" s="75"/>
    </row>
    <row r="5" spans="1:23" ht="21.95" customHeight="1" x14ac:dyDescent="0.2">
      <c r="A5" s="5"/>
      <c r="B5" s="78"/>
      <c r="C5" s="41">
        <f>IF(DAY(JanSun1)=1,JanSun1-6,JanSun1+1)</f>
        <v>43101</v>
      </c>
      <c r="D5" s="20" t="str">
        <f>IFERROR(IF(OR(VLOOKUP(C5,Parameters!$B$19:$C$49,2,FALSE)="",VLOOKUP(C5,Parameters!$B$19:$C$49,2,FALSE)="DayOff"),"",VLOOKUP(C5,Parameters!$B$19:$C$49,2,FALSE)),"")</f>
        <v/>
      </c>
      <c r="E5" s="40">
        <f>IF(DAY(JanSun1)=1,JanSun1-5,JanSun1+2)</f>
        <v>43102</v>
      </c>
      <c r="F5" s="20">
        <f>IFERROR(IF(OR(VLOOKUP(E5,Parameters!$B$19:$C$49,2,FALSE)="",VLOOKUP(E5,Parameters!$B$19:$C$49,2,FALSE)="DayOff"),"",VLOOKUP(E5,Parameters!$B$19:$C$49,2,FALSE)),"")</f>
        <v>1</v>
      </c>
      <c r="G5" s="40">
        <f>IF(DAY(JanSun1)=1,JanSun1-4,JanSun1+3)</f>
        <v>43103</v>
      </c>
      <c r="H5" s="20">
        <f>IFERROR(IF(OR(VLOOKUP(G5,Parameters!$B$19:$C$49,2,FALSE)="",VLOOKUP(G5,Parameters!$B$19:$C$49,2,FALSE)="DayOff"),"",VLOOKUP(G5,Parameters!$B$19:$C$49,2,FALSE)),"")</f>
        <v>2</v>
      </c>
      <c r="I5" s="40">
        <f>IF(DAY(JanSun1)=1,JanSun1-3,JanSun1+4)</f>
        <v>43104</v>
      </c>
      <c r="J5" s="20">
        <f>IFERROR(IF(OR(VLOOKUP(I5,Parameters!$B$19:$C$49,2,FALSE)="",VLOOKUP(I5,Parameters!$B$19:$C$49,2,FALSE)="DayOff"),"",VLOOKUP(I5,Parameters!$B$19:$C$49,2,FALSE)),"")</f>
        <v>3</v>
      </c>
      <c r="K5" s="40">
        <f>IF(DAY(JanSun1)=1,JanSun1-2,JanSun1+5)</f>
        <v>43105</v>
      </c>
      <c r="L5" s="20">
        <f>IFERROR(IF(OR(VLOOKUP(K5,Parameters!$B$19:$C$49,2,FALSE)="",VLOOKUP(K5,Parameters!$B$19:$C$49,2,FALSE)="DayOff"),"",VLOOKUP(K5,Parameters!$B$19:$C$49,2,FALSE)),"")</f>
        <v>4</v>
      </c>
      <c r="M5" s="40">
        <f>IF(DAY(JanSun1)=1,JanSun1-1,JanSun1+6)</f>
        <v>43106</v>
      </c>
      <c r="N5" s="20"/>
      <c r="O5" s="40">
        <f>IF(DAY(JanSun1)=1,JanSun1,JanSun1+7)</f>
        <v>43107</v>
      </c>
      <c r="P5" s="22"/>
      <c r="Q5" s="76"/>
      <c r="R5" s="7"/>
      <c r="S5" s="77"/>
      <c r="T5" s="77"/>
    </row>
    <row r="6" spans="1:23" ht="21.95" customHeight="1" x14ac:dyDescent="0.2">
      <c r="A6" s="5"/>
      <c r="B6" s="78"/>
      <c r="C6" s="32"/>
      <c r="D6" s="33"/>
      <c r="E6" s="68" t="s">
        <v>27</v>
      </c>
      <c r="F6" s="33"/>
      <c r="G6" s="34"/>
      <c r="H6" s="33"/>
      <c r="I6" s="34"/>
      <c r="J6" s="33"/>
      <c r="K6" s="34"/>
      <c r="L6" s="33"/>
      <c r="M6" s="34"/>
      <c r="N6" s="33"/>
      <c r="O6" s="34"/>
      <c r="P6" s="35"/>
      <c r="Q6" s="76"/>
      <c r="R6" s="7"/>
      <c r="S6" s="8"/>
      <c r="T6" s="8"/>
    </row>
    <row r="7" spans="1:23" ht="21.95" customHeight="1" x14ac:dyDescent="0.2">
      <c r="A7" s="5"/>
      <c r="B7" s="78"/>
      <c r="C7" s="42">
        <f>IF(DAY(JanSun1)=1,JanSun1+1,JanSun1+8)</f>
        <v>43108</v>
      </c>
      <c r="D7" s="20">
        <f>IFERROR(IF(OR(VLOOKUP(C7,Parameters!$B$19:$C$49,2,FALSE)="",VLOOKUP(C7,Parameters!$B$19:$C$49,2,FALSE)="DayOff"),"",VLOOKUP(C7,Parameters!$B$19:$C$49,2,FALSE)),"")</f>
        <v>5</v>
      </c>
      <c r="E7" s="43">
        <f>IF(DAY(JanSun1)=1,JanSun1+2,JanSun1+9)</f>
        <v>43109</v>
      </c>
      <c r="F7" s="20">
        <f>IFERROR(IF(OR(VLOOKUP(E7,Parameters!$B$19:$C$49,2,FALSE)="",VLOOKUP(E7,Parameters!$B$19:$C$49,2,FALSE)="DayOff"),"",VLOOKUP(E7,Parameters!$B$19:$C$49,2,FALSE)),"")</f>
        <v>6</v>
      </c>
      <c r="G7" s="43">
        <f>IF(DAY(JanSun1)=1,JanSun1+3,JanSun1+10)</f>
        <v>43110</v>
      </c>
      <c r="H7" s="20">
        <f>IFERROR(IF(OR(VLOOKUP(G7,Parameters!$B$19:$C$49,2,FALSE)="",VLOOKUP(G7,Parameters!$B$19:$C$49,2,FALSE)="DayOff"),"",VLOOKUP(G7,Parameters!$B$19:$C$49,2,FALSE)),"")</f>
        <v>7</v>
      </c>
      <c r="I7" s="43">
        <f>IF(DAY(JanSun1)=1,JanSun1+4,JanSun1+11)</f>
        <v>43111</v>
      </c>
      <c r="J7" s="20">
        <f>IFERROR(IF(OR(VLOOKUP(I7,Parameters!$B$19:$C$49,2,FALSE)="",VLOOKUP(I7,Parameters!$B$19:$C$49,2,FALSE)="DayOff"),"",VLOOKUP(I7,Parameters!$B$19:$C$49,2,FALSE)),"")</f>
        <v>8</v>
      </c>
      <c r="K7" s="43">
        <f>IF(DAY(JanSun1)=1,JanSun1+5,JanSun1+12)</f>
        <v>43112</v>
      </c>
      <c r="L7" s="20">
        <f>IFERROR(IF(OR(VLOOKUP(K7,Parameters!$B$19:$C$49,2,FALSE)="",VLOOKUP(K7,Parameters!$B$19:$C$49,2,FALSE)="DayOff"),"",VLOOKUP(K7,Parameters!$B$19:$C$49,2,FALSE)),"")</f>
        <v>9</v>
      </c>
      <c r="M7" s="43">
        <f>IF(DAY(JanSun1)=1,JanSun1+6,JanSun1+13)</f>
        <v>43113</v>
      </c>
      <c r="N7" s="15"/>
      <c r="O7" s="43">
        <f>IF(DAY(JanSun1)=1,JanSun1+7,JanSun1+14)</f>
        <v>43114</v>
      </c>
      <c r="P7" s="25"/>
      <c r="Q7" s="76"/>
      <c r="R7" s="7"/>
      <c r="S7" s="77"/>
      <c r="T7" s="77"/>
    </row>
    <row r="8" spans="1:23" ht="21.95" customHeight="1" x14ac:dyDescent="0.2">
      <c r="A8" s="5"/>
      <c r="B8" s="78"/>
      <c r="C8" s="32"/>
      <c r="D8" s="33"/>
      <c r="E8" s="34"/>
      <c r="F8" s="33"/>
      <c r="G8" s="34"/>
      <c r="H8" s="33"/>
      <c r="I8" s="34"/>
      <c r="J8" s="33"/>
      <c r="K8" s="34"/>
      <c r="L8" s="33"/>
      <c r="M8" s="34"/>
      <c r="N8" s="33"/>
      <c r="O8" s="34"/>
      <c r="P8" s="35"/>
      <c r="Q8" s="76"/>
      <c r="R8" s="7"/>
      <c r="S8" s="8"/>
      <c r="T8" s="8"/>
    </row>
    <row r="9" spans="1:23" ht="21.95" customHeight="1" x14ac:dyDescent="0.2">
      <c r="A9" s="5"/>
      <c r="B9" s="78"/>
      <c r="C9" s="42">
        <f>IF(DAY(JanSun1)=1,JanSun1+8,JanSun1+15)</f>
        <v>43115</v>
      </c>
      <c r="D9" s="20">
        <f>IFERROR(IF(OR(VLOOKUP(C9,Parameters!$B$19:$C$49,2,FALSE)="",VLOOKUP(C9,Parameters!$B$19:$C$49,2,FALSE)="DayOff"),"",VLOOKUP(C9,Parameters!$B$19:$C$49,2,FALSE)),"")</f>
        <v>10</v>
      </c>
      <c r="E9" s="43">
        <f>IF(DAY(JanSun1)=1,JanSun1+9,JanSun1+16)</f>
        <v>43116</v>
      </c>
      <c r="F9" s="20">
        <f>IFERROR(IF(OR(VLOOKUP(E9,Parameters!$B$19:$C$49,2,FALSE)="",VLOOKUP(E9,Parameters!$B$19:$C$49,2,FALSE)="DayOff"),"",VLOOKUP(E9,Parameters!$B$19:$C$49,2,FALSE)),"")</f>
        <v>11</v>
      </c>
      <c r="G9" s="43">
        <f>IF(DAY(JanSun1)=1,JanSun1+10,JanSun1+17)</f>
        <v>43117</v>
      </c>
      <c r="H9" s="20">
        <f>IFERROR(IF(OR(VLOOKUP(G9,Parameters!$B$19:$C$49,2,FALSE)="",VLOOKUP(G9,Parameters!$B$19:$C$49,2,FALSE)="DayOff"),"",VLOOKUP(G9,Parameters!$B$19:$C$49,2,FALSE)),"")</f>
        <v>12</v>
      </c>
      <c r="I9" s="43">
        <f>IF(DAY(JanSun1)=1,JanSun1+11,JanSun1+18)</f>
        <v>43118</v>
      </c>
      <c r="J9" s="20" t="str">
        <f>IFERROR(IF(OR(VLOOKUP(I9,Parameters!$B$19:$C$49,2,FALSE)="",VLOOKUP(I9,Parameters!$B$19:$C$49,2,FALSE)="DayOff"),"",VLOOKUP(I9,Parameters!$B$19:$C$49,2,FALSE)),"")</f>
        <v/>
      </c>
      <c r="K9" s="43">
        <f>IF(DAY(JanSun1)=1,JanSun1+12,JanSun1+19)</f>
        <v>43119</v>
      </c>
      <c r="L9" s="20" t="str">
        <f>IFERROR(IF(OR(VLOOKUP(K9,Parameters!$B$19:$C$49,2,FALSE)="",VLOOKUP(K9,Parameters!$B$19:$C$49,2,FALSE)="DayOff"),"",VLOOKUP(K9,Parameters!$B$19:$C$49,2,FALSE)),"")</f>
        <v/>
      </c>
      <c r="M9" s="43">
        <f>IF(DAY(JanSun1)=1,JanSun1+13,JanSun1+20)</f>
        <v>43120</v>
      </c>
      <c r="N9" s="9"/>
      <c r="O9" s="43">
        <f>IF(DAY(JanSun1)=1,JanSun1+14,JanSun1+21)</f>
        <v>43121</v>
      </c>
      <c r="P9" s="25"/>
      <c r="Q9" s="76"/>
      <c r="R9" s="7"/>
      <c r="S9" s="77"/>
      <c r="T9" s="77"/>
    </row>
    <row r="10" spans="1:23" ht="21.95" customHeight="1" x14ac:dyDescent="0.2">
      <c r="A10" s="5"/>
      <c r="B10" s="78"/>
      <c r="C10" s="32"/>
      <c r="D10" s="33"/>
      <c r="E10" s="34"/>
      <c r="F10" s="33"/>
      <c r="G10" s="34"/>
      <c r="H10" s="33"/>
      <c r="I10" s="34"/>
      <c r="J10" s="33"/>
      <c r="K10" s="34"/>
      <c r="L10" s="33"/>
      <c r="M10" s="34"/>
      <c r="N10" s="33"/>
      <c r="O10" s="34"/>
      <c r="P10" s="35"/>
      <c r="Q10" s="3"/>
      <c r="R10" s="7"/>
      <c r="S10" s="8"/>
      <c r="T10" s="8"/>
    </row>
    <row r="11" spans="1:23" ht="21.95" customHeight="1" x14ac:dyDescent="0.2">
      <c r="A11" s="5"/>
      <c r="B11" s="78"/>
      <c r="C11" s="42">
        <f>IF(DAY(JanSun1)=1,JanSun1+15,JanSun1+22)</f>
        <v>43122</v>
      </c>
      <c r="D11" s="20" t="str">
        <f>IFERROR(IF(OR(VLOOKUP(C11,Parameters!$B$19:$C$49,2,FALSE)="",VLOOKUP(C11,Parameters!$B$19:$C$49,2,FALSE)="DayOff"),"",VLOOKUP(C11,Parameters!$B$19:$C$49,2,FALSE)),"")</f>
        <v/>
      </c>
      <c r="E11" s="43">
        <f>IF(DAY(JanSun1)=1,JanSun1+16,JanSun1+23)</f>
        <v>43123</v>
      </c>
      <c r="F11" s="20" t="str">
        <f>IFERROR(IF(OR(VLOOKUP(E11,Parameters!$B$19:$C$49,2,FALSE)="",VLOOKUP(E11,Parameters!$B$19:$C$49,2,FALSE)="DayOff"),"",VLOOKUP(E11,Parameters!$B$19:$C$49,2,FALSE)),"")</f>
        <v/>
      </c>
      <c r="G11" s="43">
        <f>IF(DAY(JanSun1)=1,JanSun1+17,JanSun1+24)</f>
        <v>43124</v>
      </c>
      <c r="H11" s="20" t="str">
        <f>IFERROR(IF(OR(VLOOKUP(G11,Parameters!$B$19:$C$49,2,FALSE)="",VLOOKUP(G11,Parameters!$B$19:$C$49,2,FALSE)="DayOff"),"",VLOOKUP(G11,Parameters!$B$19:$C$49,2,FALSE)),"")</f>
        <v/>
      </c>
      <c r="I11" s="43">
        <f>IF(DAY(JanSun1)=1,JanSun1+18,JanSun1+25)</f>
        <v>43125</v>
      </c>
      <c r="J11" s="20" t="str">
        <f>IFERROR(IF(OR(VLOOKUP(I11,Parameters!$B$19:$C$49,2,FALSE)="",VLOOKUP(I11,Parameters!$B$19:$C$49,2,FALSE)="DayOff"),"",VLOOKUP(I11,Parameters!$B$19:$C$49,2,FALSE)),"")</f>
        <v/>
      </c>
      <c r="K11" s="43">
        <f>IF(DAY(JanSun1)=1,JanSun1+19,JanSun1+26)</f>
        <v>43126</v>
      </c>
      <c r="L11" s="20" t="str">
        <f>IFERROR(IF(OR(VLOOKUP(K11,Parameters!$B$19:$C$49,2,FALSE)="",VLOOKUP(K11,Parameters!$B$19:$C$49,2,FALSE)="DayOff"),"",VLOOKUP(K11,Parameters!$B$19:$C$49,2,FALSE)),"")</f>
        <v/>
      </c>
      <c r="M11" s="43">
        <f>IF(DAY(JanSun1)=1,JanSun1+20,JanSun1+27)</f>
        <v>43127</v>
      </c>
      <c r="N11" s="15"/>
      <c r="O11" s="43">
        <f>IF(DAY(JanSun1)=1,JanSun1+21,JanSun1+28)</f>
        <v>43128</v>
      </c>
      <c r="P11" s="25"/>
      <c r="Q11" s="3"/>
      <c r="R11" s="7"/>
      <c r="S11" s="77"/>
      <c r="T11" s="77"/>
    </row>
    <row r="12" spans="1:23" ht="21.95" customHeight="1" x14ac:dyDescent="0.2">
      <c r="A12" s="5"/>
      <c r="B12" s="78"/>
      <c r="C12" s="32"/>
      <c r="D12" s="33"/>
      <c r="E12" s="63" t="s">
        <v>26</v>
      </c>
      <c r="F12" s="33"/>
      <c r="G12" s="34"/>
      <c r="H12" s="33"/>
      <c r="I12" s="34"/>
      <c r="J12" s="33"/>
      <c r="K12" s="34"/>
      <c r="L12" s="33"/>
      <c r="M12" s="34"/>
      <c r="N12" s="33"/>
      <c r="O12" s="34"/>
      <c r="P12" s="35"/>
      <c r="Q12" s="3"/>
      <c r="R12" s="7"/>
      <c r="S12" s="8"/>
      <c r="T12" s="8"/>
    </row>
    <row r="13" spans="1:23" ht="21.95" customHeight="1" x14ac:dyDescent="0.2">
      <c r="A13" s="5"/>
      <c r="B13" s="78"/>
      <c r="C13" s="42">
        <f>IF(DAY(JanSun1)=1,JanSun1+22,JanSun1+29)</f>
        <v>43129</v>
      </c>
      <c r="D13" s="20" t="str">
        <f>IFERROR(IF(OR(VLOOKUP(C13,Parameters!$B$19:$C$49,2,FALSE)="",VLOOKUP(C13,Parameters!$B$19:$C$49,2,FALSE)="DayOff"),"",VLOOKUP(C13,Parameters!$B$19:$C$49,2,FALSE)),"")</f>
        <v/>
      </c>
      <c r="E13" s="43">
        <f>IF(DAY(JanSun1)=1,JanSun1+23,JanSun1+30)</f>
        <v>43130</v>
      </c>
      <c r="F13" s="20" t="str">
        <f>IFERROR(IF(OR(VLOOKUP(E13,Parameters!$B$19:$C$49,2,FALSE)="",VLOOKUP(E13,Parameters!$B$19:$C$49,2,FALSE)="DayOff"),"",VLOOKUP(E13,Parameters!$B$19:$C$49,2,FALSE)),"")</f>
        <v/>
      </c>
      <c r="G13" s="43">
        <f>IF(DAY(JanSun1)=1,JanSun1+24,JanSun1+31)</f>
        <v>43131</v>
      </c>
      <c r="H13" s="20" t="str">
        <f>IFERROR(IF(OR(VLOOKUP(G13,Parameters!$B$19:$C$49,2,FALSE)="",VLOOKUP(G13,Parameters!$B$19:$C$49,2,FALSE)="DayOff"),"",VLOOKUP(G13,Parameters!$B$19:$C$49,2,FALSE)),"")</f>
        <v/>
      </c>
      <c r="I13" s="43">
        <f>IF(DAY(JanSun1)=1,JanSun1+25,JanSun1+32)</f>
        <v>43132</v>
      </c>
      <c r="J13" s="20" t="str">
        <f>IFERROR(IF(OR(VLOOKUP(I13,Parameters!$B$19:$C$49,2,FALSE)="",VLOOKUP(I13,Parameters!$B$19:$C$49,2,FALSE)="DayOff"),"",VLOOKUP(I13,Parameters!$B$19:$C$49,2,FALSE)),"")</f>
        <v/>
      </c>
      <c r="K13" s="43">
        <f>IF(DAY(JanSun1)=1,JanSun1+26,JanSun1+33)</f>
        <v>43133</v>
      </c>
      <c r="L13" s="20" t="str">
        <f>IFERROR(IF(OR(VLOOKUP(K13,Parameters!$B$19:$C$49,2,FALSE)="",VLOOKUP(K13,Parameters!$B$19:$C$49,2,FALSE)="DayOff"),"",VLOOKUP(K13,Parameters!$B$19:$C$49,2,FALSE)),"")</f>
        <v/>
      </c>
      <c r="M13" s="43">
        <f>IF(DAY(JanSun1)=1,JanSun1+27,JanSun1+34)</f>
        <v>43134</v>
      </c>
      <c r="N13" s="9"/>
      <c r="O13" s="43">
        <f>IF(DAY(JanSun1)=1,JanSun1+28,JanSun1+35)</f>
        <v>43135</v>
      </c>
      <c r="P13" s="25"/>
      <c r="Q13" s="3"/>
      <c r="R13" s="7"/>
      <c r="S13" s="77"/>
      <c r="T13" s="77"/>
    </row>
    <row r="14" spans="1:23" ht="21.95" customHeight="1" x14ac:dyDescent="0.2">
      <c r="A14" s="5"/>
      <c r="B14" s="78"/>
      <c r="C14" s="32"/>
      <c r="D14" s="33"/>
      <c r="E14" s="34"/>
      <c r="F14" s="33"/>
      <c r="G14" s="34"/>
      <c r="H14" s="33"/>
      <c r="I14" s="34"/>
      <c r="J14" s="33"/>
      <c r="K14" s="34"/>
      <c r="L14" s="33"/>
      <c r="M14" s="34"/>
      <c r="N14" s="33"/>
      <c r="O14" s="34"/>
      <c r="P14" s="35"/>
      <c r="Q14" s="3"/>
      <c r="R14" s="7"/>
      <c r="S14" s="8"/>
      <c r="T14" s="8"/>
    </row>
    <row r="15" spans="1:23" ht="21.95" customHeight="1" x14ac:dyDescent="0.2">
      <c r="A15" s="5"/>
      <c r="B15" s="78"/>
      <c r="C15" s="42">
        <f>IF(DAY(JanSun1)=1,JanSun1+29,JanSun1+36)</f>
        <v>43136</v>
      </c>
      <c r="D15" s="20" t="str">
        <f>IFERROR(IF(OR(VLOOKUP(C15,Parameters!$B$19:$C$49,2,FALSE)="",VLOOKUP(C15,Parameters!$B$19:$C$49,2,FALSE)="DayOff"),"",VLOOKUP(C15,Parameters!$B$19:$C$49,2,FALSE)),"")</f>
        <v/>
      </c>
      <c r="E15" s="43">
        <f>IF(DAY(JanSun1)=1,JanSun1+30,JanSun1+37)</f>
        <v>43137</v>
      </c>
      <c r="F15" s="20" t="str">
        <f>IFERROR(IF(OR(VLOOKUP(E15,Parameters!$B$19:$C$49,2,FALSE)="",VLOOKUP(E15,Parameters!$B$19:$C$49,2,FALSE)="DayOff"),"",VLOOKUP(E15,Parameters!$B$19:$C$49,2,FALSE)),"")</f>
        <v/>
      </c>
      <c r="G15" s="43">
        <f>IF(DAY(JanSun1)=1,JanSun1+31,JanSun1+38)</f>
        <v>43138</v>
      </c>
      <c r="H15" s="20" t="str">
        <f>IFERROR(IF(OR(VLOOKUP(G15,Parameters!$B$19:$C$49,2,FALSE)="",VLOOKUP(G15,Parameters!$B$19:$C$49,2,FALSE)="DayOff"),"",VLOOKUP(G15,Parameters!$B$19:$C$49,2,FALSE)),"")</f>
        <v/>
      </c>
      <c r="I15" s="43">
        <f>IF(DAY(JanSun1)=1,JanSun1+32,JanSun1+39)</f>
        <v>43139</v>
      </c>
      <c r="J15" s="20" t="str">
        <f>IFERROR(IF(OR(VLOOKUP(I15,Parameters!$B$19:$C$49,2,FALSE)="",VLOOKUP(I15,Parameters!$B$19:$C$49,2,FALSE)="DayOff"),"",VLOOKUP(I15,Parameters!$B$19:$C$49,2,FALSE)),"")</f>
        <v/>
      </c>
      <c r="K15" s="43">
        <f>IF(DAY(JanSun1)=1,JanSun1+33,JanSun1+40)</f>
        <v>43140</v>
      </c>
      <c r="L15" s="20" t="str">
        <f>IFERROR(IF(OR(VLOOKUP(K15,Parameters!$B$19:$C$49,2,FALSE)="",VLOOKUP(K15,Parameters!$B$19:$C$49,2,FALSE)="DayOff"),"",VLOOKUP(K15,Parameters!$B$19:$C$49,2,FALSE)),"")</f>
        <v/>
      </c>
      <c r="M15" s="43">
        <f>IF(DAY(JanSun1)=1,JanSun1+34,JanSun1+41)</f>
        <v>43141</v>
      </c>
      <c r="N15" s="15"/>
      <c r="O15" s="43">
        <f>IF(DAY(JanSun1)=1,JanSun1+35,JanSun1+42)</f>
        <v>43142</v>
      </c>
      <c r="P15" s="25"/>
      <c r="Q15" s="4"/>
      <c r="R15" s="7"/>
      <c r="S15" s="77"/>
      <c r="T15" s="77"/>
    </row>
    <row r="16" spans="1:23" ht="21.95" customHeight="1" thickBot="1" x14ac:dyDescent="0.25">
      <c r="A16" s="5"/>
      <c r="B16" s="78"/>
      <c r="C16" s="36"/>
      <c r="D16" s="37"/>
      <c r="E16" s="38"/>
      <c r="F16" s="37"/>
      <c r="G16" s="38"/>
      <c r="H16" s="37"/>
      <c r="I16" s="38"/>
      <c r="J16" s="37"/>
      <c r="K16" s="38"/>
      <c r="L16" s="37"/>
      <c r="M16" s="38"/>
      <c r="N16" s="37"/>
      <c r="O16" s="38"/>
      <c r="P16" s="39"/>
      <c r="Q16" s="3"/>
      <c r="R16" s="7"/>
      <c r="S16" s="77"/>
      <c r="T16" s="77"/>
    </row>
    <row r="17" spans="1:16" ht="16.5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ht="16.5" customHeight="1" x14ac:dyDescent="0.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 ht="16.5" customHeight="1" x14ac:dyDescent="0.2">
      <c r="C19" s="69"/>
    </row>
  </sheetData>
  <sheetProtection selectLockedCells="1"/>
  <mergeCells count="18">
    <mergeCell ref="B2:B16"/>
    <mergeCell ref="S11:T11"/>
    <mergeCell ref="S13:T13"/>
    <mergeCell ref="S15:T15"/>
    <mergeCell ref="S16:T16"/>
    <mergeCell ref="C4:D4"/>
    <mergeCell ref="E4:F4"/>
    <mergeCell ref="G4:H4"/>
    <mergeCell ref="I4:J4"/>
    <mergeCell ref="K4:L4"/>
    <mergeCell ref="W1:W2"/>
    <mergeCell ref="M4:N4"/>
    <mergeCell ref="O4:P4"/>
    <mergeCell ref="Q2:S4"/>
    <mergeCell ref="Q5:Q9"/>
    <mergeCell ref="S5:T5"/>
    <mergeCell ref="S7:T7"/>
    <mergeCell ref="S9:T9"/>
  </mergeCells>
  <phoneticPr fontId="1" type="noConversion"/>
  <conditionalFormatting sqref="C6:N6 C5 E5 G5 I5 K5 M5">
    <cfRule type="expression" dxfId="81" priority="7" stopIfTrue="1">
      <formula>DAY(C5)&gt;8</formula>
    </cfRule>
  </conditionalFormatting>
  <conditionalFormatting sqref="C14:O14 C13 M13:O13 K13 I13 G13 E13 C16:O16 C15 E15 G15 I15 K15 M15 O15">
    <cfRule type="expression" dxfId="80" priority="6" stopIfTrue="1">
      <formula>AND(DAY(C13)&gt;=1,DAY(C13)&lt;=15)</formula>
    </cfRule>
  </conditionalFormatting>
  <conditionalFormatting sqref="C6:O6 C5 E5 G5 I5 K5 M5 O5 C8:O8 C7 E7 G7 I7 K7 M7 C10:O10 C9 E9 G9 I9 K9 M9:O9 O7 C12:O12 C11 E11 G11 I11 K11 M11 O11 C14:O14 C13 M13:O13 K13 I13 G13 E13 C15 E15 G15 I15 K15 M15 O15">
    <cfRule type="expression" dxfId="79" priority="18">
      <formula>VLOOKUP(DAY(C5),AssignmentDays,1,FALSE)=DAY(C5)</formula>
    </cfRule>
  </conditionalFormatting>
  <dataValidations count="1">
    <dataValidation allowBlank="1" showInputMessage="1" showErrorMessage="1" errorTitle="Invalid Year" error="Enter a year from 1900 to 9999, or use the scroll bar to find a year." sqref="W1"/>
  </dataValidations>
  <printOptions horizontalCentered="1"/>
  <pageMargins left="0.5" right="0.5" top="0.5" bottom="0.5" header="0.3" footer="0.3"/>
  <pageSetup scale="50" orientation="landscape" verticalDpi="90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P17"/>
  <sheetViews>
    <sheetView showGridLines="0" topLeftCell="A2" zoomScale="90" zoomScaleNormal="90" zoomScalePageLayoutView="84" workbookViewId="0">
      <selection activeCell="F6" sqref="F6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23" width="8.85546875" customWidth="1"/>
    <col min="43" max="16384" width="8.7109375" style="1"/>
  </cols>
  <sheetData>
    <row r="1" spans="1:17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</row>
    <row r="2" spans="1:17" ht="18" customHeight="1" thickBot="1" x14ac:dyDescent="0.25">
      <c r="A2" s="5"/>
      <c r="B2" s="78" t="str">
        <f>" FEBRUARY "&amp;Parameters!B14</f>
        <v xml:space="preserve"> FEBRUARY 2018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</row>
    <row r="3" spans="1:17" ht="21" customHeight="1" thickBot="1" x14ac:dyDescent="0.25">
      <c r="A3" s="5"/>
      <c r="B3" s="78"/>
      <c r="C3" s="79" t="s">
        <v>1</v>
      </c>
      <c r="D3" s="73"/>
      <c r="E3" s="72" t="s">
        <v>2</v>
      </c>
      <c r="F3" s="73"/>
      <c r="G3" s="72" t="s">
        <v>3</v>
      </c>
      <c r="H3" s="73"/>
      <c r="I3" s="72" t="s">
        <v>4</v>
      </c>
      <c r="J3" s="73"/>
      <c r="K3" s="72" t="s">
        <v>5</v>
      </c>
      <c r="L3" s="73"/>
      <c r="M3" s="72" t="s">
        <v>6</v>
      </c>
      <c r="N3" s="73"/>
      <c r="O3" s="72" t="s">
        <v>7</v>
      </c>
      <c r="P3" s="74"/>
      <c r="Q3" s="6"/>
    </row>
    <row r="4" spans="1:17" ht="21.95" customHeight="1" x14ac:dyDescent="0.2">
      <c r="A4" s="5"/>
      <c r="B4" s="78"/>
      <c r="C4" s="54">
        <f>IF(DAY(FebSun1)=1,FebSun1-6,FebSun1+1)</f>
        <v>43129</v>
      </c>
      <c r="D4" s="55" t="str">
        <f>IFERROR(IF(OR(VLOOKUP(C4,Parameters!$D$19:$E$49,2,FALSE)="",VLOOKUP(C4,Parameters!$D$19:$E$49,2,FALSE)="DayOff"),"",VLOOKUP(C4,Parameters!$D$19:$E$49,2,FALSE)),"")</f>
        <v/>
      </c>
      <c r="E4" s="56">
        <f>IF(DAY(FebSun1)=1,FebSun1-5,FebSun1+2)</f>
        <v>43130</v>
      </c>
      <c r="F4" s="55" t="str">
        <f>IFERROR(IF(OR(VLOOKUP(E4,Parameters!$D$19:$E$49,2,FALSE)="",VLOOKUP(E4,Parameters!$D$19:$E$49,2,FALSE)="DayOff"),"",VLOOKUP(E4,Parameters!$D$19:$E$49,2,FALSE)),"")</f>
        <v/>
      </c>
      <c r="G4" s="56">
        <f>IF(DAY(FebSun1)=1,FebSun1-4,FebSun1+3)</f>
        <v>43131</v>
      </c>
      <c r="H4" s="55" t="str">
        <f>IFERROR(IF(OR(VLOOKUP(G4,Parameters!$D$19:$E$49,2,FALSE)="",VLOOKUP(G4,Parameters!$D$19:$E$49,2,FALSE)="DayOff"),"",VLOOKUP(G4,Parameters!$D$19:$E$49,2,FALSE)),"")</f>
        <v/>
      </c>
      <c r="I4" s="56">
        <f>IF(DAY(FebSun1)=1,FebSun1-3,FebSun1+4)</f>
        <v>43132</v>
      </c>
      <c r="J4" s="55">
        <f>IFERROR(IF(OR(VLOOKUP(I4,Parameters!$D$19:$E$49,2,FALSE)="",VLOOKUP(I4,Parameters!$D$19:$E$49,2,FALSE)="DayOff"),"",VLOOKUP(I4,Parameters!$D$19:$E$49,2,FALSE)),"")</f>
        <v>1</v>
      </c>
      <c r="K4" s="57">
        <f>IF(DAY(FebSun1)=1,FebSun1-2,FebSun1+5)</f>
        <v>43133</v>
      </c>
      <c r="L4" s="55">
        <f>IFERROR(IF(OR(VLOOKUP(K4,Parameters!$D$19:$E$49,2,FALSE)="",VLOOKUP(K4,Parameters!$D$19:$E$49,2,FALSE)="DayOff"),"",VLOOKUP(K4,Parameters!$D$19:$E$49,2,FALSE)),"")</f>
        <v>2</v>
      </c>
      <c r="M4" s="57">
        <f>IF(DAY(FebSun1)=1,FebSun1-1,FebSun1+6)</f>
        <v>43134</v>
      </c>
      <c r="N4" s="58"/>
      <c r="O4" s="57">
        <f>IF(DAY(FebSun1)=1,FebSun1,FebSun1+7)</f>
        <v>43135</v>
      </c>
      <c r="P4" s="59"/>
      <c r="Q4" s="6"/>
    </row>
    <row r="5" spans="1:17" ht="21.95" customHeight="1" x14ac:dyDescent="0.2">
      <c r="A5" s="5"/>
      <c r="B5" s="78"/>
      <c r="C5" s="64"/>
      <c r="D5" s="66"/>
      <c r="E5" s="44"/>
      <c r="F5" s="65"/>
      <c r="G5" s="44"/>
      <c r="H5" s="65"/>
      <c r="I5" s="44"/>
      <c r="J5" s="65"/>
      <c r="K5" s="44"/>
      <c r="L5" s="65"/>
      <c r="M5" s="44"/>
      <c r="N5" s="65"/>
      <c r="O5" s="44"/>
      <c r="P5" s="45"/>
      <c r="Q5" s="6"/>
    </row>
    <row r="6" spans="1:17" ht="21.95" customHeight="1" x14ac:dyDescent="0.2">
      <c r="A6" s="5"/>
      <c r="B6" s="78"/>
      <c r="C6" s="42">
        <f>IF(DAY(FebSun1)=1,FebSun1+1,FebSun1+8)</f>
        <v>43136</v>
      </c>
      <c r="D6" s="15">
        <f>IFERROR(IF(OR(VLOOKUP(C6,Parameters!$D$19:$E$49,2,FALSE)="",VLOOKUP(C6,Parameters!$D$19:$E$49,2,FALSE)="DayOff"),"",VLOOKUP(C6,Parameters!$D$19:$E$49,2,FALSE)),"")</f>
        <v>3</v>
      </c>
      <c r="E6" s="43">
        <f>IF(DAY(FebSun1)=1,FebSun1+2,FebSun1+9)</f>
        <v>43137</v>
      </c>
      <c r="F6" s="15">
        <f>IFERROR(IF(OR(VLOOKUP(E6,Parameters!$D$19:$E$49,2,FALSE)="",VLOOKUP(E6,Parameters!$D$19:$E$49,2,FALSE)="DayOff"),"",VLOOKUP(E6,Parameters!$D$19:$E$49,2,FALSE)),"")</f>
        <v>4</v>
      </c>
      <c r="G6" s="43">
        <f>IF(DAY(FebSun1)=1,FebSun1+3,FebSun1+10)</f>
        <v>43138</v>
      </c>
      <c r="H6" s="15">
        <f>IFERROR(IF(OR(VLOOKUP(G6,Parameters!$D$19:$E$49,2,FALSE)="",VLOOKUP(G6,Parameters!$D$19:$E$49,2,FALSE)="DayOff"),"",VLOOKUP(G6,Parameters!$D$19:$E$49,2,FALSE)),"")</f>
        <v>5</v>
      </c>
      <c r="I6" s="43">
        <f>IF(DAY(FebSun1)=1,FebSun1+4,FebSun1+11)</f>
        <v>43139</v>
      </c>
      <c r="J6" s="15">
        <f>IFERROR(IF(OR(VLOOKUP(I6,Parameters!$D$19:$E$49,2,FALSE)="",VLOOKUP(I6,Parameters!$D$19:$E$49,2,FALSE)="DayOff"),"",VLOOKUP(I6,Parameters!$D$19:$E$49,2,FALSE)),"")</f>
        <v>6</v>
      </c>
      <c r="K6" s="49">
        <f>IF(DAY(FebSun1)=1,FebSun1+5,FebSun1+12)</f>
        <v>43140</v>
      </c>
      <c r="L6" s="15">
        <f>IFERROR(IF(OR(VLOOKUP(K6,Parameters!$D$19:$E$49,2,FALSE)="",VLOOKUP(K6,Parameters!$D$19:$E$49,2,FALSE)="DayOff"),"",VLOOKUP(K6,Parameters!$D$19:$E$49,2,FALSE)),"")</f>
        <v>7</v>
      </c>
      <c r="M6" s="49">
        <f>IF(DAY(FebSun1)=1,FebSun1+6,FebSun1+13)</f>
        <v>43141</v>
      </c>
      <c r="N6" s="9"/>
      <c r="O6" s="49">
        <f>IF(DAY(FebSun1)=1,FebSun1+7,FebSun1+14)</f>
        <v>43142</v>
      </c>
      <c r="P6" s="25"/>
      <c r="Q6" s="6"/>
    </row>
    <row r="7" spans="1:17" ht="21.95" customHeight="1" x14ac:dyDescent="0.2">
      <c r="A7" s="5"/>
      <c r="B7" s="78"/>
      <c r="C7" s="64"/>
      <c r="D7" s="65"/>
      <c r="E7" s="44"/>
      <c r="F7" s="65"/>
      <c r="G7" s="44"/>
      <c r="H7" s="65"/>
      <c r="I7" s="44"/>
      <c r="J7" s="66"/>
      <c r="K7" s="65"/>
      <c r="L7" s="66"/>
      <c r="M7" s="65"/>
      <c r="N7" s="66"/>
      <c r="O7" s="65"/>
      <c r="P7" s="35"/>
      <c r="Q7" s="6"/>
    </row>
    <row r="8" spans="1:17" ht="21.95" customHeight="1" x14ac:dyDescent="0.2">
      <c r="A8" s="5"/>
      <c r="B8" s="78"/>
      <c r="C8" s="42">
        <f>IF(DAY(FebSun1)=1,FebSun1+8,FebSun1+15)</f>
        <v>43143</v>
      </c>
      <c r="D8" s="15">
        <f>IFERROR(IF(OR(VLOOKUP(C8,Parameters!$D$19:$E$49,2,FALSE)="",VLOOKUP(C8,Parameters!$D$19:$E$49,2,FALSE)="DayOff"),"",VLOOKUP(C8,Parameters!$D$19:$E$49,2,FALSE)),"")</f>
        <v>8</v>
      </c>
      <c r="E8" s="43">
        <f>IF(DAY(FebSun1)=1,FebSun1+9,FebSun1+16)</f>
        <v>43144</v>
      </c>
      <c r="F8" s="15">
        <f>IFERROR(IF(OR(VLOOKUP(E8,Parameters!$D$19:$E$49,2,FALSE)="",VLOOKUP(E8,Parameters!$D$19:$E$49,2,FALSE)="DayOff"),"",VLOOKUP(E8,Parameters!$D$19:$E$49,2,FALSE)),"")</f>
        <v>9</v>
      </c>
      <c r="G8" s="43">
        <f>IF(DAY(FebSun1)=1,FebSun1+10,FebSun1+17)</f>
        <v>43145</v>
      </c>
      <c r="H8" s="15">
        <f>IFERROR(IF(OR(VLOOKUP(G8,Parameters!$D$19:$E$49,2,FALSE)="",VLOOKUP(G8,Parameters!$D$19:$E$49,2,FALSE)="DayOff"),"",VLOOKUP(G8,Parameters!$D$19:$E$49,2,FALSE)),"")</f>
        <v>10</v>
      </c>
      <c r="I8" s="43">
        <f>IF(DAY(FebSun1)=1,FebSun1+11,FebSun1+18)</f>
        <v>43146</v>
      </c>
      <c r="J8" s="15">
        <f>IFERROR(IF(OR(VLOOKUP(I8,Parameters!$D$19:$E$49,2,FALSE)="",VLOOKUP(I8,Parameters!$D$19:$E$49,2,FALSE)="DayOff"),"",VLOOKUP(I8,Parameters!$D$19:$E$49,2,FALSE)),"")</f>
        <v>11</v>
      </c>
      <c r="K8" s="49">
        <f>IF(DAY(FebSun1)=1,FebSun1+12,FebSun1+19)</f>
        <v>43147</v>
      </c>
      <c r="L8" s="15">
        <f>IFERROR(IF(OR(VLOOKUP(K8,Parameters!$D$19:$E$49,2,FALSE)="",VLOOKUP(K8,Parameters!$D$19:$E$49,2,FALSE)="DayOff"),"",VLOOKUP(K8,Parameters!$D$19:$E$49,2,FALSE)),"")</f>
        <v>12</v>
      </c>
      <c r="M8" s="49">
        <f>IF(DAY(FebSun1)=1,FebSun1+13,FebSun1+20)</f>
        <v>43148</v>
      </c>
      <c r="N8" s="9"/>
      <c r="O8" s="49">
        <f>IF(DAY(FebSun1)=1,FebSun1+14,FebSun1+21)</f>
        <v>43149</v>
      </c>
      <c r="P8" s="25"/>
      <c r="Q8" s="6"/>
    </row>
    <row r="9" spans="1:17" ht="21.95" customHeight="1" x14ac:dyDescent="0.2">
      <c r="A9" s="5"/>
      <c r="B9" s="78"/>
      <c r="C9" s="64"/>
      <c r="D9" s="65"/>
      <c r="E9" s="44"/>
      <c r="F9" s="65"/>
      <c r="G9" s="44"/>
      <c r="H9" s="65"/>
      <c r="I9" s="44"/>
      <c r="J9" s="66"/>
      <c r="K9" s="65"/>
      <c r="L9" s="66"/>
      <c r="M9" s="65"/>
      <c r="N9" s="66"/>
      <c r="O9" s="65"/>
      <c r="P9" s="35"/>
      <c r="Q9" s="6"/>
    </row>
    <row r="10" spans="1:17" ht="21.95" customHeight="1" x14ac:dyDescent="0.2">
      <c r="A10" s="5"/>
      <c r="B10" s="78"/>
      <c r="C10" s="42">
        <f>IF(DAY(FebSun1)=1,FebSun1+15,FebSun1+22)</f>
        <v>43150</v>
      </c>
      <c r="D10" s="15" t="str">
        <f>IFERROR(IF(OR(VLOOKUP(C10,Parameters!$D$19:$E$49,2,FALSE)="",VLOOKUP(C10,Parameters!$D$19:$E$49,2,FALSE)="DayOff"),"",VLOOKUP(C10,Parameters!$D$19:$E$49,2,FALSE)),"")</f>
        <v/>
      </c>
      <c r="E10" s="43">
        <f>IF(DAY(FebSun1)=1,FebSun1+16,FebSun1+23)</f>
        <v>43151</v>
      </c>
      <c r="F10" s="15" t="str">
        <f>IFERROR(IF(OR(VLOOKUP(E10,Parameters!$D$19:$E$49,2,FALSE)="",VLOOKUP(E10,Parameters!$D$19:$E$49,2,FALSE)="DayOff"),"",VLOOKUP(E10,Parameters!$D$19:$E$49,2,FALSE)),"")</f>
        <v/>
      </c>
      <c r="G10" s="43">
        <f>IF(DAY(FebSun1)=1,FebSun1+17,FebSun1+24)</f>
        <v>43152</v>
      </c>
      <c r="H10" s="15" t="str">
        <f>IFERROR(IF(OR(VLOOKUP(G10,Parameters!$D$19:$E$49,2,FALSE)="",VLOOKUP(G10,Parameters!$D$19:$E$49,2,FALSE)="DayOff"),"",VLOOKUP(G10,Parameters!$D$19:$E$49,2,FALSE)),"")</f>
        <v/>
      </c>
      <c r="I10" s="43">
        <f>IF(DAY(FebSun1)=1,FebSun1+18,FebSun1+25)</f>
        <v>43153</v>
      </c>
      <c r="J10" s="15" t="str">
        <f>IFERROR(IF(OR(VLOOKUP(I10,Parameters!$D$19:$E$49,2,FALSE)="",VLOOKUP(I10,Parameters!$D$19:$E$49,2,FALSE)="DayOff"),"",VLOOKUP(I10,Parameters!$D$19:$E$49,2,FALSE)),"")</f>
        <v/>
      </c>
      <c r="K10" s="49">
        <f>IF(DAY(FebSun1)=1,FebSun1+19,FebSun1+26)</f>
        <v>43154</v>
      </c>
      <c r="L10" s="15" t="str">
        <f>IFERROR(IF(OR(VLOOKUP(K10,Parameters!$D$19:$E$49,2,FALSE)="",VLOOKUP(K10,Parameters!$D$19:$E$49,2,FALSE)="DayOff"),"",VLOOKUP(K10,Parameters!$D$19:$E$49,2,FALSE)),"")</f>
        <v/>
      </c>
      <c r="M10" s="49">
        <f>IF(DAY(FebSun1)=1,FebSun1+20,FebSun1+27)</f>
        <v>43155</v>
      </c>
      <c r="N10" s="15"/>
      <c r="O10" s="49">
        <f>IF(DAY(FebSun1)=1,FebSun1+21,FebSun1+28)</f>
        <v>43156</v>
      </c>
      <c r="P10" s="25"/>
      <c r="Q10" s="6"/>
    </row>
    <row r="11" spans="1:17" ht="21.95" customHeight="1" x14ac:dyDescent="0.2">
      <c r="A11" s="5"/>
      <c r="B11" s="78"/>
      <c r="C11" s="64"/>
      <c r="D11" s="65"/>
      <c r="E11" s="81" t="s">
        <v>26</v>
      </c>
      <c r="F11" s="65"/>
      <c r="G11" s="44"/>
      <c r="H11" s="65"/>
      <c r="I11" s="44"/>
      <c r="J11" s="66"/>
      <c r="K11" s="65"/>
      <c r="L11" s="66"/>
      <c r="M11" s="65"/>
      <c r="N11" s="66"/>
      <c r="O11" s="65"/>
      <c r="P11" s="35"/>
      <c r="Q11" s="6"/>
    </row>
    <row r="12" spans="1:17" ht="21.95" customHeight="1" x14ac:dyDescent="0.2">
      <c r="A12" s="5"/>
      <c r="B12" s="78"/>
      <c r="C12" s="42">
        <f>IF(DAY(FebSun1)=1,FebSun1+22,FebSun1+29)</f>
        <v>43157</v>
      </c>
      <c r="D12" s="15" t="str">
        <f>IFERROR(IF(OR(VLOOKUP(C12,Parameters!$D$19:$E$49,2,FALSE)="",VLOOKUP(C12,Parameters!$D$19:$E$49,2,FALSE)="DayOff"),"",VLOOKUP(C12,Parameters!$D$19:$E$49,2,FALSE)),"")</f>
        <v/>
      </c>
      <c r="E12" s="43">
        <f>IF(DAY(FebSun1)=1,FebSun1+23,FebSun1+30)</f>
        <v>43158</v>
      </c>
      <c r="F12" s="15" t="str">
        <f>IFERROR(IF(OR(VLOOKUP(E12,Parameters!$D$19:$E$49,2,FALSE)="",VLOOKUP(E12,Parameters!$D$19:$E$49,2,FALSE)="DayOff"),"",VLOOKUP(E12,Parameters!$D$19:$E$49,2,FALSE)),"")</f>
        <v/>
      </c>
      <c r="G12" s="43">
        <f>IF(DAY(FebSun1)=1,FebSun1+24,FebSun1+31)</f>
        <v>43159</v>
      </c>
      <c r="H12" s="15" t="str">
        <f>IFERROR(IF(OR(VLOOKUP(G12,Parameters!$D$19:$E$49,2,FALSE)="",VLOOKUP(G12,Parameters!$D$19:$E$49,2,FALSE)="DayOff"),"",VLOOKUP(G12,Parameters!$D$19:$E$49,2,FALSE)),"")</f>
        <v/>
      </c>
      <c r="I12" s="43">
        <f>IF(DAY(FebSun1)=1,FebSun1+25,FebSun1+32)</f>
        <v>43160</v>
      </c>
      <c r="J12" s="15" t="str">
        <f>IFERROR(IF(OR(VLOOKUP(I12,Parameters!$D$19:$E$49,2,FALSE)="",VLOOKUP(I12,Parameters!$D$19:$E$49,2,FALSE)="DayOff"),"",VLOOKUP(I12,Parameters!$D$19:$E$49,2,FALSE)),"")</f>
        <v/>
      </c>
      <c r="K12" s="43">
        <f>IF(DAY(FebSun1)=1,FebSun1+26,FebSun1+33)</f>
        <v>43161</v>
      </c>
      <c r="L12" s="15" t="str">
        <f>IFERROR(IF(OR(VLOOKUP(K12,Parameters!$D$19:$E$49,2,FALSE)="",VLOOKUP(K12,Parameters!$D$19:$E$49,2,FALSE)="DayOff"),"",VLOOKUP(K12,Parameters!$D$19:$E$49,2,FALSE)),"")</f>
        <v/>
      </c>
      <c r="M12" s="49">
        <f>IF(DAY(FebSun1)=1,FebSun1+27,FebSun1+34)</f>
        <v>43162</v>
      </c>
      <c r="N12" s="15"/>
      <c r="O12" s="49">
        <f>IF(DAY(FebSun1)=1,FebSun1+28,FebSun1+35)</f>
        <v>43163</v>
      </c>
      <c r="P12" s="25"/>
      <c r="Q12" s="6"/>
    </row>
    <row r="13" spans="1:17" ht="21.95" customHeight="1" x14ac:dyDescent="0.2">
      <c r="A13" s="5"/>
      <c r="B13" s="78"/>
      <c r="C13" s="64"/>
      <c r="D13" s="65"/>
      <c r="E13" s="44"/>
      <c r="F13" s="65"/>
      <c r="G13" s="44"/>
      <c r="H13" s="65"/>
      <c r="I13" s="44"/>
      <c r="J13" s="66"/>
      <c r="K13" s="44"/>
      <c r="L13" s="66"/>
      <c r="M13" s="65"/>
      <c r="N13" s="66"/>
      <c r="O13" s="65"/>
      <c r="P13" s="35"/>
      <c r="Q13" s="6"/>
    </row>
    <row r="14" spans="1:17" ht="21.95" customHeight="1" x14ac:dyDescent="0.2">
      <c r="A14" s="5"/>
      <c r="B14" s="78"/>
      <c r="C14" s="42">
        <f>IF(DAY(FebSun1)=1,FebSun1+29,FebSun1+36)</f>
        <v>43164</v>
      </c>
      <c r="D14" s="15" t="str">
        <f>IFERROR(IF(OR(VLOOKUP(C14,Parameters!$D$19:$E$49,2,FALSE)="",VLOOKUP(C14,Parameters!$D$19:$E$49,2,FALSE)="DayOff"),"",VLOOKUP(C14,Parameters!$D$19:$E$49,2,FALSE)),"")</f>
        <v/>
      </c>
      <c r="E14" s="43">
        <f>IF(DAY(FebSun1)=1,FebSun1+30,FebSun1+37)</f>
        <v>43165</v>
      </c>
      <c r="F14" s="15" t="str">
        <f>IFERROR(IF(OR(VLOOKUP(E14,Parameters!$D$19:$E$49,2,FALSE)="",VLOOKUP(E14,Parameters!$D$19:$E$49,2,FALSE)="DayOff"),"",VLOOKUP(E14,Parameters!$D$19:$E$49,2,FALSE)),"")</f>
        <v/>
      </c>
      <c r="G14" s="43">
        <f>IF(DAY(FebSun1)=1,FebSun1+31,FebSun1+38)</f>
        <v>43166</v>
      </c>
      <c r="H14" s="15" t="str">
        <f>IFERROR(IF(OR(VLOOKUP(G14,Parameters!$D$19:$E$49,2,FALSE)="",VLOOKUP(G14,Parameters!$D$19:$E$49,2,FALSE)="DayOff"),"",VLOOKUP(G14,Parameters!$D$19:$E$49,2,FALSE)),"")</f>
        <v/>
      </c>
      <c r="I14" s="43">
        <f>IF(DAY(FebSun1)=1,FebSun1+32,FebSun1+39)</f>
        <v>43167</v>
      </c>
      <c r="J14" s="15" t="str">
        <f>IFERROR(IF(OR(VLOOKUP(I14,Parameters!$D$19:$E$49,2,FALSE)="",VLOOKUP(I14,Parameters!$D$19:$E$49,2,FALSE)="DayOff"),"",VLOOKUP(I14,Parameters!$D$19:$E$49,2,FALSE)),"")</f>
        <v/>
      </c>
      <c r="K14" s="49">
        <f>IF(DAY(FebSun1)=1,FebSun1+33,FebSun1+40)</f>
        <v>43168</v>
      </c>
      <c r="L14" s="15" t="str">
        <f>IFERROR(IF(OR(VLOOKUP(K14,Parameters!$D$19:$E$49,2,FALSE)="",VLOOKUP(K14,Parameters!$D$19:$E$49,2,FALSE)="DayOff"),"",VLOOKUP(K14,Parameters!$D$19:$E$49,2,FALSE)),"")</f>
        <v/>
      </c>
      <c r="M14" s="43">
        <f>IF(DAY(FebSun1)=1,FebSun1+34,FebSun1+41)</f>
        <v>43169</v>
      </c>
      <c r="N14" s="15"/>
      <c r="O14" s="49">
        <f>IF(DAY(FebSun1)=1,FebSun1+35,FebSun1+42)</f>
        <v>43170</v>
      </c>
      <c r="P14" s="25"/>
      <c r="Q14" s="6"/>
    </row>
    <row r="15" spans="1:17" ht="21.95" customHeight="1" thickBot="1" x14ac:dyDescent="0.25">
      <c r="A15" s="5"/>
      <c r="B15" s="78"/>
      <c r="C15" s="36"/>
      <c r="D15" s="47"/>
      <c r="E15" s="38"/>
      <c r="F15" s="47"/>
      <c r="G15" s="38"/>
      <c r="H15" s="47"/>
      <c r="I15" s="38"/>
      <c r="J15" s="37"/>
      <c r="K15" s="47"/>
      <c r="L15" s="47"/>
      <c r="M15" s="38"/>
      <c r="N15" s="37"/>
      <c r="O15" s="47"/>
      <c r="P15" s="39"/>
      <c r="Q15" s="6"/>
    </row>
    <row r="16" spans="1:17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</row>
    <row r="17" spans="1:17" ht="16.5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</row>
  </sheetData>
  <sheetProtection selectLockedCells="1"/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4 E4 G4 I4 K4 M4:N4 C5:N5">
    <cfRule type="expression" dxfId="78" priority="4" stopIfTrue="1">
      <formula>DAY(C4)&gt;8</formula>
    </cfRule>
  </conditionalFormatting>
  <conditionalFormatting sqref="C13:O13 C12 M12 K12 I12 G12 C15:O15 C14 G14 I14 K14 M14 E12 E14 O12 O14">
    <cfRule type="expression" dxfId="77" priority="3" stopIfTrue="1">
      <formula>AND(DAY(C12)&gt;=1,DAY(C12)&lt;=15)</formula>
    </cfRule>
  </conditionalFormatting>
  <conditionalFormatting sqref="C4 E4 G4 I4 K4 M4:O4 C7:O7 C6 E6 G6 I6 K6 M6:O6 C9:O9 C8 M8:O8 K8 I8 G8 C11:O11 C10 G10 I10 K10 M10 C13:O13 C12 M12 K12 I12 G12 C14 G14 I14 K14 M14 E8 E10 E12 E14 O10 C5:O5 O12 O14">
    <cfRule type="expression" dxfId="14" priority="5">
      <formula>VLOOKUP(DAY(C4),AssignmentDays,1,FALSE)=DAY(C4)</formula>
    </cfRule>
  </conditionalFormatting>
  <conditionalFormatting sqref="O5">
    <cfRule type="expression" dxfId="76" priority="1" stopIfTrue="1">
      <formula>DAY(O5)&gt;8</formula>
    </cfRule>
  </conditionalFormatting>
  <printOptions horizontalCentered="1"/>
  <pageMargins left="0.5" right="0.5" top="0.5" bottom="0.5" header="0.3" footer="0.3"/>
  <pageSetup scale="68" orientation="landscape" verticalDpi="9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Q17"/>
  <sheetViews>
    <sheetView showGridLines="0" topLeftCell="F6" zoomScale="90" zoomScaleNormal="90" zoomScalePageLayoutView="84" workbookViewId="0">
      <selection activeCell="J8" sqref="J8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17" width="2.28515625" customWidth="1"/>
    <col min="18" max="24" width="8.85546875" customWidth="1"/>
    <col min="44" max="16384" width="8.7109375" style="1"/>
  </cols>
  <sheetData>
    <row r="1" spans="1:19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  <c r="R1" s="6"/>
      <c r="S1" s="6"/>
    </row>
    <row r="2" spans="1:19" ht="18" customHeight="1" thickBot="1" x14ac:dyDescent="0.25">
      <c r="A2" s="5"/>
      <c r="B2" s="78" t="str">
        <f>" MARCH "&amp;Parameters!B14</f>
        <v xml:space="preserve"> MARCH 2018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  <c r="R2" s="6"/>
      <c r="S2" s="6"/>
    </row>
    <row r="3" spans="1:19" ht="21.95" customHeight="1" thickBot="1" x14ac:dyDescent="0.25">
      <c r="A3" s="5"/>
      <c r="B3" s="78"/>
      <c r="C3" s="79" t="s">
        <v>1</v>
      </c>
      <c r="D3" s="73"/>
      <c r="E3" s="72" t="s">
        <v>2</v>
      </c>
      <c r="F3" s="73"/>
      <c r="G3" s="72" t="s">
        <v>3</v>
      </c>
      <c r="H3" s="73"/>
      <c r="I3" s="72" t="s">
        <v>4</v>
      </c>
      <c r="J3" s="73"/>
      <c r="K3" s="72" t="s">
        <v>5</v>
      </c>
      <c r="L3" s="73"/>
      <c r="M3" s="72" t="s">
        <v>6</v>
      </c>
      <c r="N3" s="73"/>
      <c r="O3" s="72" t="s">
        <v>7</v>
      </c>
      <c r="P3" s="74"/>
      <c r="Q3" s="6"/>
      <c r="R3" s="6"/>
      <c r="S3" s="6"/>
    </row>
    <row r="4" spans="1:19" ht="21.95" customHeight="1" x14ac:dyDescent="0.2">
      <c r="A4" s="5"/>
      <c r="B4" s="78"/>
      <c r="C4" s="41">
        <f>IF(DAY(MarSun1)=1,MarSun1-6,MarSun1+1)</f>
        <v>43157</v>
      </c>
      <c r="D4" s="15" t="str">
        <f>IFERROR(IF(OR(VLOOKUP(C4,Parameters!$F$19:$G$49,2,FALSE)="",VLOOKUP(C4,Parameters!$F$19:$G$49,2,FALSE)="DayOff"),"",VLOOKUP(C4,Parameters!$F$19:$G$49,2,FALSE)),"")</f>
        <v/>
      </c>
      <c r="E4" s="40">
        <f>IF(DAY(MarSun1)=1,MarSun1-5,MarSun1+2)</f>
        <v>43158</v>
      </c>
      <c r="F4" s="15" t="str">
        <f>IFERROR(IF(OR(VLOOKUP(E4,Parameters!$F$19:$G$49,2,FALSE)="",VLOOKUP(E4,Parameters!$F$19:$G$49,2,FALSE)="DayOff"),"",VLOOKUP(E4,Parameters!$F$19:$G$49,2,FALSE)),"")</f>
        <v/>
      </c>
      <c r="G4" s="40">
        <f>IF(DAY(MarSun1)=1,MarSun1-4,MarSun1+3)</f>
        <v>43159</v>
      </c>
      <c r="H4" s="15" t="str">
        <f>IFERROR(IF(OR(VLOOKUP(G4,Parameters!$F$19:$G$49,2,FALSE)="",VLOOKUP(G4,Parameters!$F$19:$G$49,2,FALSE)="DayOff"),"",VLOOKUP(G4,Parameters!$F$19:$G$49,2,FALSE)),"")</f>
        <v/>
      </c>
      <c r="I4" s="40">
        <f>IF(DAY(MarSun1)=1,MarSun1-3,MarSun1+4)</f>
        <v>43160</v>
      </c>
      <c r="J4" s="15">
        <f>IFERROR(IF(OR(VLOOKUP(I4,Parameters!$F$19:$G$49,2,FALSE)="",VLOOKUP(I4,Parameters!$F$19:$G$49,2,FALSE)="DayOff"),"",VLOOKUP(I4,Parameters!$F$19:$G$49,2,FALSE)),"")</f>
        <v>1</v>
      </c>
      <c r="K4" s="40">
        <f>IF(DAY(MarSun1)=1,MarSun1-2,MarSun1+5)</f>
        <v>43161</v>
      </c>
      <c r="L4" s="15">
        <f>IFERROR(IF(OR(VLOOKUP(K4,Parameters!$F$19:$G$49,2,FALSE)="",VLOOKUP(K4,Parameters!$F$19:$G$49,2,FALSE)="DayOff"),"",VLOOKUP(K4,Parameters!$F$19:$G$49,2,FALSE)),"")</f>
        <v>2</v>
      </c>
      <c r="M4" s="40">
        <f>IF(DAY(MarSun1)=1,MarSun1-1,MarSun1+6)</f>
        <v>43162</v>
      </c>
      <c r="N4" s="13"/>
      <c r="O4" s="48">
        <f>IF(DAY(MarSun1)=1,MarSun1,MarSun1+7)</f>
        <v>43163</v>
      </c>
      <c r="P4" s="22"/>
      <c r="Q4" s="6"/>
      <c r="R4" s="6"/>
      <c r="S4" s="6"/>
    </row>
    <row r="5" spans="1:19" ht="21.95" customHeight="1" x14ac:dyDescent="0.2">
      <c r="A5" s="5"/>
      <c r="B5" s="78"/>
      <c r="C5" s="64"/>
      <c r="D5" s="65"/>
      <c r="E5" s="44"/>
      <c r="F5" s="46"/>
      <c r="G5" s="44"/>
      <c r="H5" s="46"/>
      <c r="I5" s="44"/>
      <c r="J5" s="46"/>
      <c r="K5" s="44"/>
      <c r="L5" s="46"/>
      <c r="M5" s="44"/>
      <c r="N5" s="66"/>
      <c r="O5" s="46"/>
      <c r="P5" s="35"/>
      <c r="Q5" s="6"/>
      <c r="R5" s="6"/>
      <c r="S5" s="6"/>
    </row>
    <row r="6" spans="1:19" ht="21.95" customHeight="1" x14ac:dyDescent="0.2">
      <c r="A6" s="5"/>
      <c r="B6" s="78"/>
      <c r="C6" s="42">
        <f>IF(DAY(MarSun1)=1,MarSun1+1,MarSun1+8)</f>
        <v>43164</v>
      </c>
      <c r="D6" s="15">
        <f>IFERROR(IF(OR(VLOOKUP(C6,Parameters!$F$19:$G$49,2,FALSE)="",VLOOKUP(C6,Parameters!$F$19:$G$49,2,FALSE)="DayOff"),"",VLOOKUP(C6,Parameters!$F$19:$G$49,2,FALSE)),"")</f>
        <v>3</v>
      </c>
      <c r="E6" s="43">
        <f>IF(DAY(MarSun1)=1,MarSun1+2,MarSun1+9)</f>
        <v>43165</v>
      </c>
      <c r="F6" s="15">
        <f>IFERROR(IF(OR(VLOOKUP(E6,Parameters!$F$19:$G$49,2,FALSE)="",VLOOKUP(E6,Parameters!$F$19:$G$49,2,FALSE)="DayOff"),"",VLOOKUP(E6,Parameters!$F$19:$G$49,2,FALSE)),"")</f>
        <v>4</v>
      </c>
      <c r="G6" s="43">
        <f>IF(DAY(MarSun1)=1,MarSun1+3,MarSun1+10)</f>
        <v>43166</v>
      </c>
      <c r="H6" s="15">
        <f>IFERROR(IF(OR(VLOOKUP(G6,Parameters!$F$19:$G$49,2,FALSE)="",VLOOKUP(G6,Parameters!$F$19:$G$49,2,FALSE)="DayOff"),"",VLOOKUP(G6,Parameters!$F$19:$G$49,2,FALSE)),"")</f>
        <v>5</v>
      </c>
      <c r="I6" s="43">
        <f>IF(DAY(MarSun1)=1,MarSun1+4,MarSun1+11)</f>
        <v>43167</v>
      </c>
      <c r="J6" s="15">
        <f>IFERROR(IF(OR(VLOOKUP(I6,Parameters!$F$19:$G$49,2,FALSE)="",VLOOKUP(I6,Parameters!$F$19:$G$49,2,FALSE)="DayOff"),"",VLOOKUP(I6,Parameters!$F$19:$G$49,2,FALSE)),"")</f>
        <v>6</v>
      </c>
      <c r="K6" s="43">
        <f>IF(DAY(MarSun1)=1,MarSun1+5,MarSun1+12)</f>
        <v>43168</v>
      </c>
      <c r="L6" s="15">
        <f>IFERROR(IF(OR(VLOOKUP(K6,Parameters!$F$19:$G$49,2,FALSE)="",VLOOKUP(K6,Parameters!$F$19:$G$49,2,FALSE)="DayOff"),"",VLOOKUP(K6,Parameters!$F$19:$G$49,2,FALSE)),"")</f>
        <v>7</v>
      </c>
      <c r="M6" s="49">
        <f>IF(DAY(MarSun1)=1,MarSun1+6,MarSun1+13)</f>
        <v>43169</v>
      </c>
      <c r="N6" s="9"/>
      <c r="O6" s="49">
        <f>IF(DAY(MarSun1)=1,MarSun1+7,MarSun1+14)</f>
        <v>43170</v>
      </c>
      <c r="P6" s="25"/>
      <c r="Q6" s="6"/>
      <c r="R6" s="6"/>
      <c r="S6" s="6"/>
    </row>
    <row r="7" spans="1:19" ht="21.95" customHeight="1" x14ac:dyDescent="0.2">
      <c r="A7" s="5"/>
      <c r="B7" s="78"/>
      <c r="C7" s="64"/>
      <c r="D7" s="65"/>
      <c r="E7" s="44"/>
      <c r="F7" s="46"/>
      <c r="G7" s="44"/>
      <c r="H7" s="46"/>
      <c r="I7" s="44"/>
      <c r="J7" s="46"/>
      <c r="K7" s="44"/>
      <c r="L7" s="46"/>
      <c r="M7" s="44"/>
      <c r="N7" s="33"/>
      <c r="O7" s="46"/>
      <c r="P7" s="35"/>
      <c r="Q7" s="6"/>
      <c r="R7" s="6"/>
      <c r="S7" s="6"/>
    </row>
    <row r="8" spans="1:19" ht="21.95" customHeight="1" x14ac:dyDescent="0.2">
      <c r="A8" s="5"/>
      <c r="B8" s="78"/>
      <c r="C8" s="42">
        <f>IF(DAY(MarSun1)=1,MarSun1+8,MarSun1+15)</f>
        <v>43171</v>
      </c>
      <c r="D8" s="15">
        <f>IFERROR(IF(OR(VLOOKUP(C8,Parameters!$F$19:$G$49,2,FALSE)="",VLOOKUP(C8,Parameters!$F$19:$G$49,2,FALSE)="DayOff"),"",VLOOKUP(C8,Parameters!$F$19:$G$49,2,FALSE)),"")</f>
        <v>8</v>
      </c>
      <c r="E8" s="43">
        <f>IF(DAY(MarSun1)=1,MarSun1+9,MarSun1+16)</f>
        <v>43172</v>
      </c>
      <c r="F8" s="15">
        <f>IFERROR(IF(OR(VLOOKUP(E8,Parameters!$F$19:$G$49,2,FALSE)="",VLOOKUP(E8,Parameters!$F$19:$G$49,2,FALSE)="DayOff"),"",VLOOKUP(E8,Parameters!$F$19:$G$49,2,FALSE)),"")</f>
        <v>9</v>
      </c>
      <c r="G8" s="43">
        <f>IF(DAY(MarSun1)=1,MarSun1+10,MarSun1+17)</f>
        <v>43173</v>
      </c>
      <c r="H8" s="15">
        <f>IFERROR(IF(OR(VLOOKUP(G8,Parameters!$F$19:$G$49,2,FALSE)="",VLOOKUP(G8,Parameters!$F$19:$G$49,2,FALSE)="DayOff"),"",VLOOKUP(G8,Parameters!$F$19:$G$49,2,FALSE)),"")</f>
        <v>10</v>
      </c>
      <c r="I8" s="43">
        <f>IF(DAY(MarSun1)=1,MarSun1+11,MarSun1+18)</f>
        <v>43174</v>
      </c>
      <c r="J8" s="15">
        <f>IFERROR(IF(OR(VLOOKUP(I8,Parameters!$F$19:$G$49,2,FALSE)="",VLOOKUP(I8,Parameters!$F$19:$G$49,2,FALSE)="DayOff"),"",VLOOKUP(I8,Parameters!$F$19:$G$49,2,FALSE)),"")</f>
        <v>11</v>
      </c>
      <c r="K8" s="49">
        <f>IF(DAY(MarSun1)=1,MarSun1+12,MarSun1+19)</f>
        <v>43175</v>
      </c>
      <c r="L8" s="15">
        <f>IFERROR(IF(OR(VLOOKUP(K8,Parameters!$F$19:$G$49,2,FALSE)="",VLOOKUP(K8,Parameters!$F$19:$G$49,2,FALSE)="DayOff"),"",VLOOKUP(K8,Parameters!$F$19:$G$49,2,FALSE)),"")</f>
        <v>12</v>
      </c>
      <c r="M8" s="49">
        <f>IF(DAY(MarSun1)=1,MarSun1+13,MarSun1+20)</f>
        <v>43176</v>
      </c>
      <c r="N8" s="9"/>
      <c r="O8" s="49">
        <f>IF(DAY(MarSun1)=1,MarSun1+14,MarSun1+21)</f>
        <v>43177</v>
      </c>
      <c r="P8" s="25"/>
      <c r="Q8" s="6"/>
      <c r="R8" s="6"/>
      <c r="S8" s="6"/>
    </row>
    <row r="9" spans="1:19" ht="21.95" customHeight="1" x14ac:dyDescent="0.2">
      <c r="A9" s="5"/>
      <c r="B9" s="78"/>
      <c r="C9" s="32"/>
      <c r="D9" s="46"/>
      <c r="E9" s="34"/>
      <c r="F9" s="46"/>
      <c r="G9" s="34"/>
      <c r="H9" s="46"/>
      <c r="I9" s="34"/>
      <c r="J9" s="46"/>
      <c r="K9" s="44"/>
      <c r="L9" s="46"/>
      <c r="M9" s="44"/>
      <c r="N9" s="33"/>
      <c r="O9" s="46"/>
      <c r="P9" s="35"/>
      <c r="Q9" s="6"/>
      <c r="R9" s="6"/>
      <c r="S9" s="6"/>
    </row>
    <row r="10" spans="1:19" ht="21.95" customHeight="1" x14ac:dyDescent="0.2">
      <c r="A10" s="5"/>
      <c r="B10" s="78"/>
      <c r="C10" s="42">
        <f>IF(DAY(MarSun1)=1,MarSun1+15,MarSun1+22)</f>
        <v>43178</v>
      </c>
      <c r="D10" s="15" t="str">
        <f>IFERROR(IF(OR(VLOOKUP(C10,Parameters!$F$19:$G$49,2,FALSE)="",VLOOKUP(C10,Parameters!$F$19:$G$49,2,FALSE)="DayOff"),"",VLOOKUP(C10,Parameters!$F$19:$G$49,2,FALSE)),"")</f>
        <v/>
      </c>
      <c r="E10" s="43">
        <f>IF(DAY(MarSun1)=1,MarSun1+16,MarSun1+23)</f>
        <v>43179</v>
      </c>
      <c r="F10" s="15" t="str">
        <f>IFERROR(IF(OR(VLOOKUP(E10,Parameters!$F$19:$G$49,2,FALSE)="",VLOOKUP(E10,Parameters!$F$19:$G$49,2,FALSE)="DayOff"),"",VLOOKUP(E10,Parameters!$F$19:$G$49,2,FALSE)),"")</f>
        <v/>
      </c>
      <c r="G10" s="43">
        <f>IF(DAY(MarSun1)=1,MarSun1+17,MarSun1+24)</f>
        <v>43180</v>
      </c>
      <c r="H10" s="15" t="str">
        <f>IFERROR(IF(OR(VLOOKUP(G10,Parameters!$F$19:$G$49,2,FALSE)="",VLOOKUP(G10,Parameters!$F$19:$G$49,2,FALSE)="DayOff"),"",VLOOKUP(G10,Parameters!$F$19:$G$49,2,FALSE)),"")</f>
        <v/>
      </c>
      <c r="I10" s="43">
        <f>IF(DAY(MarSun1)=1,MarSun1+18,MarSun1+25)</f>
        <v>43181</v>
      </c>
      <c r="J10" s="15" t="str">
        <f>IFERROR(IF(OR(VLOOKUP(I10,Parameters!$F$19:$G$49,2,FALSE)="",VLOOKUP(I10,Parameters!$F$19:$G$49,2,FALSE)="DayOff"),"",VLOOKUP(I10,Parameters!$F$19:$G$49,2,FALSE)),"")</f>
        <v/>
      </c>
      <c r="K10" s="49">
        <f>IF(DAY(MarSun1)=1,MarSun1+19,MarSun1+26)</f>
        <v>43182</v>
      </c>
      <c r="L10" s="15" t="str">
        <f>IFERROR(IF(OR(VLOOKUP(K10,Parameters!$F$19:$G$49,2,FALSE)="",VLOOKUP(K10,Parameters!$F$19:$G$49,2,FALSE)="DayOff"),"",VLOOKUP(K10,Parameters!$F$19:$G$49,2,FALSE)),"")</f>
        <v/>
      </c>
      <c r="M10" s="49">
        <f>IF(DAY(MarSun1)=1,MarSun1+20,MarSun1+27)</f>
        <v>43183</v>
      </c>
      <c r="N10" s="15"/>
      <c r="O10" s="49">
        <f>IF(DAY(MarSun1)=1,MarSun1+21,MarSun1+28)</f>
        <v>43184</v>
      </c>
      <c r="P10" s="25"/>
      <c r="Q10" s="6"/>
      <c r="R10" s="6"/>
      <c r="S10" s="6"/>
    </row>
    <row r="11" spans="1:19" ht="21.95" customHeight="1" x14ac:dyDescent="0.2">
      <c r="A11" s="5"/>
      <c r="B11" s="78"/>
      <c r="C11" s="32"/>
      <c r="D11" s="46"/>
      <c r="E11" s="34"/>
      <c r="F11" s="46"/>
      <c r="G11" s="34"/>
      <c r="H11" s="46"/>
      <c r="I11" s="63" t="s">
        <v>26</v>
      </c>
      <c r="J11" s="33"/>
      <c r="K11" s="46"/>
      <c r="L11" s="33"/>
      <c r="M11" s="46"/>
      <c r="N11" s="33"/>
      <c r="O11" s="46"/>
      <c r="P11" s="35"/>
      <c r="Q11" s="6"/>
      <c r="R11" s="6"/>
      <c r="S11" s="6"/>
    </row>
    <row r="12" spans="1:19" ht="21.95" customHeight="1" x14ac:dyDescent="0.2">
      <c r="A12" s="5"/>
      <c r="B12" s="78"/>
      <c r="C12" s="42">
        <f>IF(DAY(MarSun1)=1,MarSun1+22,MarSun1+29)</f>
        <v>43185</v>
      </c>
      <c r="D12" s="15" t="str">
        <f>IFERROR(IF(OR(VLOOKUP(C12,Parameters!$F$19:$G$49,2,FALSE)="",VLOOKUP(C12,Parameters!$F$19:$G$49,2,FALSE)="DayOff"),"",VLOOKUP(C12,Parameters!$F$19:$G$49,2,FALSE)),"")</f>
        <v/>
      </c>
      <c r="E12" s="60">
        <f>IF(DAY(MarSun1)=1,MarSun1+23,MarSun1+30)</f>
        <v>43186</v>
      </c>
      <c r="F12" s="15" t="str">
        <f>IFERROR(IF(OR(VLOOKUP(E12,Parameters!$F$19:$G$49,2,FALSE)="",VLOOKUP(E12,Parameters!$F$19:$G$49,2,FALSE)="DayOff"),"",VLOOKUP(E12,Parameters!$F$19:$G$49,2,FALSE)),"")</f>
        <v/>
      </c>
      <c r="G12" s="43">
        <f>IF(DAY(MarSun1)=1,MarSun1+24,MarSun1+31)</f>
        <v>43187</v>
      </c>
      <c r="H12" s="15" t="str">
        <f>IFERROR(IF(OR(VLOOKUP(G12,Parameters!$F$19:$G$49,2,FALSE)="",VLOOKUP(G12,Parameters!$F$19:$G$49,2,FALSE)="DayOff"),"",VLOOKUP(G12,Parameters!$F$19:$G$49,2,FALSE)),"")</f>
        <v/>
      </c>
      <c r="I12" s="40">
        <f>IF(DAY(MarSun1)=1,MarSun1+25,MarSun1+32)</f>
        <v>43188</v>
      </c>
      <c r="J12" s="15" t="str">
        <f>IFERROR(IF(OR(VLOOKUP(I12,Parameters!$F$19:$G$49,2,FALSE)="",VLOOKUP(I12,Parameters!$F$19:$G$49,2,FALSE)="DayOff"),"",VLOOKUP(I12,Parameters!$F$19:$G$49,2,FALSE)),"")</f>
        <v/>
      </c>
      <c r="K12" s="43">
        <f>IF(DAY(MarSun1)=1,MarSun1+26,MarSun1+33)</f>
        <v>43189</v>
      </c>
      <c r="L12" s="15" t="str">
        <f>IFERROR(IF(OR(VLOOKUP(K12,Parameters!$F$19:$G$49,2,FALSE)="",VLOOKUP(K12,Parameters!$F$19:$G$49,2,FALSE)="DayOff"),"",VLOOKUP(K12,Parameters!$F$19:$G$49,2,FALSE)),"")</f>
        <v/>
      </c>
      <c r="M12" s="49">
        <f>IF(DAY(MarSun1)=1,MarSun1+27,MarSun1+34)</f>
        <v>43190</v>
      </c>
      <c r="N12" s="15"/>
      <c r="O12" s="49">
        <f>IF(DAY(MarSun1)=1,MarSun1+28,MarSun1+35)</f>
        <v>43191</v>
      </c>
      <c r="P12" s="25"/>
      <c r="Q12" s="6"/>
      <c r="R12" s="6"/>
      <c r="S12" s="6"/>
    </row>
    <row r="13" spans="1:19" ht="21.95" customHeight="1" x14ac:dyDescent="0.2">
      <c r="A13" s="5"/>
      <c r="B13" s="78"/>
      <c r="C13" s="32"/>
      <c r="D13" s="46"/>
      <c r="E13" s="34"/>
      <c r="F13" s="46"/>
      <c r="G13" s="34"/>
      <c r="H13" s="46"/>
      <c r="I13" s="34"/>
      <c r="J13" s="33"/>
      <c r="K13" s="34"/>
      <c r="L13" s="33"/>
      <c r="M13" s="46"/>
      <c r="N13" s="33"/>
      <c r="O13" s="46"/>
      <c r="P13" s="35"/>
      <c r="Q13" s="6"/>
      <c r="R13" s="6"/>
      <c r="S13" s="6"/>
    </row>
    <row r="14" spans="1:19" ht="21.95" customHeight="1" x14ac:dyDescent="0.2">
      <c r="A14" s="5"/>
      <c r="B14" s="78"/>
      <c r="C14" s="42">
        <f>IF(DAY(MarSun1)=1,MarSun1+29,MarSun1+36)</f>
        <v>43192</v>
      </c>
      <c r="D14" s="15" t="str">
        <f>IFERROR(IF(OR(VLOOKUP(C14,Parameters!$F$19:$G$49,2,FALSE)="",VLOOKUP(C14,Parameters!$F$19:$G$49,2,FALSE)="DayOff"),"",VLOOKUP(C14,Parameters!$F$19:$G$49,2,FALSE)),"")</f>
        <v/>
      </c>
      <c r="E14" s="43">
        <f>IF(DAY(MarSun1)=1,MarSun1+30,MarSun1+37)</f>
        <v>43193</v>
      </c>
      <c r="F14" s="15" t="str">
        <f>IFERROR(IF(OR(VLOOKUP(E14,Parameters!$F$19:$G$49,2,FALSE)="",VLOOKUP(E14,Parameters!$F$19:$G$49,2,FALSE)="DayOff"),"",VLOOKUP(E14,Parameters!$F$19:$G$49,2,FALSE)),"")</f>
        <v/>
      </c>
      <c r="G14" s="40">
        <f>IF(DAY(MarSun1)=1,MarSun1+31,MarSun1+38)</f>
        <v>43194</v>
      </c>
      <c r="H14" s="15" t="str">
        <f>IFERROR(IF(OR(VLOOKUP(G14,Parameters!$F$19:$G$49,2,FALSE)="",VLOOKUP(G14,Parameters!$F$19:$G$49,2,FALSE)="DayOff"),"",VLOOKUP(G14,Parameters!$F$19:$G$49,2,FALSE)),"")</f>
        <v/>
      </c>
      <c r="I14" s="40">
        <f>IF(DAY(MarSun1)=1,MarSun1+32,MarSun1+39)</f>
        <v>43195</v>
      </c>
      <c r="J14" s="15" t="str">
        <f>IFERROR(IF(OR(VLOOKUP(I14,Parameters!$F$19:$G$49,2,FALSE)="",VLOOKUP(I14,Parameters!$F$19:$G$49,2,FALSE)="DayOff"),"",VLOOKUP(I14,Parameters!$F$19:$G$49,2,FALSE)),"")</f>
        <v/>
      </c>
      <c r="K14" s="40">
        <f>IF(DAY(MarSun1)=1,MarSun1+33,MarSun1+40)</f>
        <v>43196</v>
      </c>
      <c r="L14" s="15" t="str">
        <f>IFERROR(IF(OR(VLOOKUP(K14,Parameters!$F$19:$G$49,2,FALSE)="",VLOOKUP(K14,Parameters!$F$19:$G$49,2,FALSE)="DayOff"),"",VLOOKUP(K14,Parameters!$F$19:$G$49,2,FALSE)),"")</f>
        <v/>
      </c>
      <c r="M14" s="43">
        <f>IF(DAY(MarSun1)=1,MarSun1+34,MarSun1+41)</f>
        <v>43197</v>
      </c>
      <c r="N14" s="15" t="str">
        <f>IFERROR(IF(OR(VLOOKUP(M14,Parameters!$F$19:$G$49,2,FALSE)="",VLOOKUP(M14,Parameters!$F$19:$G$49,2,FALSE)="DayOff"),"",VLOOKUP(M14,Parameters!$F$19:$G$49,2,FALSE)),"")</f>
        <v/>
      </c>
      <c r="O14" s="49">
        <f>IF(DAY(MarSun1)=1,MarSun1+35,MarSun1+42)</f>
        <v>43198</v>
      </c>
      <c r="P14" s="25"/>
      <c r="Q14" s="6"/>
      <c r="R14" s="6"/>
      <c r="S14" s="6"/>
    </row>
    <row r="15" spans="1:19" ht="21.95" customHeight="1" thickBot="1" x14ac:dyDescent="0.25">
      <c r="A15" s="5"/>
      <c r="B15" s="78"/>
      <c r="C15" s="36"/>
      <c r="D15" s="47"/>
      <c r="E15" s="38"/>
      <c r="F15" s="47"/>
      <c r="G15" s="38"/>
      <c r="H15" s="47"/>
      <c r="I15" s="38"/>
      <c r="J15" s="37"/>
      <c r="K15" s="38"/>
      <c r="L15" s="37"/>
      <c r="M15" s="38"/>
      <c r="N15" s="37"/>
      <c r="O15" s="47"/>
      <c r="P15" s="39"/>
      <c r="Q15" s="6"/>
      <c r="R15" s="6"/>
      <c r="S15" s="6"/>
    </row>
    <row r="16" spans="1:19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  <c r="R16" s="6"/>
      <c r="S16" s="6"/>
    </row>
    <row r="17" spans="1:19" ht="16.5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  <c r="R17" s="6"/>
      <c r="S17" s="6"/>
    </row>
  </sheetData>
  <sheetProtection selectLockedCells="1"/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5:N5 C4 E4 G4 I4 K4 M4:N4">
    <cfRule type="expression" dxfId="75" priority="4" stopIfTrue="1">
      <formula>DAY(C4)&gt;8</formula>
    </cfRule>
  </conditionalFormatting>
  <conditionalFormatting sqref="C13:O13 C12 G12 I12 K12 M12 C15:O15 C14 M14 K14 I14 G14 E14 E12 O12 O14">
    <cfRule type="expression" dxfId="74" priority="3" stopIfTrue="1">
      <formula>AND(DAY(C12)&gt;=1,DAY(C12)&lt;=15)</formula>
    </cfRule>
  </conditionalFormatting>
  <conditionalFormatting sqref="C4 E4 G4 I4 K4 M4:O4 C6 M6:O6 K6 I6 G6 C8 G8 I8 K8 M8:O8 C11:H11 C10 M10 K10 I10 G10 C13:O13 C12 G12 I12 K12 M12 C14 M14 K14 I14 G14 E14 E12 E10 E8 E6 C5:O5 C7:O7 C9:O9 J11:O11 O10 O12 O14">
    <cfRule type="expression" dxfId="73" priority="5">
      <formula>VLOOKUP(DAY(C4),AssignmentDays,1,FALSE)=DAY(C4)</formula>
    </cfRule>
  </conditionalFormatting>
  <conditionalFormatting sqref="I11">
    <cfRule type="expression" dxfId="72" priority="1">
      <formula>VLOOKUP(DAY(I11),AssignmentDays,1,FALSE)=DAY(I11)</formula>
    </cfRule>
  </conditionalFormatting>
  <printOptions horizontalCentered="1"/>
  <pageMargins left="0.5" right="0.5" top="0.5" bottom="0.5" header="0.3" footer="0.3"/>
  <pageSetup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Q16"/>
  <sheetViews>
    <sheetView showGridLines="0" topLeftCell="B2" zoomScale="90" zoomScaleNormal="90" zoomScalePageLayoutView="84" workbookViewId="0">
      <selection activeCell="F12" sqref="F12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17" width="2.28515625" customWidth="1"/>
    <col min="18" max="24" width="8.85546875" customWidth="1"/>
    <col min="44" max="16384" width="8.7109375" style="1"/>
  </cols>
  <sheetData>
    <row r="1" spans="1:18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  <c r="R1" s="6"/>
    </row>
    <row r="2" spans="1:18" ht="18" customHeight="1" thickBot="1" x14ac:dyDescent="0.25">
      <c r="A2" s="5"/>
      <c r="B2" s="78" t="str">
        <f>" APRIL "&amp;Parameters!B14</f>
        <v xml:space="preserve"> APRIL 2018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  <c r="R2" s="6"/>
    </row>
    <row r="3" spans="1:18" ht="21.95" customHeight="1" thickBot="1" x14ac:dyDescent="0.25">
      <c r="A3" s="5"/>
      <c r="B3" s="78"/>
      <c r="C3" s="79" t="s">
        <v>1</v>
      </c>
      <c r="D3" s="73"/>
      <c r="E3" s="72" t="s">
        <v>2</v>
      </c>
      <c r="F3" s="73"/>
      <c r="G3" s="72" t="s">
        <v>3</v>
      </c>
      <c r="H3" s="73"/>
      <c r="I3" s="72" t="s">
        <v>4</v>
      </c>
      <c r="J3" s="73"/>
      <c r="K3" s="72" t="s">
        <v>5</v>
      </c>
      <c r="L3" s="73"/>
      <c r="M3" s="72" t="s">
        <v>6</v>
      </c>
      <c r="N3" s="73"/>
      <c r="O3" s="72" t="s">
        <v>7</v>
      </c>
      <c r="P3" s="74"/>
      <c r="Q3" s="6"/>
      <c r="R3" s="6"/>
    </row>
    <row r="4" spans="1:18" ht="21.95" customHeight="1" x14ac:dyDescent="0.2">
      <c r="A4" s="5"/>
      <c r="B4" s="78"/>
      <c r="C4" s="41">
        <f>IF(DAY(AprSun1)=1,AprSun1-6,AprSun1+1)</f>
        <v>43185</v>
      </c>
      <c r="D4" s="15" t="str">
        <f>IFERROR(IF(OR(VLOOKUP(C4,Parameters!$H$19:$I$49,2,FALSE)="",VLOOKUP(C4,Parameters!$H$19:$I$49,2,FALSE)="DayOff"),"",VLOOKUP(C4,Parameters!$H$19:$I$49,2,FALSE)),"")</f>
        <v/>
      </c>
      <c r="E4" s="40">
        <f>IF(DAY(AprSun1)=1,AprSun1-5,AprSun1+2)</f>
        <v>43186</v>
      </c>
      <c r="F4" s="15" t="str">
        <f>IFERROR(IF(OR(VLOOKUP(E4,Parameters!$H$19:$I$49,2,FALSE)="",VLOOKUP(E4,Parameters!$H$19:$I$49,2,FALSE)="DayOff"),"",VLOOKUP(E4,Parameters!$H$19:$I$49,2,FALSE)),"")</f>
        <v/>
      </c>
      <c r="G4" s="40">
        <f>IF(DAY(AprSun1)=1,AprSun1-4,AprSun1+3)</f>
        <v>43187</v>
      </c>
      <c r="H4" s="15" t="str">
        <f>IFERROR(IF(OR(VLOOKUP(G4,Parameters!$H$19:$I$49,2,FALSE)="",VLOOKUP(G4,Parameters!$H$19:$I$49,2,FALSE)="DayOff"),"",VLOOKUP(G4,Parameters!$H$19:$I$49,2,FALSE)),"")</f>
        <v/>
      </c>
      <c r="I4" s="40">
        <f>IF(DAY(AprSun1)=1,AprSun1-3,AprSun1+4)</f>
        <v>43188</v>
      </c>
      <c r="J4" s="15" t="str">
        <f>IFERROR(IF(OR(VLOOKUP(I4,Parameters!$H$19:$I$49,2,FALSE)="",VLOOKUP(I4,Parameters!$H$19:$I$49,2,FALSE)="DayOff"),"",VLOOKUP(I4,Parameters!$H$19:$I$49,2,FALSE)),"")</f>
        <v/>
      </c>
      <c r="K4" s="40">
        <f>IF(DAY(AprSun1)=1,AprSun1-2,AprSun1+5)</f>
        <v>43189</v>
      </c>
      <c r="L4" s="15" t="str">
        <f>IFERROR(IF(OR(VLOOKUP(K4,Parameters!$H$19:$I$49,2,FALSE)="",VLOOKUP(K4,Parameters!$H$19:$I$49,2,FALSE)="DayOff"),"",VLOOKUP(K4,Parameters!$H$19:$I$49,2,FALSE)),"")</f>
        <v/>
      </c>
      <c r="M4" s="40">
        <f>IF(DAY(AprSun1)=1,AprSun1-1,AprSun1+6)</f>
        <v>43190</v>
      </c>
      <c r="N4" s="13"/>
      <c r="O4" s="48">
        <f>IF(DAY(AprSun1)=1,AprSun1,AprSun1+7)</f>
        <v>43191</v>
      </c>
      <c r="P4" s="22"/>
      <c r="Q4" s="6"/>
      <c r="R4" s="6"/>
    </row>
    <row r="5" spans="1:18" ht="21.95" customHeight="1" x14ac:dyDescent="0.2">
      <c r="A5" s="5"/>
      <c r="B5" s="78"/>
      <c r="C5" s="64"/>
      <c r="D5" s="65"/>
      <c r="E5" s="44"/>
      <c r="F5" s="46"/>
      <c r="G5" s="44"/>
      <c r="H5" s="46"/>
      <c r="I5" s="44"/>
      <c r="J5" s="46"/>
      <c r="K5" s="44"/>
      <c r="L5" s="46"/>
      <c r="M5" s="44"/>
      <c r="N5" s="66"/>
      <c r="O5" s="46"/>
      <c r="P5" s="35"/>
      <c r="Q5" s="6"/>
      <c r="R5" s="6"/>
    </row>
    <row r="6" spans="1:18" ht="21.95" customHeight="1" x14ac:dyDescent="0.2">
      <c r="A6" s="5"/>
      <c r="B6" s="78"/>
      <c r="C6" s="42">
        <f>IF(DAY(AprSun1)=1,AprSun1+1,AprSun1+8)</f>
        <v>43192</v>
      </c>
      <c r="D6" s="15" t="str">
        <f>IFERROR(IF(OR(VLOOKUP(C6,Parameters!$H$19:$I$49,2,FALSE)="",VLOOKUP(C6,Parameters!$H$19:$I$49,2,FALSE)="DayOff"),"",VLOOKUP(C6,Parameters!$H$19:$I$49,2,FALSE)),"")</f>
        <v/>
      </c>
      <c r="E6" s="43">
        <f>IF(DAY(AprSun1)=1,AprSun1+2,AprSun1+9)</f>
        <v>43193</v>
      </c>
      <c r="F6" s="15">
        <f>IFERROR(IF(OR(VLOOKUP(E6,Parameters!$H$19:$I$49,2,FALSE)="",VLOOKUP(E6,Parameters!$H$19:$I$49,2,FALSE)="DayOff"),"",VLOOKUP(E6,Parameters!$H$19:$I$49,2,FALSE)),"")</f>
        <v>1</v>
      </c>
      <c r="G6" s="43">
        <f>IF(DAY(AprSun1)=1,AprSun1+3,AprSun1+10)</f>
        <v>43194</v>
      </c>
      <c r="H6" s="15">
        <f>IFERROR(IF(OR(VLOOKUP(G6,Parameters!$H$19:$I$49,2,FALSE)="",VLOOKUP(G6,Parameters!$H$19:$I$49,2,FALSE)="DayOff"),"",VLOOKUP(G6,Parameters!$H$19:$I$49,2,FALSE)),"")</f>
        <v>2</v>
      </c>
      <c r="I6" s="43">
        <f>IF(DAY(AprSun1)=1,AprSun1+4,AprSun1+11)</f>
        <v>43195</v>
      </c>
      <c r="J6" s="15">
        <f>IFERROR(IF(OR(VLOOKUP(I6,Parameters!$H$19:$I$49,2,FALSE)="",VLOOKUP(I6,Parameters!$H$19:$I$49,2,FALSE)="DayOff"),"",VLOOKUP(I6,Parameters!$H$19:$I$49,2,FALSE)),"")</f>
        <v>3</v>
      </c>
      <c r="K6" s="43">
        <f>IF(DAY(AprSun1)=1,AprSun1+5,AprSun1+12)</f>
        <v>43196</v>
      </c>
      <c r="L6" s="15">
        <f>IFERROR(IF(OR(VLOOKUP(K6,Parameters!$H$19:$I$49,2,FALSE)="",VLOOKUP(K6,Parameters!$H$19:$I$49,2,FALSE)="DayOff"),"",VLOOKUP(K6,Parameters!$H$19:$I$49,2,FALSE)),"")</f>
        <v>4</v>
      </c>
      <c r="M6" s="49">
        <f>IF(DAY(AprSun1)=1,AprSun1+6,AprSun1+13)</f>
        <v>43197</v>
      </c>
      <c r="N6" s="9"/>
      <c r="O6" s="49">
        <f>IF(DAY(AprSun1)=1,AprSun1+7,AprSun1+14)</f>
        <v>43198</v>
      </c>
      <c r="P6" s="25"/>
      <c r="Q6" s="6"/>
      <c r="R6" s="6"/>
    </row>
    <row r="7" spans="1:18" ht="21.95" customHeight="1" x14ac:dyDescent="0.2">
      <c r="A7" s="5"/>
      <c r="B7" s="78"/>
      <c r="C7" s="64"/>
      <c r="D7" s="65"/>
      <c r="E7" s="44"/>
      <c r="F7" s="46"/>
      <c r="G7" s="44"/>
      <c r="H7" s="46"/>
      <c r="I7" s="44"/>
      <c r="J7" s="46"/>
      <c r="K7" s="44"/>
      <c r="L7" s="46"/>
      <c r="M7" s="44"/>
      <c r="N7" s="33"/>
      <c r="O7" s="46"/>
      <c r="P7" s="35"/>
      <c r="Q7" s="6"/>
      <c r="R7" s="6"/>
    </row>
    <row r="8" spans="1:18" ht="21.95" customHeight="1" x14ac:dyDescent="0.2">
      <c r="A8" s="5"/>
      <c r="B8" s="78"/>
      <c r="C8" s="42">
        <f>IF(DAY(AprSun1)=1,AprSun1+8,AprSun1+15)</f>
        <v>43199</v>
      </c>
      <c r="D8" s="15">
        <f>IFERROR(IF(OR(VLOOKUP(C8,Parameters!$H$19:$I$49,2,FALSE)="",VLOOKUP(C8,Parameters!$H$19:$I$49,2,FALSE)="DayOff"),"",VLOOKUP(C8,Parameters!$H$19:$I$49,2,FALSE)),"")</f>
        <v>5</v>
      </c>
      <c r="E8" s="43">
        <f>IF(DAY(AprSun1)=1,AprSun1+9,AprSun1+16)</f>
        <v>43200</v>
      </c>
      <c r="F8" s="15">
        <f>IFERROR(IF(OR(VLOOKUP(E8,Parameters!$H$19:$I$49,2,FALSE)="",VLOOKUP(E8,Parameters!$H$19:$I$49,2,FALSE)="DayOff"),"",VLOOKUP(E8,Parameters!$H$19:$I$49,2,FALSE)),"")</f>
        <v>6</v>
      </c>
      <c r="G8" s="43">
        <f>IF(DAY(AprSun1)=1,AprSun1+10,AprSun1+17)</f>
        <v>43201</v>
      </c>
      <c r="H8" s="15">
        <f>IFERROR(IF(OR(VLOOKUP(G8,Parameters!$H$19:$I$49,2,FALSE)="",VLOOKUP(G8,Parameters!$H$19:$I$49,2,FALSE)="DayOff"),"",VLOOKUP(G8,Parameters!$H$19:$I$49,2,FALSE)),"")</f>
        <v>7</v>
      </c>
      <c r="I8" s="43">
        <f>IF(DAY(AprSun1)=1,AprSun1+11,AprSun1+18)</f>
        <v>43202</v>
      </c>
      <c r="J8" s="15">
        <f>IFERROR(IF(OR(VLOOKUP(I8,Parameters!$H$19:$I$49,2,FALSE)="",VLOOKUP(I8,Parameters!$H$19:$I$49,2,FALSE)="DayOff"),"",VLOOKUP(I8,Parameters!$H$19:$I$49,2,FALSE)),"")</f>
        <v>8</v>
      </c>
      <c r="K8" s="49">
        <f>IF(DAY(AprSun1)=1,AprSun1+12,AprSun1+19)</f>
        <v>43203</v>
      </c>
      <c r="L8" s="15">
        <f>IFERROR(IF(OR(VLOOKUP(K8,Parameters!$H$19:$I$49,2,FALSE)="",VLOOKUP(K8,Parameters!$H$19:$I$49,2,FALSE)="DayOff"),"",VLOOKUP(K8,Parameters!$H$19:$I$49,2,FALSE)),"")</f>
        <v>9</v>
      </c>
      <c r="M8" s="49">
        <f>IF(DAY(AprSun1)=1,AprSun1+13,AprSun1+20)</f>
        <v>43204</v>
      </c>
      <c r="N8" s="9"/>
      <c r="O8" s="49">
        <f>IF(DAY(AprSun1)=1,AprSun1+14,AprSun1+21)</f>
        <v>43205</v>
      </c>
      <c r="P8" s="25"/>
      <c r="Q8" s="6"/>
      <c r="R8" s="6"/>
    </row>
    <row r="9" spans="1:18" ht="21.95" customHeight="1" x14ac:dyDescent="0.2">
      <c r="A9" s="5"/>
      <c r="B9" s="78"/>
      <c r="C9" s="32"/>
      <c r="D9" s="46"/>
      <c r="E9" s="34"/>
      <c r="F9" s="46"/>
      <c r="G9" s="34"/>
      <c r="H9" s="46"/>
      <c r="I9" s="34"/>
      <c r="J9" s="46"/>
      <c r="K9" s="44"/>
      <c r="L9" s="46"/>
      <c r="M9" s="44"/>
      <c r="N9" s="33"/>
      <c r="O9" s="46"/>
      <c r="P9" s="35"/>
      <c r="Q9" s="6"/>
      <c r="R9" s="6"/>
    </row>
    <row r="10" spans="1:18" ht="21.95" customHeight="1" x14ac:dyDescent="0.2">
      <c r="A10" s="5"/>
      <c r="B10" s="78"/>
      <c r="C10" s="42">
        <f>IF(DAY(AprSun1)=1,AprSun1+15,AprSun1+22)</f>
        <v>43206</v>
      </c>
      <c r="D10" s="15">
        <f>IFERROR(IF(OR(VLOOKUP(C10,Parameters!$H$19:$I$49,2,FALSE)="",VLOOKUP(C10,Parameters!$H$19:$I$49,2,FALSE)="DayOff"),"",VLOOKUP(C10,Parameters!$H$19:$I$49,2,FALSE)),"")</f>
        <v>10</v>
      </c>
      <c r="E10" s="43">
        <f>IF(DAY(AprSun1)=1,AprSun1+16,AprSun1+23)</f>
        <v>43207</v>
      </c>
      <c r="F10" s="15">
        <f>IFERROR(IF(OR(VLOOKUP(E10,Parameters!$H$19:$I$49,2,FALSE)="",VLOOKUP(E10,Parameters!$H$19:$I$49,2,FALSE)="DayOff"),"",VLOOKUP(E10,Parameters!$H$19:$I$49,2,FALSE)),"")</f>
        <v>11</v>
      </c>
      <c r="G10" s="43">
        <f>IF(DAY(AprSun1)=1,AprSun1+17,AprSun1+24)</f>
        <v>43208</v>
      </c>
      <c r="H10" s="15">
        <f>IFERROR(IF(OR(VLOOKUP(G10,Parameters!$H$19:$I$49,2,FALSE)="",VLOOKUP(G10,Parameters!$H$19:$I$49,2,FALSE)="DayOff"),"",VLOOKUP(G10,Parameters!$H$19:$I$49,2,FALSE)),"")</f>
        <v>12</v>
      </c>
      <c r="I10" s="43">
        <f>IF(DAY(AprSun1)=1,AprSun1+18,AprSun1+25)</f>
        <v>43209</v>
      </c>
      <c r="J10" s="15" t="str">
        <f>IFERROR(IF(OR(VLOOKUP(I10,Parameters!$H$19:$I$49,2,FALSE)="",VLOOKUP(I10,Parameters!$H$19:$I$49,2,FALSE)="DayOff"),"",VLOOKUP(I10,Parameters!$H$19:$I$49,2,FALSE)),"")</f>
        <v/>
      </c>
      <c r="K10" s="49">
        <f>IF(DAY(AprSun1)=1,AprSun1+19,AprSun1+26)</f>
        <v>43210</v>
      </c>
      <c r="L10" s="15" t="str">
        <f>IFERROR(IF(OR(VLOOKUP(K10,Parameters!$H$19:$I$49,2,FALSE)="",VLOOKUP(K10,Parameters!$H$19:$I$49,2,FALSE)="DayOff"),"",VLOOKUP(K10,Parameters!$H$19:$I$49,2,FALSE)),"")</f>
        <v/>
      </c>
      <c r="M10" s="49">
        <f>IF(DAY(AprSun1)=1,AprSun1+20,AprSun1+27)</f>
        <v>43211</v>
      </c>
      <c r="N10" s="15"/>
      <c r="O10" s="49">
        <f>IF(DAY(AprSun1)=1,AprSun1+21,AprSun1+28)</f>
        <v>43212</v>
      </c>
      <c r="P10" s="25"/>
      <c r="Q10" s="6"/>
      <c r="R10" s="6"/>
    </row>
    <row r="11" spans="1:18" ht="21.95" customHeight="1" x14ac:dyDescent="0.2">
      <c r="A11" s="5"/>
      <c r="B11" s="78"/>
      <c r="C11" s="32"/>
      <c r="D11" s="46"/>
      <c r="E11" s="34"/>
      <c r="F11" s="46"/>
      <c r="G11" s="34"/>
      <c r="H11" s="46"/>
      <c r="I11" s="63" t="s">
        <v>26</v>
      </c>
      <c r="J11" s="33"/>
      <c r="K11" s="46"/>
      <c r="L11" s="33"/>
      <c r="M11" s="46"/>
      <c r="N11" s="33"/>
      <c r="O11" s="46"/>
      <c r="P11" s="35"/>
      <c r="Q11" s="6"/>
      <c r="R11" s="6"/>
    </row>
    <row r="12" spans="1:18" ht="21.95" customHeight="1" x14ac:dyDescent="0.2">
      <c r="A12" s="5"/>
      <c r="B12" s="78"/>
      <c r="C12" s="42">
        <f>IF(DAY(AprSun1)=1,AprSun1+22,AprSun1+29)</f>
        <v>43213</v>
      </c>
      <c r="D12" s="15" t="str">
        <f>IFERROR(IF(OR(VLOOKUP(C12,Parameters!$H$19:$I$49,2,FALSE)="",VLOOKUP(C12,Parameters!$H$19:$I$49,2,FALSE)="DayOff"),"",VLOOKUP(C12,Parameters!$H$19:$I$49,2,FALSE)),"")</f>
        <v/>
      </c>
      <c r="E12" s="60">
        <f>IF(DAY(AprSun1)=1,AprSun1+23,AprSun1+30)</f>
        <v>43214</v>
      </c>
      <c r="F12" s="15" t="str">
        <f>IFERROR(IF(OR(VLOOKUP(E12,Parameters!$H$19:$I$49,2,FALSE)="",VLOOKUP(E12,Parameters!$H$19:$I$49,2,FALSE)="DayOff"),"",VLOOKUP(E12,Parameters!$H$19:$I$49,2,FALSE)),"")</f>
        <v/>
      </c>
      <c r="G12" s="43">
        <f>IF(DAY(AprSun1)=1,AprSun1+24,AprSun1+31)</f>
        <v>43215</v>
      </c>
      <c r="H12" s="15" t="str">
        <f>IFERROR(IF(OR(VLOOKUP(G12,Parameters!$H$19:$I$49,2,FALSE)="",VLOOKUP(G12,Parameters!$H$19:$I$49,2,FALSE)="DayOff"),"",VLOOKUP(G12,Parameters!$H$19:$I$49,2,FALSE)),"")</f>
        <v/>
      </c>
      <c r="I12" s="40">
        <f>IF(DAY(AprSun1)=1,AprSun1+25,AprSun1+32)</f>
        <v>43216</v>
      </c>
      <c r="J12" s="15" t="str">
        <f>IFERROR(IF(OR(VLOOKUP(I12,Parameters!$H$19:$I$49,2,FALSE)="",VLOOKUP(I12,Parameters!$H$19:$I$49,2,FALSE)="DayOff"),"",VLOOKUP(I12,Parameters!$H$19:$I$49,2,FALSE)),"")</f>
        <v/>
      </c>
      <c r="K12" s="43">
        <f>IF(DAY(AprSun1)=1,AprSun1+26,AprSun1+33)</f>
        <v>43217</v>
      </c>
      <c r="L12" s="15" t="str">
        <f>IFERROR(IF(OR(VLOOKUP(K12,Parameters!$H$19:$I$49,2,FALSE)="",VLOOKUP(K12,Parameters!$H$19:$I$49,2,FALSE)="DayOff"),"",VLOOKUP(K12,Parameters!$H$19:$I$49,2,FALSE)),"")</f>
        <v/>
      </c>
      <c r="M12" s="49">
        <f>IF(DAY(AprSun1)=1,AprSun1+27,AprSun1+34)</f>
        <v>43218</v>
      </c>
      <c r="N12" s="9"/>
      <c r="O12" s="49">
        <f>IF(DAY(AprSun1)=1,AprSun1+28,AprSun1+35)</f>
        <v>43219</v>
      </c>
      <c r="P12" s="25"/>
      <c r="Q12" s="6"/>
      <c r="R12" s="6"/>
    </row>
    <row r="13" spans="1:18" ht="21.95" customHeight="1" x14ac:dyDescent="0.2">
      <c r="A13" s="5"/>
      <c r="B13" s="78"/>
      <c r="C13" s="32"/>
      <c r="D13" s="46"/>
      <c r="E13" s="34"/>
      <c r="F13" s="46"/>
      <c r="G13" s="34"/>
      <c r="H13" s="46"/>
      <c r="I13" s="34"/>
      <c r="J13" s="33"/>
      <c r="K13" s="34"/>
      <c r="L13" s="33"/>
      <c r="M13" s="46"/>
      <c r="N13" s="33"/>
      <c r="O13" s="46"/>
      <c r="P13" s="35"/>
      <c r="Q13" s="6"/>
      <c r="R13" s="6"/>
    </row>
    <row r="14" spans="1:18" ht="21.95" customHeight="1" x14ac:dyDescent="0.2">
      <c r="A14" s="5"/>
      <c r="B14" s="78"/>
      <c r="C14" s="42">
        <f>IF(DAY(AprSun1)=1,AprSun1+29,AprSun1+36)</f>
        <v>43220</v>
      </c>
      <c r="D14" s="15" t="str">
        <f>IFERROR(IF(OR(VLOOKUP(C14,Parameters!$H$19:$I$49,2,FALSE)="",VLOOKUP(C14,Parameters!$H$19:$I$49,2,FALSE)="DayOff"),"",VLOOKUP(C14,Parameters!$H$19:$I$49,2,FALSE)),"")</f>
        <v/>
      </c>
      <c r="E14" s="43">
        <f>IF(DAY(AprSun1)=1,AprSun1+30,AprSun1+37)</f>
        <v>43221</v>
      </c>
      <c r="F14" s="15" t="str">
        <f>IFERROR(IF(OR(VLOOKUP(E14,Parameters!$H$19:$I$49,2,FALSE)="",VLOOKUP(E14,Parameters!$H$19:$I$49,2,FALSE)="DayOff"),"",VLOOKUP(E14,Parameters!$H$19:$I$49,2,FALSE)),"")</f>
        <v/>
      </c>
      <c r="G14" s="40">
        <f>IF(DAY(AprSun1)=1,AprSun1+31,AprSun1+38)</f>
        <v>43222</v>
      </c>
      <c r="H14" s="15" t="str">
        <f>IFERROR(IF(OR(VLOOKUP(G14,Parameters!$H$19:$I$49,2,FALSE)="",VLOOKUP(G14,Parameters!$H$19:$I$49,2,FALSE)="DayOff"),"",VLOOKUP(G14,Parameters!$H$19:$I$49,2,FALSE)),"")</f>
        <v/>
      </c>
      <c r="I14" s="40">
        <f>IF(DAY(AprSun1)=1,AprSun1+32,AprSun1+39)</f>
        <v>43223</v>
      </c>
      <c r="J14" s="15" t="str">
        <f>IFERROR(IF(OR(VLOOKUP(I14,Parameters!$H$19:$I$49,2,FALSE)="",VLOOKUP(I14,Parameters!$H$19:$I$49,2,FALSE)="DayOff"),"",VLOOKUP(I14,Parameters!$H$19:$I$49,2,FALSE)),"")</f>
        <v/>
      </c>
      <c r="K14" s="40">
        <f>IF(DAY(AprSun1)=1,AprSun1+33,AprSun1+40)</f>
        <v>43224</v>
      </c>
      <c r="L14" s="15" t="str">
        <f>IFERROR(IF(OR(VLOOKUP(K14,Parameters!$H$19:$I$49,2,FALSE)="",VLOOKUP(K14,Parameters!$H$19:$I$49,2,FALSE)="DayOff"),"",VLOOKUP(K14,Parameters!$H$19:$I$49,2,FALSE)),"")</f>
        <v/>
      </c>
      <c r="M14" s="43">
        <f>IF(DAY(AprSun1)=1,AprSun1+34,AprSun1+41)</f>
        <v>43225</v>
      </c>
      <c r="N14" s="9"/>
      <c r="O14" s="49">
        <f>IF(DAY(AprSun1)=1,AprSun1+35,AprSun1+42)</f>
        <v>43226</v>
      </c>
      <c r="P14" s="25"/>
      <c r="Q14" s="6"/>
      <c r="R14" s="6"/>
    </row>
    <row r="15" spans="1:18" ht="18" customHeight="1" thickBot="1" x14ac:dyDescent="0.25">
      <c r="A15" s="5"/>
      <c r="B15" s="78"/>
      <c r="C15" s="36"/>
      <c r="D15" s="47"/>
      <c r="E15" s="38"/>
      <c r="F15" s="47"/>
      <c r="G15" s="38"/>
      <c r="H15" s="47"/>
      <c r="I15" s="38"/>
      <c r="J15" s="37"/>
      <c r="K15" s="38"/>
      <c r="L15" s="37"/>
      <c r="M15" s="38"/>
      <c r="N15" s="37"/>
      <c r="O15" s="47"/>
      <c r="P15" s="39"/>
      <c r="Q15" s="6"/>
      <c r="R15" s="6"/>
    </row>
    <row r="16" spans="1:18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  <c r="R16" s="6"/>
    </row>
  </sheetData>
  <sheetProtection selectLockedCells="1"/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5:N5 C4 E4 G4 I4 K4 M4:N4">
    <cfRule type="expression" dxfId="71" priority="3" stopIfTrue="1">
      <formula>DAY(C4)&gt;8</formula>
    </cfRule>
  </conditionalFormatting>
  <conditionalFormatting sqref="C13:O13 C12 G12 I12 K12 M12:O12 C15:O15 C14 M14:O14 K14 I14 G14 E14 E12">
    <cfRule type="expression" dxfId="70" priority="2" stopIfTrue="1">
      <formula>AND(DAY(C12)&gt;=1,DAY(C12)&lt;=15)</formula>
    </cfRule>
  </conditionalFormatting>
  <conditionalFormatting sqref="C4 E4 G4 I4 K4 M4:O4 C6 M6:O6 K6 I6 G6 C8 G8 I8 K8 M8:O8 C11:H11 C10 M10 K10 I10 G10 C13:O13 C12 G12 I12 K12 M12:O12 C14 M14:O14 K14 I14 G14 E14 E12 E10 E8 E6 C5:O5 C7:O7 C9:O9 J11:O11 O10">
    <cfRule type="expression" dxfId="69" priority="4">
      <formula>VLOOKUP(DAY(C4),AssignmentDays,1,FALSE)=DAY(C4)</formula>
    </cfRule>
  </conditionalFormatting>
  <conditionalFormatting sqref="I11">
    <cfRule type="expression" dxfId="68" priority="1">
      <formula>VLOOKUP(DAY(I11),AssignmentDays,1,FALSE)=DAY(I11)</formula>
    </cfRule>
  </conditionalFormatting>
  <printOptions horizontalCentered="1"/>
  <pageMargins left="0.5" right="0.5" top="0.5" bottom="0.5" header="0.3" footer="0.3"/>
  <pageSetup paperSize="9" scale="7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P16"/>
  <sheetViews>
    <sheetView showGridLines="0" topLeftCell="F6" zoomScale="90" zoomScaleNormal="90" zoomScalePageLayoutView="84" workbookViewId="0">
      <selection activeCell="J10" sqref="J10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23" width="8.85546875" customWidth="1"/>
    <col min="43" max="16384" width="8.7109375" style="1"/>
  </cols>
  <sheetData>
    <row r="1" spans="1:17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</row>
    <row r="2" spans="1:17" ht="18" customHeight="1" thickBot="1" x14ac:dyDescent="0.25">
      <c r="A2" s="5"/>
      <c r="B2" s="78" t="str">
        <f>" MAY "&amp;Parameters!B14</f>
        <v xml:space="preserve"> MAY 2018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</row>
    <row r="3" spans="1:17" ht="21.95" customHeight="1" thickBot="1" x14ac:dyDescent="0.25">
      <c r="A3" s="5"/>
      <c r="B3" s="78"/>
      <c r="C3" s="79" t="s">
        <v>1</v>
      </c>
      <c r="D3" s="73"/>
      <c r="E3" s="72" t="s">
        <v>2</v>
      </c>
      <c r="F3" s="73"/>
      <c r="G3" s="72" t="s">
        <v>3</v>
      </c>
      <c r="H3" s="73"/>
      <c r="I3" s="72" t="s">
        <v>4</v>
      </c>
      <c r="J3" s="73"/>
      <c r="K3" s="72" t="s">
        <v>5</v>
      </c>
      <c r="L3" s="73"/>
      <c r="M3" s="72" t="s">
        <v>6</v>
      </c>
      <c r="N3" s="73"/>
      <c r="O3" s="72" t="s">
        <v>7</v>
      </c>
      <c r="P3" s="74"/>
      <c r="Q3" s="6"/>
    </row>
    <row r="4" spans="1:17" ht="21.95" customHeight="1" x14ac:dyDescent="0.2">
      <c r="A4" s="5"/>
      <c r="B4" s="78"/>
      <c r="C4" s="41">
        <f>IF(DAY(MaySun1)=1,MaySun1-6,MaySun1+1)</f>
        <v>43220</v>
      </c>
      <c r="D4" s="15" t="str">
        <f>IFERROR(IF(OR(VLOOKUP(C4,Parameters!$J$19:$K$49,2,FALSE)="",VLOOKUP(C4,Parameters!$J$19:$K$49,2,FALSE)="DayOff"),"",VLOOKUP(C4,Parameters!$J$19:$K$49,2,FALSE)),"")</f>
        <v/>
      </c>
      <c r="E4" s="40">
        <f>IF(DAY(MaySun1)=1,MaySun1-5,MaySun1+2)</f>
        <v>43221</v>
      </c>
      <c r="F4" s="15" t="str">
        <f>IFERROR(IF(OR(VLOOKUP(E4,Parameters!$J$19:$K$49,2,FALSE)="",VLOOKUP(E4,Parameters!$J$19:$K$49,2,FALSE)="DayOff"),"",VLOOKUP(E4,Parameters!$J$19:$K$49,2,FALSE)),"")</f>
        <v/>
      </c>
      <c r="G4" s="40">
        <f>IF(DAY(MaySun1)=1,MaySun1-4,MaySun1+3)</f>
        <v>43222</v>
      </c>
      <c r="H4" s="15">
        <f>IFERROR(IF(OR(VLOOKUP(G4,Parameters!$J$19:$K$49,2,FALSE)="",VLOOKUP(G4,Parameters!$J$19:$K$49,2,FALSE)="DayOff"),"",VLOOKUP(G4,Parameters!$J$19:$K$49,2,FALSE)),"")</f>
        <v>1</v>
      </c>
      <c r="I4" s="40">
        <f>IF(DAY(MaySun1)=1,MaySun1-3,MaySun1+4)</f>
        <v>43223</v>
      </c>
      <c r="J4" s="15">
        <f>IFERROR(IF(OR(VLOOKUP(I4,Parameters!$J$19:$K$49,2,FALSE)="",VLOOKUP(I4,Parameters!$J$19:$K$49,2,FALSE)="DayOff"),"",VLOOKUP(I4,Parameters!$J$19:$K$49,2,FALSE)),"")</f>
        <v>2</v>
      </c>
      <c r="K4" s="40">
        <f>IF(DAY(MaySun1)=1,MaySun1-2,MaySun1+5)</f>
        <v>43224</v>
      </c>
      <c r="L4" s="15">
        <f>IFERROR(IF(OR(VLOOKUP(K4,Parameters!$J$19:$K$49,2,FALSE)="",VLOOKUP(K4,Parameters!$J$19:$K$49,2,FALSE)="DayOff"),"",VLOOKUP(K4,Parameters!$J$19:$K$49,2,FALSE)),"")</f>
        <v>3</v>
      </c>
      <c r="M4" s="40">
        <f>IF(DAY(MaySun1)=1,MaySun1-1,MaySun1+6)</f>
        <v>43225</v>
      </c>
      <c r="N4" s="13"/>
      <c r="O4" s="48">
        <f>IF(DAY(MaySun1)=1,MaySun1,MaySun1+7)</f>
        <v>43226</v>
      </c>
      <c r="P4" s="22"/>
      <c r="Q4" s="6"/>
    </row>
    <row r="5" spans="1:17" ht="21.95" customHeight="1" x14ac:dyDescent="0.2">
      <c r="A5" s="5"/>
      <c r="B5" s="78"/>
      <c r="C5" s="21"/>
      <c r="D5" s="2"/>
      <c r="E5" s="14"/>
      <c r="F5" s="2"/>
      <c r="G5" s="14"/>
      <c r="H5" s="2"/>
      <c r="I5" s="14"/>
      <c r="J5" s="13"/>
      <c r="K5" s="14"/>
      <c r="L5" s="13"/>
      <c r="M5" s="10"/>
      <c r="N5" s="11"/>
      <c r="O5" s="18"/>
      <c r="P5" s="24"/>
      <c r="Q5" s="6"/>
    </row>
    <row r="6" spans="1:17" ht="21.95" customHeight="1" x14ac:dyDescent="0.2">
      <c r="A6" s="5"/>
      <c r="B6" s="78"/>
      <c r="C6" s="42">
        <f>IF(DAY(MaySun1)=1,MaySun1+1,MaySun1+8)</f>
        <v>43227</v>
      </c>
      <c r="D6" s="15">
        <f>IFERROR(IF(OR(VLOOKUP(C6,Parameters!$J$19:$K$49,2,FALSE)="",VLOOKUP(C6,Parameters!$J$19:$K$49,2,FALSE)="DayOff"),"",VLOOKUP(C6,Parameters!$J$19:$K$49,2,FALSE)),"")</f>
        <v>4</v>
      </c>
      <c r="E6" s="43">
        <f>IF(DAY(MaySun1)=1,MaySun1+2,MaySun1+9)</f>
        <v>43228</v>
      </c>
      <c r="F6" s="15" t="str">
        <f>IFERROR(IF(OR(VLOOKUP(E6,Parameters!$J$19:$K$49,2,FALSE)="",VLOOKUP(E6,Parameters!$J$19:$K$49,2,FALSE)="DayOff"),"",VLOOKUP(E6,Parameters!$J$19:$K$49,2,FALSE)),"")</f>
        <v/>
      </c>
      <c r="G6" s="43">
        <f>IF(DAY(MaySun1)=1,MaySun1+3,MaySun1+10)</f>
        <v>43229</v>
      </c>
      <c r="H6" s="15">
        <f>IFERROR(IF(OR(VLOOKUP(G6,Parameters!$J$19:$K$49,2,FALSE)="",VLOOKUP(G6,Parameters!$J$19:$K$49,2,FALSE)="DayOff"),"",VLOOKUP(G6,Parameters!$J$19:$K$49,2,FALSE)),"")</f>
        <v>5</v>
      </c>
      <c r="I6" s="43">
        <f>IF(DAY(MaySun1)=1,MaySun1+4,MaySun1+11)</f>
        <v>43230</v>
      </c>
      <c r="J6" s="15" t="str">
        <f>IFERROR(IF(OR(VLOOKUP(I6,Parameters!$J$19:$K$49,2,FALSE)="",VLOOKUP(I6,Parameters!$J$19:$K$49,2,FALSE)="DayOff"),"",VLOOKUP(I6,Parameters!$J$19:$K$49,2,FALSE)),"")</f>
        <v/>
      </c>
      <c r="K6" s="43">
        <f>IF(DAY(MaySun1)=1,MaySun1+5,MaySun1+12)</f>
        <v>43231</v>
      </c>
      <c r="L6" s="15">
        <f>IFERROR(IF(OR(VLOOKUP(K6,Parameters!$J$19:$K$49,2,FALSE)="",VLOOKUP(K6,Parameters!$J$19:$K$49,2,FALSE)="DayOff"),"",VLOOKUP(K6,Parameters!$J$19:$K$49,2,FALSE)),"")</f>
        <v>6</v>
      </c>
      <c r="M6" s="49">
        <f>IF(DAY(MaySun1)=1,MaySun1+6,MaySun1+13)</f>
        <v>43232</v>
      </c>
      <c r="N6" s="9"/>
      <c r="O6" s="49">
        <f>IF(DAY(MaySun1)=1,MaySun1+7,MaySun1+14)</f>
        <v>43233</v>
      </c>
      <c r="P6" s="25"/>
      <c r="Q6" s="6"/>
    </row>
    <row r="7" spans="1:17" ht="21.95" customHeight="1" x14ac:dyDescent="0.2">
      <c r="A7" s="5"/>
      <c r="B7" s="78"/>
      <c r="C7" s="21"/>
      <c r="D7" s="2"/>
      <c r="E7" s="14"/>
      <c r="F7" s="2"/>
      <c r="G7" s="14"/>
      <c r="H7" s="2"/>
      <c r="I7" s="14"/>
      <c r="J7" s="13"/>
      <c r="K7" s="10"/>
      <c r="L7" s="11"/>
      <c r="M7" s="18"/>
      <c r="N7" s="11"/>
      <c r="O7" s="18"/>
      <c r="P7" s="24"/>
      <c r="Q7" s="6"/>
    </row>
    <row r="8" spans="1:17" ht="21.95" customHeight="1" x14ac:dyDescent="0.2">
      <c r="A8" s="5"/>
      <c r="B8" s="78"/>
      <c r="C8" s="42">
        <f>IF(DAY(MaySun1)=1,MaySun1+8,MaySun1+15)</f>
        <v>43234</v>
      </c>
      <c r="D8" s="15">
        <f>IFERROR(IF(OR(VLOOKUP(C8,Parameters!$J$19:$K$49,2,FALSE)="",VLOOKUP(C8,Parameters!$J$19:$K$49,2,FALSE)="DayOff"),"",VLOOKUP(C8,Parameters!$J$19:$K$49,2,FALSE)),"")</f>
        <v>7</v>
      </c>
      <c r="E8" s="43">
        <f>IF(DAY(MaySun1)=1,MaySun1+9,MaySun1+16)</f>
        <v>43235</v>
      </c>
      <c r="F8" s="15">
        <f>IFERROR(IF(OR(VLOOKUP(E8,Parameters!$J$19:$K$49,2,FALSE)="",VLOOKUP(E8,Parameters!$J$19:$K$49,2,FALSE)="DayOff"),"",VLOOKUP(E8,Parameters!$J$19:$K$49,2,FALSE)),"")</f>
        <v>8</v>
      </c>
      <c r="G8" s="43">
        <f>IF(DAY(MaySun1)=1,MaySun1+10,MaySun1+17)</f>
        <v>43236</v>
      </c>
      <c r="H8" s="15">
        <f>IFERROR(IF(OR(VLOOKUP(G8,Parameters!$J$19:$K$49,2,FALSE)="",VLOOKUP(G8,Parameters!$J$19:$K$49,2,FALSE)="DayOff"),"",VLOOKUP(G8,Parameters!$J$19:$K$49,2,FALSE)),"")</f>
        <v>9</v>
      </c>
      <c r="I8" s="43">
        <f>IF(DAY(MaySun1)=1,MaySun1+11,MaySun1+18)</f>
        <v>43237</v>
      </c>
      <c r="J8" s="15">
        <f>IFERROR(IF(OR(VLOOKUP(I8,Parameters!$J$19:$K$49,2,FALSE)="",VLOOKUP(I8,Parameters!$J$19:$K$49,2,FALSE)="DayOff"),"",VLOOKUP(I8,Parameters!$J$19:$K$49,2,FALSE)),"")</f>
        <v>10</v>
      </c>
      <c r="K8" s="49">
        <f>IF(DAY(MaySun1)=1,MaySun1+12,MaySun1+19)</f>
        <v>43238</v>
      </c>
      <c r="L8" s="15">
        <f>IFERROR(IF(OR(VLOOKUP(K8,Parameters!$J$19:$K$49,2,FALSE)="",VLOOKUP(K8,Parameters!$J$19:$K$49,2,FALSE)="DayOff"),"",VLOOKUP(K8,Parameters!$J$19:$K$49,2,FALSE)),"")</f>
        <v>11</v>
      </c>
      <c r="M8" s="49">
        <f>IF(DAY(MaySun1)=1,MaySun1+13,MaySun1+20)</f>
        <v>43239</v>
      </c>
      <c r="N8" s="9"/>
      <c r="O8" s="49">
        <f>IF(DAY(MaySun1)=1,MaySun1+14,MaySun1+21)</f>
        <v>43240</v>
      </c>
      <c r="P8" s="25"/>
      <c r="Q8" s="6"/>
    </row>
    <row r="9" spans="1:17" ht="21.95" customHeight="1" x14ac:dyDescent="0.2">
      <c r="A9" s="5"/>
      <c r="B9" s="78"/>
      <c r="C9" s="23"/>
      <c r="D9" s="18"/>
      <c r="E9" s="10"/>
      <c r="F9" s="18"/>
      <c r="G9" s="10"/>
      <c r="H9" s="18"/>
      <c r="I9" s="10"/>
      <c r="J9" s="11"/>
      <c r="K9" s="18"/>
      <c r="L9" s="11"/>
      <c r="M9" s="18"/>
      <c r="N9" s="11"/>
      <c r="O9" s="18"/>
      <c r="P9" s="24"/>
      <c r="Q9" s="6"/>
    </row>
    <row r="10" spans="1:17" ht="21.95" customHeight="1" x14ac:dyDescent="0.2">
      <c r="A10" s="5"/>
      <c r="B10" s="78"/>
      <c r="C10" s="42">
        <f>IF(DAY(MaySun1)=1,MaySun1+15,MaySun1+22)</f>
        <v>43241</v>
      </c>
      <c r="D10" s="15" t="str">
        <f>IFERROR(IF(OR(VLOOKUP(C10,Parameters!$J$19:$K$49,2,FALSE)="",VLOOKUP(C10,Parameters!$J$19:$K$49,2,FALSE)="DayOff"),"",VLOOKUP(C10,Parameters!$J$19:$K$49,2,FALSE)),"")</f>
        <v/>
      </c>
      <c r="E10" s="43">
        <f>IF(DAY(MaySun1)=1,MaySun1+16,MaySun1+23)</f>
        <v>43242</v>
      </c>
      <c r="F10" s="15">
        <f>IFERROR(IF(OR(VLOOKUP(E10,Parameters!$J$19:$K$49,2,FALSE)="",VLOOKUP(E10,Parameters!$J$19:$K$49,2,FALSE)="DayOff"),"",VLOOKUP(E10,Parameters!$J$19:$K$49,2,FALSE)),"")</f>
        <v>12</v>
      </c>
      <c r="G10" s="43">
        <f>IF(DAY(MaySun1)=1,MaySun1+17,MaySun1+24)</f>
        <v>43243</v>
      </c>
      <c r="H10" s="15" t="str">
        <f>IFERROR(IF(OR(VLOOKUP(G10,Parameters!$J$19:$K$49,2,FALSE)="",VLOOKUP(G10,Parameters!$J$19:$K$49,2,FALSE)="DayOff"),"",VLOOKUP(G10,Parameters!$J$19:$K$49,2,FALSE)),"")</f>
        <v/>
      </c>
      <c r="I10" s="43">
        <f>IF(DAY(MaySun1)=1,MaySun1+18,MaySun1+25)</f>
        <v>43244</v>
      </c>
      <c r="J10" s="15" t="str">
        <f>IFERROR(IF(OR(VLOOKUP(I10,Parameters!$J$19:$K$49,2,FALSE)="",VLOOKUP(I10,Parameters!$J$19:$K$49,2,FALSE)="DayOff"),"",VLOOKUP(I10,Parameters!$J$19:$K$49,2,FALSE)),"")</f>
        <v/>
      </c>
      <c r="K10" s="49">
        <f>IF(DAY(MaySun1)=1,MaySun1+19,MaySun1+26)</f>
        <v>43245</v>
      </c>
      <c r="L10" s="15" t="str">
        <f>IFERROR(IF(OR(VLOOKUP(K10,Parameters!$J$19:$K$49,2,FALSE)="",VLOOKUP(K10,Parameters!$J$19:$K$49,2,FALSE)="DayOff"),"",VLOOKUP(K10,Parameters!$J$19:$K$49,2,FALSE)),"")</f>
        <v/>
      </c>
      <c r="M10" s="49">
        <f>IF(DAY(MaySun1)=1,MaySun1+20,MaySun1+27)</f>
        <v>43246</v>
      </c>
      <c r="N10" s="9"/>
      <c r="O10" s="49">
        <f>IF(DAY(MaySun1)=1,MaySun1+21,MaySun1+28)</f>
        <v>43247</v>
      </c>
      <c r="P10" s="25"/>
      <c r="Q10" s="6"/>
    </row>
    <row r="11" spans="1:17" ht="21.95" customHeight="1" x14ac:dyDescent="0.2">
      <c r="A11" s="5"/>
      <c r="B11" s="78"/>
      <c r="C11" s="23"/>
      <c r="D11" s="18"/>
      <c r="E11" s="10"/>
      <c r="F11" s="18"/>
      <c r="G11" s="63" t="s">
        <v>26</v>
      </c>
      <c r="H11" s="18"/>
      <c r="I11" s="10"/>
      <c r="J11" s="11"/>
      <c r="K11" s="18"/>
      <c r="L11" s="11"/>
      <c r="M11" s="18"/>
      <c r="N11" s="11"/>
      <c r="O11" s="18"/>
      <c r="P11" s="24"/>
      <c r="Q11" s="6"/>
    </row>
    <row r="12" spans="1:17" ht="21.95" customHeight="1" x14ac:dyDescent="0.2">
      <c r="A12" s="5"/>
      <c r="B12" s="78"/>
      <c r="C12" s="42">
        <f>IF(DAY(MaySun1)=1,MaySun1+22,MaySun1+29)</f>
        <v>43248</v>
      </c>
      <c r="D12" s="15" t="str">
        <f>IFERROR(IF(OR(VLOOKUP(C12,Parameters!$J$19:$K$49,2,FALSE)="",VLOOKUP(C12,Parameters!$J$19:$K$49,2,FALSE)="DayOff"),"",VLOOKUP(C12,Parameters!$J$19:$K$49,2,FALSE)),"")</f>
        <v/>
      </c>
      <c r="E12" s="43">
        <f>IF(DAY(MaySun1)=1,MaySun1+23,MaySun1+30)</f>
        <v>43249</v>
      </c>
      <c r="F12" s="15" t="str">
        <f>IFERROR(IF(OR(VLOOKUP(E12,Parameters!$J$19:$K$49,2,FALSE)="",VLOOKUP(E12,Parameters!$J$19:$K$49,2,FALSE)="DayOff"),"",VLOOKUP(E12,Parameters!$J$19:$K$49,2,FALSE)),"")</f>
        <v/>
      </c>
      <c r="G12" s="43">
        <f>IF(DAY(MaySun1)=1,MaySun1+24,MaySun1+31)</f>
        <v>43250</v>
      </c>
      <c r="H12" s="15" t="str">
        <f>IFERROR(IF(OR(VLOOKUP(G12,Parameters!$J$19:$K$49,2,FALSE)="",VLOOKUP(G12,Parameters!$J$19:$K$49,2,FALSE)="DayOff"),"",VLOOKUP(G12,Parameters!$J$19:$K$49,2,FALSE)),"")</f>
        <v/>
      </c>
      <c r="I12" s="40">
        <f>IF(DAY(MaySun1)=1,MaySun1+25,MaySun1+32)</f>
        <v>43251</v>
      </c>
      <c r="J12" s="15" t="str">
        <f>IFERROR(IF(OR(VLOOKUP(I12,Parameters!$J$19:$K$49,2,FALSE)="",VLOOKUP(I12,Parameters!$J$19:$K$49,2,FALSE)="DayOff"),"",VLOOKUP(I12,Parameters!$J$19:$K$49,2,FALSE)),"")</f>
        <v/>
      </c>
      <c r="K12" s="43">
        <f>IF(DAY(MaySun1)=1,MaySun1+26,MaySun1+33)</f>
        <v>43252</v>
      </c>
      <c r="L12" s="15" t="str">
        <f>IFERROR(IF(OR(VLOOKUP(K12,Parameters!$J$19:$K$49,2,FALSE)="",VLOOKUP(K12,Parameters!$J$19:$K$49,2,FALSE)="DayOff"),"",VLOOKUP(K12,Parameters!$J$19:$K$49,2,FALSE)),"")</f>
        <v/>
      </c>
      <c r="M12" s="49">
        <f>IF(DAY(MaySun1)=1,MaySun1+27,MaySun1+34)</f>
        <v>43253</v>
      </c>
      <c r="N12" s="9"/>
      <c r="O12" s="49">
        <f>IF(DAY(MaySun1)=1,MaySun1+28,MaySun1+35)</f>
        <v>43254</v>
      </c>
      <c r="P12" s="25"/>
      <c r="Q12" s="6"/>
    </row>
    <row r="13" spans="1:17" ht="21.95" customHeight="1" x14ac:dyDescent="0.2">
      <c r="A13" s="5"/>
      <c r="B13" s="78"/>
      <c r="C13" s="23"/>
      <c r="D13" s="18"/>
      <c r="E13" s="10"/>
      <c r="F13" s="18"/>
      <c r="G13" s="10"/>
      <c r="H13" s="18"/>
      <c r="I13" s="10"/>
      <c r="J13" s="11"/>
      <c r="K13" s="10"/>
      <c r="L13" s="11"/>
      <c r="M13" s="18"/>
      <c r="N13" s="11"/>
      <c r="O13" s="18"/>
      <c r="P13" s="24"/>
      <c r="Q13" s="6"/>
    </row>
    <row r="14" spans="1:17" ht="21.95" customHeight="1" x14ac:dyDescent="0.2">
      <c r="A14" s="5"/>
      <c r="B14" s="78"/>
      <c r="C14" s="42">
        <f>IF(DAY(MaySun1)=1,MaySun1+29,MaySun1+36)</f>
        <v>43255</v>
      </c>
      <c r="D14" s="15" t="str">
        <f>IFERROR(IF(OR(VLOOKUP(C14,Parameters!$J$19:$K$49,2,FALSE)="",VLOOKUP(C14,Parameters!$J$19:$K$49,2,FALSE)="DayOff"),"",VLOOKUP(C14,Parameters!$J$19:$K$49,2,FALSE)),"")</f>
        <v/>
      </c>
      <c r="E14" s="43">
        <f>IF(DAY(MaySun1)=1,MaySun1+30,MaySun1+37)</f>
        <v>43256</v>
      </c>
      <c r="F14" s="15" t="str">
        <f>IFERROR(IF(OR(VLOOKUP(E14,Parameters!$J$19:$K$49,2,FALSE)="",VLOOKUP(E14,Parameters!$J$19:$K$49,2,FALSE)="DayOff"),"",VLOOKUP(E14,Parameters!$J$19:$K$49,2,FALSE)),"")</f>
        <v/>
      </c>
      <c r="G14" s="40">
        <f>IF(DAY(MaySun1)=1,MaySun1+31,MaySun1+38)</f>
        <v>43257</v>
      </c>
      <c r="H14" s="15" t="str">
        <f>IFERROR(IF(OR(VLOOKUP(G14,Parameters!$J$19:$K$49,2,FALSE)="",VLOOKUP(G14,Parameters!$J$19:$K$49,2,FALSE)="DayOff"),"",VLOOKUP(G14,Parameters!$J$19:$K$49,2,FALSE)),"")</f>
        <v/>
      </c>
      <c r="I14" s="40">
        <f>IF(DAY(MaySun1)=1,MaySun1+32,MaySun1+39)</f>
        <v>43258</v>
      </c>
      <c r="J14" s="15" t="str">
        <f>IFERROR(IF(OR(VLOOKUP(I14,Parameters!$J$19:$K$49,2,FALSE)="",VLOOKUP(I14,Parameters!$J$19:$K$49,2,FALSE)="DayOff"),"",VLOOKUP(I14,Parameters!$J$19:$K$49,2,FALSE)),"")</f>
        <v/>
      </c>
      <c r="K14" s="40">
        <f>IF(DAY(MaySun1)=1,MaySun1+33,MaySun1+40)</f>
        <v>43259</v>
      </c>
      <c r="L14" s="15" t="str">
        <f>IFERROR(IF(OR(VLOOKUP(K14,Parameters!$J$19:$K$49,2,FALSE)="",VLOOKUP(K14,Parameters!$J$19:$K$49,2,FALSE)="DayOff"),"",VLOOKUP(K14,Parameters!$J$19:$K$49,2,FALSE)),"")</f>
        <v/>
      </c>
      <c r="M14" s="43">
        <f>IF(DAY(MaySun1)=1,MaySun1+34,MaySun1+41)</f>
        <v>43260</v>
      </c>
      <c r="N14" s="9"/>
      <c r="O14" s="49">
        <f>IF(DAY(MaySun1)=1,MaySun1+35,MaySun1+42)</f>
        <v>43261</v>
      </c>
      <c r="P14" s="25"/>
      <c r="Q14" s="6"/>
    </row>
    <row r="15" spans="1:17" ht="21.95" customHeight="1" thickBot="1" x14ac:dyDescent="0.25">
      <c r="A15" s="5"/>
      <c r="B15" s="78"/>
      <c r="C15" s="26"/>
      <c r="D15" s="30"/>
      <c r="E15" s="28"/>
      <c r="F15" s="30"/>
      <c r="G15" s="28"/>
      <c r="H15" s="30"/>
      <c r="I15" s="28"/>
      <c r="J15" s="27"/>
      <c r="K15" s="28"/>
      <c r="L15" s="27"/>
      <c r="M15" s="28"/>
      <c r="N15" s="27"/>
      <c r="O15" s="30"/>
      <c r="P15" s="29"/>
      <c r="Q15" s="6"/>
    </row>
    <row r="16" spans="1:17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</row>
  </sheetData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5:N5 C4 E4 G4 I4 K4 M4:N4">
    <cfRule type="expression" dxfId="67" priority="4" stopIfTrue="1">
      <formula>DAY(C4)&gt;8</formula>
    </cfRule>
  </conditionalFormatting>
  <conditionalFormatting sqref="C13:O13 C12 G12 I12 K12 M12:O12 C15:O15 C14 M14:O14 K14 I14 G14 E12 E14">
    <cfRule type="expression" dxfId="66" priority="3" stopIfTrue="1">
      <formula>AND(DAY(C12)&gt;=1,DAY(C12)&lt;=15)</formula>
    </cfRule>
  </conditionalFormatting>
  <conditionalFormatting sqref="C5:O5 C4 E4 G4 I4 K4 M4:O4 C7:O7 C6 M6:O6 K6 I6 G6 C9:O9 C8 G8 I8 K8 M8:O8 C11:F11 C10 M10:O10 K10 I10 G10 C13:O13 C12 G12 I12 K12 M12:O12 C14 M14:O14 K14 I14 G14 E6 E8 E10 E12 E14 H11:O11">
    <cfRule type="expression" dxfId="65" priority="5">
      <formula>VLOOKUP(DAY(C4),AssignmentDays,1,FALSE)=DAY(C4)</formula>
    </cfRule>
  </conditionalFormatting>
  <conditionalFormatting sqref="G11">
    <cfRule type="expression" dxfId="64" priority="1">
      <formula>VLOOKUP(DAY(G11),AssignmentDays,1,FALSE)=DAY(G11)</formula>
    </cfRule>
  </conditionalFormatting>
  <printOptions horizontalCentered="1"/>
  <pageMargins left="0.5" right="0.5" top="0.5" bottom="0.5" header="0.3" footer="0.3"/>
  <pageSetup scale="6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O17"/>
  <sheetViews>
    <sheetView showGridLines="0" topLeftCell="I11" zoomScale="90" zoomScaleNormal="90" zoomScalePageLayoutView="84" workbookViewId="0">
      <selection activeCell="L14" sqref="L14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22" width="8.85546875" customWidth="1"/>
    <col min="42" max="16384" width="8.7109375" style="1"/>
  </cols>
  <sheetData>
    <row r="1" spans="1:17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</row>
    <row r="2" spans="1:17" ht="18" customHeight="1" thickBot="1" x14ac:dyDescent="0.25">
      <c r="A2" s="5"/>
      <c r="B2" s="78" t="str">
        <f>" JUNE "&amp;Parameters!B14</f>
        <v xml:space="preserve"> JUNE 2018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</row>
    <row r="3" spans="1:17" ht="21.95" customHeight="1" thickBot="1" x14ac:dyDescent="0.25">
      <c r="A3" s="5"/>
      <c r="B3" s="78"/>
      <c r="C3" s="79" t="s">
        <v>1</v>
      </c>
      <c r="D3" s="73"/>
      <c r="E3" s="72" t="s">
        <v>2</v>
      </c>
      <c r="F3" s="73"/>
      <c r="G3" s="72" t="s">
        <v>3</v>
      </c>
      <c r="H3" s="73"/>
      <c r="I3" s="72" t="s">
        <v>4</v>
      </c>
      <c r="J3" s="73"/>
      <c r="K3" s="72" t="s">
        <v>5</v>
      </c>
      <c r="L3" s="73"/>
      <c r="M3" s="72" t="s">
        <v>6</v>
      </c>
      <c r="N3" s="73"/>
      <c r="O3" s="72" t="s">
        <v>7</v>
      </c>
      <c r="P3" s="74"/>
      <c r="Q3" s="6"/>
    </row>
    <row r="4" spans="1:17" ht="21.95" customHeight="1" x14ac:dyDescent="0.2">
      <c r="A4" s="5"/>
      <c r="B4" s="78"/>
      <c r="C4" s="41">
        <f>IF(DAY(JunSun1)=1,JunSun1-6,JunSun1+1)</f>
        <v>43248</v>
      </c>
      <c r="D4" s="15" t="str">
        <f>IFERROR(IF(OR(VLOOKUP(C4,Parameters!$L$19:$M$49,2,FALSE)="",VLOOKUP(C4,Parameters!$L$19:$M$49,2,FALSE)="DayOff"),"",VLOOKUP(C4,Parameters!$L$19:$M$49,2,FALSE)),"")</f>
        <v/>
      </c>
      <c r="E4" s="40">
        <f>IF(DAY(JunSun1)=1,JunSun1-5,JunSun1+2)</f>
        <v>43249</v>
      </c>
      <c r="F4" s="15" t="str">
        <f>IFERROR(IF(OR(VLOOKUP(E4,Parameters!$L$19:$M$49,2,FALSE)="",VLOOKUP(E4,Parameters!$L$19:$M$49,2,FALSE)="DayOff"),"",VLOOKUP(E4,Parameters!$L$19:$M$49,2,FALSE)),"")</f>
        <v/>
      </c>
      <c r="G4" s="40">
        <f>IF(DAY(JunSun1)=1,JunSun1-4,JunSun1+3)</f>
        <v>43250</v>
      </c>
      <c r="H4" s="15" t="str">
        <f>IFERROR(IF(OR(VLOOKUP(G4,Parameters!$L$19:$M$49,2,FALSE)="",VLOOKUP(G4,Parameters!$L$19:$M$49,2,FALSE)="DayOff"),"",VLOOKUP(G4,Parameters!$L$19:$M$49,2,FALSE)),"")</f>
        <v/>
      </c>
      <c r="I4" s="40">
        <f>IF(DAY(JunSun1)=1,JunSun1-3,JunSun1+4)</f>
        <v>43251</v>
      </c>
      <c r="J4" s="15" t="str">
        <f>IFERROR(IF(OR(VLOOKUP(I4,Parameters!$L$19:$M$49,2,FALSE)="",VLOOKUP(I4,Parameters!$L$19:$M$49,2,FALSE)="DayOff"),"",VLOOKUP(I4,Parameters!$L$19:$M$49,2,FALSE)),"")</f>
        <v/>
      </c>
      <c r="K4" s="40">
        <f>IF(DAY(JunSun1)=1,JunSun1-2,JunSun1+5)</f>
        <v>43252</v>
      </c>
      <c r="L4" s="15">
        <f>IFERROR(IF(OR(VLOOKUP(K4,Parameters!$L$19:$M$49,2,FALSE)="",VLOOKUP(K4,Parameters!$L$19:$M$49,2,FALSE)="DayOff"),"",VLOOKUP(K4,Parameters!$L$19:$M$49,2,FALSE)),"")</f>
        <v>1</v>
      </c>
      <c r="M4" s="40">
        <f>IF(DAY(JunSun1)=1,JunSun1-1,JunSun1+6)</f>
        <v>43253</v>
      </c>
      <c r="N4" s="13"/>
      <c r="O4" s="48">
        <f>IF(DAY(JunSun1)=1,JunSun1,JunSun1+7)</f>
        <v>43254</v>
      </c>
      <c r="P4" s="22"/>
      <c r="Q4" s="6"/>
    </row>
    <row r="5" spans="1:17" ht="21.95" customHeight="1" x14ac:dyDescent="0.2">
      <c r="A5" s="5"/>
      <c r="B5" s="78"/>
      <c r="C5" s="64"/>
      <c r="D5" s="65"/>
      <c r="E5" s="44"/>
      <c r="F5" s="65"/>
      <c r="G5" s="44"/>
      <c r="H5" s="65"/>
      <c r="I5" s="44"/>
      <c r="J5" s="66"/>
      <c r="K5" s="44"/>
      <c r="L5" s="66"/>
      <c r="M5" s="44"/>
      <c r="N5" s="66"/>
      <c r="O5" s="46"/>
      <c r="P5" s="35"/>
      <c r="Q5" s="6"/>
    </row>
    <row r="6" spans="1:17" ht="21.95" customHeight="1" x14ac:dyDescent="0.2">
      <c r="A6" s="5"/>
      <c r="B6" s="78"/>
      <c r="C6" s="42">
        <f>IF(DAY(JunSun1)=1,JunSun1+1,JunSun1+8)</f>
        <v>43255</v>
      </c>
      <c r="D6" s="15">
        <f>IFERROR(IF(OR(VLOOKUP(C6,Parameters!$L$19:$M$49,2,FALSE)="",VLOOKUP(C6,Parameters!$L$19:$M$49,2,FALSE)="DayOff"),"",VLOOKUP(C6,Parameters!$L$19:$M$49,2,FALSE)),"")</f>
        <v>2</v>
      </c>
      <c r="E6" s="43">
        <f>IF(DAY(JunSun1)=1,JunSun1+2,JunSun1+9)</f>
        <v>43256</v>
      </c>
      <c r="F6" s="15">
        <f>IFERROR(IF(OR(VLOOKUP(E6,Parameters!$L$19:$M$49,2,FALSE)="",VLOOKUP(E6,Parameters!$L$19:$M$49,2,FALSE)="DayOff"),"",VLOOKUP(E6,Parameters!$L$19:$M$49,2,FALSE)),"")</f>
        <v>3</v>
      </c>
      <c r="G6" s="43">
        <f>IF(DAY(JunSun1)=1,JunSun1+3,JunSun1+10)</f>
        <v>43257</v>
      </c>
      <c r="H6" s="15">
        <f>IFERROR(IF(OR(VLOOKUP(G6,Parameters!$L$19:$M$49,2,FALSE)="",VLOOKUP(G6,Parameters!$L$19:$M$49,2,FALSE)="DayOff"),"",VLOOKUP(G6,Parameters!$L$19:$M$49,2,FALSE)),"")</f>
        <v>4</v>
      </c>
      <c r="I6" s="43">
        <f>IF(DAY(JunSun1)=1,JunSun1+4,JunSun1+11)</f>
        <v>43258</v>
      </c>
      <c r="J6" s="15">
        <f>IFERROR(IF(OR(VLOOKUP(I6,Parameters!$L$19:$M$49,2,FALSE)="",VLOOKUP(I6,Parameters!$L$19:$M$49,2,FALSE)="DayOff"),"",VLOOKUP(I6,Parameters!$L$19:$M$49,2,FALSE)),"")</f>
        <v>5</v>
      </c>
      <c r="K6" s="43">
        <f>IF(DAY(JunSun1)=1,JunSun1+5,JunSun1+12)</f>
        <v>43259</v>
      </c>
      <c r="L6" s="15">
        <f>IFERROR(IF(OR(VLOOKUP(K6,Parameters!$L$19:$M$49,2,FALSE)="",VLOOKUP(K6,Parameters!$L$19:$M$49,2,FALSE)="DayOff"),"",VLOOKUP(K6,Parameters!$L$19:$M$49,2,FALSE)),"")</f>
        <v>6</v>
      </c>
      <c r="M6" s="49">
        <f>IF(DAY(JunSun1)=1,JunSun1+6,JunSun1+13)</f>
        <v>43260</v>
      </c>
      <c r="N6" s="9"/>
      <c r="O6" s="49">
        <f>IF(DAY(JunSun1)=1,JunSun1+7,JunSun1+14)</f>
        <v>43261</v>
      </c>
      <c r="P6" s="25"/>
      <c r="Q6" s="6"/>
    </row>
    <row r="7" spans="1:17" ht="21.95" customHeight="1" x14ac:dyDescent="0.2">
      <c r="A7" s="5"/>
      <c r="B7" s="78"/>
      <c r="C7" s="64"/>
      <c r="D7" s="65"/>
      <c r="E7" s="44"/>
      <c r="F7" s="65"/>
      <c r="G7" s="44"/>
      <c r="H7" s="65"/>
      <c r="I7" s="44"/>
      <c r="J7" s="66"/>
      <c r="K7" s="44"/>
      <c r="L7" s="66"/>
      <c r="M7" s="46"/>
      <c r="N7" s="33"/>
      <c r="O7" s="46"/>
      <c r="P7" s="35"/>
      <c r="Q7" s="6"/>
    </row>
    <row r="8" spans="1:17" ht="21.95" customHeight="1" x14ac:dyDescent="0.2">
      <c r="A8" s="5"/>
      <c r="B8" s="78"/>
      <c r="C8" s="42">
        <f>IF(DAY(JunSun1)=1,JunSun1+8,JunSun1+15)</f>
        <v>43262</v>
      </c>
      <c r="D8" s="15">
        <f>IFERROR(IF(OR(VLOOKUP(C8,Parameters!$L$19:$M$49,2,FALSE)="",VLOOKUP(C8,Parameters!$L$19:$M$49,2,FALSE)="DayOff"),"",VLOOKUP(C8,Parameters!$L$19:$M$49,2,FALSE)),"")</f>
        <v>7</v>
      </c>
      <c r="E8" s="43">
        <f>IF(DAY(JunSun1)=1,JunSun1+9,JunSun1+16)</f>
        <v>43263</v>
      </c>
      <c r="F8" s="15">
        <f>IFERROR(IF(OR(VLOOKUP(E8,Parameters!$L$19:$M$49,2,FALSE)="",VLOOKUP(E8,Parameters!$L$19:$M$49,2,FALSE)="DayOff"),"",VLOOKUP(E8,Parameters!$L$19:$M$49,2,FALSE)),"")</f>
        <v>8</v>
      </c>
      <c r="G8" s="43">
        <f>IF(DAY(JunSun1)=1,JunSun1+10,JunSun1+17)</f>
        <v>43264</v>
      </c>
      <c r="H8" s="15">
        <f>IFERROR(IF(OR(VLOOKUP(G8,Parameters!$L$19:$M$49,2,FALSE)="",VLOOKUP(G8,Parameters!$L$19:$M$49,2,FALSE)="DayOff"),"",VLOOKUP(G8,Parameters!$L$19:$M$49,2,FALSE)),"")</f>
        <v>9</v>
      </c>
      <c r="I8" s="43">
        <f>IF(DAY(JunSun1)=1,JunSun1+11,JunSun1+18)</f>
        <v>43265</v>
      </c>
      <c r="J8" s="15">
        <f>IFERROR(IF(OR(VLOOKUP(I8,Parameters!$L$19:$M$49,2,FALSE)="",VLOOKUP(I8,Parameters!$L$19:$M$49,2,FALSE)="DayOff"),"",VLOOKUP(I8,Parameters!$L$19:$M$49,2,FALSE)),"")</f>
        <v>10</v>
      </c>
      <c r="K8" s="49">
        <f>IF(DAY(JunSun1)=1,JunSun1+12,JunSun1+19)</f>
        <v>43266</v>
      </c>
      <c r="L8" s="15">
        <f>IFERROR(IF(OR(VLOOKUP(K8,Parameters!$L$19:$M$49,2,FALSE)="",VLOOKUP(K8,Parameters!$L$19:$M$49,2,FALSE)="DayOff"),"",VLOOKUP(K8,Parameters!$L$19:$M$49,2,FALSE)),"")</f>
        <v>11</v>
      </c>
      <c r="M8" s="49">
        <f>IF(DAY(JunSun1)=1,JunSun1+13,JunSun1+20)</f>
        <v>43267</v>
      </c>
      <c r="N8" s="9"/>
      <c r="O8" s="49">
        <f>IF(DAY(JunSun1)=1,JunSun1+14,JunSun1+21)</f>
        <v>43268</v>
      </c>
      <c r="P8" s="25"/>
      <c r="Q8" s="6"/>
    </row>
    <row r="9" spans="1:17" ht="21.95" customHeight="1" x14ac:dyDescent="0.2">
      <c r="A9" s="5"/>
      <c r="B9" s="78"/>
      <c r="C9" s="32"/>
      <c r="D9" s="46"/>
      <c r="E9" s="34"/>
      <c r="F9" s="46"/>
      <c r="G9" s="34"/>
      <c r="H9" s="46"/>
      <c r="I9" s="34"/>
      <c r="J9" s="33"/>
      <c r="K9" s="46"/>
      <c r="L9" s="33"/>
      <c r="M9" s="46"/>
      <c r="N9" s="33"/>
      <c r="O9" s="46"/>
      <c r="P9" s="35"/>
      <c r="Q9" s="6"/>
    </row>
    <row r="10" spans="1:17" ht="21.95" customHeight="1" x14ac:dyDescent="0.2">
      <c r="A10" s="5"/>
      <c r="B10" s="78"/>
      <c r="C10" s="42">
        <f>IF(DAY(JunSun1)=1,JunSun1+15,JunSun1+22)</f>
        <v>43269</v>
      </c>
      <c r="D10" s="15">
        <f>IFERROR(IF(OR(VLOOKUP(C10,Parameters!$L$19:$M$49,2,FALSE)="",VLOOKUP(C10,Parameters!$L$19:$M$49,2,FALSE)="DayOff"),"",VLOOKUP(C10,Parameters!$L$19:$M$49,2,FALSE)),"")</f>
        <v>12</v>
      </c>
      <c r="E10" s="43">
        <f>IF(DAY(JunSun1)=1,JunSun1+16,JunSun1+23)</f>
        <v>43270</v>
      </c>
      <c r="F10" s="15" t="str">
        <f>IFERROR(IF(OR(VLOOKUP(E10,Parameters!$L$19:$M$49,2,FALSE)="",VLOOKUP(E10,Parameters!$L$19:$M$49,2,FALSE)="DayOff"),"",VLOOKUP(E10,Parameters!$L$19:$M$49,2,FALSE)),"")</f>
        <v/>
      </c>
      <c r="G10" s="43">
        <f>IF(DAY(JunSun1)=1,JunSun1+17,JunSun1+24)</f>
        <v>43271</v>
      </c>
      <c r="H10" s="15" t="str">
        <f>IFERROR(IF(OR(VLOOKUP(G10,Parameters!$L$19:$M$49,2,FALSE)="",VLOOKUP(G10,Parameters!$L$19:$M$49,2,FALSE)="DayOff"),"",VLOOKUP(G10,Parameters!$L$19:$M$49,2,FALSE)),"")</f>
        <v/>
      </c>
      <c r="I10" s="43">
        <f>IF(DAY(JunSun1)=1,JunSun1+18,JunSun1+25)</f>
        <v>43272</v>
      </c>
      <c r="J10" s="15" t="str">
        <f>IFERROR(IF(OR(VLOOKUP(I10,Parameters!$L$19:$M$49,2,FALSE)="",VLOOKUP(I10,Parameters!$L$19:$M$49,2,FALSE)="DayOff"),"",VLOOKUP(I10,Parameters!$L$19:$M$49,2,FALSE)),"")</f>
        <v/>
      </c>
      <c r="K10" s="49">
        <f>IF(DAY(JunSun1)=1,JunSun1+19,JunSun1+26)</f>
        <v>43273</v>
      </c>
      <c r="L10" s="15" t="str">
        <f>IFERROR(IF(OR(VLOOKUP(K10,Parameters!$L$19:$M$49,2,FALSE)="",VLOOKUP(K10,Parameters!$L$19:$M$49,2,FALSE)="DayOff"),"",VLOOKUP(K10,Parameters!$L$19:$M$49,2,FALSE)),"")</f>
        <v/>
      </c>
      <c r="M10" s="49">
        <f>IF(DAY(JunSun1)=1,JunSun1+20,JunSun1+27)</f>
        <v>43274</v>
      </c>
      <c r="N10" s="9"/>
      <c r="O10" s="49">
        <f>IF(DAY(JunSun1)=1,JunSun1+21,JunSun1+28)</f>
        <v>43275</v>
      </c>
      <c r="P10" s="25"/>
      <c r="Q10" s="6"/>
    </row>
    <row r="11" spans="1:17" ht="21.95" customHeight="1" x14ac:dyDescent="0.2">
      <c r="A11" s="5"/>
      <c r="B11" s="78"/>
      <c r="C11" s="32"/>
      <c r="D11" s="46"/>
      <c r="E11" s="34"/>
      <c r="F11" s="46"/>
      <c r="G11" s="34"/>
      <c r="H11" s="46"/>
      <c r="I11" s="63" t="s">
        <v>26</v>
      </c>
      <c r="J11" s="33"/>
      <c r="K11" s="46"/>
      <c r="L11" s="33"/>
      <c r="M11" s="46"/>
      <c r="N11" s="33"/>
      <c r="O11" s="46"/>
      <c r="P11" s="35"/>
      <c r="Q11" s="6"/>
    </row>
    <row r="12" spans="1:17" ht="21.95" customHeight="1" x14ac:dyDescent="0.2">
      <c r="A12" s="5"/>
      <c r="B12" s="78"/>
      <c r="C12" s="42">
        <f>IF(DAY(JunSun1)=1,JunSun1+22,JunSun1+29)</f>
        <v>43276</v>
      </c>
      <c r="D12" s="15" t="str">
        <f>IFERROR(IF(OR(VLOOKUP(C12,Parameters!$L$19:$M$49,2,FALSE)="",VLOOKUP(C12,Parameters!$L$19:$M$49,2,FALSE)="DayOff"),"",VLOOKUP(C12,Parameters!$L$19:$M$49,2,FALSE)),"")</f>
        <v/>
      </c>
      <c r="E12" s="43">
        <f>IF(DAY(JunSun1)=1,JunSun1+23,JunSun1+30)</f>
        <v>43277</v>
      </c>
      <c r="F12" s="15" t="str">
        <f>IFERROR(IF(OR(VLOOKUP(E12,Parameters!$L$19:$M$49,2,FALSE)="",VLOOKUP(E12,Parameters!$L$19:$M$49,2,FALSE)="DayOff"),"",VLOOKUP(E12,Parameters!$L$19:$M$49,2,FALSE)),"")</f>
        <v/>
      </c>
      <c r="G12" s="43">
        <f>IF(DAY(JunSun1)=1,JunSun1+24,JunSun1+31)</f>
        <v>43278</v>
      </c>
      <c r="H12" s="15" t="str">
        <f>IFERROR(IF(OR(VLOOKUP(G12,Parameters!$L$19:$M$49,2,FALSE)="",VLOOKUP(G12,Parameters!$L$19:$M$49,2,FALSE)="DayOff"),"",VLOOKUP(G12,Parameters!$L$19:$M$49,2,FALSE)),"")</f>
        <v/>
      </c>
      <c r="I12" s="40">
        <f>IF(DAY(JunSun1)=1,JunSun1+25,JunSun1+32)</f>
        <v>43279</v>
      </c>
      <c r="J12" s="15" t="str">
        <f>IFERROR(IF(OR(VLOOKUP(I12,Parameters!$L$19:$M$49,2,FALSE)="",VLOOKUP(I12,Parameters!$L$19:$M$49,2,FALSE)="DayOff"),"",VLOOKUP(I12,Parameters!$L$19:$M$49,2,FALSE)),"")</f>
        <v/>
      </c>
      <c r="K12" s="43">
        <f>IF(DAY(JunSun1)=1,JunSun1+26,JunSun1+33)</f>
        <v>43280</v>
      </c>
      <c r="L12" s="15" t="str">
        <f>IFERROR(IF(OR(VLOOKUP(K12,Parameters!$L$19:$M$49,2,FALSE)="",VLOOKUP(K12,Parameters!$L$19:$M$49,2,FALSE)="DayOff"),"",VLOOKUP(K12,Parameters!$L$19:$M$49,2,FALSE)),"")</f>
        <v/>
      </c>
      <c r="M12" s="49">
        <f>IF(DAY(JunSun1)=1,JunSun1+27,JunSun1+34)</f>
        <v>43281</v>
      </c>
      <c r="N12" s="9"/>
      <c r="O12" s="49">
        <f>IF(DAY(JunSun1)=1,JunSun1+28,JunSun1+35)</f>
        <v>43282</v>
      </c>
      <c r="P12" s="25"/>
      <c r="Q12" s="6"/>
    </row>
    <row r="13" spans="1:17" ht="21.95" customHeight="1" x14ac:dyDescent="0.2">
      <c r="A13" s="5"/>
      <c r="B13" s="78"/>
      <c r="C13" s="32"/>
      <c r="D13" s="46"/>
      <c r="E13" s="34"/>
      <c r="F13" s="46"/>
      <c r="G13" s="34"/>
      <c r="H13" s="46"/>
      <c r="I13" s="34"/>
      <c r="J13" s="33"/>
      <c r="K13" s="34"/>
      <c r="L13" s="33"/>
      <c r="M13" s="46"/>
      <c r="N13" s="33"/>
      <c r="O13" s="46"/>
      <c r="P13" s="35"/>
      <c r="Q13" s="6"/>
    </row>
    <row r="14" spans="1:17" ht="21.95" customHeight="1" x14ac:dyDescent="0.2">
      <c r="A14" s="5"/>
      <c r="B14" s="78"/>
      <c r="C14" s="42">
        <f>IF(DAY(JunSun1)=1,JunSun1+29,JunSun1+36)</f>
        <v>43283</v>
      </c>
      <c r="D14" s="15" t="str">
        <f>IFERROR(IF(OR(VLOOKUP(C14,Parameters!$L$19:$M$49,2,FALSE)="",VLOOKUP(C14,Parameters!$L$19:$M$49,2,FALSE)="DayOff"),"",VLOOKUP(C14,Parameters!$L$19:$M$49,2,FALSE)),"")</f>
        <v/>
      </c>
      <c r="E14" s="43">
        <f>IF(DAY(JunSun1)=1,JunSun1+30,JunSun1+37)</f>
        <v>43284</v>
      </c>
      <c r="F14" s="15" t="str">
        <f>IFERROR(IF(OR(VLOOKUP(E14,Parameters!$L$19:$M$49,2,FALSE)="",VLOOKUP(E14,Parameters!$L$19:$M$49,2,FALSE)="DayOff"),"",VLOOKUP(E14,Parameters!$L$19:$M$49,2,FALSE)),"")</f>
        <v/>
      </c>
      <c r="G14" s="40">
        <f>IF(DAY(JunSun1)=1,JunSun1+31,JunSun1+38)</f>
        <v>43285</v>
      </c>
      <c r="H14" s="15" t="str">
        <f>IFERROR(IF(OR(VLOOKUP(G14,Parameters!$L$19:$M$49,2,FALSE)="",VLOOKUP(G14,Parameters!$L$19:$M$49,2,FALSE)="DayOff"),"",VLOOKUP(G14,Parameters!$L$19:$M$49,2,FALSE)),"")</f>
        <v/>
      </c>
      <c r="I14" s="40">
        <f>IF(DAY(JunSun1)=1,JunSun1+32,JunSun1+39)</f>
        <v>43286</v>
      </c>
      <c r="J14" s="15" t="str">
        <f>IFERROR(IF(OR(VLOOKUP(I14,Parameters!$L$19:$M$49,2,FALSE)="",VLOOKUP(I14,Parameters!$L$19:$M$49,2,FALSE)="DayOff"),"",VLOOKUP(I14,Parameters!$L$19:$M$49,2,FALSE)),"")</f>
        <v/>
      </c>
      <c r="K14" s="40">
        <f>IF(DAY(JunSun1)=1,JunSun1+33,JunSun1+40)</f>
        <v>43287</v>
      </c>
      <c r="L14" s="15" t="str">
        <f>IFERROR(IF(OR(VLOOKUP(K14,Parameters!$L$19:$M$49,2,FALSE)="",VLOOKUP(K14,Parameters!$L$19:$M$49,2,FALSE)="DayOff"),"",VLOOKUP(K14,Parameters!$L$19:$M$49,2,FALSE)),"")</f>
        <v/>
      </c>
      <c r="M14" s="43">
        <f>IF(DAY(JunSun1)=1,JunSun1+34,JunSun1+41)</f>
        <v>43288</v>
      </c>
      <c r="N14" s="9"/>
      <c r="O14" s="49">
        <f>IF(DAY(JunSun1)=1,JunSun1+35,JunSun1+42)</f>
        <v>43289</v>
      </c>
      <c r="P14" s="25"/>
      <c r="Q14" s="6"/>
    </row>
    <row r="15" spans="1:17" ht="21.95" customHeight="1" thickBot="1" x14ac:dyDescent="0.25">
      <c r="A15" s="5"/>
      <c r="B15" s="78"/>
      <c r="C15" s="36"/>
      <c r="D15" s="47"/>
      <c r="E15" s="38"/>
      <c r="F15" s="47"/>
      <c r="G15" s="38"/>
      <c r="H15" s="47"/>
      <c r="I15" s="38"/>
      <c r="J15" s="37"/>
      <c r="K15" s="38"/>
      <c r="L15" s="37"/>
      <c r="M15" s="38"/>
      <c r="N15" s="37"/>
      <c r="O15" s="47"/>
      <c r="P15" s="39"/>
      <c r="Q15" s="6"/>
    </row>
    <row r="16" spans="1:17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</row>
    <row r="17" spans="1:17" ht="16.5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</row>
  </sheetData>
  <sheetProtection selectLockedCells="1"/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5:N5 C4 E4 G4 I4 K4 M4:N4">
    <cfRule type="expression" dxfId="63" priority="4" stopIfTrue="1">
      <formula>DAY(C4)&gt;8</formula>
    </cfRule>
  </conditionalFormatting>
  <conditionalFormatting sqref="C13:O13 C12 G12 I12 K12 M12:O12 C15:O15 C14 M14:O14 K14 I14 G14 E14 E12">
    <cfRule type="expression" dxfId="62" priority="3" stopIfTrue="1">
      <formula>AND(DAY(C12)&gt;=1,DAY(C12)&lt;=15)</formula>
    </cfRule>
  </conditionalFormatting>
  <conditionalFormatting sqref="C5:O5 C4 E4 G4 I4 K4 M4:O4 C7:O7 C6 M6:O6 K6 I6 G6 C9:O9 C8 G8 I8 K8 M8:O8 C11:H11 C10 M10:O10 K10 I10 G10 C13:O13 C12 G12 I12 K12 M12:O12 C14 M14:O14 K14 I14 G14 E14 E12 E10 E8 E6 J11:O11">
    <cfRule type="expression" dxfId="61" priority="5">
      <formula>VLOOKUP(DAY(C4),AssignmentDays,1,FALSE)=DAY(C4)</formula>
    </cfRule>
  </conditionalFormatting>
  <conditionalFormatting sqref="I11">
    <cfRule type="expression" dxfId="60" priority="1">
      <formula>VLOOKUP(DAY(I11),AssignmentDays,1,FALSE)=DAY(I11)</formula>
    </cfRule>
  </conditionalFormatting>
  <printOptions horizontalCentered="1"/>
  <pageMargins left="0.5" right="0.5" top="0.5" bottom="0.5" header="0.3" footer="0.3"/>
  <pageSetup scale="6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Q17"/>
  <sheetViews>
    <sheetView showGridLines="0" topLeftCell="A2" zoomScale="90" zoomScaleNormal="90" zoomScalePageLayoutView="84" workbookViewId="0">
      <selection activeCell="D4" sqref="D4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17" width="2.28515625" customWidth="1"/>
    <col min="18" max="24" width="8.85546875" customWidth="1"/>
    <col min="44" max="16384" width="8.7109375" style="1"/>
  </cols>
  <sheetData>
    <row r="1" spans="1:18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  <c r="R1" s="6"/>
    </row>
    <row r="2" spans="1:18" ht="18" customHeight="1" thickBot="1" x14ac:dyDescent="0.25">
      <c r="A2" s="5"/>
      <c r="B2" s="78" t="str">
        <f>" JULY "&amp;Parameters!B14</f>
        <v xml:space="preserve"> JULY 2018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  <c r="R2" s="6"/>
    </row>
    <row r="3" spans="1:18" ht="21.95" customHeight="1" thickBot="1" x14ac:dyDescent="0.25">
      <c r="A3" s="5"/>
      <c r="B3" s="78"/>
      <c r="C3" s="79" t="s">
        <v>1</v>
      </c>
      <c r="D3" s="73"/>
      <c r="E3" s="72" t="s">
        <v>2</v>
      </c>
      <c r="F3" s="73"/>
      <c r="G3" s="72" t="s">
        <v>3</v>
      </c>
      <c r="H3" s="73"/>
      <c r="I3" s="72" t="s">
        <v>4</v>
      </c>
      <c r="J3" s="73"/>
      <c r="K3" s="72" t="s">
        <v>5</v>
      </c>
      <c r="L3" s="73"/>
      <c r="M3" s="72" t="s">
        <v>6</v>
      </c>
      <c r="N3" s="73"/>
      <c r="O3" s="72" t="s">
        <v>7</v>
      </c>
      <c r="P3" s="74"/>
      <c r="Q3" s="6"/>
      <c r="R3" s="6"/>
    </row>
    <row r="4" spans="1:18" ht="21.95" customHeight="1" x14ac:dyDescent="0.2">
      <c r="A4" s="5"/>
      <c r="B4" s="78"/>
      <c r="C4" s="41">
        <f>IF(DAY(JulSun1)=1,JulSun1-6,JulSun1+1)</f>
        <v>43276</v>
      </c>
      <c r="D4" s="15" t="str">
        <f>IFERROR(IF(OR(VLOOKUP(C4,Parameters!$B$54:$C$84,2,FALSE)="",VLOOKUP(C4,Parameters!$B$54:$C$84,2,FALSE)="DayOff"),"",VLOOKUP(C4,Parameters!$B$54:$C$84,2,FALSE)),"")</f>
        <v/>
      </c>
      <c r="E4" s="40">
        <f>IF(DAY(JulSun1)=1,JulSun1-5,JulSun1+2)</f>
        <v>43277</v>
      </c>
      <c r="F4" s="15" t="str">
        <f>IFERROR(IF(OR(VLOOKUP(E4,Parameters!$B$54:$C$84,2,FALSE)="",VLOOKUP(E4,Parameters!$B$54:$C$84,2,FALSE)="DayOff"),"",VLOOKUP(E4,Parameters!$B$54:$C$84,2,FALSE)),"")</f>
        <v/>
      </c>
      <c r="G4" s="40">
        <f>IF(DAY(JulSun1)=1,JulSun1-4,JulSun1+3)</f>
        <v>43278</v>
      </c>
      <c r="H4" s="15" t="str">
        <f>IFERROR(IF(OR(VLOOKUP(G4,Parameters!$B$54:$C$84,2,FALSE)="",VLOOKUP(G4,Parameters!$B$54:$C$84,2,FALSE)="DayOff"),"",VLOOKUP(G4,Parameters!$B$54:$C$84,2,FALSE)),"")</f>
        <v/>
      </c>
      <c r="I4" s="40">
        <f>IF(DAY(JulSun1)=1,JulSun1-3,JulSun1+4)</f>
        <v>43279</v>
      </c>
      <c r="J4" s="15" t="str">
        <f>IFERROR(IF(OR(VLOOKUP(I4,Parameters!$B$54:$C$84,2,FALSE)="",VLOOKUP(I4,Parameters!$B$54:$C$84,2,FALSE)="DayOff"),"",VLOOKUP(I4,Parameters!$B$54:$C$84,2,FALSE)),"")</f>
        <v/>
      </c>
      <c r="K4" s="40">
        <f>IF(DAY(JulSun1)=1,JulSun1-2,JulSun1+5)</f>
        <v>43280</v>
      </c>
      <c r="L4" s="15" t="str">
        <f>IFERROR(IF(OR(VLOOKUP(K4,Parameters!$B$54:$C$84,2,FALSE)="",VLOOKUP(K4,Parameters!$B$54:$C$84,2,FALSE)="DayOff"),"",VLOOKUP(K4,Parameters!$B$54:$C$84,2,FALSE)),"")</f>
        <v/>
      </c>
      <c r="M4" s="40">
        <f>IF(DAY(JulSun1)=1,JulSun1-1,JulSun1+6)</f>
        <v>43281</v>
      </c>
      <c r="N4" s="20" t="str">
        <f>IFERROR(IF(M4=Parameters!$B$68,July!J4+1,IF(VLOOKUP(M4,Parameters!$B$54:$C$84,2,FALSE)="DayOff","",IF(L4=" "," ",IF(L4=12," ",IF(L4&lt;&gt;"",L4+1,IF(M4&lt;Parameters!$O$8,"",1)))))),"")</f>
        <v/>
      </c>
      <c r="O4" s="40">
        <f>IF(DAY(JulSun1)=1,JulSun1,JulSun1+7)</f>
        <v>43282</v>
      </c>
      <c r="P4" s="22"/>
      <c r="Q4" s="6"/>
      <c r="R4" s="6"/>
    </row>
    <row r="5" spans="1:18" ht="21.95" customHeight="1" x14ac:dyDescent="0.2">
      <c r="A5" s="5"/>
      <c r="B5" s="78"/>
      <c r="C5" s="32"/>
      <c r="D5" s="46"/>
      <c r="E5" s="44"/>
      <c r="F5" s="46"/>
      <c r="G5" s="44"/>
      <c r="H5" s="46"/>
      <c r="I5" s="44"/>
      <c r="J5" s="46"/>
      <c r="K5" s="44"/>
      <c r="L5" s="46"/>
      <c r="M5" s="44"/>
      <c r="N5" s="46"/>
      <c r="O5" s="44"/>
      <c r="P5" s="45"/>
      <c r="Q5" s="6"/>
      <c r="R5" s="6"/>
    </row>
    <row r="6" spans="1:18" ht="21.95" customHeight="1" x14ac:dyDescent="0.2">
      <c r="A6" s="5"/>
      <c r="B6" s="78"/>
      <c r="C6" s="41">
        <f>IF(DAY(JulSun1)=1,JulSun1+1,JulSun1+8)</f>
        <v>43283</v>
      </c>
      <c r="D6" s="15">
        <f>IFERROR(IF(OR(VLOOKUP(C6,Parameters!$B$54:$C$84,2,FALSE)="",VLOOKUP(C6,Parameters!$B$54:$C$84,2,FALSE)="DayOff"),"",VLOOKUP(C6,Parameters!$B$54:$C$84,2,FALSE)),"")</f>
        <v>1</v>
      </c>
      <c r="E6" s="43">
        <f>IF(DAY(JulSun1)=1,JulSun1+2,JulSun1+9)</f>
        <v>43284</v>
      </c>
      <c r="F6" s="15">
        <f>IFERROR(IF(OR(VLOOKUP(E6,Parameters!$B$54:$C$84,2,FALSE)="",VLOOKUP(E6,Parameters!$B$54:$C$84,2,FALSE)="DayOff"),"",VLOOKUP(E6,Parameters!$B$54:$C$84,2,FALSE)),"")</f>
        <v>2</v>
      </c>
      <c r="G6" s="43">
        <f>IF(DAY(JulSun1)=1,JulSun1+3,JulSun1+10)</f>
        <v>43285</v>
      </c>
      <c r="H6" s="15">
        <f>IFERROR(IF(OR(VLOOKUP(G6,Parameters!$B$54:$C$84,2,FALSE)="",VLOOKUP(G6,Parameters!$B$54:$C$84,2,FALSE)="DayOff"),"",VLOOKUP(G6,Parameters!$B$54:$C$84,2,FALSE)),"")</f>
        <v>3</v>
      </c>
      <c r="I6" s="43">
        <f>IF(DAY(JulSun1)=1,JulSun1+4,JulSun1+11)</f>
        <v>43286</v>
      </c>
      <c r="J6" s="15">
        <f>IFERROR(IF(OR(VLOOKUP(I6,Parameters!$B$54:$C$84,2,FALSE)="",VLOOKUP(I6,Parameters!$B$54:$C$84,2,FALSE)="DayOff"),"",VLOOKUP(I6,Parameters!$B$54:$C$84,2,FALSE)),"")</f>
        <v>4</v>
      </c>
      <c r="K6" s="43">
        <f>IF(DAY(JulSun1)=1,JulSun1+5,JulSun1+12)</f>
        <v>43287</v>
      </c>
      <c r="L6" s="15">
        <f>IFERROR(IF(OR(VLOOKUP(K6,Parameters!$B$54:$C$84,2,FALSE)="",VLOOKUP(K6,Parameters!$B$54:$C$84,2,FALSE)="DayOff"),"",VLOOKUP(K6,Parameters!$B$54:$C$84,2,FALSE)),"")</f>
        <v>5</v>
      </c>
      <c r="M6" s="43">
        <f>IF(DAY(JulSun1)=1,JulSun1+6,JulSun1+13)</f>
        <v>43288</v>
      </c>
      <c r="N6" s="20"/>
      <c r="O6" s="43">
        <f>IF(DAY(JulSun1)=1,JulSun1+7,JulSun1+14)</f>
        <v>43289</v>
      </c>
      <c r="P6" s="25"/>
      <c r="Q6" s="6"/>
      <c r="R6" s="6"/>
    </row>
    <row r="7" spans="1:18" ht="21.95" customHeight="1" x14ac:dyDescent="0.2">
      <c r="A7" s="5"/>
      <c r="B7" s="78"/>
      <c r="C7" s="32"/>
      <c r="D7" s="46"/>
      <c r="E7" s="34"/>
      <c r="F7" s="46"/>
      <c r="G7" s="44"/>
      <c r="H7" s="46"/>
      <c r="I7" s="44"/>
      <c r="J7" s="46"/>
      <c r="K7" s="44"/>
      <c r="L7" s="46"/>
      <c r="M7" s="44"/>
      <c r="N7" s="46"/>
      <c r="O7" s="44"/>
      <c r="P7" s="45"/>
      <c r="Q7" s="6"/>
      <c r="R7" s="6"/>
    </row>
    <row r="8" spans="1:18" ht="21.95" customHeight="1" x14ac:dyDescent="0.2">
      <c r="A8" s="5"/>
      <c r="B8" s="78"/>
      <c r="C8" s="41">
        <f>IF(DAY(JulSun1)=1,JulSun1+8,JulSun1+15)</f>
        <v>43290</v>
      </c>
      <c r="D8" s="15">
        <f>IFERROR(IF(OR(VLOOKUP(C8,Parameters!$B$54:$C$84,2,FALSE)="",VLOOKUP(C8,Parameters!$B$54:$C$84,2,FALSE)="DayOff"),"",VLOOKUP(C8,Parameters!$B$54:$C$84,2,FALSE)),"")</f>
        <v>6</v>
      </c>
      <c r="E8" s="40">
        <f>IF(DAY(JulSun1)=1,JulSun1+9,JulSun1+16)</f>
        <v>43291</v>
      </c>
      <c r="F8" s="15">
        <f>IFERROR(IF(OR(VLOOKUP(E8,Parameters!$B$54:$C$84,2,FALSE)="",VLOOKUP(E8,Parameters!$B$54:$C$84,2,FALSE)="DayOff"),"",VLOOKUP(E8,Parameters!$B$54:$C$84,2,FALSE)),"")</f>
        <v>7</v>
      </c>
      <c r="G8" s="43">
        <f>IF(DAY(JulSun1)=1,JulSun1+10,JulSun1+17)</f>
        <v>43292</v>
      </c>
      <c r="H8" s="15">
        <f>IFERROR(IF(OR(VLOOKUP(G8,Parameters!$B$54:$C$84,2,FALSE)="",VLOOKUP(G8,Parameters!$B$54:$C$84,2,FALSE)="DayOff"),"",VLOOKUP(G8,Parameters!$B$54:$C$84,2,FALSE)),"")</f>
        <v>8</v>
      </c>
      <c r="I8" s="43">
        <f>IF(DAY(JulSun1)=1,JulSun1+11,JulSun1+18)</f>
        <v>43293</v>
      </c>
      <c r="J8" s="15">
        <f>IFERROR(IF(OR(VLOOKUP(I8,Parameters!$B$54:$C$84,2,FALSE)="",VLOOKUP(I8,Parameters!$B$54:$C$84,2,FALSE)="DayOff"),"",VLOOKUP(I8,Parameters!$B$54:$C$84,2,FALSE)),"")</f>
        <v>9</v>
      </c>
      <c r="K8" s="43">
        <f>IF(DAY(JulSun1)=1,JulSun1+12,JulSun1+19)</f>
        <v>43294</v>
      </c>
      <c r="L8" s="15">
        <f>IFERROR(IF(OR(VLOOKUP(K8,Parameters!$B$54:$C$84,2,FALSE)="",VLOOKUP(K8,Parameters!$B$54:$C$84,2,FALSE)="DayOff"),"",VLOOKUP(K8,Parameters!$B$54:$C$84,2,FALSE)),"")</f>
        <v>10</v>
      </c>
      <c r="M8" s="43">
        <f>IF(DAY(JulSun1)=1,JulSun1+13,JulSun1+20)</f>
        <v>43295</v>
      </c>
      <c r="N8" s="20"/>
      <c r="O8" s="43">
        <f>IF(DAY(JulSun1)=1,JulSun1+14,JulSun1+21)</f>
        <v>43296</v>
      </c>
      <c r="P8" s="25"/>
      <c r="Q8" s="6"/>
      <c r="R8" s="6"/>
    </row>
    <row r="9" spans="1:18" ht="21.95" customHeight="1" x14ac:dyDescent="0.2">
      <c r="A9" s="5"/>
      <c r="B9" s="78"/>
      <c r="C9" s="32"/>
      <c r="D9" s="46"/>
      <c r="E9" s="34"/>
      <c r="F9" s="46"/>
      <c r="G9" s="34"/>
      <c r="H9" s="46"/>
      <c r="I9" s="34"/>
      <c r="J9" s="46"/>
      <c r="K9" s="34"/>
      <c r="L9" s="46"/>
      <c r="M9" s="34"/>
      <c r="N9" s="46"/>
      <c r="O9" s="34"/>
      <c r="P9" s="35"/>
      <c r="Q9" s="6"/>
      <c r="R9" s="6"/>
    </row>
    <row r="10" spans="1:18" ht="21.95" customHeight="1" x14ac:dyDescent="0.2">
      <c r="A10" s="5"/>
      <c r="B10" s="78"/>
      <c r="C10" s="41">
        <f>IF(DAY(JulSun1)=1,JulSun1+15,JulSun1+22)</f>
        <v>43297</v>
      </c>
      <c r="D10" s="15">
        <f>IFERROR(IF(OR(VLOOKUP(C10,Parameters!$B$54:$C$84,2,FALSE)="",VLOOKUP(C10,Parameters!$B$54:$C$84,2,FALSE)="DayOff"),"",VLOOKUP(C10,Parameters!$B$54:$C$84,2,FALSE)),"")</f>
        <v>11</v>
      </c>
      <c r="E10" s="40">
        <f>IF(DAY(JulSun1)=1,JulSun1+16,JulSun1+23)</f>
        <v>43298</v>
      </c>
      <c r="F10" s="15">
        <f>IFERROR(IF(OR(VLOOKUP(E10,Parameters!$B$54:$C$84,2,FALSE)="",VLOOKUP(E10,Parameters!$B$54:$C$84,2,FALSE)="DayOff"),"",VLOOKUP(E10,Parameters!$B$54:$C$84,2,FALSE)),"")</f>
        <v>12</v>
      </c>
      <c r="G10" s="40">
        <f>IF(DAY(JulSun1)=1,JulSun1+17,JulSun1+24)</f>
        <v>43299</v>
      </c>
      <c r="H10" s="15" t="str">
        <f>IFERROR(IF(OR(VLOOKUP(G10,Parameters!$B$54:$C$84,2,FALSE)="",VLOOKUP(G10,Parameters!$B$54:$C$84,2,FALSE)="DayOff"),"",VLOOKUP(G10,Parameters!$B$54:$C$84,2,FALSE)),"")</f>
        <v/>
      </c>
      <c r="I10" s="43">
        <f>IF(DAY(JulSun1)=1,JulSun1+18,JulSun1+25)</f>
        <v>43300</v>
      </c>
      <c r="J10" s="15" t="str">
        <f>IFERROR(IF(OR(VLOOKUP(I10,Parameters!$B$54:$C$84,2,FALSE)="",VLOOKUP(I10,Parameters!$B$54:$C$84,2,FALSE)="DayOff"),"",VLOOKUP(I10,Parameters!$B$54:$C$84,2,FALSE)),"")</f>
        <v/>
      </c>
      <c r="K10" s="43">
        <f>IF(DAY(JulSun1)=1,JulSun1+19,JulSun1+26)</f>
        <v>43301</v>
      </c>
      <c r="L10" s="15" t="str">
        <f>IFERROR(IF(OR(VLOOKUP(K10,Parameters!$B$54:$C$84,2,FALSE)="",VLOOKUP(K10,Parameters!$B$54:$C$84,2,FALSE)="DayOff"),"",VLOOKUP(K10,Parameters!$B$54:$C$84,2,FALSE)),"")</f>
        <v/>
      </c>
      <c r="M10" s="43">
        <f>IF(DAY(JulSun1)=1,JulSun1+20,JulSun1+27)</f>
        <v>43302</v>
      </c>
      <c r="N10" s="20"/>
      <c r="O10" s="43">
        <f>IF(DAY(JulSun1)=1,JulSun1+21,JulSun1+28)</f>
        <v>43303</v>
      </c>
      <c r="P10" s="25"/>
      <c r="Q10" s="6"/>
      <c r="R10" s="6"/>
    </row>
    <row r="11" spans="1:18" ht="21.95" customHeight="1" x14ac:dyDescent="0.2">
      <c r="A11" s="5"/>
      <c r="B11" s="78"/>
      <c r="C11" s="32"/>
      <c r="D11" s="46"/>
      <c r="E11" s="34"/>
      <c r="F11" s="46"/>
      <c r="G11" s="34"/>
      <c r="H11" s="46"/>
      <c r="I11" s="34"/>
      <c r="J11" s="46"/>
      <c r="K11" s="34"/>
      <c r="L11" s="46"/>
      <c r="M11" s="34"/>
      <c r="N11" s="46"/>
      <c r="O11" s="34"/>
      <c r="P11" s="35"/>
      <c r="Q11" s="6"/>
      <c r="R11" s="6"/>
    </row>
    <row r="12" spans="1:18" ht="21.95" customHeight="1" x14ac:dyDescent="0.2">
      <c r="A12" s="5"/>
      <c r="B12" s="78"/>
      <c r="C12" s="41">
        <f>IF(DAY(JulSun1)=1,JulSun1+22,JulSun1+29)</f>
        <v>43304</v>
      </c>
      <c r="D12" s="15" t="str">
        <f>IFERROR(IF(OR(VLOOKUP(C12,Parameters!$B$54:$C$84,2,FALSE)="",VLOOKUP(C12,Parameters!$B$54:$C$84,2,FALSE)="DayOff"),"",VLOOKUP(C12,Parameters!$B$54:$C$84,2,FALSE)),"")</f>
        <v/>
      </c>
      <c r="E12" s="40">
        <f>IF(DAY(JulSun1)=1,JulSun1+23,JulSun1+30)</f>
        <v>43305</v>
      </c>
      <c r="F12" s="15" t="str">
        <f>IFERROR(IF(OR(VLOOKUP(E12,Parameters!$B$54:$C$84,2,FALSE)="",VLOOKUP(E12,Parameters!$B$54:$C$84,2,FALSE)="DayOff"),"",VLOOKUP(E12,Parameters!$B$54:$C$84,2,FALSE)),"")</f>
        <v/>
      </c>
      <c r="G12" s="40">
        <f>IF(DAY(JulSun1)=1,JulSun1+24,JulSun1+31)</f>
        <v>43306</v>
      </c>
      <c r="H12" s="15" t="str">
        <f>IFERROR(IF(OR(VLOOKUP(G12,Parameters!$B$54:$C$84,2,FALSE)="",VLOOKUP(G12,Parameters!$B$54:$C$84,2,FALSE)="DayOff"),"",VLOOKUP(G12,Parameters!$B$54:$C$84,2,FALSE)),"")</f>
        <v/>
      </c>
      <c r="I12" s="40">
        <f>IF(DAY(JulSun1)=1,JulSun1+25,JulSun1+32)</f>
        <v>43307</v>
      </c>
      <c r="J12" s="15" t="str">
        <f>IFERROR(IF(OR(VLOOKUP(I12,Parameters!$B$54:$C$84,2,FALSE)="",VLOOKUP(I12,Parameters!$B$54:$C$84,2,FALSE)="DayOff"),"",VLOOKUP(I12,Parameters!$B$54:$C$84,2,FALSE)),"")</f>
        <v/>
      </c>
      <c r="K12" s="43">
        <f>IF(DAY(JulSun1)=1,JulSun1+26,JulSun1+33)</f>
        <v>43308</v>
      </c>
      <c r="L12" s="15" t="str">
        <f>IFERROR(IF(OR(VLOOKUP(K12,Parameters!$B$54:$C$84,2,FALSE)="",VLOOKUP(K12,Parameters!$B$54:$C$84,2,FALSE)="DayOff"),"",VLOOKUP(K12,Parameters!$B$54:$C$84,2,FALSE)),"")</f>
        <v/>
      </c>
      <c r="M12" s="43">
        <f>IF(DAY(JulSun1)=1,JulSun1+27,JulSun1+34)</f>
        <v>43309</v>
      </c>
      <c r="N12" s="12"/>
      <c r="O12" s="43">
        <f>IF(DAY(JulSun1)=1,JulSun1+28,JulSun1+35)</f>
        <v>43310</v>
      </c>
      <c r="P12" s="25"/>
      <c r="Q12" s="6"/>
      <c r="R12" s="6"/>
    </row>
    <row r="13" spans="1:18" ht="21.95" customHeight="1" x14ac:dyDescent="0.2">
      <c r="A13" s="5"/>
      <c r="B13" s="78"/>
      <c r="C13" s="67" t="s">
        <v>26</v>
      </c>
      <c r="D13" s="46"/>
      <c r="E13" s="34"/>
      <c r="F13" s="46"/>
      <c r="G13" s="34"/>
      <c r="H13" s="46"/>
      <c r="I13" s="34"/>
      <c r="J13" s="46"/>
      <c r="K13" s="34"/>
      <c r="L13" s="46"/>
      <c r="M13" s="34"/>
      <c r="N13" s="46"/>
      <c r="O13" s="34"/>
      <c r="P13" s="35"/>
      <c r="Q13" s="6"/>
      <c r="R13" s="6"/>
    </row>
    <row r="14" spans="1:18" ht="21.95" customHeight="1" x14ac:dyDescent="0.2">
      <c r="A14" s="5"/>
      <c r="B14" s="78"/>
      <c r="C14" s="41">
        <f>IF(DAY(JulSun1)=1,JulSun1+29,JulSun1+36)</f>
        <v>43311</v>
      </c>
      <c r="D14" s="15" t="str">
        <f>IFERROR(IF(OR(VLOOKUP(C14,Parameters!$B$54:$C$84,2,FALSE)="",VLOOKUP(C14,Parameters!$B$54:$C$84,2,FALSE)="DayOff"),"",VLOOKUP(C14,Parameters!$B$54:$C$84,2,FALSE)),"")</f>
        <v/>
      </c>
      <c r="E14" s="40">
        <f>IF(DAY(JulSun1)=1,JulSun1+30,JulSun1+37)</f>
        <v>43312</v>
      </c>
      <c r="F14" s="15" t="str">
        <f>IFERROR(IF(OR(VLOOKUP(E14,Parameters!$B$54:$C$84,2,FALSE)="",VLOOKUP(E14,Parameters!$B$54:$C$84,2,FALSE)="DayOff"),"",VLOOKUP(E14,Parameters!$B$54:$C$84,2,FALSE)),"")</f>
        <v/>
      </c>
      <c r="G14" s="40">
        <f>IF(DAY(JulSun1)=1,JulSun1+31,JulSun1+38)</f>
        <v>43313</v>
      </c>
      <c r="H14" s="15" t="str">
        <f>IFERROR(IF(OR(VLOOKUP(G14,Parameters!$B$54:$C$84,2,FALSE)="",VLOOKUP(G14,Parameters!$B$54:$C$84,2,FALSE)="DayOff"),"",VLOOKUP(G14,Parameters!$B$54:$C$84,2,FALSE)),"")</f>
        <v/>
      </c>
      <c r="I14" s="40">
        <f>IF(DAY(JulSun1)=1,JulSun1+32,JulSun1+39)</f>
        <v>43314</v>
      </c>
      <c r="J14" s="15" t="str">
        <f>IFERROR(IF(OR(VLOOKUP(I14,Parameters!$B$54:$C$84,2,FALSE)="",VLOOKUP(I14,Parameters!$B$54:$C$84,2,FALSE)="DayOff"),"",VLOOKUP(I14,Parameters!$B$54:$C$84,2,FALSE)),"")</f>
        <v/>
      </c>
      <c r="K14" s="40">
        <f>IF(DAY(JulSun1)=1,JulSun1+33,JulSun1+40)</f>
        <v>43315</v>
      </c>
      <c r="L14" s="15" t="str">
        <f>IFERROR(IF(OR(VLOOKUP(K14,Parameters!$B$54:$C$84,2,FALSE)="",VLOOKUP(K14,Parameters!$B$54:$C$84,2,FALSE)="DayOff"),"",VLOOKUP(K14,Parameters!$B$54:$C$84,2,FALSE)),"")</f>
        <v/>
      </c>
      <c r="M14" s="43">
        <f>IF(DAY(JulSun1)=1,JulSun1+34,JulSun1+41)</f>
        <v>43316</v>
      </c>
      <c r="N14" s="15"/>
      <c r="O14" s="43">
        <f>IF(DAY(JulSun1)=1,JulSun1+35,JulSun1+42)</f>
        <v>43317</v>
      </c>
      <c r="P14" s="25"/>
      <c r="Q14" s="6"/>
      <c r="R14" s="6"/>
    </row>
    <row r="15" spans="1:18" ht="21.95" customHeight="1" thickBot="1" x14ac:dyDescent="0.25">
      <c r="A15" s="5"/>
      <c r="B15" s="78"/>
      <c r="C15" s="36"/>
      <c r="D15" s="47"/>
      <c r="E15" s="38"/>
      <c r="F15" s="47"/>
      <c r="G15" s="38"/>
      <c r="H15" s="47"/>
      <c r="I15" s="38"/>
      <c r="J15" s="47"/>
      <c r="K15" s="38"/>
      <c r="L15" s="47"/>
      <c r="M15" s="38"/>
      <c r="N15" s="47"/>
      <c r="O15" s="38"/>
      <c r="P15" s="39"/>
      <c r="Q15" s="6"/>
      <c r="R15" s="6"/>
    </row>
    <row r="16" spans="1:18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  <c r="R16" s="6"/>
    </row>
    <row r="17" spans="1:18" ht="16.5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  <c r="R17" s="6"/>
    </row>
  </sheetData>
  <sheetProtection selectLockedCells="1"/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5:N5 C4 E4 G4 I4 K4 M4">
    <cfRule type="expression" dxfId="59" priority="4" stopIfTrue="1">
      <formula>DAY(C4)&gt;8</formula>
    </cfRule>
  </conditionalFormatting>
  <conditionalFormatting sqref="C13:O13 C12 G12 I12 K12 M12:O12 C15:O15 C14 M14 K14 I14 G14 E12 E14 O14">
    <cfRule type="expression" dxfId="58" priority="3" stopIfTrue="1">
      <formula>AND(DAY(C12)&gt;=1,DAY(C12)&lt;=15)</formula>
    </cfRule>
  </conditionalFormatting>
  <conditionalFormatting sqref="C4 E4 G4 I4 K4 M4 C6 M6 K6 I6 G6 C9:O9 C8 G8 I8 K8 M8 C10 M10 K10 I10 G10 C13:O13 C12 G12 I12 K12 M12:O12 C14 M14 K14 I14 G14 E6 E8 E10 E12 E14 O4 O6 O8 O10 C5:O5 C7:O7 O14">
    <cfRule type="expression" dxfId="57" priority="5">
      <formula>VLOOKUP(DAY(C4),AssignmentDays,1,FALSE)=DAY(C4)</formula>
    </cfRule>
  </conditionalFormatting>
  <conditionalFormatting sqref="C11:O11">
    <cfRule type="expression" dxfId="56" priority="1">
      <formula>VLOOKUP(DAY(C11),AssignmentDays,1,FALSE)=DAY(C11)</formula>
    </cfRule>
  </conditionalFormatting>
  <printOptions horizontalCentered="1"/>
  <pageMargins left="0.5" right="0.5" top="0.5" bottom="0.5" header="0.3" footer="0.3"/>
  <pageSetup scale="6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Q17"/>
  <sheetViews>
    <sheetView showGridLines="0" topLeftCell="E2" zoomScale="90" zoomScaleNormal="90" zoomScalePageLayoutView="84" workbookViewId="0">
      <selection activeCell="H6" sqref="H6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17" width="2.28515625" customWidth="1"/>
    <col min="18" max="24" width="8.85546875" customWidth="1"/>
    <col min="44" max="16384" width="8.7109375" style="1"/>
  </cols>
  <sheetData>
    <row r="1" spans="1:18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  <c r="R1" s="6"/>
    </row>
    <row r="2" spans="1:18" ht="18" customHeight="1" thickBot="1" x14ac:dyDescent="0.25">
      <c r="A2" s="5"/>
      <c r="B2" s="78" t="str">
        <f>" AUGUST "&amp;Parameters!B14</f>
        <v xml:space="preserve"> AUGUST 2018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  <c r="R2" s="6"/>
    </row>
    <row r="3" spans="1:18" ht="21.95" customHeight="1" thickBot="1" x14ac:dyDescent="0.25">
      <c r="A3" s="5"/>
      <c r="B3" s="78"/>
      <c r="C3" s="79" t="s">
        <v>1</v>
      </c>
      <c r="D3" s="73"/>
      <c r="E3" s="72" t="s">
        <v>2</v>
      </c>
      <c r="F3" s="73"/>
      <c r="G3" s="72" t="s">
        <v>3</v>
      </c>
      <c r="H3" s="73"/>
      <c r="I3" s="72" t="s">
        <v>4</v>
      </c>
      <c r="J3" s="73"/>
      <c r="K3" s="72" t="s">
        <v>5</v>
      </c>
      <c r="L3" s="73"/>
      <c r="M3" s="72" t="s">
        <v>6</v>
      </c>
      <c r="N3" s="73"/>
      <c r="O3" s="72" t="s">
        <v>7</v>
      </c>
      <c r="P3" s="74"/>
      <c r="Q3" s="6"/>
      <c r="R3" s="6"/>
    </row>
    <row r="4" spans="1:18" ht="21.95" customHeight="1" x14ac:dyDescent="0.2">
      <c r="A4" s="5"/>
      <c r="B4" s="78"/>
      <c r="C4" s="41">
        <f>IF(DAY(AugSun1)=1,AugSun1-6,AugSun1+1)</f>
        <v>43311</v>
      </c>
      <c r="D4" s="15" t="str">
        <f>IFERROR(IF(OR(VLOOKUP(C4,Parameters!$D$54:$E$84,2,FALSE)="",VLOOKUP(C4,Parameters!$D$54:$E$84,2,FALSE)="DayOff"),"",VLOOKUP(C4,Parameters!$D$54:$E$84,2,FALSE)),"")</f>
        <v/>
      </c>
      <c r="E4" s="40">
        <f>IF(DAY(AugSun1)=1,AugSun1-5,AugSun1+2)</f>
        <v>43312</v>
      </c>
      <c r="F4" s="15" t="str">
        <f>IFERROR(IF(OR(VLOOKUP(E4,Parameters!$D$54:$E$84,2,FALSE)="",VLOOKUP(E4,Parameters!$D$54:$E$84,2,FALSE)="DayOff"),"",VLOOKUP(E4,Parameters!$D$54:$E$84,2,FALSE)),"")</f>
        <v/>
      </c>
      <c r="G4" s="40">
        <f>IF(DAY(AugSun1)=1,AugSun1-4,AugSun1+3)</f>
        <v>43313</v>
      </c>
      <c r="H4" s="15">
        <f>IFERROR(IF(OR(VLOOKUP(G4,Parameters!$D$54:$E$84,2,FALSE)="",VLOOKUP(G4,Parameters!$D$54:$E$84,2,FALSE)="DayOff"),"",VLOOKUP(G4,Parameters!$D$54:$E$84,2,FALSE)),"")</f>
        <v>1</v>
      </c>
      <c r="I4" s="40">
        <f>IF(DAY(AugSun1)=1,AugSun1-3,AugSun1+4)</f>
        <v>43314</v>
      </c>
      <c r="J4" s="15">
        <f>IFERROR(IF(OR(VLOOKUP(I4,Parameters!$D$54:$E$84,2,FALSE)="",VLOOKUP(I4,Parameters!$D$54:$E$84,2,FALSE)="DayOff"),"",VLOOKUP(I4,Parameters!$D$54:$E$84,2,FALSE)),"")</f>
        <v>2</v>
      </c>
      <c r="K4" s="40">
        <f>IF(DAY(AugSun1)=1,AugSun1-2,AugSun1+5)</f>
        <v>43315</v>
      </c>
      <c r="L4" s="15">
        <f>IFERROR(IF(OR(VLOOKUP(K4,Parameters!$D$54:$E$84,2,FALSE)="",VLOOKUP(K4,Parameters!$D$54:$E$84,2,FALSE)="DayOff"),"",VLOOKUP(K4,Parameters!$D$54:$E$84,2,FALSE)),"")</f>
        <v>3</v>
      </c>
      <c r="M4" s="40">
        <f>IF(DAY(AugSun1)=1,AugSun1-1,AugSun1+6)</f>
        <v>43316</v>
      </c>
      <c r="N4" s="13"/>
      <c r="O4" s="48">
        <f>IF(DAY(AugSun1)=1,AugSun1,AugSun1+7)</f>
        <v>43317</v>
      </c>
      <c r="P4" s="22"/>
      <c r="Q4" s="6"/>
      <c r="R4" s="6"/>
    </row>
    <row r="5" spans="1:18" ht="21.95" customHeight="1" x14ac:dyDescent="0.2">
      <c r="A5" s="5"/>
      <c r="B5" s="78"/>
      <c r="C5" s="32"/>
      <c r="D5" s="46"/>
      <c r="E5" s="44"/>
      <c r="F5" s="46"/>
      <c r="G5" s="44"/>
      <c r="H5" s="46"/>
      <c r="I5" s="44"/>
      <c r="J5" s="46"/>
      <c r="K5" s="44"/>
      <c r="L5" s="46"/>
      <c r="M5" s="34"/>
      <c r="N5" s="33"/>
      <c r="O5" s="46"/>
      <c r="P5" s="35"/>
      <c r="Q5" s="6"/>
      <c r="R5" s="6"/>
    </row>
    <row r="6" spans="1:18" ht="21.95" customHeight="1" x14ac:dyDescent="0.2">
      <c r="A6" s="5"/>
      <c r="B6" s="78"/>
      <c r="C6" s="42">
        <f>IF(DAY(AugSun1)=1,AugSun1+1,AugSun1+8)</f>
        <v>43318</v>
      </c>
      <c r="D6" s="15">
        <f>IFERROR(IF(OR(VLOOKUP(C6,Parameters!$D$54:$E$84,2,FALSE)="",VLOOKUP(C6,Parameters!$D$54:$E$84,2,FALSE)="DayOff"),"",VLOOKUP(C6,Parameters!$D$54:$E$84,2,FALSE)),"")</f>
        <v>4</v>
      </c>
      <c r="E6" s="43">
        <f>IF(DAY(AugSun1)=1,AugSun1+2,AugSun1+9)</f>
        <v>43319</v>
      </c>
      <c r="F6" s="15">
        <f>IFERROR(IF(OR(VLOOKUP(E6,Parameters!$D$54:$E$84,2,FALSE)="",VLOOKUP(E6,Parameters!$D$54:$E$84,2,FALSE)="DayOff"),"",VLOOKUP(E6,Parameters!$D$54:$E$84,2,FALSE)),"")</f>
        <v>5</v>
      </c>
      <c r="G6" s="43">
        <f>IF(DAY(AugSun1)=1,AugSun1+3,AugSun1+10)</f>
        <v>43320</v>
      </c>
      <c r="H6" s="15">
        <f>IFERROR(IF(OR(VLOOKUP(G6,Parameters!$D$54:$E$84,2,FALSE)="",VLOOKUP(G6,Parameters!$D$54:$E$84,2,FALSE)="DayOff"),"",VLOOKUP(G6,Parameters!$D$54:$E$84,2,FALSE)),"")</f>
        <v>6</v>
      </c>
      <c r="I6" s="43">
        <f>IF(DAY(AugSun1)=1,AugSun1+4,AugSun1+11)</f>
        <v>43321</v>
      </c>
      <c r="J6" s="15">
        <f>IFERROR(IF(OR(VLOOKUP(I6,Parameters!$D$54:$E$84,2,FALSE)="",VLOOKUP(I6,Parameters!$D$54:$E$84,2,FALSE)="DayOff"),"",VLOOKUP(I6,Parameters!$D$54:$E$84,2,FALSE)),"")</f>
        <v>7</v>
      </c>
      <c r="K6" s="43">
        <f>IF(DAY(AugSun1)=1,AugSun1+5,AugSun1+12)</f>
        <v>43322</v>
      </c>
      <c r="L6" s="15">
        <f>IFERROR(IF(OR(VLOOKUP(K6,Parameters!$D$54:$E$84,2,FALSE)="",VLOOKUP(K6,Parameters!$D$54:$E$84,2,FALSE)="DayOff"),"",VLOOKUP(K6,Parameters!$D$54:$E$84,2,FALSE)),"")</f>
        <v>8</v>
      </c>
      <c r="M6" s="49">
        <f>IF(DAY(AugSun1)=1,AugSun1+6,AugSun1+13)</f>
        <v>43323</v>
      </c>
      <c r="N6" s="9"/>
      <c r="O6" s="49">
        <f>IF(DAY(AugSun1)=1,AugSun1+7,AugSun1+14)</f>
        <v>43324</v>
      </c>
      <c r="P6" s="25"/>
      <c r="Q6" s="6"/>
      <c r="R6" s="6"/>
    </row>
    <row r="7" spans="1:18" ht="21.95" customHeight="1" x14ac:dyDescent="0.2">
      <c r="A7" s="5"/>
      <c r="B7" s="78"/>
      <c r="C7" s="32"/>
      <c r="D7" s="46"/>
      <c r="E7" s="44"/>
      <c r="F7" s="46"/>
      <c r="G7" s="44"/>
      <c r="H7" s="46"/>
      <c r="I7" s="44"/>
      <c r="J7" s="46"/>
      <c r="K7" s="44"/>
      <c r="L7" s="46"/>
      <c r="M7" s="34"/>
      <c r="N7" s="33"/>
      <c r="O7" s="46"/>
      <c r="P7" s="35"/>
      <c r="Q7" s="6"/>
      <c r="R7" s="6"/>
    </row>
    <row r="8" spans="1:18" ht="21.95" customHeight="1" x14ac:dyDescent="0.2">
      <c r="A8" s="5"/>
      <c r="B8" s="78"/>
      <c r="C8" s="42">
        <f>IF(DAY(AugSun1)=1,AugSun1+8,AugSun1+15)</f>
        <v>43325</v>
      </c>
      <c r="D8" s="15">
        <f>IFERROR(IF(OR(VLOOKUP(C8,Parameters!$D$54:$E$84,2,FALSE)="",VLOOKUP(C8,Parameters!$D$54:$E$84,2,FALSE)="DayOff"),"",VLOOKUP(C8,Parameters!$D$54:$E$84,2,FALSE)),"")</f>
        <v>9</v>
      </c>
      <c r="E8" s="43">
        <f>IF(DAY(AugSun1)=1,AugSun1+9,AugSun1+16)</f>
        <v>43326</v>
      </c>
      <c r="F8" s="15">
        <f>IFERROR(IF(OR(VLOOKUP(E8,Parameters!$D$54:$E$84,2,FALSE)="",VLOOKUP(E8,Parameters!$D$54:$E$84,2,FALSE)="DayOff"),"",VLOOKUP(E8,Parameters!$D$54:$E$84,2,FALSE)),"")</f>
        <v>10</v>
      </c>
      <c r="G8" s="43">
        <f>IF(DAY(AugSun1)=1,AugSun1+10,AugSun1+17)</f>
        <v>43327</v>
      </c>
      <c r="H8" s="15" t="str">
        <f>IFERROR(IF(OR(VLOOKUP(G8,Parameters!$D$54:$E$84,2,FALSE)="",VLOOKUP(G8,Parameters!$D$54:$E$84,2,FALSE)="DayOff"),"",VLOOKUP(G8,Parameters!$D$54:$E$84,2,FALSE)),"")</f>
        <v/>
      </c>
      <c r="I8" s="43">
        <f>IF(DAY(AugSun1)=1,AugSun1+11,AugSun1+18)</f>
        <v>43328</v>
      </c>
      <c r="J8" s="15">
        <f>IFERROR(IF(OR(VLOOKUP(I8,Parameters!$D$54:$E$84,2,FALSE)="",VLOOKUP(I8,Parameters!$D$54:$E$84,2,FALSE)="DayOff"),"",VLOOKUP(I8,Parameters!$D$54:$E$84,2,FALSE)),"")</f>
        <v>11</v>
      </c>
      <c r="K8" s="49">
        <f>IF(DAY(AugSun1)=1,AugSun1+12,AugSun1+19)</f>
        <v>43329</v>
      </c>
      <c r="L8" s="15">
        <f>IFERROR(IF(OR(VLOOKUP(K8,Parameters!$D$54:$E$84,2,FALSE)="",VLOOKUP(K8,Parameters!$D$54:$E$84,2,FALSE)="DayOff"),"",VLOOKUP(K8,Parameters!$D$54:$E$84,2,FALSE)),"")</f>
        <v>12</v>
      </c>
      <c r="M8" s="49">
        <f>IF(DAY(AugSun1)=1,AugSun1+13,AugSun1+20)</f>
        <v>43330</v>
      </c>
      <c r="N8" s="9"/>
      <c r="O8" s="49">
        <f>IF(DAY(AugSun1)=1,AugSun1+14,AugSun1+21)</f>
        <v>43331</v>
      </c>
      <c r="P8" s="25"/>
      <c r="Q8" s="6"/>
      <c r="R8" s="6"/>
    </row>
    <row r="9" spans="1:18" ht="21.95" customHeight="1" x14ac:dyDescent="0.2">
      <c r="A9" s="5"/>
      <c r="B9" s="78"/>
      <c r="C9" s="32"/>
      <c r="D9" s="46"/>
      <c r="E9" s="44"/>
      <c r="F9" s="46"/>
      <c r="G9" s="44"/>
      <c r="H9" s="46"/>
      <c r="I9" s="44"/>
      <c r="J9" s="46"/>
      <c r="K9" s="44"/>
      <c r="L9" s="46"/>
      <c r="M9" s="34"/>
      <c r="N9" s="33"/>
      <c r="O9" s="46"/>
      <c r="P9" s="35"/>
      <c r="Q9" s="6"/>
      <c r="R9" s="6"/>
    </row>
    <row r="10" spans="1:18" ht="21.95" customHeight="1" x14ac:dyDescent="0.2">
      <c r="A10" s="5"/>
      <c r="B10" s="78"/>
      <c r="C10" s="42">
        <f>IF(DAY(AugSun1)=1,AugSun1+15,AugSun1+22)</f>
        <v>43332</v>
      </c>
      <c r="D10" s="15" t="str">
        <f>IFERROR(IF(OR(VLOOKUP(C10,Parameters!$D$54:$E$84,2,FALSE)="",VLOOKUP(C10,Parameters!$D$54:$E$84,2,FALSE)="DayOff"),"",VLOOKUP(C10,Parameters!$D$54:$E$84,2,FALSE)),"")</f>
        <v/>
      </c>
      <c r="E10" s="43">
        <f>IF(DAY(AugSun1)=1,AugSun1+16,AugSun1+23)</f>
        <v>43333</v>
      </c>
      <c r="F10" s="15" t="str">
        <f>IFERROR(IF(OR(VLOOKUP(E10,Parameters!$D$54:$E$84,2,FALSE)="",VLOOKUP(E10,Parameters!$D$54:$E$84,2,FALSE)="DayOff"),"",VLOOKUP(E10,Parameters!$D$54:$E$84,2,FALSE)),"")</f>
        <v/>
      </c>
      <c r="G10" s="43">
        <f>IF(DAY(AugSun1)=1,AugSun1+17,AugSun1+24)</f>
        <v>43334</v>
      </c>
      <c r="H10" s="15" t="str">
        <f>IFERROR(IF(OR(VLOOKUP(G10,Parameters!$D$54:$E$84,2,FALSE)="",VLOOKUP(G10,Parameters!$D$54:$E$84,2,FALSE)="DayOff"),"",VLOOKUP(G10,Parameters!$D$54:$E$84,2,FALSE)),"")</f>
        <v/>
      </c>
      <c r="I10" s="43">
        <f>IF(DAY(AugSun1)=1,AugSun1+18,AugSun1+25)</f>
        <v>43335</v>
      </c>
      <c r="J10" s="15" t="str">
        <f>IFERROR(IF(OR(VLOOKUP(I10,Parameters!$D$54:$E$84,2,FALSE)="",VLOOKUP(I10,Parameters!$D$54:$E$84,2,FALSE)="DayOff"),"",VLOOKUP(I10,Parameters!$D$54:$E$84,2,FALSE)),"")</f>
        <v/>
      </c>
      <c r="K10" s="49">
        <f>IF(DAY(AugSun1)=1,AugSun1+19,AugSun1+26)</f>
        <v>43336</v>
      </c>
      <c r="L10" s="15" t="str">
        <f>IFERROR(IF(OR(VLOOKUP(K10,Parameters!$D$54:$E$84,2,FALSE)="",VLOOKUP(K10,Parameters!$D$54:$E$84,2,FALSE)="DayOff"),"",VLOOKUP(K10,Parameters!$D$54:$E$84,2,FALSE)),"")</f>
        <v/>
      </c>
      <c r="M10" s="49">
        <f>IF(DAY(AugSun1)=1,AugSun1+20,AugSun1+27)</f>
        <v>43337</v>
      </c>
      <c r="N10" s="9"/>
      <c r="O10" s="49">
        <f>IF(DAY(AugSun1)=1,AugSun1+21,AugSun1+28)</f>
        <v>43338</v>
      </c>
      <c r="P10" s="25"/>
      <c r="Q10" s="6"/>
      <c r="R10" s="6"/>
    </row>
    <row r="11" spans="1:18" ht="21.95" customHeight="1" x14ac:dyDescent="0.2">
      <c r="A11" s="5"/>
      <c r="B11" s="78"/>
      <c r="C11" s="32"/>
      <c r="D11" s="46"/>
      <c r="E11" s="34"/>
      <c r="F11" s="46"/>
      <c r="G11" s="34"/>
      <c r="H11" s="46"/>
      <c r="I11" s="63" t="s">
        <v>26</v>
      </c>
      <c r="J11" s="33"/>
      <c r="K11" s="46"/>
      <c r="L11" s="33"/>
      <c r="M11" s="46"/>
      <c r="N11" s="33"/>
      <c r="O11" s="46"/>
      <c r="P11" s="35"/>
      <c r="Q11" s="6"/>
      <c r="R11" s="6"/>
    </row>
    <row r="12" spans="1:18" ht="21.95" customHeight="1" x14ac:dyDescent="0.2">
      <c r="A12" s="5"/>
      <c r="B12" s="78"/>
      <c r="C12" s="42">
        <f>IF(DAY(AugSun1)=1,AugSun1+22,AugSun1+29)</f>
        <v>43339</v>
      </c>
      <c r="D12" s="15" t="str">
        <f>IFERROR(IF(OR(VLOOKUP(C12,Parameters!$D$54:$E$84,2,FALSE)="",VLOOKUP(C12,Parameters!$D$54:$E$84,2,FALSE)="DayOff"),"",VLOOKUP(C12,Parameters!$D$54:$E$84,2,FALSE)),"")</f>
        <v/>
      </c>
      <c r="E12" s="43">
        <f>IF(DAY(AugSun1)=1,AugSun1+23,AugSun1+30)</f>
        <v>43340</v>
      </c>
      <c r="F12" s="15" t="str">
        <f>IFERROR(IF(OR(VLOOKUP(E12,Parameters!$D$54:$E$84,2,FALSE)="",VLOOKUP(E12,Parameters!$D$54:$E$84,2,FALSE)="DayOff"),"",VLOOKUP(E12,Parameters!$D$54:$E$84,2,FALSE)),"")</f>
        <v/>
      </c>
      <c r="G12" s="43">
        <f>IF(DAY(AugSun1)=1,AugSun1+24,AugSun1+31)</f>
        <v>43341</v>
      </c>
      <c r="H12" s="15" t="str">
        <f>IFERROR(IF(OR(VLOOKUP(G12,Parameters!$D$54:$E$84,2,FALSE)="",VLOOKUP(G12,Parameters!$D$54:$E$84,2,FALSE)="DayOff"),"",VLOOKUP(G12,Parameters!$D$54:$E$84,2,FALSE)),"")</f>
        <v/>
      </c>
      <c r="I12" s="40">
        <f>IF(DAY(AugSun1)=1,AugSun1+25,AugSun1+32)</f>
        <v>43342</v>
      </c>
      <c r="J12" s="15" t="str">
        <f>IFERROR(IF(OR(VLOOKUP(I12,Parameters!$D$54:$E$84,2,FALSE)="",VLOOKUP(I12,Parameters!$D$54:$E$84,2,FALSE)="DayOff"),"",VLOOKUP(I12,Parameters!$D$54:$E$84,2,FALSE)),"")</f>
        <v/>
      </c>
      <c r="K12" s="49">
        <f>IF(DAY(AugSun1)=1,AugSun1+26,AugSun1+33)</f>
        <v>43343</v>
      </c>
      <c r="L12" s="15" t="str">
        <f>IFERROR(IF(OR(VLOOKUP(K12,Parameters!$D$54:$E$84,2,FALSE)="",VLOOKUP(K12,Parameters!$D$54:$E$84,2,FALSE)="DayOff"),"",VLOOKUP(K12,Parameters!$D$54:$E$84,2,FALSE)),"")</f>
        <v/>
      </c>
      <c r="M12" s="49">
        <f>IF(DAY(AugSun1)=1,AugSun1+27,AugSun1+34)</f>
        <v>43344</v>
      </c>
      <c r="N12" s="9"/>
      <c r="O12" s="49">
        <f>IF(DAY(AugSun1)=1,AugSun1+28,AugSun1+35)</f>
        <v>43345</v>
      </c>
      <c r="P12" s="25"/>
      <c r="Q12" s="6"/>
      <c r="R12" s="6"/>
    </row>
    <row r="13" spans="1:18" ht="21.95" customHeight="1" x14ac:dyDescent="0.2">
      <c r="A13" s="5"/>
      <c r="B13" s="78"/>
      <c r="C13" s="32"/>
      <c r="D13" s="46"/>
      <c r="E13" s="44"/>
      <c r="F13" s="46"/>
      <c r="G13" s="44"/>
      <c r="H13" s="46"/>
      <c r="I13" s="44"/>
      <c r="J13" s="46"/>
      <c r="K13" s="44"/>
      <c r="L13" s="46"/>
      <c r="M13" s="34"/>
      <c r="N13" s="33"/>
      <c r="O13" s="46"/>
      <c r="P13" s="35"/>
      <c r="Q13" s="6"/>
      <c r="R13" s="6"/>
    </row>
    <row r="14" spans="1:18" ht="21.95" customHeight="1" x14ac:dyDescent="0.2">
      <c r="A14" s="5"/>
      <c r="B14" s="78"/>
      <c r="C14" s="62">
        <f>IF(DAY(AugSun1)=1,AugSun1+29,AugSun1+36)</f>
        <v>43346</v>
      </c>
      <c r="D14" s="15" t="str">
        <f>IFERROR(IF(OR(VLOOKUP(C14,Parameters!$D$54:$E$84,2,FALSE)="",VLOOKUP(C14,Parameters!$D$54:$E$84,2,FALSE)="DayOff"),"",VLOOKUP(C14,Parameters!$D$54:$E$84,2,FALSE)),"")</f>
        <v/>
      </c>
      <c r="E14" s="43">
        <f>IF(DAY(AugSun1)=1,AugSun1+30,AugSun1+37)</f>
        <v>43347</v>
      </c>
      <c r="F14" s="15" t="str">
        <f>IFERROR(IF(OR(VLOOKUP(E14,Parameters!$D$54:$E$84,2,FALSE)="",VLOOKUP(E14,Parameters!$D$54:$E$84,2,FALSE)="DayOff"),"",VLOOKUP(E14,Parameters!$D$54:$E$84,2,FALSE)),"")</f>
        <v/>
      </c>
      <c r="G14" s="43">
        <f>IF(DAY(AugSun1)=1,AugSun1+31,AugSun1+38)</f>
        <v>43348</v>
      </c>
      <c r="H14" s="15" t="str">
        <f>IFERROR(IF(OR(VLOOKUP(G14,Parameters!$D$54:$E$84,2,FALSE)="",VLOOKUP(G14,Parameters!$D$54:$E$84,2,FALSE)="DayOff"),"",VLOOKUP(G14,Parameters!$D$54:$E$84,2,FALSE)),"")</f>
        <v/>
      </c>
      <c r="I14" s="43">
        <f>IF(DAY(AugSun1)=1,AugSun1+32,AugSun1+39)</f>
        <v>43349</v>
      </c>
      <c r="J14" s="15" t="str">
        <f>IFERROR(IF(OR(VLOOKUP(I14,Parameters!$D$54:$E$84,2,FALSE)="",VLOOKUP(I14,Parameters!$D$54:$E$84,2,FALSE)="DayOff"),"",VLOOKUP(I14,Parameters!$D$54:$E$84,2,FALSE)),"")</f>
        <v/>
      </c>
      <c r="K14" s="43">
        <f>IF(DAY(AugSun1)=1,AugSun1+33,AugSun1+40)</f>
        <v>43350</v>
      </c>
      <c r="L14" s="15" t="str">
        <f>IFERROR(IF(OR(VLOOKUP(K14,Parameters!$D$54:$E$84,2,FALSE)="",VLOOKUP(K14,Parameters!$D$54:$E$84,2,FALSE)="DayOff"),"",VLOOKUP(K14,Parameters!$D$54:$E$84,2,FALSE)),"")</f>
        <v/>
      </c>
      <c r="M14" s="49">
        <f>IF(DAY(AugSun1)=1,AugSun1+34,AugSun1+41)</f>
        <v>43351</v>
      </c>
      <c r="N14" s="15"/>
      <c r="O14" s="49">
        <f>IF(DAY(AugSun1)=1,AugSun1+35,AugSun1+42)</f>
        <v>43352</v>
      </c>
      <c r="P14" s="25"/>
      <c r="Q14" s="6"/>
      <c r="R14" s="6"/>
    </row>
    <row r="15" spans="1:18" ht="21.95" customHeight="1" thickBot="1" x14ac:dyDescent="0.25">
      <c r="A15" s="5"/>
      <c r="B15" s="78"/>
      <c r="C15" s="36"/>
      <c r="D15" s="47"/>
      <c r="E15" s="38"/>
      <c r="F15" s="37"/>
      <c r="G15" s="38"/>
      <c r="H15" s="37"/>
      <c r="I15" s="38"/>
      <c r="J15" s="37"/>
      <c r="K15" s="47"/>
      <c r="L15" s="37"/>
      <c r="M15" s="47"/>
      <c r="N15" s="37"/>
      <c r="O15" s="47"/>
      <c r="P15" s="39"/>
      <c r="Q15" s="6"/>
      <c r="R15" s="6"/>
    </row>
    <row r="16" spans="1:18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  <c r="R16" s="6"/>
    </row>
    <row r="17" spans="1:18" ht="16.5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  <c r="R17" s="6"/>
    </row>
  </sheetData>
  <sheetProtection selectLockedCells="1"/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5:N5 C4 E4 G4 I4 K4 M4:N4">
    <cfRule type="expression" dxfId="55" priority="27" stopIfTrue="1">
      <formula>DAY(C4)&gt;8</formula>
    </cfRule>
  </conditionalFormatting>
  <conditionalFormatting sqref="C12 G12 I12 K12 M12:O12 C15:O15 C14 M14 K14 I14 G14 E12 E14 O14">
    <cfRule type="expression" dxfId="54" priority="26" stopIfTrue="1">
      <formula>AND(DAY(C12)&gt;=1,DAY(C12)&lt;=15)</formula>
    </cfRule>
  </conditionalFormatting>
  <conditionalFormatting sqref="C4 E4 G4 I4 K4 M4:O4 C6 M6:O6 K6 I6 G6 C8 G8 I8 K8 M8:O8 C11:H11 C10 M10:O10 K10 I10 G10 C12 G12 I12 K12 M12:O12 C14 M14 K14 I14 G14 E6 E8 E10 E12 E14 C5:O5 J11:O11 O14">
    <cfRule type="expression" dxfId="53" priority="28">
      <formula>VLOOKUP(DAY(C4),AssignmentDays,1,FALSE)=DAY(C4)</formula>
    </cfRule>
  </conditionalFormatting>
  <conditionalFormatting sqref="F5">
    <cfRule type="expression" dxfId="52" priority="24" stopIfTrue="1">
      <formula>AND(DAY(F5)&gt;=1,DAY(F5)&lt;=15)</formula>
    </cfRule>
  </conditionalFormatting>
  <conditionalFormatting sqref="H5">
    <cfRule type="expression" dxfId="51" priority="23" stopIfTrue="1">
      <formula>AND(DAY(H5)&gt;=1,DAY(H5)&lt;=15)</formula>
    </cfRule>
  </conditionalFormatting>
  <conditionalFormatting sqref="I11">
    <cfRule type="expression" dxfId="50" priority="22">
      <formula>VLOOKUP(DAY(I11),AssignmentDays,1,FALSE)=DAY(I11)</formula>
    </cfRule>
  </conditionalFormatting>
  <conditionalFormatting sqref="C7:N7">
    <cfRule type="expression" dxfId="49" priority="20" stopIfTrue="1">
      <formula>DAY(C7)&gt;8</formula>
    </cfRule>
  </conditionalFormatting>
  <conditionalFormatting sqref="C7:O7">
    <cfRule type="expression" dxfId="48" priority="21">
      <formula>VLOOKUP(DAY(C7),AssignmentDays,1,FALSE)=DAY(C7)</formula>
    </cfRule>
  </conditionalFormatting>
  <conditionalFormatting sqref="F7">
    <cfRule type="expression" dxfId="47" priority="19" stopIfTrue="1">
      <formula>AND(DAY(F7)&gt;=1,DAY(F7)&lt;=15)</formula>
    </cfRule>
  </conditionalFormatting>
  <conditionalFormatting sqref="H7">
    <cfRule type="expression" dxfId="46" priority="18" stopIfTrue="1">
      <formula>AND(DAY(H7)&gt;=1,DAY(H7)&lt;=15)</formula>
    </cfRule>
  </conditionalFormatting>
  <conditionalFormatting sqref="C9:N9">
    <cfRule type="expression" dxfId="45" priority="16" stopIfTrue="1">
      <formula>DAY(C9)&gt;8</formula>
    </cfRule>
  </conditionalFormatting>
  <conditionalFormatting sqref="C9:O9">
    <cfRule type="expression" dxfId="44" priority="17">
      <formula>VLOOKUP(DAY(C9),AssignmentDays,1,FALSE)=DAY(C9)</formula>
    </cfRule>
  </conditionalFormatting>
  <conditionalFormatting sqref="F9">
    <cfRule type="expression" dxfId="43" priority="15" stopIfTrue="1">
      <formula>AND(DAY(F9)&gt;=1,DAY(F9)&lt;=15)</formula>
    </cfRule>
  </conditionalFormatting>
  <conditionalFormatting sqref="H9">
    <cfRule type="expression" dxfId="42" priority="14" stopIfTrue="1">
      <formula>AND(DAY(H9)&gt;=1,DAY(H9)&lt;=15)</formula>
    </cfRule>
  </conditionalFormatting>
  <conditionalFormatting sqref="C13:F13 J13 H13 L13:N13">
    <cfRule type="expression" dxfId="41" priority="12" stopIfTrue="1">
      <formula>DAY(C13)&gt;8</formula>
    </cfRule>
  </conditionalFormatting>
  <conditionalFormatting sqref="C13:F13 J13 H13 L13:O13">
    <cfRule type="expression" dxfId="40" priority="13">
      <formula>VLOOKUP(DAY(C13),AssignmentDays,1,FALSE)=DAY(C13)</formula>
    </cfRule>
  </conditionalFormatting>
  <conditionalFormatting sqref="F13">
    <cfRule type="expression" dxfId="39" priority="11" stopIfTrue="1">
      <formula>AND(DAY(F13)&gt;=1,DAY(F13)&lt;=15)</formula>
    </cfRule>
  </conditionalFormatting>
  <conditionalFormatting sqref="H13">
    <cfRule type="expression" dxfId="38" priority="10" stopIfTrue="1">
      <formula>AND(DAY(H13)&gt;=1,DAY(H13)&lt;=15)</formula>
    </cfRule>
  </conditionalFormatting>
  <conditionalFormatting sqref="G13">
    <cfRule type="expression" dxfId="37" priority="5" stopIfTrue="1">
      <formula>DAY(G13)&gt;8</formula>
    </cfRule>
  </conditionalFormatting>
  <conditionalFormatting sqref="G13">
    <cfRule type="expression" dxfId="36" priority="6">
      <formula>VLOOKUP(DAY(G13),AssignmentDays,1,FALSE)=DAY(G13)</formula>
    </cfRule>
  </conditionalFormatting>
  <conditionalFormatting sqref="I13">
    <cfRule type="expression" dxfId="35" priority="3" stopIfTrue="1">
      <formula>DAY(I13)&gt;8</formula>
    </cfRule>
  </conditionalFormatting>
  <conditionalFormatting sqref="I13">
    <cfRule type="expression" dxfId="34" priority="4">
      <formula>VLOOKUP(DAY(I13),AssignmentDays,1,FALSE)=DAY(I13)</formula>
    </cfRule>
  </conditionalFormatting>
  <conditionalFormatting sqref="K13">
    <cfRule type="expression" dxfId="33" priority="1" stopIfTrue="1">
      <formula>DAY(K13)&gt;8</formula>
    </cfRule>
  </conditionalFormatting>
  <conditionalFormatting sqref="K13">
    <cfRule type="expression" dxfId="32" priority="2">
      <formula>VLOOKUP(DAY(K13),AssignmentDays,1,FALSE)=DAY(K13)</formula>
    </cfRule>
  </conditionalFormatting>
  <printOptions horizontalCentered="1"/>
  <pageMargins left="0.5" right="0.5" top="0.5" bottom="0.5" header="0.3" footer="0.3"/>
  <pageSetup scale="6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Q17"/>
  <sheetViews>
    <sheetView showGridLines="0" topLeftCell="A2" zoomScale="90" zoomScaleNormal="90" zoomScalePageLayoutView="84" workbookViewId="0">
      <selection activeCell="D6" sqref="D6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17" width="2.28515625" customWidth="1"/>
    <col min="18" max="24" width="8.85546875" customWidth="1"/>
    <col min="44" max="16384" width="8.7109375" style="1"/>
  </cols>
  <sheetData>
    <row r="1" spans="1:18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  <c r="R1" s="6"/>
    </row>
    <row r="2" spans="1:18" ht="18" customHeight="1" thickBot="1" x14ac:dyDescent="0.25">
      <c r="A2" s="5"/>
      <c r="B2" s="78" t="str">
        <f>" SEPTEMBER "&amp;Parameters!B14</f>
        <v xml:space="preserve"> SEPTEMBER 2018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  <c r="R2" s="6"/>
    </row>
    <row r="3" spans="1:18" ht="21.95" customHeight="1" thickBot="1" x14ac:dyDescent="0.25">
      <c r="A3" s="5"/>
      <c r="B3" s="78"/>
      <c r="C3" s="79" t="s">
        <v>1</v>
      </c>
      <c r="D3" s="73"/>
      <c r="E3" s="72" t="s">
        <v>2</v>
      </c>
      <c r="F3" s="73"/>
      <c r="G3" s="72" t="s">
        <v>3</v>
      </c>
      <c r="H3" s="73"/>
      <c r="I3" s="72" t="s">
        <v>4</v>
      </c>
      <c r="J3" s="73"/>
      <c r="K3" s="72" t="s">
        <v>5</v>
      </c>
      <c r="L3" s="73"/>
      <c r="M3" s="72" t="s">
        <v>6</v>
      </c>
      <c r="N3" s="73"/>
      <c r="O3" s="72" t="s">
        <v>7</v>
      </c>
      <c r="P3" s="74"/>
      <c r="Q3" s="6"/>
      <c r="R3" s="6"/>
    </row>
    <row r="4" spans="1:18" ht="21.95" customHeight="1" x14ac:dyDescent="0.2">
      <c r="A4" s="5"/>
      <c r="B4" s="78"/>
      <c r="C4" s="41">
        <f>IF(DAY(SepSun1)=1,SepSun1-6,SepSun1+1)</f>
        <v>43339</v>
      </c>
      <c r="D4" s="15" t="str">
        <f>IFERROR(IF(OR(VLOOKUP(C4,Parameters!$F$54:$G$84,2,FALSE)="",VLOOKUP(C4,Parameters!$F$54:$G$84,2,FALSE)="DayOff"),"",VLOOKUP(C4,Parameters!$F$54:$G$84,2,FALSE)),"")</f>
        <v/>
      </c>
      <c r="E4" s="40">
        <f>IF(DAY(SepSun1)=1,SepSun1-5,SepSun1+2)</f>
        <v>43340</v>
      </c>
      <c r="F4" s="15" t="str">
        <f>IFERROR(IF(OR(VLOOKUP(E4,Parameters!$F$54:$G$84,2,FALSE)="",VLOOKUP(E4,Parameters!$F$54:$G$84,2,FALSE)="DayOff"),"",VLOOKUP(E4,Parameters!$F$54:$G$84,2,FALSE)),"")</f>
        <v/>
      </c>
      <c r="G4" s="40">
        <f>IF(DAY(SepSun1)=1,SepSun1-4,SepSun1+3)</f>
        <v>43341</v>
      </c>
      <c r="H4" s="15" t="str">
        <f>IFERROR(IF(OR(VLOOKUP(G4,Parameters!$F$54:$G$84,2,FALSE)="",VLOOKUP(G4,Parameters!$F$54:$G$84,2,FALSE)="DayOff"),"",VLOOKUP(G4,Parameters!$F$54:$G$84,2,FALSE)),"")</f>
        <v/>
      </c>
      <c r="I4" s="40">
        <f>IF(DAY(SepSun1)=1,SepSun1-3,SepSun1+4)</f>
        <v>43342</v>
      </c>
      <c r="J4" s="15" t="str">
        <f>IFERROR(IF(OR(VLOOKUP(I4,Parameters!$F$54:$G$84,2,FALSE)="",VLOOKUP(I4,Parameters!$F$54:$G$84,2,FALSE)="DayOff"),"",VLOOKUP(I4,Parameters!$F$54:$G$84,2,FALSE)),"")</f>
        <v/>
      </c>
      <c r="K4" s="40">
        <f>IF(DAY(SepSun1)=1,SepSun1-2,SepSun1+5)</f>
        <v>43343</v>
      </c>
      <c r="L4" s="15" t="str">
        <f>IFERROR(IF(OR(VLOOKUP(K4,Parameters!$F$54:$G$84,2,FALSE)="",VLOOKUP(K4,Parameters!$F$54:$G$84,2,FALSE)="DayOff"),"",VLOOKUP(K4,Parameters!$F$54:$G$84,2,FALSE)),"")</f>
        <v/>
      </c>
      <c r="M4" s="40">
        <f>IF(DAY(SepSun1)=1,SepSun1-1,SepSun1+6)</f>
        <v>43344</v>
      </c>
      <c r="N4" s="20"/>
      <c r="O4" s="40">
        <f>IF(DAY(SepSun1)=1,SepSun1,SepSun1+7)</f>
        <v>43345</v>
      </c>
      <c r="P4" s="22"/>
      <c r="Q4" s="6"/>
      <c r="R4" s="6"/>
    </row>
    <row r="5" spans="1:18" ht="21.95" customHeight="1" x14ac:dyDescent="0.2">
      <c r="A5" s="5"/>
      <c r="B5" s="78"/>
      <c r="C5" s="32"/>
      <c r="D5" s="46"/>
      <c r="E5" s="34"/>
      <c r="F5" s="46"/>
      <c r="G5" s="34"/>
      <c r="H5" s="46"/>
      <c r="I5" s="34"/>
      <c r="J5" s="46"/>
      <c r="K5" s="34"/>
      <c r="L5" s="46"/>
      <c r="M5" s="34"/>
      <c r="N5" s="46"/>
      <c r="O5" s="34"/>
      <c r="P5" s="35"/>
      <c r="Q5" s="6"/>
      <c r="R5" s="6"/>
    </row>
    <row r="6" spans="1:18" ht="21.95" customHeight="1" x14ac:dyDescent="0.2">
      <c r="A6" s="5"/>
      <c r="B6" s="78"/>
      <c r="C6" s="41">
        <f>IF(DAY(SepSun1)=1,SepSun1+1,SepSun1+8)</f>
        <v>43346</v>
      </c>
      <c r="D6" s="15">
        <f>IFERROR(IF(OR(VLOOKUP(C6,Parameters!$F$54:$G$84,2,FALSE)="",VLOOKUP(C6,Parameters!$F$54:$G$84,2,FALSE)="DayOff"),"",VLOOKUP(C6,Parameters!$F$54:$G$84,2,FALSE)),"")</f>
        <v>1</v>
      </c>
      <c r="E6" s="40">
        <f>IF(DAY(SepSun1)=1,SepSun1+2,SepSun1+9)</f>
        <v>43347</v>
      </c>
      <c r="F6" s="15">
        <f>IFERROR(IF(OR(VLOOKUP(E6,Parameters!$F$54:$G$84,2,FALSE)="",VLOOKUP(E6,Parameters!$F$54:$G$84,2,FALSE)="DayOff"),"",VLOOKUP(E6,Parameters!$F$54:$G$84,2,FALSE)),"")</f>
        <v>2</v>
      </c>
      <c r="G6" s="40">
        <f>IF(DAY(SepSun1)=1,SepSun1+3,SepSun1+10)</f>
        <v>43348</v>
      </c>
      <c r="H6" s="15">
        <f>IFERROR(IF(OR(VLOOKUP(G6,Parameters!$F$54:$G$84,2,FALSE)="",VLOOKUP(G6,Parameters!$F$54:$G$84,2,FALSE)="DayOff"),"",VLOOKUP(G6,Parameters!$F$54:$G$84,2,FALSE)),"")</f>
        <v>3</v>
      </c>
      <c r="I6" s="40">
        <f>IF(DAY(SepSun1)=1,SepSun1+4,SepSun1+11)</f>
        <v>43349</v>
      </c>
      <c r="J6" s="15">
        <f>IFERROR(IF(OR(VLOOKUP(I6,Parameters!$F$54:$G$84,2,FALSE)="",VLOOKUP(I6,Parameters!$F$54:$G$84,2,FALSE)="DayOff"),"",VLOOKUP(I6,Parameters!$F$54:$G$84,2,FALSE)),"")</f>
        <v>4</v>
      </c>
      <c r="K6" s="40">
        <f>IF(DAY(SepSun1)=1,SepSun1+5,SepSun1+12)</f>
        <v>43350</v>
      </c>
      <c r="L6" s="15">
        <f>IFERROR(IF(OR(VLOOKUP(K6,Parameters!$F$54:$G$84,2,FALSE)="",VLOOKUP(K6,Parameters!$F$54:$G$84,2,FALSE)="DayOff"),"",VLOOKUP(K6,Parameters!$F$54:$G$84,2,FALSE)),"")</f>
        <v>5</v>
      </c>
      <c r="M6" s="40">
        <f>IF(DAY(SepSun1)=1,SepSun1+6,SepSun1+13)</f>
        <v>43351</v>
      </c>
      <c r="N6" s="2"/>
      <c r="O6" s="40">
        <f>IF(DAY(SepSun1)=1,SepSun1+7,SepSun1+14)</f>
        <v>43352</v>
      </c>
      <c r="P6" s="22"/>
      <c r="Q6" s="6"/>
      <c r="R6" s="6"/>
    </row>
    <row r="7" spans="1:18" ht="21.95" customHeight="1" x14ac:dyDescent="0.2">
      <c r="A7" s="5"/>
      <c r="B7" s="78"/>
      <c r="C7" s="32"/>
      <c r="D7" s="46"/>
      <c r="E7" s="34"/>
      <c r="F7" s="46"/>
      <c r="G7" s="34"/>
      <c r="H7" s="46"/>
      <c r="I7" s="34"/>
      <c r="J7" s="46"/>
      <c r="K7" s="34"/>
      <c r="L7" s="46"/>
      <c r="M7" s="34"/>
      <c r="N7" s="46"/>
      <c r="O7" s="34"/>
      <c r="P7" s="35"/>
      <c r="Q7" s="6"/>
      <c r="R7" s="6"/>
    </row>
    <row r="8" spans="1:18" ht="21.95" customHeight="1" x14ac:dyDescent="0.2">
      <c r="A8" s="5"/>
      <c r="B8" s="78"/>
      <c r="C8" s="41">
        <f>IF(DAY(SepSun1)=1,SepSun1+8,SepSun1+15)</f>
        <v>43353</v>
      </c>
      <c r="D8" s="15">
        <f>IFERROR(IF(OR(VLOOKUP(C8,Parameters!$F$54:$G$84,2,FALSE)="",VLOOKUP(C8,Parameters!$F$54:$G$84,2,FALSE)="DayOff"),"",VLOOKUP(C8,Parameters!$F$54:$G$84,2,FALSE)),"")</f>
        <v>6</v>
      </c>
      <c r="E8" s="40">
        <f>IF(DAY(SepSun1)=1,SepSun1+9,SepSun1+16)</f>
        <v>43354</v>
      </c>
      <c r="F8" s="15">
        <f>IFERROR(IF(OR(VLOOKUP(E8,Parameters!$F$54:$G$84,2,FALSE)="",VLOOKUP(E8,Parameters!$F$54:$G$84,2,FALSE)="DayOff"),"",VLOOKUP(E8,Parameters!$F$54:$G$84,2,FALSE)),"")</f>
        <v>7</v>
      </c>
      <c r="G8" s="40">
        <f>IF(DAY(SepSun1)=1,SepSun1+10,SepSun1+17)</f>
        <v>43355</v>
      </c>
      <c r="H8" s="15">
        <f>IFERROR(IF(OR(VLOOKUP(G8,Parameters!$F$54:$G$84,2,FALSE)="",VLOOKUP(G8,Parameters!$F$54:$G$84,2,FALSE)="DayOff"),"",VLOOKUP(G8,Parameters!$F$54:$G$84,2,FALSE)),"")</f>
        <v>8</v>
      </c>
      <c r="I8" s="40">
        <f>IF(DAY(SepSun1)=1,SepSun1+11,SepSun1+18)</f>
        <v>43356</v>
      </c>
      <c r="J8" s="15">
        <f>IFERROR(IF(OR(VLOOKUP(I8,Parameters!$F$54:$G$84,2,FALSE)="",VLOOKUP(I8,Parameters!$F$54:$G$84,2,FALSE)="DayOff"),"",VLOOKUP(I8,Parameters!$F$54:$G$84,2,FALSE)),"")</f>
        <v>9</v>
      </c>
      <c r="K8" s="40">
        <f>IF(DAY(SepSun1)=1,SepSun1+12,SepSun1+19)</f>
        <v>43357</v>
      </c>
      <c r="L8" s="15">
        <f>IFERROR(IF(OR(VLOOKUP(K8,Parameters!$F$54:$G$84,2,FALSE)="",VLOOKUP(K8,Parameters!$F$54:$G$84,2,FALSE)="DayOff"),"",VLOOKUP(K8,Parameters!$F$54:$G$84,2,FALSE)),"")</f>
        <v>10</v>
      </c>
      <c r="M8" s="40">
        <f>IF(DAY(SepSun1)=1,SepSun1+13,SepSun1+20)</f>
        <v>43358</v>
      </c>
      <c r="N8" s="2"/>
      <c r="O8" s="40">
        <f>IF(DAY(SepSun1)=1,SepSun1+14,SepSun1+21)</f>
        <v>43359</v>
      </c>
      <c r="P8" s="22"/>
      <c r="Q8" s="6"/>
      <c r="R8" s="6"/>
    </row>
    <row r="9" spans="1:18" ht="21.95" customHeight="1" x14ac:dyDescent="0.2">
      <c r="A9" s="5"/>
      <c r="B9" s="78"/>
      <c r="C9" s="32"/>
      <c r="D9" s="46"/>
      <c r="E9" s="34"/>
      <c r="F9" s="46"/>
      <c r="G9" s="34"/>
      <c r="H9" s="46"/>
      <c r="I9" s="34"/>
      <c r="J9" s="46"/>
      <c r="K9" s="34"/>
      <c r="L9" s="46"/>
      <c r="M9" s="34"/>
      <c r="N9" s="46"/>
      <c r="O9" s="34"/>
      <c r="P9" s="35"/>
      <c r="Q9" s="6"/>
      <c r="R9" s="6"/>
    </row>
    <row r="10" spans="1:18" ht="21.95" customHeight="1" x14ac:dyDescent="0.2">
      <c r="A10" s="5"/>
      <c r="B10" s="78"/>
      <c r="C10" s="41">
        <f>IF(DAY(SepSun1)=1,SepSun1+15,SepSun1+22)</f>
        <v>43360</v>
      </c>
      <c r="D10" s="15">
        <f>IFERROR(IF(OR(VLOOKUP(C10,Parameters!$F$54:$G$84,2,FALSE)="",VLOOKUP(C10,Parameters!$F$54:$G$84,2,FALSE)="DayOff"),"",VLOOKUP(C10,Parameters!$F$54:$G$84,2,FALSE)),"")</f>
        <v>11</v>
      </c>
      <c r="E10" s="40">
        <f>IF(DAY(SepSun1)=1,SepSun1+16,SepSun1+23)</f>
        <v>43361</v>
      </c>
      <c r="F10" s="15">
        <f>IFERROR(IF(OR(VLOOKUP(E10,Parameters!$F$54:$G$84,2,FALSE)="",VLOOKUP(E10,Parameters!$F$54:$G$84,2,FALSE)="DayOff"),"",VLOOKUP(E10,Parameters!$F$54:$G$84,2,FALSE)),"")</f>
        <v>12</v>
      </c>
      <c r="G10" s="40">
        <f>IF(DAY(SepSun1)=1,SepSun1+17,SepSun1+24)</f>
        <v>43362</v>
      </c>
      <c r="H10" s="15" t="str">
        <f>IFERROR(IF(OR(VLOOKUP(G10,Parameters!$F$54:$G$84,2,FALSE)="",VLOOKUP(G10,Parameters!$F$54:$G$84,2,FALSE)="DayOff"),"",VLOOKUP(G10,Parameters!$F$54:$G$84,2,FALSE)),"")</f>
        <v/>
      </c>
      <c r="I10" s="40">
        <f>IF(DAY(SepSun1)=1,SepSun1+18,SepSun1+25)</f>
        <v>43363</v>
      </c>
      <c r="J10" s="15" t="str">
        <f>IFERROR(IF(OR(VLOOKUP(I10,Parameters!$F$54:$G$84,2,FALSE)="",VLOOKUP(I10,Parameters!$F$54:$G$84,2,FALSE)="DayOff"),"",VLOOKUP(I10,Parameters!$F$54:$G$84,2,FALSE)),"")</f>
        <v/>
      </c>
      <c r="K10" s="40">
        <f>IF(DAY(SepSun1)=1,SepSun1+19,SepSun1+26)</f>
        <v>43364</v>
      </c>
      <c r="L10" s="15" t="str">
        <f>IFERROR(IF(OR(VLOOKUP(K10,Parameters!$F$54:$G$84,2,FALSE)="",VLOOKUP(K10,Parameters!$F$54:$G$84,2,FALSE)="DayOff"),"",VLOOKUP(K10,Parameters!$F$54:$G$84,2,FALSE)),"")</f>
        <v/>
      </c>
      <c r="M10" s="40">
        <f>IF(DAY(SepSun1)=1,SepSun1+20,SepSun1+27)</f>
        <v>43365</v>
      </c>
      <c r="N10" s="2"/>
      <c r="O10" s="40">
        <f>IF(DAY(SepSun1)=1,SepSun1+21,SepSun1+28)</f>
        <v>43366</v>
      </c>
      <c r="P10" s="22"/>
      <c r="Q10" s="6"/>
      <c r="R10" s="6"/>
    </row>
    <row r="11" spans="1:18" ht="21.95" customHeight="1" x14ac:dyDescent="0.2">
      <c r="A11" s="5"/>
      <c r="B11" s="78"/>
      <c r="C11" s="32"/>
      <c r="D11" s="46"/>
      <c r="E11" s="34"/>
      <c r="F11" s="46"/>
      <c r="G11" s="34"/>
      <c r="H11" s="46"/>
      <c r="I11" s="63" t="s">
        <v>26</v>
      </c>
      <c r="J11" s="46"/>
      <c r="K11" s="34"/>
      <c r="L11" s="46"/>
      <c r="M11" s="34"/>
      <c r="N11" s="46"/>
      <c r="O11" s="34"/>
      <c r="P11" s="35"/>
      <c r="Q11" s="6"/>
      <c r="R11" s="6"/>
    </row>
    <row r="12" spans="1:18" ht="21.95" customHeight="1" x14ac:dyDescent="0.2">
      <c r="A12" s="5"/>
      <c r="B12" s="78"/>
      <c r="C12" s="41">
        <f>IF(DAY(SepSun1)=1,SepSun1+22,SepSun1+29)</f>
        <v>43367</v>
      </c>
      <c r="D12" s="15" t="str">
        <f>IFERROR(IF(OR(VLOOKUP(C12,Parameters!$F$54:$G$84,2,FALSE)="",VLOOKUP(C12,Parameters!$F$54:$G$84,2,FALSE)="DayOff"),"",VLOOKUP(C12,Parameters!$F$54:$G$84,2,FALSE)),"")</f>
        <v/>
      </c>
      <c r="E12" s="40">
        <f>IF(DAY(SepSun1)=1,SepSun1+23,SepSun1+30)</f>
        <v>43368</v>
      </c>
      <c r="F12" s="15" t="str">
        <f>IFERROR(IF(OR(VLOOKUP(E12,Parameters!$F$54:$G$84,2,FALSE)="",VLOOKUP(E12,Parameters!$F$54:$G$84,2,FALSE)="DayOff"),"",VLOOKUP(E12,Parameters!$F$54:$G$84,2,FALSE)),"")</f>
        <v/>
      </c>
      <c r="G12" s="40">
        <f>IF(DAY(SepSun1)=1,SepSun1+24,SepSun1+31)</f>
        <v>43369</v>
      </c>
      <c r="H12" s="15" t="str">
        <f>IFERROR(IF(OR(VLOOKUP(G12,Parameters!$F$54:$G$84,2,FALSE)="",VLOOKUP(G12,Parameters!$F$54:$G$84,2,FALSE)="DayOff"),"",VLOOKUP(G12,Parameters!$F$54:$G$84,2,FALSE)),"")</f>
        <v/>
      </c>
      <c r="I12" s="40">
        <f>IF(DAY(SepSun1)=1,SepSun1+25,SepSun1+32)</f>
        <v>43370</v>
      </c>
      <c r="J12" s="15" t="str">
        <f>IFERROR(IF(OR(VLOOKUP(I12,Parameters!$F$54:$G$84,2,FALSE)="",VLOOKUP(I12,Parameters!$F$54:$G$84,2,FALSE)="DayOff"),"",VLOOKUP(I12,Parameters!$F$54:$G$84,2,FALSE)),"")</f>
        <v/>
      </c>
      <c r="K12" s="40">
        <f>IF(DAY(SepSun1)=1,SepSun1+26,SepSun1+33)</f>
        <v>43371</v>
      </c>
      <c r="L12" s="15" t="str">
        <f>IFERROR(IF(OR(VLOOKUP(K12,Parameters!$F$54:$G$84,2,FALSE)="",VLOOKUP(K12,Parameters!$F$54:$G$84,2,FALSE)="DayOff"),"",VLOOKUP(K12,Parameters!$F$54:$G$84,2,FALSE)),"")</f>
        <v/>
      </c>
      <c r="M12" s="40">
        <f>IF(DAY(SepSun1)=1,SepSun1+27,SepSun1+34)</f>
        <v>43372</v>
      </c>
      <c r="N12" s="2"/>
      <c r="O12" s="40">
        <f>IF(DAY(SepSun1)=1,SepSun1+28,SepSun1+35)</f>
        <v>43373</v>
      </c>
      <c r="P12" s="22"/>
      <c r="Q12" s="6"/>
      <c r="R12" s="6"/>
    </row>
    <row r="13" spans="1:18" ht="21.95" customHeight="1" x14ac:dyDescent="0.2">
      <c r="A13" s="5"/>
      <c r="B13" s="78"/>
      <c r="C13" s="32"/>
      <c r="D13" s="46"/>
      <c r="E13" s="34"/>
      <c r="F13" s="46"/>
      <c r="G13" s="34"/>
      <c r="H13" s="46"/>
      <c r="I13" s="34"/>
      <c r="J13" s="46"/>
      <c r="K13" s="34"/>
      <c r="L13" s="46"/>
      <c r="M13" s="34"/>
      <c r="N13" s="46"/>
      <c r="O13" s="34"/>
      <c r="P13" s="35"/>
      <c r="Q13" s="6"/>
      <c r="R13" s="6"/>
    </row>
    <row r="14" spans="1:18" ht="21.95" customHeight="1" x14ac:dyDescent="0.2">
      <c r="A14" s="5"/>
      <c r="B14" s="78"/>
      <c r="C14" s="41">
        <f>IF(DAY(SepSun1)=1,SepSun1+29,SepSun1+36)</f>
        <v>43374</v>
      </c>
      <c r="D14" s="15" t="str">
        <f>IFERROR(IF(OR(VLOOKUP(C14,Parameters!$F$54:$G$84,2,FALSE)="",VLOOKUP(C14,Parameters!$F$54:$G$84,2,FALSE)="DayOff"),"",VLOOKUP(C14,Parameters!$F$54:$G$84,2,FALSE)),"")</f>
        <v/>
      </c>
      <c r="E14" s="40">
        <f>IF(DAY(SepSun1)=1,SepSun1+30,SepSun1+37)</f>
        <v>43375</v>
      </c>
      <c r="F14" s="15" t="str">
        <f>IFERROR(IF(OR(VLOOKUP(E14,Parameters!$F$54:$G$84,2,FALSE)="",VLOOKUP(E14,Parameters!$F$54:$G$84,2,FALSE)="DayOff"),"",VLOOKUP(E14,Parameters!$F$54:$G$84,2,FALSE)),"")</f>
        <v/>
      </c>
      <c r="G14" s="40">
        <f>IF(DAY(SepSun1)=1,SepSun1+31,SepSun1+38)</f>
        <v>43376</v>
      </c>
      <c r="H14" s="15" t="str">
        <f>IFERROR(IF(OR(VLOOKUP(G14,Parameters!$F$54:$G$84,2,FALSE)="",VLOOKUP(G14,Parameters!$F$54:$G$84,2,FALSE)="DayOff"),"",VLOOKUP(G14,Parameters!$F$54:$G$84,2,FALSE)),"")</f>
        <v/>
      </c>
      <c r="I14" s="40">
        <f>IF(DAY(SepSun1)=1,SepSun1+32,SepSun1+39)</f>
        <v>43377</v>
      </c>
      <c r="J14" s="15" t="str">
        <f>IFERROR(IF(OR(VLOOKUP(I14,Parameters!$F$54:$G$84,2,FALSE)="",VLOOKUP(I14,Parameters!$F$54:$G$84,2,FALSE)="DayOff"),"",VLOOKUP(I14,Parameters!$F$54:$G$84,2,FALSE)),"")</f>
        <v/>
      </c>
      <c r="K14" s="40">
        <f>IF(DAY(SepSun1)=1,SepSun1+33,SepSun1+40)</f>
        <v>43378</v>
      </c>
      <c r="L14" s="15" t="str">
        <f>IFERROR(IF(OR(VLOOKUP(K14,Parameters!$F$54:$G$84,2,FALSE)="",VLOOKUP(K14,Parameters!$F$54:$G$84,2,FALSE)="DayOff"),"",VLOOKUP(K14,Parameters!$F$54:$G$84,2,FALSE)),"")</f>
        <v/>
      </c>
      <c r="M14" s="40">
        <f>IF(DAY(SepSun1)=1,SepSun1+34,SepSun1+41)</f>
        <v>43379</v>
      </c>
      <c r="N14" s="2"/>
      <c r="O14" s="40">
        <f>IF(DAY(SepSun1)=1,SepSun1+35,SepSun1+42)</f>
        <v>43380</v>
      </c>
      <c r="P14" s="22"/>
      <c r="Q14" s="6"/>
      <c r="R14" s="6"/>
    </row>
    <row r="15" spans="1:18" ht="21.95" customHeight="1" thickBot="1" x14ac:dyDescent="0.25">
      <c r="A15" s="5"/>
      <c r="B15" s="78"/>
      <c r="C15" s="36"/>
      <c r="D15" s="47"/>
      <c r="E15" s="38"/>
      <c r="F15" s="47"/>
      <c r="G15" s="38"/>
      <c r="H15" s="47"/>
      <c r="I15" s="38"/>
      <c r="J15" s="47"/>
      <c r="K15" s="38"/>
      <c r="L15" s="47"/>
      <c r="M15" s="38"/>
      <c r="N15" s="47"/>
      <c r="O15" s="38"/>
      <c r="P15" s="39"/>
      <c r="Q15" s="6"/>
      <c r="R15" s="6"/>
    </row>
    <row r="16" spans="1:18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  <c r="R16" s="6"/>
    </row>
    <row r="17" spans="1:18" ht="16.5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  <c r="R17" s="6"/>
    </row>
  </sheetData>
  <sheetProtection selectLockedCells="1"/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5:N5 C4 E4 G4 I4 K4 M4">
    <cfRule type="expression" dxfId="31" priority="4" stopIfTrue="1">
      <formula>DAY(C4)&gt;8</formula>
    </cfRule>
  </conditionalFormatting>
  <conditionalFormatting sqref="C13:O13 C12 G12 I12 K12 M12:O12 C15:O15 C14 M14:O14 K14 I14 G14 E12 E14">
    <cfRule type="expression" dxfId="30" priority="3" stopIfTrue="1">
      <formula>AND(DAY(C12)&gt;=1,DAY(C12)&lt;=15)</formula>
    </cfRule>
  </conditionalFormatting>
  <conditionalFormatting sqref="C5:O5 C4 E4 G4 I4 K4 M4 O4 C7:O7 C6 M6:O6 K6 I6 G6 C9:O9 C8 G8 I8 K8 M8:O8 C11:H11 C10 M10:O10 K10 I10 G10 C13:O13 C12 G12 I12 K12 M12:O12 C14 M14:O14 K14 I14 G14 E6 E8 E10 E12 E14 J11:O11">
    <cfRule type="expression" dxfId="29" priority="5">
      <formula>VLOOKUP(DAY(C4),AssignmentDays,1,FALSE)=DAY(C4)</formula>
    </cfRule>
  </conditionalFormatting>
  <conditionalFormatting sqref="I11">
    <cfRule type="expression" dxfId="28" priority="1">
      <formula>VLOOKUP(DAY(I11),AssignmentDays,1,FALSE)=DAY(I11)</formula>
    </cfRule>
  </conditionalFormatting>
  <printOptions horizontalCentered="1"/>
  <pageMargins left="0.5" right="0.5" top="0.5" bottom="0.5" header="0.3" footer="0.3"/>
  <pageSetup scale="6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Q16"/>
  <sheetViews>
    <sheetView showGridLines="0" topLeftCell="C2" zoomScale="90" zoomScaleNormal="90" zoomScalePageLayoutView="84" workbookViewId="0">
      <selection activeCell="F6" sqref="F6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17" width="2.28515625" customWidth="1"/>
    <col min="18" max="24" width="8.85546875" customWidth="1"/>
    <col min="44" max="16384" width="8.7109375" style="1"/>
  </cols>
  <sheetData>
    <row r="1" spans="1:18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  <c r="R1" s="6"/>
    </row>
    <row r="2" spans="1:18" ht="18" customHeight="1" thickBot="1" x14ac:dyDescent="0.25">
      <c r="A2" s="5"/>
      <c r="B2" s="78" t="str">
        <f>" OCTOBER "&amp;Parameters!B14</f>
        <v xml:space="preserve"> OCTOBER 2018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  <c r="R2" s="6"/>
    </row>
    <row r="3" spans="1:18" ht="21.95" customHeight="1" thickBot="1" x14ac:dyDescent="0.25">
      <c r="A3" s="5"/>
      <c r="B3" s="78"/>
      <c r="C3" s="79" t="s">
        <v>1</v>
      </c>
      <c r="D3" s="73"/>
      <c r="E3" s="72" t="s">
        <v>2</v>
      </c>
      <c r="F3" s="73"/>
      <c r="G3" s="72" t="s">
        <v>3</v>
      </c>
      <c r="H3" s="73"/>
      <c r="I3" s="72" t="s">
        <v>4</v>
      </c>
      <c r="J3" s="73"/>
      <c r="K3" s="72" t="s">
        <v>5</v>
      </c>
      <c r="L3" s="73"/>
      <c r="M3" s="72" t="s">
        <v>6</v>
      </c>
      <c r="N3" s="73"/>
      <c r="O3" s="72" t="s">
        <v>7</v>
      </c>
      <c r="P3" s="74"/>
      <c r="Q3" s="6"/>
      <c r="R3" s="6"/>
    </row>
    <row r="4" spans="1:18" ht="21.95" customHeight="1" x14ac:dyDescent="0.2">
      <c r="A4" s="5"/>
      <c r="B4" s="78"/>
      <c r="C4" s="41">
        <f>IF(DAY(OctSun1)=1,OctSun1-6,OctSun1+1)</f>
        <v>43374</v>
      </c>
      <c r="D4" s="15">
        <f>IFERROR(IF(OR(VLOOKUP(C4,Parameters!$H$54:$I$84,2,FALSE)="",VLOOKUP(C4,Parameters!$H$54:$I$84,2,FALSE)="DayOff"),"",VLOOKUP(C4,Parameters!$H$54:$I$84,2,FALSE)),"")</f>
        <v>1</v>
      </c>
      <c r="E4" s="40">
        <f>IF(DAY(OctSun1)=1,OctSun1-5,OctSun1+2)</f>
        <v>43375</v>
      </c>
      <c r="F4" s="15">
        <f>IFERROR(IF(OR(VLOOKUP(E4,Parameters!$H$54:$I$84,2,FALSE)="",VLOOKUP(E4,Parameters!$H$54:$I$84,2,FALSE)="DayOff"),"",VLOOKUP(E4,Parameters!$H$54:$I$84,2,FALSE)),"")</f>
        <v>2</v>
      </c>
      <c r="G4" s="40">
        <f>IF(DAY(OctSun1)=1,OctSun1-4,OctSun1+3)</f>
        <v>43376</v>
      </c>
      <c r="H4" s="15">
        <f>IFERROR(IF(OR(VLOOKUP(G4,Parameters!$H$54:$I$84,2,FALSE)="",VLOOKUP(G4,Parameters!$H$54:$I$84,2,FALSE)="DayOff"),"",VLOOKUP(G4,Parameters!$H$54:$I$84,2,FALSE)),"")</f>
        <v>3</v>
      </c>
      <c r="I4" s="40">
        <f>IF(DAY(OctSun1)=1,OctSun1-3,OctSun1+4)</f>
        <v>43377</v>
      </c>
      <c r="J4" s="15">
        <f>IFERROR(IF(OR(VLOOKUP(I4,Parameters!$H$54:$I$84,2,FALSE)="",VLOOKUP(I4,Parameters!$H$54:$I$84,2,FALSE)="DayOff"),"",VLOOKUP(I4,Parameters!$H$54:$I$84,2,FALSE)),"")</f>
        <v>4</v>
      </c>
      <c r="K4" s="40">
        <f>IF(DAY(OctSun1)=1,OctSun1-2,OctSun1+5)</f>
        <v>43378</v>
      </c>
      <c r="L4" s="15">
        <f>IFERROR(IF(OR(VLOOKUP(K4,Parameters!$H$54:$I$84,2,FALSE)="",VLOOKUP(K4,Parameters!$H$54:$I$84,2,FALSE)="DayOff"),"",VLOOKUP(K4,Parameters!$H$54:$I$84,2,FALSE)),"")</f>
        <v>5</v>
      </c>
      <c r="M4" s="40">
        <f>IF(DAY(OctSun1)=1,OctSun1-1,OctSun1+6)</f>
        <v>43379</v>
      </c>
      <c r="N4" s="20"/>
      <c r="O4" s="40">
        <f>IF(DAY(OctSun1)=1,OctSun1,OctSun1+7)</f>
        <v>43380</v>
      </c>
      <c r="P4" s="22"/>
      <c r="Q4" s="6"/>
      <c r="R4" s="6"/>
    </row>
    <row r="5" spans="1:18" ht="21.95" customHeight="1" x14ac:dyDescent="0.2">
      <c r="A5" s="5"/>
      <c r="B5" s="78"/>
      <c r="C5" s="32"/>
      <c r="D5" s="46"/>
      <c r="E5" s="34"/>
      <c r="F5" s="46"/>
      <c r="G5" s="34"/>
      <c r="H5" s="46"/>
      <c r="I5" s="34"/>
      <c r="J5" s="46"/>
      <c r="K5" s="34"/>
      <c r="L5" s="46"/>
      <c r="M5" s="34"/>
      <c r="N5" s="46"/>
      <c r="O5" s="34"/>
      <c r="P5" s="35"/>
      <c r="Q5" s="6"/>
      <c r="R5" s="6"/>
    </row>
    <row r="6" spans="1:18" ht="21.95" customHeight="1" x14ac:dyDescent="0.2">
      <c r="A6" s="5"/>
      <c r="B6" s="78"/>
      <c r="C6" s="41">
        <f>IF(DAY(OctSun1)=1,OctSun1+1,OctSun1+8)</f>
        <v>43381</v>
      </c>
      <c r="D6" s="15">
        <f>IFERROR(IF(OR(VLOOKUP(C6,Parameters!$H$54:$I$84,2,FALSE)="",VLOOKUP(C6,Parameters!$H$54:$I$84,2,FALSE)="DayOff"),"",VLOOKUP(C6,Parameters!$H$54:$I$84,2,FALSE)),"")</f>
        <v>6</v>
      </c>
      <c r="E6" s="40">
        <f>IF(DAY(OctSun1)=1,OctSun1+2,OctSun1+9)</f>
        <v>43382</v>
      </c>
      <c r="F6" s="15">
        <f>IFERROR(IF(OR(VLOOKUP(E6,Parameters!$H$54:$I$84,2,FALSE)="",VLOOKUP(E6,Parameters!$H$54:$I$84,2,FALSE)="DayOff"),"",VLOOKUP(E6,Parameters!$H$54:$I$84,2,FALSE)),"")</f>
        <v>7</v>
      </c>
      <c r="G6" s="40">
        <f>IF(DAY(OctSun1)=1,OctSun1+3,OctSun1+10)</f>
        <v>43383</v>
      </c>
      <c r="H6" s="15">
        <f>IFERROR(IF(OR(VLOOKUP(G6,Parameters!$H$54:$I$84,2,FALSE)="",VLOOKUP(G6,Parameters!$H$54:$I$84,2,FALSE)="DayOff"),"",VLOOKUP(G6,Parameters!$H$54:$I$84,2,FALSE)),"")</f>
        <v>8</v>
      </c>
      <c r="I6" s="40">
        <f>IF(DAY(OctSun1)=1,OctSun1+4,OctSun1+11)</f>
        <v>43384</v>
      </c>
      <c r="J6" s="15">
        <f>IFERROR(IF(OR(VLOOKUP(I6,Parameters!$H$54:$I$84,2,FALSE)="",VLOOKUP(I6,Parameters!$H$54:$I$84,2,FALSE)="DayOff"),"",VLOOKUP(I6,Parameters!$H$54:$I$84,2,FALSE)),"")</f>
        <v>9</v>
      </c>
      <c r="K6" s="40">
        <f>IF(DAY(OctSun1)=1,OctSun1+5,OctSun1+12)</f>
        <v>43385</v>
      </c>
      <c r="L6" s="15">
        <f>IFERROR(IF(OR(VLOOKUP(K6,Parameters!$H$54:$I$84,2,FALSE)="",VLOOKUP(K6,Parameters!$H$54:$I$84,2,FALSE)="DayOff"),"",VLOOKUP(K6,Parameters!$H$54:$I$84,2,FALSE)),"")</f>
        <v>10</v>
      </c>
      <c r="M6" s="40">
        <f>IF(DAY(OctSun1)=1,OctSun1+6,OctSun1+13)</f>
        <v>43386</v>
      </c>
      <c r="N6" s="20"/>
      <c r="O6" s="40">
        <f>IF(DAY(OctSun1)=1,OctSun1+7,OctSun1+14)</f>
        <v>43387</v>
      </c>
      <c r="P6" s="22"/>
      <c r="Q6" s="6"/>
      <c r="R6" s="6"/>
    </row>
    <row r="7" spans="1:18" ht="21.95" customHeight="1" x14ac:dyDescent="0.2">
      <c r="A7" s="5"/>
      <c r="B7" s="78"/>
      <c r="C7" s="32"/>
      <c r="D7" s="46"/>
      <c r="E7" s="34"/>
      <c r="F7" s="46"/>
      <c r="G7" s="34"/>
      <c r="H7" s="46"/>
      <c r="I7" s="34"/>
      <c r="J7" s="46"/>
      <c r="K7" s="34"/>
      <c r="L7" s="46"/>
      <c r="M7" s="34"/>
      <c r="N7" s="46"/>
      <c r="O7" s="34"/>
      <c r="P7" s="35"/>
      <c r="Q7" s="6"/>
      <c r="R7" s="6"/>
    </row>
    <row r="8" spans="1:18" ht="21.95" customHeight="1" x14ac:dyDescent="0.2">
      <c r="A8" s="5"/>
      <c r="B8" s="78"/>
      <c r="C8" s="41">
        <f>IF(DAY(OctSun1)=1,OctSun1+8,OctSun1+15)</f>
        <v>43388</v>
      </c>
      <c r="D8" s="15">
        <f>IFERROR(IF(OR(VLOOKUP(C8,Parameters!$H$54:$I$84,2,FALSE)="",VLOOKUP(C8,Parameters!$H$54:$I$84,2,FALSE)="DayOff"),"",VLOOKUP(C8,Parameters!$H$54:$I$84,2,FALSE)),"")</f>
        <v>11</v>
      </c>
      <c r="E8" s="40">
        <f>IF(DAY(OctSun1)=1,OctSun1+9,OctSun1+16)</f>
        <v>43389</v>
      </c>
      <c r="F8" s="15">
        <f>IFERROR(IF(OR(VLOOKUP(E8,Parameters!$H$54:$I$84,2,FALSE)="",VLOOKUP(E8,Parameters!$H$54:$I$84,2,FALSE)="DayOff"),"",VLOOKUP(E8,Parameters!$H$54:$I$84,2,FALSE)),"")</f>
        <v>12</v>
      </c>
      <c r="G8" s="40">
        <f>IF(DAY(OctSun1)=1,OctSun1+10,OctSun1+17)</f>
        <v>43390</v>
      </c>
      <c r="H8" s="15" t="str">
        <f>IFERROR(IF(OR(VLOOKUP(G8,Parameters!$H$54:$I$84,2,FALSE)="",VLOOKUP(G8,Parameters!$H$54:$I$84,2,FALSE)="DayOff"),"",VLOOKUP(G8,Parameters!$H$54:$I$84,2,FALSE)),"")</f>
        <v/>
      </c>
      <c r="I8" s="40">
        <f>IF(DAY(OctSun1)=1,OctSun1+11,OctSun1+18)</f>
        <v>43391</v>
      </c>
      <c r="J8" s="15" t="str">
        <f>IFERROR(IF(OR(VLOOKUP(I8,Parameters!$H$54:$I$84,2,FALSE)="",VLOOKUP(I8,Parameters!$H$54:$I$84,2,FALSE)="DayOff"),"",VLOOKUP(I8,Parameters!$H$54:$I$84,2,FALSE)),"")</f>
        <v/>
      </c>
      <c r="K8" s="40">
        <f>IF(DAY(OctSun1)=1,OctSun1+12,OctSun1+19)</f>
        <v>43392</v>
      </c>
      <c r="L8" s="15" t="str">
        <f>IFERROR(IF(OR(VLOOKUP(K8,Parameters!$H$54:$I$84,2,FALSE)="",VLOOKUP(K8,Parameters!$H$54:$I$84,2,FALSE)="DayOff"),"",VLOOKUP(K8,Parameters!$H$54:$I$84,2,FALSE)),"")</f>
        <v/>
      </c>
      <c r="M8" s="40">
        <f>IF(DAY(OctSun1)=1,OctSun1+13,OctSun1+20)</f>
        <v>43393</v>
      </c>
      <c r="N8" s="20"/>
      <c r="O8" s="40">
        <f>IF(DAY(OctSun1)=1,OctSun1+14,OctSun1+21)</f>
        <v>43394</v>
      </c>
      <c r="P8" s="22"/>
      <c r="Q8" s="6"/>
      <c r="R8" s="6"/>
    </row>
    <row r="9" spans="1:18" ht="21.95" customHeight="1" x14ac:dyDescent="0.2">
      <c r="A9" s="5"/>
      <c r="B9" s="78"/>
      <c r="C9" s="32"/>
      <c r="D9" s="46"/>
      <c r="E9" s="34"/>
      <c r="F9" s="46"/>
      <c r="G9" s="34"/>
      <c r="H9" s="46"/>
      <c r="I9" s="34"/>
      <c r="J9" s="46"/>
      <c r="K9" s="34"/>
      <c r="L9" s="46"/>
      <c r="M9" s="34"/>
      <c r="N9" s="46"/>
      <c r="O9" s="34"/>
      <c r="P9" s="35"/>
      <c r="Q9" s="6"/>
      <c r="R9" s="6"/>
    </row>
    <row r="10" spans="1:18" ht="21.95" customHeight="1" x14ac:dyDescent="0.2">
      <c r="A10" s="5"/>
      <c r="B10" s="78"/>
      <c r="C10" s="41">
        <f>IF(DAY(OctSun1)=1,OctSun1+15,OctSun1+22)</f>
        <v>43395</v>
      </c>
      <c r="D10" s="15" t="str">
        <f>IFERROR(IF(OR(VLOOKUP(C10,Parameters!$H$54:$I$84,2,FALSE)="",VLOOKUP(C10,Parameters!$H$54:$I$84,2,FALSE)="DayOff"),"",VLOOKUP(C10,Parameters!$H$54:$I$84,2,FALSE)),"")</f>
        <v/>
      </c>
      <c r="E10" s="40">
        <f>IF(DAY(OctSun1)=1,OctSun1+16,OctSun1+23)</f>
        <v>43396</v>
      </c>
      <c r="F10" s="15" t="str">
        <f>IFERROR(IF(OR(VLOOKUP(E10,Parameters!$H$54:$I$84,2,FALSE)="",VLOOKUP(E10,Parameters!$H$54:$I$84,2,FALSE)="DayOff"),"",VLOOKUP(E10,Parameters!$H$54:$I$84,2,FALSE)),"")</f>
        <v/>
      </c>
      <c r="G10" s="40">
        <f>IF(DAY(OctSun1)=1,OctSun1+17,OctSun1+24)</f>
        <v>43397</v>
      </c>
      <c r="H10" s="15" t="str">
        <f>IFERROR(IF(OR(VLOOKUP(G10,Parameters!$H$54:$I$84,2,FALSE)="",VLOOKUP(G10,Parameters!$H$54:$I$84,2,FALSE)="DayOff"),"",VLOOKUP(G10,Parameters!$H$54:$I$84,2,FALSE)),"")</f>
        <v/>
      </c>
      <c r="I10" s="40">
        <f>IF(DAY(OctSun1)=1,OctSun1+18,OctSun1+25)</f>
        <v>43398</v>
      </c>
      <c r="J10" s="15" t="str">
        <f>IFERROR(IF(OR(VLOOKUP(I10,Parameters!$H$54:$I$84,2,FALSE)="",VLOOKUP(I10,Parameters!$H$54:$I$84,2,FALSE)="DayOff"),"",VLOOKUP(I10,Parameters!$H$54:$I$84,2,FALSE)),"")</f>
        <v/>
      </c>
      <c r="K10" s="40">
        <f>IF(DAY(OctSun1)=1,OctSun1+19,OctSun1+26)</f>
        <v>43399</v>
      </c>
      <c r="L10" s="15" t="str">
        <f>IFERROR(IF(OR(VLOOKUP(K10,Parameters!$H$54:$I$84,2,FALSE)="",VLOOKUP(K10,Parameters!$H$54:$I$84,2,FALSE)="DayOff"),"",VLOOKUP(K10,Parameters!$H$54:$I$84,2,FALSE)),"")</f>
        <v/>
      </c>
      <c r="M10" s="40">
        <f>IF(DAY(OctSun1)=1,OctSun1+20,OctSun1+27)</f>
        <v>43400</v>
      </c>
      <c r="N10" s="2"/>
      <c r="O10" s="40">
        <f>IF(DAY(OctSun1)=1,OctSun1+21,OctSun1+28)</f>
        <v>43401</v>
      </c>
      <c r="P10" s="22"/>
      <c r="Q10" s="6"/>
      <c r="R10" s="6"/>
    </row>
    <row r="11" spans="1:18" ht="21.95" customHeight="1" x14ac:dyDescent="0.2">
      <c r="A11" s="5"/>
      <c r="B11" s="78"/>
      <c r="C11" s="32"/>
      <c r="D11" s="46"/>
      <c r="E11" s="63" t="s">
        <v>26</v>
      </c>
      <c r="F11" s="46"/>
      <c r="G11" s="34"/>
      <c r="H11" s="46"/>
      <c r="I11" s="34"/>
      <c r="J11" s="46"/>
      <c r="K11" s="34"/>
      <c r="L11" s="46"/>
      <c r="M11" s="34"/>
      <c r="N11" s="46"/>
      <c r="O11" s="34"/>
      <c r="P11" s="35"/>
      <c r="Q11" s="6"/>
      <c r="R11" s="6"/>
    </row>
    <row r="12" spans="1:18" ht="21.95" customHeight="1" x14ac:dyDescent="0.2">
      <c r="A12" s="5"/>
      <c r="B12" s="78"/>
      <c r="C12" s="41">
        <f>IF(DAY(OctSun1)=1,OctSun1+22,OctSun1+29)</f>
        <v>43402</v>
      </c>
      <c r="D12" s="15" t="str">
        <f>IFERROR(IF(OR(VLOOKUP(C12,Parameters!$H$54:$I$84,2,FALSE)="",VLOOKUP(C12,Parameters!$H$54:$I$84,2,FALSE)="DayOff"),"",VLOOKUP(C12,Parameters!$H$54:$I$84,2,FALSE)),"")</f>
        <v/>
      </c>
      <c r="E12" s="40">
        <f>IF(DAY(OctSun1)=1,OctSun1+23,OctSun1+30)</f>
        <v>43403</v>
      </c>
      <c r="F12" s="15" t="str">
        <f>IFERROR(IF(OR(VLOOKUP(E12,Parameters!$H$54:$I$84,2,FALSE)="",VLOOKUP(E12,Parameters!$H$54:$I$84,2,FALSE)="DayOff"),"",VLOOKUP(E12,Parameters!$H$54:$I$84,2,FALSE)),"")</f>
        <v/>
      </c>
      <c r="G12" s="40">
        <f>IF(DAY(OctSun1)=1,OctSun1+24,OctSun1+31)</f>
        <v>43404</v>
      </c>
      <c r="H12" s="15" t="str">
        <f>IFERROR(IF(OR(VLOOKUP(G12,Parameters!$H$54:$I$84,2,FALSE)="",VLOOKUP(G12,Parameters!$H$54:$I$84,2,FALSE)="DayOff"),"",VLOOKUP(G12,Parameters!$H$54:$I$84,2,FALSE)),"")</f>
        <v/>
      </c>
      <c r="I12" s="40">
        <f>IF(DAY(OctSun1)=1,OctSun1+25,OctSun1+32)</f>
        <v>43405</v>
      </c>
      <c r="J12" s="15" t="str">
        <f>IFERROR(IF(OR(VLOOKUP(I12,Parameters!$H$54:$I$84,2,FALSE)="",VLOOKUP(I12,Parameters!$H$54:$I$84,2,FALSE)="DayOff"),"",VLOOKUP(I12,Parameters!$H$54:$I$84,2,FALSE)),"")</f>
        <v/>
      </c>
      <c r="K12" s="40">
        <f>IF(DAY(OctSun1)=1,OctSun1+26,OctSun1+33)</f>
        <v>43406</v>
      </c>
      <c r="L12" s="15" t="str">
        <f>IFERROR(IF(OR(VLOOKUP(K12,Parameters!$H$54:$I$84,2,FALSE)="",VLOOKUP(K12,Parameters!$H$54:$I$84,2,FALSE)="DayOff"),"",VLOOKUP(K12,Parameters!$H$54:$I$84,2,FALSE)),"")</f>
        <v/>
      </c>
      <c r="M12" s="40">
        <f>IF(DAY(OctSun1)=1,OctSun1+27,OctSun1+34)</f>
        <v>43407</v>
      </c>
      <c r="N12" s="15"/>
      <c r="O12" s="40">
        <f>IF(DAY(OctSun1)=1,OctSun1+28,OctSun1+35)</f>
        <v>43408</v>
      </c>
      <c r="P12" s="22"/>
      <c r="Q12" s="6"/>
      <c r="R12" s="6"/>
    </row>
    <row r="13" spans="1:18" ht="21.95" customHeight="1" x14ac:dyDescent="0.2">
      <c r="A13" s="5"/>
      <c r="B13" s="78"/>
      <c r="C13" s="32"/>
      <c r="D13" s="46"/>
      <c r="E13" s="34"/>
      <c r="F13" s="46"/>
      <c r="G13" s="34"/>
      <c r="H13" s="46"/>
      <c r="I13" s="34"/>
      <c r="J13" s="46"/>
      <c r="K13" s="34"/>
      <c r="L13" s="46"/>
      <c r="M13" s="34"/>
      <c r="N13" s="46"/>
      <c r="O13" s="34"/>
      <c r="P13" s="35"/>
      <c r="Q13" s="6"/>
      <c r="R13" s="6"/>
    </row>
    <row r="14" spans="1:18" ht="21.95" customHeight="1" x14ac:dyDescent="0.2">
      <c r="A14" s="5"/>
      <c r="B14" s="78"/>
      <c r="C14" s="41">
        <f>IF(DAY(OctSun1)=1,OctSun1+29,OctSun1+36)</f>
        <v>43409</v>
      </c>
      <c r="D14" s="15" t="str">
        <f>IFERROR(IF(OR(VLOOKUP(C14,Parameters!$H$54:$I$84,2,FALSE)="",VLOOKUP(C14,Parameters!$H$54:$I$84,2,FALSE)="DayOff"),"",VLOOKUP(C14,Parameters!$H$54:$I$84,2,FALSE)),"")</f>
        <v/>
      </c>
      <c r="E14" s="40">
        <f>IF(DAY(OctSun1)=1,OctSun1+30,OctSun1+37)</f>
        <v>43410</v>
      </c>
      <c r="F14" s="15" t="str">
        <f>IFERROR(IF(OR(VLOOKUP(E14,Parameters!$H$54:$I$84,2,FALSE)="",VLOOKUP(E14,Parameters!$H$54:$I$84,2,FALSE)="DayOff"),"",VLOOKUP(E14,Parameters!$H$54:$I$84,2,FALSE)),"")</f>
        <v/>
      </c>
      <c r="G14" s="40">
        <f>IF(DAY(OctSun1)=1,OctSun1+31,OctSun1+38)</f>
        <v>43411</v>
      </c>
      <c r="H14" s="15" t="str">
        <f>IFERROR(IF(OR(VLOOKUP(G14,Parameters!$H$54:$I$84,2,FALSE)="",VLOOKUP(G14,Parameters!$H$54:$I$84,2,FALSE)="DayOff"),"",VLOOKUP(G14,Parameters!$H$54:$I$84,2,FALSE)),"")</f>
        <v/>
      </c>
      <c r="I14" s="40">
        <f>IF(DAY(OctSun1)=1,OctSun1+32,OctSun1+39)</f>
        <v>43412</v>
      </c>
      <c r="J14" s="15" t="str">
        <f>IFERROR(IF(OR(VLOOKUP(I14,Parameters!$H$54:$I$84,2,FALSE)="",VLOOKUP(I14,Parameters!$H$54:$I$84,2,FALSE)="DayOff"),"",VLOOKUP(I14,Parameters!$H$54:$I$84,2,FALSE)),"")</f>
        <v/>
      </c>
      <c r="K14" s="40">
        <f>IF(DAY(OctSun1)=1,OctSun1+33,OctSun1+40)</f>
        <v>43413</v>
      </c>
      <c r="L14" s="15" t="str">
        <f>IFERROR(IF(OR(VLOOKUP(K14,Parameters!$H$54:$I$84,2,FALSE)="",VLOOKUP(K14,Parameters!$H$54:$I$84,2,FALSE)="DayOff"),"",VLOOKUP(K14,Parameters!$H$54:$I$84,2,FALSE)),"")</f>
        <v/>
      </c>
      <c r="M14" s="40">
        <f>IF(DAY(OctSun1)=1,OctSun1+34,OctSun1+41)</f>
        <v>43414</v>
      </c>
      <c r="N14" s="2"/>
      <c r="O14" s="40">
        <f>IF(DAY(OctSun1)=1,OctSun1+35,OctSun1+42)</f>
        <v>43415</v>
      </c>
      <c r="P14" s="22"/>
      <c r="Q14" s="6"/>
      <c r="R14" s="6"/>
    </row>
    <row r="15" spans="1:18" ht="21.95" customHeight="1" thickBot="1" x14ac:dyDescent="0.25">
      <c r="A15" s="5"/>
      <c r="B15" s="78"/>
      <c r="C15" s="36"/>
      <c r="D15" s="47"/>
      <c r="E15" s="38"/>
      <c r="F15" s="47"/>
      <c r="G15" s="38"/>
      <c r="H15" s="47"/>
      <c r="I15" s="38"/>
      <c r="J15" s="47"/>
      <c r="K15" s="38"/>
      <c r="L15" s="47"/>
      <c r="M15" s="38"/>
      <c r="N15" s="47"/>
      <c r="O15" s="38"/>
      <c r="P15" s="39"/>
      <c r="Q15" s="6"/>
      <c r="R15" s="6"/>
    </row>
    <row r="16" spans="1:18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  <c r="R16" s="6"/>
    </row>
  </sheetData>
  <sheetProtection selectLockedCells="1"/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5:N5 C4 E4 G4 I4 K4 M4">
    <cfRule type="expression" dxfId="27" priority="4" stopIfTrue="1">
      <formula>DAY(C4)&gt;8</formula>
    </cfRule>
  </conditionalFormatting>
  <conditionalFormatting sqref="C13:O13 C12 G12 I12 K12 M12 C15:O15 C14 M14:O14 K14 I14 G14 E14 E12 O12">
    <cfRule type="expression" dxfId="26" priority="3" stopIfTrue="1">
      <formula>AND(DAY(C12)&gt;=1,DAY(C12)&lt;=15)</formula>
    </cfRule>
  </conditionalFormatting>
  <conditionalFormatting sqref="C5:O5 C4 E4 G4 I4 K4 M4 O4 C7:O7 C6 M6 K6 I6 G6 C9:O9 C8 G8 I8 K8 M8 C11:D11 C10 M10:O10 K10 I10 G10 C13:O13 C12 G12 I12 K12 M12 C14 M14:O14 K14 I14 G14 E14 E12 E10 E8 E6 O6 O8 F11:O11 O12">
    <cfRule type="expression" dxfId="25" priority="5">
      <formula>VLOOKUP(DAY(C4),AssignmentDays,1,FALSE)=DAY(C4)</formula>
    </cfRule>
  </conditionalFormatting>
  <conditionalFormatting sqref="E11">
    <cfRule type="expression" dxfId="24" priority="1">
      <formula>VLOOKUP(DAY(E11),AssignmentDays,1,FALSE)=DAY(E11)</formula>
    </cfRule>
  </conditionalFormatting>
  <printOptions horizontalCentered="1"/>
  <pageMargins left="0.5" right="0.5" top="0.5" bottom="0.5" header="0.3" footer="0.3"/>
  <pageSetup scale="6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P17"/>
  <sheetViews>
    <sheetView showGridLines="0" topLeftCell="E2" zoomScale="90" zoomScaleNormal="90" zoomScalePageLayoutView="84" workbookViewId="0">
      <selection activeCell="J4" sqref="J4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23" width="8.85546875" customWidth="1"/>
    <col min="43" max="16384" width="8.7109375" style="1"/>
  </cols>
  <sheetData>
    <row r="1" spans="1:17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</row>
    <row r="2" spans="1:17" ht="18" customHeight="1" thickBot="1" x14ac:dyDescent="0.25">
      <c r="A2" s="5"/>
      <c r="B2" s="78" t="str">
        <f>" NOVEMBER "&amp;Parameters!B14</f>
        <v xml:space="preserve"> NOVEMBER 2018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</row>
    <row r="3" spans="1:17" ht="21.95" customHeight="1" thickBot="1" x14ac:dyDescent="0.25">
      <c r="A3" s="5"/>
      <c r="B3" s="78"/>
      <c r="C3" s="79" t="s">
        <v>1</v>
      </c>
      <c r="D3" s="73"/>
      <c r="E3" s="72" t="s">
        <v>2</v>
      </c>
      <c r="F3" s="73"/>
      <c r="G3" s="72" t="s">
        <v>3</v>
      </c>
      <c r="H3" s="73"/>
      <c r="I3" s="72" t="s">
        <v>4</v>
      </c>
      <c r="J3" s="73"/>
      <c r="K3" s="72" t="s">
        <v>5</v>
      </c>
      <c r="L3" s="73"/>
      <c r="M3" s="72" t="s">
        <v>6</v>
      </c>
      <c r="N3" s="73"/>
      <c r="O3" s="72" t="s">
        <v>7</v>
      </c>
      <c r="P3" s="74"/>
      <c r="Q3" s="6"/>
    </row>
    <row r="4" spans="1:17" ht="21.95" customHeight="1" x14ac:dyDescent="0.2">
      <c r="A4" s="5"/>
      <c r="B4" s="78"/>
      <c r="C4" s="41">
        <f>IF(DAY(NovSun1)=1,NovSun1-6,NovSun1+1)</f>
        <v>43402</v>
      </c>
      <c r="D4" s="15" t="str">
        <f>IFERROR(IF(OR(VLOOKUP(C4,Parameters!$J$54:$K$84,2,FALSE)="",VLOOKUP(C4,Parameters!$J$54:$K$84,2,FALSE)="DayOff"),"",VLOOKUP(C4,Parameters!$J$54:$K$84,2,FALSE)),"")</f>
        <v/>
      </c>
      <c r="E4" s="48">
        <f>IF(DAY(NovSun1)=1,NovSun1-5,NovSun1+2)</f>
        <v>43403</v>
      </c>
      <c r="F4" s="15" t="str">
        <f>IFERROR(IF(OR(VLOOKUP(E4,Parameters!$J$54:$K$84,2,FALSE)="",VLOOKUP(E4,Parameters!$J$54:$K$84,2,FALSE)="DayOff"),"",VLOOKUP(E4,Parameters!$J$54:$K$84,2,FALSE)),"")</f>
        <v/>
      </c>
      <c r="G4" s="48">
        <f>IF(DAY(NovSun1)=1,NovSun1-4,NovSun1+3)</f>
        <v>43404</v>
      </c>
      <c r="H4" s="15" t="str">
        <f>IFERROR(IF(OR(VLOOKUP(G4,Parameters!$J$54:$K$84,2,FALSE)="",VLOOKUP(G4,Parameters!$J$54:$K$84,2,FALSE)="DayOff"),"",VLOOKUP(G4,Parameters!$J$54:$K$84,2,FALSE)),"")</f>
        <v/>
      </c>
      <c r="I4" s="48">
        <f>IF(DAY(NovSun1)=1,NovSun1-3,NovSun1+4)</f>
        <v>43405</v>
      </c>
      <c r="J4" s="15" t="str">
        <f>IFERROR(IF(OR(VLOOKUP(I4,Parameters!$J$54:$K$84,2,FALSE)="",VLOOKUP(I4,Parameters!$J$54:$K$84,2,FALSE)="DayOff"),"",VLOOKUP(I4,Parameters!$J$54:$K$84,2,FALSE)),"")</f>
        <v/>
      </c>
      <c r="K4" s="48">
        <f>IF(DAY(NovSun1)=1,NovSun1-2,NovSun1+5)</f>
        <v>43406</v>
      </c>
      <c r="L4" s="15">
        <f>IFERROR(IF(OR(VLOOKUP(K4,Parameters!$J$54:$K$84,2,FALSE)="",VLOOKUP(K4,Parameters!$J$54:$K$84,2,FALSE)="DayOff"),"",VLOOKUP(K4,Parameters!$J$54:$K$84,2,FALSE)),"")</f>
        <v>1</v>
      </c>
      <c r="M4" s="48">
        <f>IF(DAY(NovSun1)=1,NovSun1-1,NovSun1+6)</f>
        <v>43407</v>
      </c>
      <c r="N4" s="13"/>
      <c r="O4" s="48">
        <f>IF(DAY(NovSun1)=1,NovSun1,NovSun1+7)</f>
        <v>43408</v>
      </c>
      <c r="P4" s="22"/>
      <c r="Q4" s="6"/>
    </row>
    <row r="5" spans="1:17" ht="21.95" customHeight="1" x14ac:dyDescent="0.2">
      <c r="A5" s="5"/>
      <c r="B5" s="78"/>
      <c r="C5" s="32"/>
      <c r="D5" s="33"/>
      <c r="E5" s="46"/>
      <c r="F5" s="33"/>
      <c r="G5" s="46"/>
      <c r="H5" s="33"/>
      <c r="I5" s="46"/>
      <c r="J5" s="33"/>
      <c r="K5" s="46"/>
      <c r="L5" s="33"/>
      <c r="M5" s="46"/>
      <c r="N5" s="33"/>
      <c r="O5" s="46"/>
      <c r="P5" s="35"/>
      <c r="Q5" s="6"/>
    </row>
    <row r="6" spans="1:17" ht="21.95" customHeight="1" x14ac:dyDescent="0.2">
      <c r="A6" s="5"/>
      <c r="B6" s="78"/>
      <c r="C6" s="41">
        <f>IF(DAY(NovSun1)=1,NovSun1+1,NovSun1+8)</f>
        <v>43409</v>
      </c>
      <c r="D6" s="15">
        <f>IFERROR(IF(OR(VLOOKUP(C6,Parameters!$J$54:$K$84,2,FALSE)="",VLOOKUP(C6,Parameters!$J$54:$K$84,2,FALSE)="DayOff"),"",VLOOKUP(C6,Parameters!$J$54:$K$84,2,FALSE)),"")</f>
        <v>2</v>
      </c>
      <c r="E6" s="48">
        <f>IF(DAY(NovSun1)=1,NovSun1+2,NovSun1+9)</f>
        <v>43410</v>
      </c>
      <c r="F6" s="15">
        <f>IFERROR(IF(OR(VLOOKUP(E6,Parameters!$J$54:$K$84,2,FALSE)="",VLOOKUP(E6,Parameters!$J$54:$K$84,2,FALSE)="DayOff"),"",VLOOKUP(E6,Parameters!$J$54:$K$84,2,FALSE)),"")</f>
        <v>3</v>
      </c>
      <c r="G6" s="48">
        <f>IF(DAY(NovSun1)=1,NovSun1+3,NovSun1+10)</f>
        <v>43411</v>
      </c>
      <c r="H6" s="15">
        <f>IFERROR(IF(OR(VLOOKUP(G6,Parameters!$J$54:$K$84,2,FALSE)="",VLOOKUP(G6,Parameters!$J$54:$K$84,2,FALSE)="DayOff"),"",VLOOKUP(G6,Parameters!$J$54:$K$84,2,FALSE)),"")</f>
        <v>4</v>
      </c>
      <c r="I6" s="48">
        <f>IF(DAY(NovSun1)=1,NovSun1+4,NovSun1+11)</f>
        <v>43412</v>
      </c>
      <c r="J6" s="15">
        <f>IFERROR(IF(OR(VLOOKUP(I6,Parameters!$J$54:$K$84,2,FALSE)="",VLOOKUP(I6,Parameters!$J$54:$K$84,2,FALSE)="DayOff"),"",VLOOKUP(I6,Parameters!$J$54:$K$84,2,FALSE)),"")</f>
        <v>5</v>
      </c>
      <c r="K6" s="48">
        <f>IF(DAY(NovSun1)=1,NovSun1+5,NovSun1+12)</f>
        <v>43413</v>
      </c>
      <c r="L6" s="15">
        <f>IFERROR(IF(OR(VLOOKUP(K6,Parameters!$J$54:$K$84,2,FALSE)="",VLOOKUP(K6,Parameters!$J$54:$K$84,2,FALSE)="DayOff"),"",VLOOKUP(K6,Parameters!$J$54:$K$84,2,FALSE)),"")</f>
        <v>6</v>
      </c>
      <c r="M6" s="48">
        <f>IF(DAY(NovSun1)=1,NovSun1+6,NovSun1+13)</f>
        <v>43414</v>
      </c>
      <c r="N6" s="13"/>
      <c r="O6" s="48">
        <f>IF(DAY(NovSun1)=1,NovSun1+7,NovSun1+14)</f>
        <v>43415</v>
      </c>
      <c r="P6" s="22"/>
      <c r="Q6" s="6"/>
    </row>
    <row r="7" spans="1:17" ht="21.95" customHeight="1" x14ac:dyDescent="0.2">
      <c r="A7" s="5"/>
      <c r="B7" s="78"/>
      <c r="C7" s="32"/>
      <c r="D7" s="33"/>
      <c r="E7" s="46"/>
      <c r="F7" s="33"/>
      <c r="G7" s="46"/>
      <c r="H7" s="33"/>
      <c r="I7" s="46"/>
      <c r="J7" s="33"/>
      <c r="K7" s="46"/>
      <c r="L7" s="33"/>
      <c r="M7" s="46"/>
      <c r="N7" s="33"/>
      <c r="O7" s="46"/>
      <c r="P7" s="35"/>
      <c r="Q7" s="6"/>
    </row>
    <row r="8" spans="1:17" ht="21.95" customHeight="1" x14ac:dyDescent="0.2">
      <c r="A8" s="5"/>
      <c r="B8" s="78"/>
      <c r="C8" s="41">
        <f>IF(DAY(NovSun1)=1,NovSun1+8,NovSun1+15)</f>
        <v>43416</v>
      </c>
      <c r="D8" s="15">
        <f>IFERROR(IF(OR(VLOOKUP(C8,Parameters!$J$54:$K$84,2,FALSE)="",VLOOKUP(C8,Parameters!$J$54:$K$84,2,FALSE)="DayOff"),"",VLOOKUP(C8,Parameters!$J$54:$K$84,2,FALSE)),"")</f>
        <v>7</v>
      </c>
      <c r="E8" s="48">
        <f>IF(DAY(NovSun1)=1,NovSun1+9,NovSun1+16)</f>
        <v>43417</v>
      </c>
      <c r="F8" s="15">
        <f>IFERROR(IF(OR(VLOOKUP(E8,Parameters!$J$54:$K$84,2,FALSE)="",VLOOKUP(E8,Parameters!$J$54:$K$84,2,FALSE)="DayOff"),"",VLOOKUP(E8,Parameters!$J$54:$K$84,2,FALSE)),"")</f>
        <v>8</v>
      </c>
      <c r="G8" s="48">
        <f>IF(DAY(NovSun1)=1,NovSun1+10,NovSun1+17)</f>
        <v>43418</v>
      </c>
      <c r="H8" s="15">
        <f>IFERROR(IF(OR(VLOOKUP(G8,Parameters!$J$54:$K$84,2,FALSE)="",VLOOKUP(G8,Parameters!$J$54:$K$84,2,FALSE)="DayOff"),"",VLOOKUP(G8,Parameters!$J$54:$K$84,2,FALSE)),"")</f>
        <v>9</v>
      </c>
      <c r="I8" s="48">
        <f>IF(DAY(NovSun1)=1,NovSun1+11,NovSun1+18)</f>
        <v>43419</v>
      </c>
      <c r="J8" s="15">
        <f>IFERROR(IF(OR(VLOOKUP(I8,Parameters!$J$54:$K$84,2,FALSE)="",VLOOKUP(I8,Parameters!$J$54:$K$84,2,FALSE)="DayOff"),"",VLOOKUP(I8,Parameters!$J$54:$K$84,2,FALSE)),"")</f>
        <v>10</v>
      </c>
      <c r="K8" s="48">
        <f>IF(DAY(NovSun1)=1,NovSun1+12,NovSun1+19)</f>
        <v>43420</v>
      </c>
      <c r="L8" s="15">
        <f>IFERROR(IF(OR(VLOOKUP(K8,Parameters!$J$54:$K$84,2,FALSE)="",VLOOKUP(K8,Parameters!$J$54:$K$84,2,FALSE)="DayOff"),"",VLOOKUP(K8,Parameters!$J$54:$K$84,2,FALSE)),"")</f>
        <v>11</v>
      </c>
      <c r="M8" s="48">
        <f>IF(DAY(NovSun1)=1,NovSun1+13,NovSun1+20)</f>
        <v>43421</v>
      </c>
      <c r="N8" s="13"/>
      <c r="O8" s="48">
        <f>IF(DAY(NovSun1)=1,NovSun1+14,NovSun1+21)</f>
        <v>43422</v>
      </c>
      <c r="P8" s="22"/>
      <c r="Q8" s="6"/>
    </row>
    <row r="9" spans="1:17" ht="21.95" customHeight="1" x14ac:dyDescent="0.2">
      <c r="A9" s="5"/>
      <c r="B9" s="78"/>
      <c r="C9" s="32"/>
      <c r="D9" s="33"/>
      <c r="E9" s="46"/>
      <c r="F9" s="33"/>
      <c r="G9" s="46"/>
      <c r="H9" s="33"/>
      <c r="I9" s="46"/>
      <c r="J9" s="33"/>
      <c r="K9" s="46"/>
      <c r="L9" s="33"/>
      <c r="M9" s="46"/>
      <c r="N9" s="33"/>
      <c r="O9" s="46"/>
      <c r="P9" s="35"/>
      <c r="Q9" s="6"/>
    </row>
    <row r="10" spans="1:17" ht="21.95" customHeight="1" x14ac:dyDescent="0.2">
      <c r="A10" s="5"/>
      <c r="B10" s="78"/>
      <c r="C10" s="41">
        <f>IF(DAY(NovSun1)=1,NovSun1+15,NovSun1+22)</f>
        <v>43423</v>
      </c>
      <c r="D10" s="15">
        <f>IFERROR(IF(OR(VLOOKUP(C10,Parameters!$J$54:$K$84,2,FALSE)="",VLOOKUP(C10,Parameters!$J$54:$K$84,2,FALSE)="DayOff"),"",VLOOKUP(C10,Parameters!$J$54:$K$84,2,FALSE)),"")</f>
        <v>12</v>
      </c>
      <c r="E10" s="48">
        <f>IF(DAY(NovSun1)=1,NovSun1+16,NovSun1+23)</f>
        <v>43424</v>
      </c>
      <c r="F10" s="15" t="str">
        <f>IFERROR(IF(OR(VLOOKUP(E10,Parameters!$J$54:$K$84,2,FALSE)="",VLOOKUP(E10,Parameters!$J$54:$K$84,2,FALSE)="DayOff"),"",VLOOKUP(E10,Parameters!$J$54:$K$84,2,FALSE)),"")</f>
        <v/>
      </c>
      <c r="G10" s="48">
        <f>IF(DAY(NovSun1)=1,NovSun1+17,NovSun1+24)</f>
        <v>43425</v>
      </c>
      <c r="H10" s="15" t="str">
        <f>IFERROR(IF(OR(VLOOKUP(G10,Parameters!$J$54:$K$84,2,FALSE)="",VLOOKUP(G10,Parameters!$J$54:$K$84,2,FALSE)="DayOff"),"",VLOOKUP(G10,Parameters!$J$54:$K$84,2,FALSE)),"")</f>
        <v/>
      </c>
      <c r="I10" s="48">
        <f>IF(DAY(NovSun1)=1,NovSun1+18,NovSun1+25)</f>
        <v>43426</v>
      </c>
      <c r="J10" s="15" t="str">
        <f>IFERROR(IF(OR(VLOOKUP(I10,Parameters!$J$54:$K$84,2,FALSE)="",VLOOKUP(I10,Parameters!$J$54:$K$84,2,FALSE)="DayOff"),"",VLOOKUP(I10,Parameters!$J$54:$K$84,2,FALSE)),"")</f>
        <v/>
      </c>
      <c r="K10" s="48">
        <f>IF(DAY(NovSun1)=1,NovSun1+19,NovSun1+26)</f>
        <v>43427</v>
      </c>
      <c r="L10" s="15" t="str">
        <f>IFERROR(IF(OR(VLOOKUP(K10,Parameters!$J$54:$K$84,2,FALSE)="",VLOOKUP(K10,Parameters!$J$54:$K$84,2,FALSE)="DayOff"),"",VLOOKUP(K10,Parameters!$J$54:$K$84,2,FALSE)),"")</f>
        <v/>
      </c>
      <c r="M10" s="48">
        <f>IF(DAY(NovSun1)=1,NovSun1+20,NovSun1+27)</f>
        <v>43428</v>
      </c>
      <c r="N10" s="13"/>
      <c r="O10" s="48">
        <f>IF(DAY(NovSun1)=1,NovSun1+21,NovSun1+28)</f>
        <v>43429</v>
      </c>
      <c r="P10" s="22"/>
      <c r="Q10" s="6"/>
    </row>
    <row r="11" spans="1:17" ht="21.95" customHeight="1" x14ac:dyDescent="0.2">
      <c r="A11" s="5"/>
      <c r="B11" s="78"/>
      <c r="C11" s="32"/>
      <c r="D11" s="33"/>
      <c r="E11" s="46"/>
      <c r="F11" s="33"/>
      <c r="G11" s="46"/>
      <c r="H11" s="33"/>
      <c r="I11" s="63" t="s">
        <v>26</v>
      </c>
      <c r="J11" s="33"/>
      <c r="K11" s="46"/>
      <c r="L11" s="33"/>
      <c r="M11" s="46"/>
      <c r="N11" s="33"/>
      <c r="O11" s="46"/>
      <c r="P11" s="35"/>
      <c r="Q11" s="6"/>
    </row>
    <row r="12" spans="1:17" ht="21.95" customHeight="1" x14ac:dyDescent="0.2">
      <c r="A12" s="5"/>
      <c r="B12" s="78"/>
      <c r="C12" s="41">
        <f>IF(DAY(NovSun1)=1,NovSun1+22,NovSun1+29)</f>
        <v>43430</v>
      </c>
      <c r="D12" s="15" t="str">
        <f>IFERROR(IF(OR(VLOOKUP(C12,Parameters!$J$54:$K$84,2,FALSE)="",VLOOKUP(C12,Parameters!$J$54:$K$84,2,FALSE)="DayOff"),"",VLOOKUP(C12,Parameters!$J$54:$K$84,2,FALSE)),"")</f>
        <v/>
      </c>
      <c r="E12" s="48">
        <f>IF(DAY(NovSun1)=1,NovSun1+23,NovSun1+30)</f>
        <v>43431</v>
      </c>
      <c r="F12" s="15" t="str">
        <f>IFERROR(IF(OR(VLOOKUP(E12,Parameters!$J$54:$K$84,2,FALSE)="",VLOOKUP(E12,Parameters!$J$54:$K$84,2,FALSE)="DayOff"),"",VLOOKUP(E12,Parameters!$J$54:$K$84,2,FALSE)),"")</f>
        <v/>
      </c>
      <c r="G12" s="48">
        <f>IF(DAY(NovSun1)=1,NovSun1+24,NovSun1+31)</f>
        <v>43432</v>
      </c>
      <c r="H12" s="15" t="str">
        <f>IFERROR(IF(OR(VLOOKUP(G12,Parameters!$J$54:$K$84,2,FALSE)="",VLOOKUP(G12,Parameters!$J$54:$K$84,2,FALSE)="DayOff"),"",VLOOKUP(G12,Parameters!$J$54:$K$84,2,FALSE)),"")</f>
        <v/>
      </c>
      <c r="I12" s="48">
        <f>IF(DAY(NovSun1)=1,NovSun1+25,NovSun1+32)</f>
        <v>43433</v>
      </c>
      <c r="J12" s="15" t="str">
        <f>IFERROR(IF(OR(VLOOKUP(I12,Parameters!$J$54:$K$84,2,FALSE)="",VLOOKUP(I12,Parameters!$J$54:$K$84,2,FALSE)="DayOff"),"",VLOOKUP(I12,Parameters!$J$54:$K$84,2,FALSE)),"")</f>
        <v/>
      </c>
      <c r="K12" s="48">
        <f>IF(DAY(NovSun1)=1,NovSun1+26,NovSun1+33)</f>
        <v>43434</v>
      </c>
      <c r="L12" s="15" t="str">
        <f>IFERROR(IF(OR(VLOOKUP(K12,Parameters!$J$54:$K$84,2,FALSE)="",VLOOKUP(K12,Parameters!$J$54:$K$84,2,FALSE)="DayOff"),"",VLOOKUP(K12,Parameters!$J$54:$K$84,2,FALSE)),"")</f>
        <v/>
      </c>
      <c r="M12" s="48">
        <f>IF(DAY(NovSun1)=1,NovSun1+27,NovSun1+34)</f>
        <v>43435</v>
      </c>
      <c r="N12" s="13"/>
      <c r="O12" s="48">
        <f>IF(DAY(NovSun1)=1,NovSun1+28,NovSun1+35)</f>
        <v>43436</v>
      </c>
      <c r="P12" s="22"/>
      <c r="Q12" s="6"/>
    </row>
    <row r="13" spans="1:17" ht="21.95" customHeight="1" x14ac:dyDescent="0.2">
      <c r="A13" s="5"/>
      <c r="B13" s="78"/>
      <c r="C13" s="32"/>
      <c r="D13" s="33"/>
      <c r="E13" s="46"/>
      <c r="F13" s="33"/>
      <c r="G13" s="46"/>
      <c r="H13" s="33"/>
      <c r="I13" s="46"/>
      <c r="J13" s="33"/>
      <c r="K13" s="46"/>
      <c r="L13" s="33"/>
      <c r="M13" s="46"/>
      <c r="N13" s="33"/>
      <c r="O13" s="46"/>
      <c r="P13" s="35"/>
      <c r="Q13" s="6"/>
    </row>
    <row r="14" spans="1:17" ht="21.95" customHeight="1" x14ac:dyDescent="0.2">
      <c r="A14" s="5"/>
      <c r="B14" s="78"/>
      <c r="C14" s="41">
        <f>IF(DAY(NovSun1)=1,NovSun1+29,NovSun1+36)</f>
        <v>43437</v>
      </c>
      <c r="D14" s="15" t="str">
        <f>IFERROR(IF(OR(VLOOKUP(C14,Parameters!$J$54:$K$84,2,FALSE)="",VLOOKUP(C14,Parameters!$J$54:$K$84,2,FALSE)="DayOff"),"",VLOOKUP(C14,Parameters!$J$54:$K$84,2,FALSE)),"")</f>
        <v/>
      </c>
      <c r="E14" s="48">
        <f>IF(DAY(NovSun1)=1,NovSun1+30,NovSun1+37)</f>
        <v>43438</v>
      </c>
      <c r="F14" s="15" t="str">
        <f>IFERROR(IF(OR(VLOOKUP(E14,Parameters!$J$54:$K$84,2,FALSE)="",VLOOKUP(E14,Parameters!$J$54:$K$84,2,FALSE)="DayOff"),"",VLOOKUP(E14,Parameters!$J$54:$K$84,2,FALSE)),"")</f>
        <v/>
      </c>
      <c r="G14" s="48">
        <f>IF(DAY(NovSun1)=1,NovSun1+31,NovSun1+38)</f>
        <v>43439</v>
      </c>
      <c r="H14" s="15" t="str">
        <f>IFERROR(IF(OR(VLOOKUP(G14,Parameters!$J$54:$K$84,2,FALSE)="",VLOOKUP(G14,Parameters!$J$54:$K$84,2,FALSE)="DayOff"),"",VLOOKUP(G14,Parameters!$J$54:$K$84,2,FALSE)),"")</f>
        <v/>
      </c>
      <c r="I14" s="48">
        <f>IF(DAY(NovSun1)=1,NovSun1+32,NovSun1+39)</f>
        <v>43440</v>
      </c>
      <c r="J14" s="15" t="str">
        <f>IFERROR(IF(OR(VLOOKUP(I14,Parameters!$J$54:$K$84,2,FALSE)="",VLOOKUP(I14,Parameters!$J$54:$K$84,2,FALSE)="DayOff"),"",VLOOKUP(I14,Parameters!$J$54:$K$84,2,FALSE)),"")</f>
        <v/>
      </c>
      <c r="K14" s="48">
        <f>IF(DAY(NovSun1)=1,NovSun1+33,NovSun1+40)</f>
        <v>43441</v>
      </c>
      <c r="L14" s="15" t="str">
        <f>IFERROR(IF(OR(VLOOKUP(K14,Parameters!$J$54:$K$84,2,FALSE)="",VLOOKUP(K14,Parameters!$J$54:$K$84,2,FALSE)="DayOff"),"",VLOOKUP(K14,Parameters!$J$54:$K$84,2,FALSE)),"")</f>
        <v/>
      </c>
      <c r="M14" s="48">
        <f>IF(DAY(NovSun1)=1,NovSun1+34,NovSun1+41)</f>
        <v>43442</v>
      </c>
      <c r="N14" s="13"/>
      <c r="O14" s="48">
        <f>IF(DAY(NovSun1)=1,NovSun1+35,NovSun1+42)</f>
        <v>43443</v>
      </c>
      <c r="P14" s="22"/>
      <c r="Q14" s="6"/>
    </row>
    <row r="15" spans="1:17" ht="21.95" customHeight="1" thickBot="1" x14ac:dyDescent="0.25">
      <c r="A15" s="5"/>
      <c r="B15" s="78"/>
      <c r="C15" s="36"/>
      <c r="D15" s="37"/>
      <c r="E15" s="47"/>
      <c r="F15" s="37"/>
      <c r="G15" s="47"/>
      <c r="H15" s="37"/>
      <c r="I15" s="47"/>
      <c r="J15" s="37"/>
      <c r="K15" s="47"/>
      <c r="L15" s="37"/>
      <c r="M15" s="47"/>
      <c r="N15" s="37"/>
      <c r="O15" s="47"/>
      <c r="P15" s="39"/>
      <c r="Q15" s="6"/>
    </row>
    <row r="16" spans="1:17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</row>
    <row r="17" spans="1:17" ht="16.5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</row>
  </sheetData>
  <sheetProtection selectLockedCells="1"/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5:N5 C4 E4 G4 I4 K4 M4:N4">
    <cfRule type="expression" dxfId="23" priority="4" stopIfTrue="1">
      <formula>DAY(C4)&gt;8</formula>
    </cfRule>
  </conditionalFormatting>
  <conditionalFormatting sqref="C13:O13 C12 G12 I12 K12 M12:O12 C15:O15 C14 M14:O14 K14 I14 G14 E12 E14">
    <cfRule type="expression" dxfId="22" priority="3" stopIfTrue="1">
      <formula>AND(DAY(C12)&gt;=1,DAY(C12)&lt;=15)</formula>
    </cfRule>
  </conditionalFormatting>
  <conditionalFormatting sqref="C5:O5 C4 E4 G4 I4 K4 M4:O4 C7:O7 C6 M6:O6 K6 I6 G6 C9:O9 C8 G8 I8 K8 M8:O8 C11:H11 C10 M10:O10 K10 I10 G10 C13:O13 C12 G12 I12 K12 M12:O12 C14 M14:O14 K14 I14 G14 E6 E8 E10 E12 E14 J11:O11">
    <cfRule type="expression" dxfId="21" priority="5">
      <formula>VLOOKUP(DAY(C4),AssignmentDays,1,FALSE)=DAY(C4)</formula>
    </cfRule>
  </conditionalFormatting>
  <conditionalFormatting sqref="I11">
    <cfRule type="expression" dxfId="20" priority="1">
      <formula>VLOOKUP(DAY(I11),AssignmentDays,1,FALSE)=DAY(I11)</formula>
    </cfRule>
  </conditionalFormatting>
  <printOptions horizontalCentered="1"/>
  <pageMargins left="0.5" right="0.5" top="0.5" bottom="0.5" header="0.3" footer="0.3"/>
  <pageSetup scale="68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O16"/>
  <sheetViews>
    <sheetView showGridLines="0" tabSelected="1" topLeftCell="A2" zoomScale="90" zoomScaleNormal="90" zoomScalePageLayoutView="84" workbookViewId="0">
      <selection activeCell="D5" sqref="D5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22" width="8.85546875" customWidth="1"/>
    <col min="42" max="16384" width="8.7109375" style="1"/>
  </cols>
  <sheetData>
    <row r="1" spans="1:17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</row>
    <row r="2" spans="1:17" ht="18" customHeight="1" thickBot="1" x14ac:dyDescent="0.25">
      <c r="A2" s="5"/>
      <c r="B2" s="78" t="str">
        <f>" DECEMBER "&amp;Parameters!B14</f>
        <v xml:space="preserve"> DECEMBER 2018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</row>
    <row r="3" spans="1:17" ht="21.95" customHeight="1" thickBot="1" x14ac:dyDescent="0.25">
      <c r="A3" s="5"/>
      <c r="B3" s="78"/>
      <c r="C3" s="79" t="s">
        <v>1</v>
      </c>
      <c r="D3" s="73"/>
      <c r="E3" s="72" t="s">
        <v>8</v>
      </c>
      <c r="F3" s="73"/>
      <c r="G3" s="72" t="s">
        <v>3</v>
      </c>
      <c r="H3" s="73"/>
      <c r="I3" s="72" t="s">
        <v>4</v>
      </c>
      <c r="J3" s="73"/>
      <c r="K3" s="72" t="s">
        <v>5</v>
      </c>
      <c r="L3" s="73"/>
      <c r="M3" s="72" t="s">
        <v>6</v>
      </c>
      <c r="N3" s="73"/>
      <c r="O3" s="72" t="s">
        <v>7</v>
      </c>
      <c r="P3" s="74"/>
      <c r="Q3" s="6"/>
    </row>
    <row r="4" spans="1:17" ht="21.95" customHeight="1" x14ac:dyDescent="0.2">
      <c r="A4" s="5"/>
      <c r="B4" s="78"/>
      <c r="C4" s="41">
        <f>IF(DAY(DecSun1)=1,DecSun1-6,DecSun1+1)</f>
        <v>43430</v>
      </c>
      <c r="D4" s="15" t="str">
        <f>IFERROR(IF(OR(VLOOKUP(C4,Parameters!$L$54:$M$84,2,FALSE)="",VLOOKUP(C4,Parameters!$L$54:$M$84,2,FALSE)="DayOff"),"",VLOOKUP(C4,Parameters!$L$54:$M$84,2,FALSE)),"")</f>
        <v/>
      </c>
      <c r="E4" s="48">
        <f>IF(DAY(DecSun1)=1,DecSun1-5,DecSun1+2)</f>
        <v>43431</v>
      </c>
      <c r="F4" s="15" t="str">
        <f>IFERROR(IF(OR(VLOOKUP(E4,Parameters!$L$54:$M$84,2,FALSE)="",VLOOKUP(E4,Parameters!$L$54:$M$84,2,FALSE)="DayOff"),"",VLOOKUP(E4,Parameters!$L$54:$M$84,2,FALSE)),"")</f>
        <v/>
      </c>
      <c r="G4" s="48">
        <f>IF(DAY(DecSun1)=1,DecSun1-4,DecSun1+3)</f>
        <v>43432</v>
      </c>
      <c r="H4" s="15" t="str">
        <f>IFERROR(IF(OR(VLOOKUP(G4,Parameters!$L$54:$M$84,2,FALSE)="",VLOOKUP(G4,Parameters!$L$54:$M$84,2,FALSE)="DayOff"),"",VLOOKUP(G4,Parameters!$L$54:$M$84,2,FALSE)),"")</f>
        <v/>
      </c>
      <c r="I4" s="48">
        <f>IF(DAY(DecSun1)=1,DecSun1-3,DecSun1+4)</f>
        <v>43433</v>
      </c>
      <c r="J4" s="15" t="str">
        <f>IFERROR(IF(OR(VLOOKUP(I4,Parameters!$L$54:$M$84,2,FALSE)="",VLOOKUP(I4,Parameters!$L$54:$M$84,2,FALSE)="DayOff"),"",VLOOKUP(I4,Parameters!$L$54:$M$84,2,FALSE)),"")</f>
        <v/>
      </c>
      <c r="K4" s="48">
        <f>IF(DAY(DecSun1)=1,DecSun1-2,DecSun1+5)</f>
        <v>43434</v>
      </c>
      <c r="L4" s="15" t="str">
        <f>IFERROR(IF(OR(VLOOKUP(K4,Parameters!$L$54:$M$84,2,FALSE)="",VLOOKUP(K4,Parameters!$L$54:$M$84,2,FALSE)="DayOff"),"",VLOOKUP(K4,Parameters!$L$54:$M$84,2,FALSE)),"")</f>
        <v/>
      </c>
      <c r="M4" s="48">
        <f>IF(DAY(DecSun1)=1,DecSun1-1,DecSun1+6)</f>
        <v>43435</v>
      </c>
      <c r="N4" s="13"/>
      <c r="O4" s="48">
        <f>IF(DAY(DecSun1)=1,DecSun1,DecSun1+7)</f>
        <v>43436</v>
      </c>
      <c r="P4" s="22"/>
      <c r="Q4" s="6"/>
    </row>
    <row r="5" spans="1:17" ht="21.95" customHeight="1" x14ac:dyDescent="0.2">
      <c r="A5" s="5"/>
      <c r="B5" s="78"/>
      <c r="C5" s="23"/>
      <c r="D5" s="11"/>
      <c r="E5" s="18"/>
      <c r="F5" s="11"/>
      <c r="G5" s="18"/>
      <c r="H5" s="11"/>
      <c r="I5" s="18"/>
      <c r="J5" s="11"/>
      <c r="K5" s="18"/>
      <c r="L5" s="11"/>
      <c r="M5" s="18"/>
      <c r="N5" s="11"/>
      <c r="O5" s="18"/>
      <c r="P5" s="24"/>
      <c r="Q5" s="6"/>
    </row>
    <row r="6" spans="1:17" ht="21.95" customHeight="1" x14ac:dyDescent="0.2">
      <c r="A6" s="5"/>
      <c r="B6" s="78"/>
      <c r="C6" s="41">
        <f>IF(DAY(DecSun1)=1,DecSun1+1,DecSun1+8)</f>
        <v>43437</v>
      </c>
      <c r="D6" s="15">
        <f>IFERROR(IF(OR(VLOOKUP(C6,Parameters!$L$54:$M$84,2,FALSE)="",VLOOKUP(C6,Parameters!$L$54:$M$84,2,FALSE)="DayOff"),"",VLOOKUP(C6,Parameters!$L$54:$M$84,2,FALSE)),"")</f>
        <v>1</v>
      </c>
      <c r="E6" s="48">
        <f>IF(DAY(DecSun1)=1,DecSun1+2,DecSun1+9)</f>
        <v>43438</v>
      </c>
      <c r="F6" s="15">
        <f>IFERROR(IF(OR(VLOOKUP(E6,Parameters!$L$54:$M$84,2,FALSE)="",VLOOKUP(E6,Parameters!$L$54:$M$84,2,FALSE)="DayOff"),"",VLOOKUP(E6,Parameters!$L$54:$M$84,2,FALSE)),"")</f>
        <v>2</v>
      </c>
      <c r="G6" s="48">
        <f>IF(DAY(DecSun1)=1,DecSun1+3,DecSun1+10)</f>
        <v>43439</v>
      </c>
      <c r="H6" s="15">
        <f>IFERROR(IF(OR(VLOOKUP(G6,Parameters!$L$54:$M$84,2,FALSE)="",VLOOKUP(G6,Parameters!$L$54:$M$84,2,FALSE)="DayOff"),"",VLOOKUP(G6,Parameters!$L$54:$M$84,2,FALSE)),"")</f>
        <v>3</v>
      </c>
      <c r="I6" s="48">
        <f>IF(DAY(DecSun1)=1,DecSun1+4,DecSun1+11)</f>
        <v>43440</v>
      </c>
      <c r="J6" s="15">
        <f>IFERROR(IF(OR(VLOOKUP(I6,Parameters!$L$54:$M$84,2,FALSE)="",VLOOKUP(I6,Parameters!$L$54:$M$84,2,FALSE)="DayOff"),"",VLOOKUP(I6,Parameters!$L$54:$M$84,2,FALSE)),"")</f>
        <v>4</v>
      </c>
      <c r="K6" s="48">
        <f>IF(DAY(DecSun1)=1,DecSun1+5,DecSun1+12)</f>
        <v>43441</v>
      </c>
      <c r="L6" s="15">
        <f>IFERROR(IF(OR(VLOOKUP(K6,Parameters!$L$54:$M$84,2,FALSE)="",VLOOKUP(K6,Parameters!$L$54:$M$84,2,FALSE)="DayOff"),"",VLOOKUP(K6,Parameters!$L$54:$M$84,2,FALSE)),"")</f>
        <v>5</v>
      </c>
      <c r="M6" s="48">
        <f>IF(DAY(DecSun1)=1,DecSun1+6,DecSun1+13)</f>
        <v>43442</v>
      </c>
      <c r="N6" s="13"/>
      <c r="O6" s="48">
        <f>IF(DAY(DecSun1)=1,DecSun1+7,DecSun1+14)</f>
        <v>43443</v>
      </c>
      <c r="P6" s="22"/>
      <c r="Q6" s="6"/>
    </row>
    <row r="7" spans="1:17" ht="21.95" customHeight="1" x14ac:dyDescent="0.2">
      <c r="A7" s="5"/>
      <c r="B7" s="78"/>
      <c r="C7" s="23"/>
      <c r="D7" s="11"/>
      <c r="E7" s="18"/>
      <c r="F7" s="11"/>
      <c r="G7" s="18"/>
      <c r="H7" s="11"/>
      <c r="I7" s="18"/>
      <c r="J7" s="11"/>
      <c r="K7" s="18"/>
      <c r="L7" s="11"/>
      <c r="M7" s="18"/>
      <c r="N7" s="11"/>
      <c r="O7" s="18"/>
      <c r="P7" s="24"/>
      <c r="Q7" s="6"/>
    </row>
    <row r="8" spans="1:17" ht="21.95" customHeight="1" x14ac:dyDescent="0.2">
      <c r="A8" s="5"/>
      <c r="B8" s="78"/>
      <c r="C8" s="41">
        <f>IF(DAY(DecSun1)=1,DecSun1+8,DecSun1+15)</f>
        <v>43444</v>
      </c>
      <c r="D8" s="15">
        <f>IFERROR(IF(OR(VLOOKUP(C8,Parameters!$L$54:$M$84,2,FALSE)="",VLOOKUP(C8,Parameters!$L$54:$M$84,2,FALSE)="DayOff"),"",VLOOKUP(C8,Parameters!$L$54:$M$84,2,FALSE)),"")</f>
        <v>6</v>
      </c>
      <c r="E8" s="48">
        <f>IF(DAY(DecSun1)=1,DecSun1+9,DecSun1+16)</f>
        <v>43445</v>
      </c>
      <c r="F8" s="15">
        <f>IFERROR(IF(OR(VLOOKUP(E8,Parameters!$L$54:$M$84,2,FALSE)="",VLOOKUP(E8,Parameters!$L$54:$M$84,2,FALSE)="DayOff"),"",VLOOKUP(E8,Parameters!$L$54:$M$84,2,FALSE)),"")</f>
        <v>7</v>
      </c>
      <c r="G8" s="48">
        <f>IF(DAY(DecSun1)=1,DecSun1+10,DecSun1+17)</f>
        <v>43446</v>
      </c>
      <c r="H8" s="15">
        <f>IFERROR(IF(OR(VLOOKUP(G8,Parameters!$L$54:$M$84,2,FALSE)="",VLOOKUP(G8,Parameters!$L$54:$M$84,2,FALSE)="DayOff"),"",VLOOKUP(G8,Parameters!$L$54:$M$84,2,FALSE)),"")</f>
        <v>8</v>
      </c>
      <c r="I8" s="48">
        <f>IF(DAY(DecSun1)=1,DecSun1+11,DecSun1+18)</f>
        <v>43447</v>
      </c>
      <c r="J8" s="15">
        <f>IFERROR(IF(OR(VLOOKUP(I8,Parameters!$L$54:$M$84,2,FALSE)="",VLOOKUP(I8,Parameters!$L$54:$M$84,2,FALSE)="DayOff"),"",VLOOKUP(I8,Parameters!$L$54:$M$84,2,FALSE)),"")</f>
        <v>9</v>
      </c>
      <c r="K8" s="48">
        <f>IF(DAY(DecSun1)=1,DecSun1+12,DecSun1+19)</f>
        <v>43448</v>
      </c>
      <c r="L8" s="15">
        <f>IFERROR(IF(OR(VLOOKUP(K8,Parameters!$L$54:$M$84,2,FALSE)="",VLOOKUP(K8,Parameters!$L$54:$M$84,2,FALSE)="DayOff"),"",VLOOKUP(K8,Parameters!$L$54:$M$84,2,FALSE)),"")</f>
        <v>10</v>
      </c>
      <c r="M8" s="48">
        <f>IF(DAY(DecSun1)=1,DecSun1+13,DecSun1+20)</f>
        <v>43449</v>
      </c>
      <c r="N8" s="13"/>
      <c r="O8" s="48">
        <f>IF(DAY(DecSun1)=1,DecSun1+14,DecSun1+21)</f>
        <v>43450</v>
      </c>
      <c r="P8" s="22"/>
      <c r="Q8" s="6"/>
    </row>
    <row r="9" spans="1:17" ht="21.95" customHeight="1" x14ac:dyDescent="0.2">
      <c r="A9" s="5"/>
      <c r="B9" s="78"/>
      <c r="C9" s="23"/>
      <c r="D9" s="11"/>
      <c r="E9" s="18"/>
      <c r="F9" s="11"/>
      <c r="G9" s="18"/>
      <c r="H9" s="11"/>
      <c r="I9" s="18"/>
      <c r="J9" s="11"/>
      <c r="K9" s="18"/>
      <c r="L9" s="11"/>
      <c r="M9" s="18"/>
      <c r="N9" s="11"/>
      <c r="O9" s="18"/>
      <c r="P9" s="24"/>
      <c r="Q9" s="6"/>
    </row>
    <row r="10" spans="1:17" ht="21.95" customHeight="1" x14ac:dyDescent="0.2">
      <c r="A10" s="5"/>
      <c r="B10" s="78"/>
      <c r="C10" s="41">
        <f>IF(DAY(DecSun1)=1,DecSun1+15,DecSun1+22)</f>
        <v>43451</v>
      </c>
      <c r="D10" s="15">
        <f>IFERROR(IF(OR(VLOOKUP(C10,Parameters!$L$54:$M$84,2,FALSE)="",VLOOKUP(C10,Parameters!$L$54:$M$84,2,FALSE)="DayOff"),"",VLOOKUP(C10,Parameters!$L$54:$M$84,2,FALSE)),"")</f>
        <v>11</v>
      </c>
      <c r="E10" s="48">
        <f>IF(DAY(DecSun1)=1,DecSun1+16,DecSun1+23)</f>
        <v>43452</v>
      </c>
      <c r="F10" s="15">
        <f>IFERROR(IF(OR(VLOOKUP(E10,Parameters!$L$54:$M$84,2,FALSE)="",VLOOKUP(E10,Parameters!$L$54:$M$84,2,FALSE)="DayOff"),"",VLOOKUP(E10,Parameters!$L$54:$M$84,2,FALSE)),"")</f>
        <v>12</v>
      </c>
      <c r="G10" s="48">
        <f>IF(DAY(DecSun1)=1,DecSun1+17,DecSun1+24)</f>
        <v>43453</v>
      </c>
      <c r="H10" s="15" t="str">
        <f>IFERROR(IF(OR(VLOOKUP(G10,Parameters!$L$54:$M$84,2,FALSE)="",VLOOKUP(G10,Parameters!$L$54:$M$84,2,FALSE)="DayOff"),"",VLOOKUP(G10,Parameters!$L$54:$M$84,2,FALSE)),"")</f>
        <v/>
      </c>
      <c r="I10" s="48">
        <f>IF(DAY(DecSun1)=1,DecSun1+18,DecSun1+25)</f>
        <v>43454</v>
      </c>
      <c r="J10" s="15" t="str">
        <f>IFERROR(IF(OR(VLOOKUP(I10,Parameters!$L$54:$M$84,2,FALSE)="",VLOOKUP(I10,Parameters!$L$54:$M$84,2,FALSE)="DayOff"),"",VLOOKUP(I10,Parameters!$L$54:$M$84,2,FALSE)),"")</f>
        <v/>
      </c>
      <c r="K10" s="48">
        <f>IF(DAY(DecSun1)=1,DecSun1+19,DecSun1+26)</f>
        <v>43455</v>
      </c>
      <c r="L10" s="15" t="str">
        <f>IFERROR(IF(OR(VLOOKUP(K10,Parameters!$L$54:$M$84,2,FALSE)="",VLOOKUP(K10,Parameters!$L$54:$M$84,2,FALSE)="DayOff"),"",VLOOKUP(K10,Parameters!$L$54:$M$84,2,FALSE)),"")</f>
        <v/>
      </c>
      <c r="M10" s="48">
        <f>IF(DAY(DecSun1)=1,DecSun1+20,DecSun1+27)</f>
        <v>43456</v>
      </c>
      <c r="N10" s="13"/>
      <c r="O10" s="48">
        <f>IF(DAY(DecSun1)=1,DecSun1+21,DecSun1+28)</f>
        <v>43457</v>
      </c>
      <c r="P10" s="22"/>
      <c r="Q10" s="6"/>
    </row>
    <row r="11" spans="1:17" ht="21.95" customHeight="1" x14ac:dyDescent="0.2">
      <c r="A11" s="5"/>
      <c r="B11" s="78"/>
      <c r="C11" s="23"/>
      <c r="D11" s="11"/>
      <c r="E11" s="18"/>
      <c r="F11" s="11"/>
      <c r="G11" s="18"/>
      <c r="H11" s="11"/>
      <c r="I11" s="63" t="s">
        <v>26</v>
      </c>
      <c r="J11" s="11"/>
      <c r="K11" s="18"/>
      <c r="L11" s="11"/>
      <c r="M11" s="18"/>
      <c r="N11" s="11"/>
      <c r="O11" s="18"/>
      <c r="P11" s="24"/>
      <c r="Q11" s="6"/>
    </row>
    <row r="12" spans="1:17" ht="21.95" customHeight="1" x14ac:dyDescent="0.2">
      <c r="A12" s="5"/>
      <c r="B12" s="78"/>
      <c r="C12" s="41">
        <f>IF(DAY(DecSun1)=1,DecSun1+22,DecSun1+29)</f>
        <v>43458</v>
      </c>
      <c r="D12" s="15" t="str">
        <f>IFERROR(IF(OR(VLOOKUP(C12,Parameters!$L$54:$M$84,2,FALSE)="",VLOOKUP(C12,Parameters!$L$54:$M$84,2,FALSE)="DayOff"),"",VLOOKUP(C12,Parameters!$L$54:$M$84,2,FALSE)),"")</f>
        <v/>
      </c>
      <c r="E12" s="48">
        <f>IF(DAY(DecSun1)=1,DecSun1+23,DecSun1+30)</f>
        <v>43459</v>
      </c>
      <c r="F12" s="15" t="str">
        <f>IFERROR(IF(OR(VLOOKUP(E12,Parameters!$L$54:$M$84,2,FALSE)="",VLOOKUP(E12,Parameters!$L$54:$M$84,2,FALSE)="DayOff"),"",VLOOKUP(E12,Parameters!$L$54:$M$84,2,FALSE)),"")</f>
        <v/>
      </c>
      <c r="G12" s="48">
        <f>IF(DAY(DecSun1)=1,DecSun1+24,DecSun1+31)</f>
        <v>43460</v>
      </c>
      <c r="H12" s="15" t="str">
        <f>IFERROR(IF(OR(VLOOKUP(G12,Parameters!$L$54:$M$84,2,FALSE)="",VLOOKUP(G12,Parameters!$L$54:$M$84,2,FALSE)="DayOff"),"",VLOOKUP(G12,Parameters!$L$54:$M$84,2,FALSE)),"")</f>
        <v/>
      </c>
      <c r="I12" s="48">
        <f>IF(DAY(DecSun1)=1,DecSun1+25,DecSun1+32)</f>
        <v>43461</v>
      </c>
      <c r="J12" s="15" t="str">
        <f>IFERROR(IF(OR(VLOOKUP(I12,Parameters!$L$54:$M$84,2,FALSE)="",VLOOKUP(I12,Parameters!$L$54:$M$84,2,FALSE)="DayOff"),"",VLOOKUP(I12,Parameters!$L$54:$M$84,2,FALSE)),"")</f>
        <v/>
      </c>
      <c r="K12" s="48">
        <f>IF(DAY(DecSun1)=1,DecSun1+26,DecSun1+33)</f>
        <v>43462</v>
      </c>
      <c r="L12" s="15" t="str">
        <f>IFERROR(IF(OR(VLOOKUP(K12,Parameters!$L$54:$M$84,2,FALSE)="",VLOOKUP(K12,Parameters!$L$54:$M$84,2,FALSE)="DayOff"),"",VLOOKUP(K12,Parameters!$L$54:$M$84,2,FALSE)),"")</f>
        <v/>
      </c>
      <c r="M12" s="48">
        <f>IF(DAY(DecSun1)=1,DecSun1+27,DecSun1+34)</f>
        <v>43463</v>
      </c>
      <c r="N12" s="13"/>
      <c r="O12" s="48">
        <f>IF(DAY(DecSun1)=1,DecSun1+28,DecSun1+35)</f>
        <v>43464</v>
      </c>
      <c r="P12" s="22"/>
      <c r="Q12" s="6"/>
    </row>
    <row r="13" spans="1:17" ht="21.95" customHeight="1" x14ac:dyDescent="0.2">
      <c r="A13" s="5"/>
      <c r="B13" s="78"/>
      <c r="C13" s="23"/>
      <c r="D13" s="11"/>
      <c r="E13" s="18"/>
      <c r="F13" s="11"/>
      <c r="G13" s="18"/>
      <c r="H13" s="11"/>
      <c r="I13" s="18"/>
      <c r="J13" s="11"/>
      <c r="K13" s="18"/>
      <c r="L13" s="11"/>
      <c r="M13" s="18"/>
      <c r="N13" s="11"/>
      <c r="O13" s="18"/>
      <c r="P13" s="24"/>
      <c r="Q13" s="6"/>
    </row>
    <row r="14" spans="1:17" ht="21.95" customHeight="1" x14ac:dyDescent="0.2">
      <c r="A14" s="5"/>
      <c r="B14" s="78"/>
      <c r="C14" s="41">
        <f>IF(DAY(DecSun1)=1,DecSun1+29,DecSun1+36)</f>
        <v>43465</v>
      </c>
      <c r="D14" s="15" t="str">
        <f>IFERROR(IF(OR(VLOOKUP(C14,Parameters!$L$54:$M$84,2,FALSE)="",VLOOKUP(C14,Parameters!$L$54:$M$84,2,FALSE)="DayOff"),"",VLOOKUP(C14,Parameters!$L$54:$M$84,2,FALSE)),"")</f>
        <v/>
      </c>
      <c r="E14" s="48">
        <f>IF(DAY(DecSun1)=1,DecSun1+30,DecSun1+37)</f>
        <v>43466</v>
      </c>
      <c r="F14" s="15" t="str">
        <f>IFERROR(IF(OR(VLOOKUP(E14,Parameters!$L$54:$M$84,2,FALSE)="",VLOOKUP(E14,Parameters!$L$54:$M$84,2,FALSE)="DayOff"),"",VLOOKUP(E14,Parameters!$L$54:$M$84,2,FALSE)),"")</f>
        <v/>
      </c>
      <c r="G14" s="48">
        <f>IF(DAY(DecSun1)=1,DecSun1+31,DecSun1+38)</f>
        <v>43467</v>
      </c>
      <c r="H14" s="15" t="str">
        <f>IFERROR(IF(OR(VLOOKUP(G14,Parameters!$L$54:$M$84,2,FALSE)="",VLOOKUP(G14,Parameters!$L$54:$M$84,2,FALSE)="DayOff"),"",VLOOKUP(G14,Parameters!$L$54:$M$84,2,FALSE)),"")</f>
        <v/>
      </c>
      <c r="I14" s="48">
        <f>IF(DAY(DecSun1)=1,DecSun1+32,DecSun1+39)</f>
        <v>43468</v>
      </c>
      <c r="J14" s="15" t="str">
        <f>IFERROR(IF(OR(VLOOKUP(I14,Parameters!$L$54:$M$84,2,FALSE)="",VLOOKUP(I14,Parameters!$L$54:$M$84,2,FALSE)="DayOff"),"",VLOOKUP(I14,Parameters!$L$54:$M$84,2,FALSE)),"")</f>
        <v/>
      </c>
      <c r="K14" s="48">
        <f>IF(DAY(DecSun1)=1,DecSun1+33,DecSun1+40)</f>
        <v>43469</v>
      </c>
      <c r="L14" s="15" t="str">
        <f>IFERROR(IF(OR(VLOOKUP(K14,Parameters!$L$54:$M$84,2,FALSE)="",VLOOKUP(K14,Parameters!$L$54:$M$84,2,FALSE)="DayOff"),"",VLOOKUP(K14,Parameters!$L$54:$M$84,2,FALSE)),"")</f>
        <v/>
      </c>
      <c r="M14" s="48">
        <f>IF(DAY(DecSun1)=1,DecSun1+34,DecSun1+41)</f>
        <v>43470</v>
      </c>
      <c r="N14" s="15"/>
      <c r="O14" s="48">
        <f>IF(DAY(DecSun1)=1,DecSun1+35,DecSun1+42)</f>
        <v>43471</v>
      </c>
      <c r="P14" s="22"/>
      <c r="Q14" s="6"/>
    </row>
    <row r="15" spans="1:17" ht="21.95" customHeight="1" thickBot="1" x14ac:dyDescent="0.25">
      <c r="A15" s="5"/>
      <c r="B15" s="78"/>
      <c r="C15" s="26"/>
      <c r="D15" s="27"/>
      <c r="E15" s="30"/>
      <c r="F15" s="27"/>
      <c r="G15" s="30"/>
      <c r="H15" s="27"/>
      <c r="I15" s="30"/>
      <c r="J15" s="27"/>
      <c r="K15" s="30"/>
      <c r="L15" s="27"/>
      <c r="M15" s="30"/>
      <c r="N15" s="27"/>
      <c r="O15" s="30"/>
      <c r="P15" s="29"/>
      <c r="Q15" s="6"/>
    </row>
    <row r="16" spans="1:17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</row>
  </sheetData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5:N5 C4 E4 G4 I4 K4 M4:N4">
    <cfRule type="expression" dxfId="19" priority="4" stopIfTrue="1">
      <formula>DAY(C4)&gt;8</formula>
    </cfRule>
  </conditionalFormatting>
  <conditionalFormatting sqref="C13:O13 C12 G12 I12 K12 M12:O12 C15:O15 C14 M14 K14 I14 G14 E12 E14 O14">
    <cfRule type="expression" dxfId="18" priority="3" stopIfTrue="1">
      <formula>AND(DAY(C12)&gt;=1,DAY(C12)&lt;=15)</formula>
    </cfRule>
  </conditionalFormatting>
  <conditionalFormatting sqref="C5:O5 C4 E4 G4 I4 K4 M4:O4 C7:O7 C6 M6:O6 K6 I6 G6 C9:O9 C8 G8 I8 K8 M8:O8 C11:H11 C10 M10:O10 K10 I10 G10 C13:O13 C12 G12 I12 K12 M12:O12 C14 M14 K14 I14 G14 E6 E8 E10 E12 E14 J11:O11 O14">
    <cfRule type="expression" dxfId="17" priority="5">
      <formula>VLOOKUP(DAY(C4),AssignmentDays,1,FALSE)=DAY(C4)</formula>
    </cfRule>
  </conditionalFormatting>
  <conditionalFormatting sqref="I11">
    <cfRule type="expression" dxfId="16" priority="1">
      <formula>VLOOKUP(DAY(I11),AssignmentDays,1,FALSE)=DAY(I11)</formula>
    </cfRule>
  </conditionalFormatting>
  <printOptions horizontalCentered="1"/>
  <pageMargins left="0.5" right="0.5" top="0.5" bottom="0.5" header="0.3" footer="0.3"/>
  <pageSetup scale="6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defaultValue">
  <element uid="id_classification_nonbusiness" value=""/>
</sisl>
</file>

<file path=customXml/itemProps1.xml><?xml version="1.0" encoding="utf-8"?>
<ds:datastoreItem xmlns:ds="http://schemas.openxmlformats.org/officeDocument/2006/customXml" ds:itemID="{6FF21058-99F3-4238-BEF5-0A42D62435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53DC66-0446-4D19-973E-EE63419A766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2</vt:i4>
      </vt:variant>
    </vt:vector>
  </HeadingPairs>
  <TitlesOfParts>
    <vt:vector size="16" baseType="lpstr">
      <vt:lpstr>Parameters</vt:lpstr>
      <vt:lpstr>Days off</vt:lpstr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  <vt:lpstr>CalendarYear</vt:lpstr>
      <vt:lpstr>January!Print_Area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2017-12-20T16:47:06Z</dcterms:created>
  <dcterms:modified xsi:type="dcterms:W3CDTF">2018-01-16T11:26:37Z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TC025512749991</vt:lpwstr>
  </property>
  <property fmtid="{D5CDD505-2E9C-101B-9397-08002B2CF9AE}" pid="3" name="docIndexRef">
    <vt:lpwstr>409d23e5-5804-4b9c-9d61-890719cbe073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policy="2152ec2e-c0c1-4834-9aa1-dc782ab0e2aa" origin="defaultValue"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P U B L I C   </vt:lpwstr>
  </property>
  <property fmtid="{D5CDD505-2E9C-101B-9397-08002B2CF9AE}" pid="7" name="SV_QUERY_LIST_4F35BF76-6C0D-4D9B-82B2-816C12CF3733">
    <vt:lpwstr>empty_477D106A-C0D6-4607-AEBD-E2C9D60EA279</vt:lpwstr>
  </property>
  <property fmtid="{D5CDD505-2E9C-101B-9397-08002B2CF9AE}" pid="8" name="bjSaver">
    <vt:lpwstr>ObKocO6U2LQNkgNJc9KAs6KaMDpcu251</vt:lpwstr>
  </property>
</Properties>
</file>