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1" activeTab="4"/>
  </bookViews>
  <sheets>
    <sheet name="Inventaire" sheetId="56" state="hidden" r:id="rId1"/>
    <sheet name="Suivi de production" sheetId="57" r:id="rId2"/>
    <sheet name="Suivi de commande" sheetId="16" r:id="rId3"/>
    <sheet name="Total" sheetId="64" r:id="rId4"/>
    <sheet name="Juin 2018" sheetId="65" r:id="rId5"/>
    <sheet name="Feuil1" sheetId="58" state="hidden" r:id="rId6"/>
  </sheets>
  <functionGroups builtInGroupCount="18"/>
  <externalReferences>
    <externalReference r:id="rId7"/>
  </externalReferences>
  <definedNames>
    <definedName name="_xlnm._FilterDatabase" localSheetId="0" hidden="1">Inventaire!$C$1:$C$116</definedName>
    <definedName name="_xlnm._FilterDatabase" localSheetId="1" hidden="1">'Suivi de production'!$D$1:$D$2</definedName>
    <definedName name="COPIE">OFFSET('Suivi de commande'!$A$7,,,COUNTA('Suivi de commande'!$I$7:$I$26),COUNTA('Suivi de commande'!$A$6:$M$6))</definedName>
    <definedName name="_xlnm.Criteria" localSheetId="0">Inventaire!$C$1</definedName>
    <definedName name="date">'Suivi de production'!$A$3:$A$379</definedName>
    <definedName name="_xlnm.Extract" localSheetId="0">Inventaire!#REF!</definedName>
    <definedName name="FAIT">'Suivi de production'!$F$3:$F$379</definedName>
    <definedName name="FORMAT">'Suivi de commande'!$7:$27</definedName>
    <definedName name="ListeNoms" localSheetId="0">OFFSET(Inventaire!#REF!,,,COUNTA(Inventaire!$C:$C)-1)</definedName>
    <definedName name="NOSEMAINE" localSheetId="3">'Suivi de commande'!$A$29:$A$1151</definedName>
    <definedName name="qtélot">'Suivi de production'!$E$3:$E$1152</definedName>
  </definedNames>
  <calcPr calcId="152511"/>
  <pivotCaches>
    <pivotCache cacheId="1" r:id="rId8"/>
  </pivotCaches>
</workbook>
</file>

<file path=xl/calcChain.xml><?xml version="1.0" encoding="utf-8"?>
<calcChain xmlns="http://schemas.openxmlformats.org/spreadsheetml/2006/main">
  <c r="I36" i="65" l="1"/>
  <c r="I35" i="65"/>
  <c r="I28" i="65"/>
  <c r="I27" i="65"/>
  <c r="I20" i="65"/>
  <c r="I19" i="65"/>
  <c r="K18" i="65"/>
  <c r="K34" i="65"/>
  <c r="N2" i="57"/>
  <c r="K22" i="65"/>
  <c r="K32" i="65"/>
  <c r="K16" i="65"/>
  <c r="K33" i="65"/>
  <c r="K23" i="65"/>
  <c r="K14" i="65"/>
  <c r="K30" i="65"/>
  <c r="K31" i="65"/>
  <c r="K25" i="65"/>
  <c r="K26" i="65"/>
  <c r="K24" i="65"/>
  <c r="K15" i="65"/>
  <c r="K17" i="65"/>
  <c r="G6" i="65" l="1"/>
  <c r="G34" i="65"/>
  <c r="J34" i="65" s="1"/>
  <c r="L34" i="65" s="1"/>
  <c r="G33" i="65"/>
  <c r="J33" i="65" s="1"/>
  <c r="L33" i="65" s="1"/>
  <c r="G32" i="65"/>
  <c r="J32" i="65" s="1"/>
  <c r="L32" i="65" s="1"/>
  <c r="G31" i="65"/>
  <c r="H31" i="65" s="1"/>
  <c r="G30" i="65"/>
  <c r="J30" i="65" s="1"/>
  <c r="G26" i="65"/>
  <c r="H26" i="65" s="1"/>
  <c r="G25" i="65"/>
  <c r="J25" i="65" s="1"/>
  <c r="L25" i="65" s="1"/>
  <c r="G24" i="65"/>
  <c r="H24" i="65" s="1"/>
  <c r="G23" i="65"/>
  <c r="J23" i="65" s="1"/>
  <c r="L23" i="65" s="1"/>
  <c r="G22" i="65"/>
  <c r="J22" i="65" s="1"/>
  <c r="G18" i="65"/>
  <c r="H18" i="65" s="1"/>
  <c r="G17" i="65"/>
  <c r="J17" i="65" s="1"/>
  <c r="L17" i="65" s="1"/>
  <c r="G16" i="65"/>
  <c r="H16" i="65" s="1"/>
  <c r="G15" i="65"/>
  <c r="J15" i="65" s="1"/>
  <c r="L15" i="65" s="1"/>
  <c r="G14" i="65"/>
  <c r="J14" i="65" s="1"/>
  <c r="G8" i="65"/>
  <c r="G9" i="65"/>
  <c r="G10" i="65"/>
  <c r="H10" i="65" s="1"/>
  <c r="G7" i="65"/>
  <c r="O40" i="65"/>
  <c r="P36" i="65"/>
  <c r="O36" i="65"/>
  <c r="N36" i="65"/>
  <c r="M36" i="65"/>
  <c r="F36" i="65"/>
  <c r="D36" i="65"/>
  <c r="C36" i="65"/>
  <c r="P35" i="65"/>
  <c r="O35" i="65"/>
  <c r="N35" i="65"/>
  <c r="M35" i="65"/>
  <c r="D35" i="65"/>
  <c r="C35" i="65"/>
  <c r="E34" i="65"/>
  <c r="E33" i="65"/>
  <c r="E32" i="65"/>
  <c r="E31" i="65"/>
  <c r="E30" i="65"/>
  <c r="P28" i="65"/>
  <c r="O28" i="65"/>
  <c r="N28" i="65"/>
  <c r="M28" i="65"/>
  <c r="F28" i="65"/>
  <c r="D28" i="65"/>
  <c r="C28" i="65"/>
  <c r="P27" i="65"/>
  <c r="O27" i="65"/>
  <c r="N27" i="65"/>
  <c r="M27" i="65"/>
  <c r="F27" i="65"/>
  <c r="D27" i="65"/>
  <c r="C27" i="65"/>
  <c r="E26" i="65"/>
  <c r="E25" i="65"/>
  <c r="E24" i="65"/>
  <c r="E23" i="65"/>
  <c r="E22" i="65"/>
  <c r="P20" i="65"/>
  <c r="O20" i="65"/>
  <c r="N20" i="65"/>
  <c r="M20" i="65"/>
  <c r="F20" i="65"/>
  <c r="D20" i="65"/>
  <c r="C20" i="65"/>
  <c r="P19" i="65"/>
  <c r="O19" i="65"/>
  <c r="N19" i="65"/>
  <c r="M19" i="65"/>
  <c r="F19" i="65"/>
  <c r="D19" i="65"/>
  <c r="C19" i="65"/>
  <c r="E18" i="65"/>
  <c r="E17" i="65"/>
  <c r="E16" i="65"/>
  <c r="E15" i="65"/>
  <c r="E14" i="65"/>
  <c r="P12" i="65"/>
  <c r="O12" i="65"/>
  <c r="N12" i="65"/>
  <c r="M12" i="65"/>
  <c r="I12" i="65"/>
  <c r="F12" i="65"/>
  <c r="D12" i="65"/>
  <c r="C12" i="65"/>
  <c r="P11" i="65"/>
  <c r="O11" i="65"/>
  <c r="N11" i="65"/>
  <c r="N37" i="65" s="1"/>
  <c r="M11" i="65"/>
  <c r="I11" i="65"/>
  <c r="F11" i="65"/>
  <c r="D11" i="65"/>
  <c r="C11" i="65"/>
  <c r="E10" i="65"/>
  <c r="E9" i="65"/>
  <c r="E8" i="65"/>
  <c r="E7" i="65"/>
  <c r="E6" i="65"/>
  <c r="K8" i="65"/>
  <c r="K10" i="65"/>
  <c r="K9" i="65"/>
  <c r="K6" i="65"/>
  <c r="K7" i="65"/>
  <c r="J18" i="65" l="1"/>
  <c r="L18" i="65" s="1"/>
  <c r="J26" i="65"/>
  <c r="L26" i="65" s="1"/>
  <c r="J24" i="65"/>
  <c r="L24" i="65" s="1"/>
  <c r="J31" i="65"/>
  <c r="L31" i="65" s="1"/>
  <c r="J16" i="65"/>
  <c r="L16" i="65" s="1"/>
  <c r="L30" i="65"/>
  <c r="L22" i="65"/>
  <c r="L14" i="65"/>
  <c r="J9" i="65"/>
  <c r="L9" i="65" s="1"/>
  <c r="J10" i="65"/>
  <c r="L10" i="65" s="1"/>
  <c r="J8" i="65"/>
  <c r="L8" i="65" s="1"/>
  <c r="J7" i="65"/>
  <c r="L7" i="65" s="1"/>
  <c r="J6" i="65"/>
  <c r="H15" i="65"/>
  <c r="H25" i="65"/>
  <c r="H28" i="65" s="1"/>
  <c r="H14" i="65"/>
  <c r="H8" i="65"/>
  <c r="H30" i="65"/>
  <c r="M37" i="65"/>
  <c r="E27" i="65"/>
  <c r="C37" i="65"/>
  <c r="E28" i="65"/>
  <c r="E36" i="65"/>
  <c r="E11" i="65"/>
  <c r="N39" i="65"/>
  <c r="N40" i="65" s="1"/>
  <c r="P39" i="65"/>
  <c r="P40" i="65" s="1"/>
  <c r="D37" i="65"/>
  <c r="E20" i="65"/>
  <c r="F37" i="65"/>
  <c r="E12" i="65"/>
  <c r="H34" i="65"/>
  <c r="O37" i="65"/>
  <c r="H33" i="65"/>
  <c r="H9" i="65"/>
  <c r="I37" i="65"/>
  <c r="H17" i="65"/>
  <c r="G20" i="65"/>
  <c r="G36" i="65"/>
  <c r="H32" i="65"/>
  <c r="G27" i="65"/>
  <c r="G28" i="65"/>
  <c r="G19" i="65"/>
  <c r="G12" i="65"/>
  <c r="H7" i="65"/>
  <c r="H6" i="65"/>
  <c r="G11" i="65"/>
  <c r="E19" i="65"/>
  <c r="E35" i="65"/>
  <c r="P37" i="65"/>
  <c r="C30" i="64"/>
  <c r="C31" i="64"/>
  <c r="H31" i="64"/>
  <c r="H30" i="64"/>
  <c r="H29" i="64"/>
  <c r="H28" i="64"/>
  <c r="H27" i="64"/>
  <c r="H26" i="64"/>
  <c r="H25" i="64"/>
  <c r="H24" i="64"/>
  <c r="H23" i="64"/>
  <c r="H22" i="64"/>
  <c r="H21" i="64"/>
  <c r="H20" i="64"/>
  <c r="H19" i="64"/>
  <c r="H18" i="64"/>
  <c r="H17" i="64"/>
  <c r="H16" i="64"/>
  <c r="H15" i="64"/>
  <c r="H14" i="64"/>
  <c r="H13" i="64"/>
  <c r="H12" i="64"/>
  <c r="H11" i="64"/>
  <c r="H10" i="64"/>
  <c r="H9" i="64"/>
  <c r="H8" i="64"/>
  <c r="H7" i="64"/>
  <c r="H6" i="64"/>
  <c r="H5" i="64"/>
  <c r="H4" i="64"/>
  <c r="H3" i="64"/>
  <c r="H2" i="64"/>
  <c r="G31" i="64"/>
  <c r="G30" i="64"/>
  <c r="G29" i="64"/>
  <c r="G28" i="64"/>
  <c r="G27" i="64"/>
  <c r="G26" i="64"/>
  <c r="G25" i="64"/>
  <c r="G24" i="64"/>
  <c r="G23" i="64"/>
  <c r="G22" i="64"/>
  <c r="G21" i="64"/>
  <c r="G20" i="64"/>
  <c r="G19" i="64"/>
  <c r="G18" i="64"/>
  <c r="G17" i="64"/>
  <c r="G16" i="64"/>
  <c r="G15" i="64"/>
  <c r="G14" i="64"/>
  <c r="G13" i="64"/>
  <c r="G12" i="64"/>
  <c r="G11" i="64"/>
  <c r="G10" i="64"/>
  <c r="G9" i="64"/>
  <c r="G8" i="64"/>
  <c r="G7" i="64"/>
  <c r="G6" i="64"/>
  <c r="G5" i="64"/>
  <c r="G4" i="64"/>
  <c r="G3" i="64"/>
  <c r="F31" i="64"/>
  <c r="F30" i="64"/>
  <c r="F29" i="64"/>
  <c r="F28" i="64"/>
  <c r="F27" i="64"/>
  <c r="F26" i="64"/>
  <c r="F25" i="64"/>
  <c r="F24" i="64"/>
  <c r="F23" i="64"/>
  <c r="F22" i="64"/>
  <c r="F21" i="64"/>
  <c r="F20" i="64"/>
  <c r="F19" i="64"/>
  <c r="F18" i="64"/>
  <c r="F17" i="64"/>
  <c r="F16" i="64"/>
  <c r="F15" i="64"/>
  <c r="F14" i="64"/>
  <c r="F13" i="64"/>
  <c r="F12" i="64"/>
  <c r="F11" i="64"/>
  <c r="F10" i="64"/>
  <c r="F9" i="64"/>
  <c r="F8" i="64"/>
  <c r="F7" i="64"/>
  <c r="F6" i="64"/>
  <c r="F5" i="64"/>
  <c r="F4" i="64"/>
  <c r="F3" i="64"/>
  <c r="F2" i="64"/>
  <c r="E31" i="64"/>
  <c r="E30" i="64"/>
  <c r="E29" i="64"/>
  <c r="E28" i="64"/>
  <c r="E27" i="64"/>
  <c r="E26" i="64"/>
  <c r="E25" i="64"/>
  <c r="E24" i="64"/>
  <c r="E23" i="64"/>
  <c r="E22" i="64"/>
  <c r="E21" i="64"/>
  <c r="E20" i="64"/>
  <c r="E19" i="64"/>
  <c r="E18" i="64"/>
  <c r="E17" i="64"/>
  <c r="E16" i="64"/>
  <c r="E15" i="64"/>
  <c r="E14" i="64"/>
  <c r="E13" i="64"/>
  <c r="E12" i="64"/>
  <c r="E11" i="64"/>
  <c r="E10" i="64"/>
  <c r="E9" i="64"/>
  <c r="E8" i="64"/>
  <c r="E7" i="64"/>
  <c r="E6" i="64"/>
  <c r="E5" i="64"/>
  <c r="E4" i="64"/>
  <c r="E3" i="64"/>
  <c r="G2" i="64"/>
  <c r="E2" i="64"/>
  <c r="D2" i="64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D31" i="64"/>
  <c r="D30" i="64"/>
  <c r="D29" i="64"/>
  <c r="C29" i="64"/>
  <c r="D28" i="64"/>
  <c r="C28" i="64"/>
  <c r="D27" i="64"/>
  <c r="C27" i="64"/>
  <c r="D26" i="64"/>
  <c r="C26" i="64"/>
  <c r="D25" i="64"/>
  <c r="C25" i="64"/>
  <c r="D24" i="64"/>
  <c r="C24" i="64"/>
  <c r="D23" i="64"/>
  <c r="C23" i="64"/>
  <c r="D22" i="64"/>
  <c r="C22" i="64"/>
  <c r="D21" i="64"/>
  <c r="C21" i="64"/>
  <c r="D20" i="64"/>
  <c r="C20" i="64"/>
  <c r="D19" i="64"/>
  <c r="C19" i="64"/>
  <c r="D18" i="64"/>
  <c r="C18" i="64"/>
  <c r="D17" i="64"/>
  <c r="C17" i="64"/>
  <c r="D16" i="64"/>
  <c r="C16" i="64"/>
  <c r="D15" i="64"/>
  <c r="C15" i="64"/>
  <c r="D14" i="64"/>
  <c r="C14" i="64"/>
  <c r="D13" i="64"/>
  <c r="C13" i="64"/>
  <c r="D12" i="64"/>
  <c r="C12" i="64"/>
  <c r="D11" i="64"/>
  <c r="C11" i="64"/>
  <c r="D10" i="64"/>
  <c r="C10" i="64"/>
  <c r="D9" i="64"/>
  <c r="C9" i="64"/>
  <c r="D8" i="64"/>
  <c r="C8" i="64"/>
  <c r="D7" i="64"/>
  <c r="C7" i="64"/>
  <c r="D6" i="64"/>
  <c r="C6" i="64"/>
  <c r="D5" i="64"/>
  <c r="C5" i="64"/>
  <c r="D4" i="64"/>
  <c r="C4" i="64"/>
  <c r="D3" i="64"/>
  <c r="C3" i="64"/>
  <c r="C2" i="64"/>
  <c r="J28" i="65" l="1"/>
  <c r="J20" i="65"/>
  <c r="J36" i="65"/>
  <c r="L36" i="65"/>
  <c r="L35" i="65"/>
  <c r="L28" i="65"/>
  <c r="L27" i="65"/>
  <c r="L20" i="65"/>
  <c r="L19" i="65"/>
  <c r="E37" i="65"/>
  <c r="H19" i="65"/>
  <c r="H27" i="65"/>
  <c r="H36" i="65"/>
  <c r="H35" i="65"/>
  <c r="H20" i="65"/>
  <c r="G37" i="65"/>
  <c r="H11" i="65"/>
  <c r="H12" i="65"/>
  <c r="F32" i="64"/>
  <c r="H32" i="64"/>
  <c r="E32" i="64"/>
  <c r="G32" i="64"/>
  <c r="D32" i="64"/>
  <c r="J37" i="65" l="1"/>
  <c r="H37" i="65"/>
  <c r="C2" i="16"/>
  <c r="A8" i="16" l="1"/>
  <c r="A26" i="16"/>
  <c r="A7" i="16"/>
  <c r="N128" i="57" l="1"/>
  <c r="M210" i="57"/>
  <c r="J12" i="65"/>
  <c r="L6" i="65"/>
  <c r="L12" i="65" s="1"/>
  <c r="L11" i="65" l="1"/>
  <c r="L37" i="65" s="1"/>
</calcChain>
</file>

<file path=xl/sharedStrings.xml><?xml version="1.0" encoding="utf-8"?>
<sst xmlns="http://schemas.openxmlformats.org/spreadsheetml/2006/main" count="1028" uniqueCount="238">
  <si>
    <t>Client</t>
  </si>
  <si>
    <t xml:space="preserve"> </t>
  </si>
  <si>
    <t># SEMAINE</t>
  </si>
  <si>
    <t># Interne</t>
  </si>
  <si>
    <t># Bill</t>
  </si>
  <si>
    <t>Qté lot</t>
  </si>
  <si>
    <t>Qté fait</t>
  </si>
  <si>
    <t>Catégorie porte</t>
  </si>
  <si>
    <t>Modèle</t>
  </si>
  <si>
    <t>Date de livraison</t>
  </si>
  <si>
    <t>Battants</t>
  </si>
  <si>
    <t>ok</t>
  </si>
  <si>
    <t>clermont</t>
  </si>
  <si>
    <t>h.core 1-3/8</t>
  </si>
  <si>
    <t>conmore</t>
  </si>
  <si>
    <t>prag</t>
  </si>
  <si>
    <t>battants achetés</t>
  </si>
  <si>
    <t>merisier blanc</t>
  </si>
  <si>
    <t>s.core 1-3/4</t>
  </si>
  <si>
    <t>masonite</t>
  </si>
  <si>
    <t>battants ok</t>
  </si>
  <si>
    <t>masonite/prag</t>
  </si>
  <si>
    <t>s.core 1-3/8 et 3/4</t>
  </si>
  <si>
    <t>s.core 1-3/8</t>
  </si>
  <si>
    <t>groove par Serge</t>
  </si>
  <si>
    <t>madrid</t>
  </si>
  <si>
    <t>carrara</t>
  </si>
  <si>
    <t>classique</t>
  </si>
  <si>
    <t xml:space="preserve">masonite </t>
  </si>
  <si>
    <t>battants</t>
  </si>
  <si>
    <t>Merisier blanc</t>
  </si>
  <si>
    <t>42x84</t>
  </si>
  <si>
    <t>battants OK</t>
  </si>
  <si>
    <t>43 13/16 x 83 1/4</t>
  </si>
  <si>
    <t>h.core 1-3/4</t>
  </si>
  <si>
    <t>ok battants</t>
  </si>
  <si>
    <t>milano</t>
  </si>
  <si>
    <t>OK battants</t>
  </si>
  <si>
    <t>Ok battants</t>
  </si>
  <si>
    <t>reprise</t>
  </si>
  <si>
    <t>groove après par André</t>
  </si>
  <si>
    <t>masonite/Prag</t>
  </si>
  <si>
    <t>mass/prag</t>
  </si>
  <si>
    <t xml:space="preserve">Masonite </t>
  </si>
  <si>
    <t>43 3/4 x 83 7/8</t>
  </si>
  <si>
    <t>41 13/16 x 79 1/8</t>
  </si>
  <si>
    <t>attente $$$</t>
  </si>
  <si>
    <t>colonist</t>
  </si>
  <si>
    <t>attente CP</t>
  </si>
  <si>
    <t>erable</t>
  </si>
  <si>
    <t>merisier</t>
  </si>
  <si>
    <t>chêne rouge</t>
  </si>
  <si>
    <t>Battant ok</t>
  </si>
  <si>
    <t>attente veneer(pair) 31/5</t>
  </si>
  <si>
    <t>masonite blanc</t>
  </si>
  <si>
    <t>corvado</t>
  </si>
  <si>
    <t>caiman</t>
  </si>
  <si>
    <t>ok placage</t>
  </si>
  <si>
    <t>attente venner(pair)</t>
  </si>
  <si>
    <t>milano/pvd</t>
  </si>
  <si>
    <t>Milano</t>
  </si>
  <si>
    <t>Battant demandé</t>
  </si>
  <si>
    <t>semi-solid 1-3/4</t>
  </si>
  <si>
    <t>8ieme étage</t>
  </si>
  <si>
    <t>attente</t>
  </si>
  <si>
    <t xml:space="preserve"> pin noueux</t>
  </si>
  <si>
    <t>121753-57-59</t>
  </si>
  <si>
    <t>4 dossiers</t>
  </si>
  <si>
    <t>prag/pvd</t>
  </si>
  <si>
    <t>121667-73-74</t>
  </si>
  <si>
    <t>prag coulissante</t>
  </si>
  <si>
    <t>battant</t>
  </si>
  <si>
    <t>RUSH</t>
  </si>
  <si>
    <t>battant   ok</t>
  </si>
  <si>
    <t>SB-mas2</t>
  </si>
  <si>
    <t>dessin ok</t>
  </si>
  <si>
    <t>érable</t>
  </si>
  <si>
    <t>Prag</t>
  </si>
  <si>
    <t>OK</t>
  </si>
  <si>
    <t>battant ok</t>
  </si>
  <si>
    <t>pivot classiuqe</t>
  </si>
  <si>
    <t>masonite (hollandaise)</t>
  </si>
  <si>
    <t>ok dessin</t>
  </si>
  <si>
    <t>MARDI/RUSH</t>
  </si>
  <si>
    <t>pin noueux</t>
  </si>
  <si>
    <t>7 ieme étage</t>
  </si>
  <si>
    <t>sablage</t>
  </si>
  <si>
    <t xml:space="preserve">s.core 1-3/4 </t>
  </si>
  <si>
    <t>merisiser blanc</t>
  </si>
  <si>
    <t>groove Andre</t>
  </si>
  <si>
    <t>attent battanr</t>
  </si>
  <si>
    <t>48x106</t>
  </si>
  <si>
    <t>48x104</t>
  </si>
  <si>
    <t>groove Serge</t>
  </si>
  <si>
    <t>groove serge</t>
  </si>
  <si>
    <t>71 mach</t>
  </si>
  <si>
    <t>h.core 1 3/8</t>
  </si>
  <si>
    <t>56 mach</t>
  </si>
  <si>
    <t>pvd coventry smo</t>
  </si>
  <si>
    <t xml:space="preserve">h.core 1-3/8 </t>
  </si>
  <si>
    <t>prag/carr</t>
  </si>
  <si>
    <t>check qté</t>
  </si>
  <si>
    <t>carmelle</t>
  </si>
  <si>
    <t>6 ieme étage</t>
  </si>
  <si>
    <t>battants  prêts 120pces</t>
  </si>
  <si>
    <t>gr portes</t>
  </si>
  <si>
    <t>érable blanc</t>
  </si>
  <si>
    <t>S.core 1 3/4</t>
  </si>
  <si>
    <t>acajou africain</t>
  </si>
  <si>
    <t>masonite/pvd</t>
  </si>
  <si>
    <t>rush</t>
  </si>
  <si>
    <t>s.corer 1-3/4</t>
  </si>
  <si>
    <t>stock</t>
  </si>
  <si>
    <t>35 mach</t>
  </si>
  <si>
    <t>13 mach</t>
  </si>
  <si>
    <t>bt refait qtés changées par client</t>
  </si>
  <si>
    <t>121061-107</t>
  </si>
  <si>
    <t>à faire</t>
  </si>
  <si>
    <t>conmore/pvd</t>
  </si>
  <si>
    <t>s.core 1 3/4</t>
  </si>
  <si>
    <t>chêne</t>
  </si>
  <si>
    <t>grosse portes</t>
  </si>
  <si>
    <t>69 mach</t>
  </si>
  <si>
    <t>mersier blanc</t>
  </si>
  <si>
    <t>coventry smooth</t>
  </si>
  <si>
    <t>RJ</t>
  </si>
  <si>
    <t>fait le 13 avril …brisé en prod</t>
  </si>
  <si>
    <t>réparation</t>
  </si>
  <si>
    <t>9 mach</t>
  </si>
  <si>
    <t>grosses portes</t>
  </si>
  <si>
    <t>battants 19 avr</t>
  </si>
  <si>
    <t>p/lam 16 avril</t>
  </si>
  <si>
    <t>52 mach</t>
  </si>
  <si>
    <t>grosse porte</t>
  </si>
  <si>
    <t>african mahogany</t>
  </si>
  <si>
    <t>121439-440</t>
  </si>
  <si>
    <t>masonite brun</t>
  </si>
  <si>
    <t>caiman/clermont</t>
  </si>
  <si>
    <t># Lot</t>
  </si>
  <si>
    <t>Date collage</t>
  </si>
  <si>
    <t>Liste de lot avec # interne de livraison</t>
  </si>
  <si>
    <t>S.CORE 1 3/4</t>
  </si>
  <si>
    <t>S.CORE 1 3/8</t>
  </si>
  <si>
    <t>H.CORE 1 3/4</t>
  </si>
  <si>
    <t>H.CORE 1 3/8</t>
  </si>
  <si>
    <t>Commentaire</t>
  </si>
  <si>
    <t>SEMAINE DU 4 AU 8 JUIN</t>
  </si>
  <si>
    <t>SEMAINE DU 11 AU 15 JUIN</t>
  </si>
  <si>
    <t>SEMAINE DU 18 AU 22 JUIN</t>
  </si>
  <si>
    <t>SEMAINE DU 25 AU 29 JUIN</t>
  </si>
  <si>
    <t>SEMAINE DU 2 AU 6 JUILLET</t>
  </si>
  <si>
    <t>SEMAINE DU 9 AU 13 JUILLET</t>
  </si>
  <si>
    <t>SEMAINE DU 16 AU 20 JUILLET</t>
  </si>
  <si>
    <t>SEMAINE DU 23 AU 27 JUILLET</t>
  </si>
  <si>
    <t>SEMAINE DU 30 JUILLET AU 3 AOÛT</t>
  </si>
  <si>
    <t>SEMAINE DU 6 AU 10 AOÛT</t>
  </si>
  <si>
    <t>SEMAINE DU 13 AU 17 AOÛT</t>
  </si>
  <si>
    <t>SEMAINE DU 20 AU 24 AOÛT</t>
  </si>
  <si>
    <t>SEMAINE DU 27 AU 31 AOÛT</t>
  </si>
  <si>
    <t>SEMAINE DU 3 AU 7 SEPTEMBRE</t>
  </si>
  <si>
    <t>SEMAINE DU 10 AU 14 SEPTEMBRE</t>
  </si>
  <si>
    <t>SEMAINE DU 17 AU 21 SEPTEMBRE</t>
  </si>
  <si>
    <t>SEMAINE DU 24 AU 28 SEPTEMBRE</t>
  </si>
  <si>
    <t>SEMAINE DU 1 AU 5 OCTOBRE</t>
  </si>
  <si>
    <t>SEMAINE DU 8 AU 12 OCTOBRE</t>
  </si>
  <si>
    <t>SEMAINE DU 15 AU 19 OCTOBRE</t>
  </si>
  <si>
    <t>SEMAINE DU 22 AU 26 OCTOBRE</t>
  </si>
  <si>
    <t>SEMAINE DU 29 OCTOBRE AU 2 NOVEMBRE</t>
  </si>
  <si>
    <t>SEMAINE DU 5 AU 9 NOVEMBRE</t>
  </si>
  <si>
    <t>SEMAINE DU 12 AU 16 NOVEMBRE</t>
  </si>
  <si>
    <t>SEMAINE DU 19 AU 23 NOVEMBRE</t>
  </si>
  <si>
    <t>SEMAINE DU 26 AU 30 NOVEMBRE</t>
  </si>
  <si>
    <t>SEMAINE DU 3 AU 7 DÉCEMBRE</t>
  </si>
  <si>
    <t>SEMAINE DU 10 AU 14 DÉCEMBRE</t>
  </si>
  <si>
    <t>SEMAINE DU 17 AU 21 DÉCEMBRE</t>
  </si>
  <si>
    <t>SEMAINE DU 24 AU 28 DÉCEMBRE</t>
  </si>
  <si>
    <t>Étiquettes de lignes</t>
  </si>
  <si>
    <t>Total général</t>
  </si>
  <si>
    <t>(vide)</t>
  </si>
  <si>
    <t>Semaine</t>
  </si>
  <si>
    <t>SEMAINE</t>
  </si>
  <si>
    <t>#23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</si>
  <si>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</si>
  <si>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</si>
  <si>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</si>
  <si>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</si>
  <si>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</si>
  <si>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</si>
  <si>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</si>
  <si>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</si>
  <si>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</si>
  <si>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</si>
  <si>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</si>
  <si>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</si>
  <si>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</si>
  <si>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</si>
  <si>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</si>
  <si>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</si>
  <si>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</si>
  <si>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</si>
  <si>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</si>
  <si>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</si>
  <si>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</si>
  <si>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</si>
  <si>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</si>
  <si>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#47</t>
  </si>
  <si>
    <t>#48</t>
  </si>
  <si>
    <t>#49</t>
  </si>
  <si>
    <t>#50</t>
  </si>
  <si>
    <t>#51</t>
  </si>
  <si>
    <t>#52</t>
  </si>
  <si>
    <t>QTÉ À COLLER</t>
  </si>
  <si>
    <t>TOTAL GÉNÉRAL :</t>
  </si>
  <si>
    <t>COMMENTAIRE</t>
  </si>
  <si>
    <t>Reste à coller</t>
  </si>
  <si>
    <t>CARRARA</t>
  </si>
  <si>
    <t>ENTRÉE COMMANDES</t>
  </si>
  <si>
    <t>TOTAL              S1 + C2</t>
  </si>
  <si>
    <t>COLLAGE PRÉVU</t>
  </si>
  <si>
    <t>TOTAL COLLAGE        S1 + C1</t>
  </si>
  <si>
    <t>COLLAGE RÉEL</t>
  </si>
  <si>
    <t>RETARD                         C1</t>
  </si>
  <si>
    <t>MACHINAGE PRÉVU</t>
  </si>
  <si>
    <t>EXPÉDITION PRÉVU</t>
  </si>
  <si>
    <t>RÉEL EXPÉDIÉ</t>
  </si>
  <si>
    <t>$         FACTURÉ</t>
  </si>
  <si>
    <t>S1</t>
  </si>
  <si>
    <t>C1</t>
  </si>
  <si>
    <t xml:space="preserve">TOTAL </t>
  </si>
  <si>
    <t>MOY \ JOUR</t>
  </si>
  <si>
    <t>GRAND TOTAL</t>
  </si>
  <si>
    <t>OBJECTIF</t>
  </si>
  <si>
    <t>RÉEL</t>
  </si>
  <si>
    <t>DIFFÉRENCE</t>
  </si>
  <si>
    <t>CONMORE</t>
  </si>
  <si>
    <t>H.CORE 1 3/9</t>
  </si>
  <si>
    <t>COLONIST</t>
  </si>
  <si>
    <t>Carrara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</si>
</sst>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5" formatCode="[$-F800]dddd\,\ mmmm\ dd\,\ yyyy"/>
    <numFmt numFmtId="166" formatCode="0;;;"/>
    <numFmt numFmtId="167" formatCode="dd/m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000000"/>
      <name val="Georgia"/>
      <family val="1"/>
    </font>
    <font>
      <b/>
      <i/>
      <sz val="11"/>
      <color theme="1"/>
      <name val="Calibri"/>
      <family val="2"/>
      <scheme val="minor"/>
    </font>
    <font>
      <sz val="11"/>
      <color rgb="FF141414"/>
      <name val="Arial"/>
      <family val="2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0" fontId="6" fillId="0" borderId="0"/>
    <xf numFmtId="164" fontId="6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74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Alignment="1"/>
    <xf numFmtId="0" fontId="5" fillId="0" borderId="0" xfId="0" applyFont="1" applyBorder="1" applyAlignment="1"/>
    <xf numFmtId="0" fontId="12" fillId="0" borderId="0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3" fillId="0" borderId="0" xfId="0" applyFont="1" applyFill="1"/>
    <xf numFmtId="0" fontId="8" fillId="0" borderId="0" xfId="0" applyFont="1" applyFill="1"/>
    <xf numFmtId="16" fontId="0" fillId="0" borderId="1" xfId="0" applyNumberFormat="1" applyFont="1" applyFill="1" applyBorder="1" applyAlignment="1">
      <alignment horizontal="center" vertical="center"/>
    </xf>
    <xf numFmtId="16" fontId="0" fillId="0" borderId="0" xfId="0" applyNumberFormat="1" applyFont="1"/>
    <xf numFmtId="0" fontId="13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16" fontId="13" fillId="0" borderId="0" xfId="0" applyNumberFormat="1" applyFont="1"/>
    <xf numFmtId="0" fontId="0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0" fillId="5" borderId="0" xfId="0" applyFont="1" applyFill="1" applyAlignment="1">
      <alignment horizontal="center" vertical="center"/>
    </xf>
    <xf numFmtId="16" fontId="8" fillId="0" borderId="0" xfId="0" applyNumberFormat="1" applyFont="1"/>
    <xf numFmtId="0" fontId="8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0" fontId="0" fillId="1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0" fontId="0" fillId="3" borderId="0" xfId="0" applyNumberFormat="1" applyFont="1" applyFill="1" applyAlignment="1">
      <alignment horizontal="center"/>
    </xf>
    <xf numFmtId="0" fontId="0" fillId="13" borderId="0" xfId="0" applyFont="1" applyFill="1"/>
    <xf numFmtId="16" fontId="0" fillId="0" borderId="0" xfId="0" applyNumberFormat="1" applyFont="1" applyFill="1"/>
    <xf numFmtId="0" fontId="0" fillId="7" borderId="0" xfId="0" applyFont="1" applyFill="1" applyAlignment="1">
      <alignment horizontal="center"/>
    </xf>
    <xf numFmtId="0" fontId="0" fillId="6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/>
    </xf>
    <xf numFmtId="0" fontId="0" fillId="15" borderId="0" xfId="0" applyFont="1" applyFill="1" applyAlignment="1">
      <alignment horizontal="center" vertical="center"/>
    </xf>
    <xf numFmtId="0" fontId="0" fillId="14" borderId="0" xfId="0" applyFont="1" applyFill="1" applyAlignment="1">
      <alignment horizontal="center"/>
    </xf>
    <xf numFmtId="0" fontId="0" fillId="11" borderId="0" xfId="0" applyFont="1" applyFill="1" applyAlignment="1">
      <alignment horizontal="center"/>
    </xf>
    <xf numFmtId="0" fontId="14" fillId="0" borderId="0" xfId="0" applyFont="1"/>
    <xf numFmtId="0" fontId="14" fillId="4" borderId="0" xfId="0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NumberFormat="1" applyFont="1" applyFill="1" applyAlignment="1">
      <alignment horizontal="center"/>
    </xf>
    <xf numFmtId="0" fontId="0" fillId="16" borderId="0" xfId="0" applyFont="1" applyFill="1"/>
    <xf numFmtId="0" fontId="0" fillId="11" borderId="0" xfId="0" applyFont="1" applyFill="1" applyAlignment="1">
      <alignment horizontal="center" vertical="center"/>
    </xf>
    <xf numFmtId="0" fontId="0" fillId="16" borderId="0" xfId="0" applyFont="1" applyFill="1" applyAlignment="1">
      <alignment horizontal="left"/>
    </xf>
    <xf numFmtId="0" fontId="15" fillId="0" borderId="0" xfId="0" applyFont="1"/>
    <xf numFmtId="16" fontId="15" fillId="0" borderId="0" xfId="0" applyNumberFormat="1" applyFont="1"/>
    <xf numFmtId="0" fontId="0" fillId="17" borderId="0" xfId="0" applyFont="1" applyFill="1" applyAlignment="1">
      <alignment horizontal="center"/>
    </xf>
    <xf numFmtId="0" fontId="0" fillId="17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/>
    </xf>
    <xf numFmtId="0" fontId="0" fillId="14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18" borderId="0" xfId="0" applyFont="1" applyFill="1" applyAlignment="1">
      <alignment horizontal="center"/>
    </xf>
    <xf numFmtId="0" fontId="0" fillId="6" borderId="0" xfId="0" applyFont="1" applyFill="1" applyAlignment="1">
      <alignment horizontal="center"/>
    </xf>
    <xf numFmtId="0" fontId="0" fillId="19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/>
    </xf>
    <xf numFmtId="14" fontId="0" fillId="0" borderId="0" xfId="0" applyNumberFormat="1" applyFont="1"/>
    <xf numFmtId="0" fontId="0" fillId="12" borderId="0" xfId="0" applyFont="1" applyFill="1" applyAlignment="1">
      <alignment horizontal="center"/>
    </xf>
    <xf numFmtId="0" fontId="0" fillId="20" borderId="0" xfId="0" applyFont="1" applyFill="1" applyAlignment="1">
      <alignment horizontal="center"/>
    </xf>
    <xf numFmtId="0" fontId="0" fillId="8" borderId="0" xfId="0" applyFont="1" applyFill="1"/>
    <xf numFmtId="0" fontId="0" fillId="0" borderId="0" xfId="0" applyFont="1" applyAlignment="1">
      <alignment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 vertical="center"/>
    </xf>
    <xf numFmtId="166" fontId="0" fillId="21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65" fontId="0" fillId="0" borderId="1" xfId="0" quotePrefix="1" applyNumberFormat="1" applyFont="1" applyFill="1" applyBorder="1" applyAlignment="1">
      <alignment horizontal="left" vertical="center"/>
    </xf>
    <xf numFmtId="0" fontId="17" fillId="3" borderId="1" xfId="0" applyNumberFormat="1" applyFont="1" applyFill="1" applyBorder="1" applyAlignment="1">
      <alignment horizontal="center"/>
    </xf>
    <xf numFmtId="165" fontId="17" fillId="3" borderId="1" xfId="0" quotePrefix="1" applyNumberFormat="1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/>
    <xf numFmtId="166" fontId="0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8" fillId="3" borderId="1" xfId="0" applyNumberFormat="1" applyFont="1" applyFill="1" applyBorder="1" applyAlignment="1"/>
    <xf numFmtId="166" fontId="17" fillId="3" borderId="1" xfId="0" applyNumberFormat="1" applyFont="1" applyFill="1" applyBorder="1" applyAlignment="1">
      <alignment horizontal="center"/>
    </xf>
    <xf numFmtId="166" fontId="0" fillId="21" borderId="2" xfId="0" applyNumberFormat="1" applyFont="1" applyFill="1" applyBorder="1" applyAlignment="1">
      <alignment horizontal="center"/>
    </xf>
    <xf numFmtId="166" fontId="0" fillId="3" borderId="1" xfId="0" applyNumberFormat="1" applyFont="1" applyFill="1" applyBorder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horizontal="left"/>
    </xf>
    <xf numFmtId="167" fontId="0" fillId="0" borderId="0" xfId="0" applyNumberFormat="1" applyFont="1" applyFill="1" applyAlignment="1">
      <alignment horizontal="left"/>
    </xf>
    <xf numFmtId="167" fontId="8" fillId="0" borderId="0" xfId="0" applyNumberFormat="1" applyFont="1" applyAlignment="1">
      <alignment horizontal="left"/>
    </xf>
    <xf numFmtId="167" fontId="14" fillId="0" borderId="0" xfId="0" applyNumberFormat="1" applyFont="1" applyAlignment="1">
      <alignment horizontal="left"/>
    </xf>
    <xf numFmtId="16" fontId="0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8" fillId="2" borderId="0" xfId="0" applyFont="1" applyFill="1"/>
    <xf numFmtId="0" fontId="3" fillId="0" borderId="0" xfId="0" applyFont="1" applyAlignment="1">
      <alignment horizontal="right"/>
    </xf>
    <xf numFmtId="0" fontId="16" fillId="0" borderId="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/>
    <xf numFmtId="0" fontId="0" fillId="2" borderId="1" xfId="0" applyFont="1" applyFill="1" applyBorder="1" applyAlignment="1">
      <alignment horizontal="center"/>
    </xf>
    <xf numFmtId="165" fontId="0" fillId="0" borderId="2" xfId="0" quotePrefix="1" applyNumberFormat="1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0" xfId="0" applyFont="1" applyFill="1" applyAlignment="1">
      <alignment vertical="center"/>
    </xf>
    <xf numFmtId="0" fontId="20" fillId="0" borderId="0" xfId="0" applyFont="1"/>
    <xf numFmtId="0" fontId="20" fillId="0" borderId="0" xfId="0" applyFont="1" applyAlignment="1">
      <alignment vertical="center"/>
    </xf>
    <xf numFmtId="0" fontId="0" fillId="0" borderId="0" xfId="0" pivotButton="1"/>
    <xf numFmtId="166" fontId="0" fillId="0" borderId="0" xfId="0" applyNumberFormat="1" applyAlignment="1">
      <alignment horizontal="center"/>
    </xf>
    <xf numFmtId="166" fontId="3" fillId="0" borderId="0" xfId="0" applyNumberFormat="1" applyFont="1"/>
    <xf numFmtId="0" fontId="0" fillId="0" borderId="2" xfId="0" applyFont="1" applyBorder="1" applyAlignment="1">
      <alignment vertical="center"/>
    </xf>
    <xf numFmtId="0" fontId="21" fillId="19" borderId="1" xfId="0" applyFont="1" applyFill="1" applyBorder="1" applyAlignment="1">
      <alignment vertical="center"/>
    </xf>
    <xf numFmtId="0" fontId="21" fillId="19" borderId="1" xfId="0" applyFont="1" applyFill="1" applyBorder="1" applyAlignment="1">
      <alignment horizontal="center" vertical="center"/>
    </xf>
    <xf numFmtId="44" fontId="0" fillId="0" borderId="0" xfId="7" applyFont="1"/>
    <xf numFmtId="0" fontId="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16" fontId="3" fillId="0" borderId="9" xfId="0" applyNumberFormat="1" applyFont="1" applyBorder="1" applyAlignment="1">
      <alignment horizontal="left"/>
    </xf>
    <xf numFmtId="16" fontId="0" fillId="0" borderId="9" xfId="0" applyNumberFormat="1" applyBorder="1" applyAlignment="1">
      <alignment horizontal="left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" fontId="3" fillId="0" borderId="14" xfId="0" applyNumberFormat="1" applyFont="1" applyBorder="1" applyAlignment="1">
      <alignment horizontal="left"/>
    </xf>
    <xf numFmtId="16" fontId="0" fillId="0" borderId="15" xfId="0" applyNumberFormat="1" applyFont="1" applyBorder="1" applyAlignment="1">
      <alignment horizontal="left"/>
    </xf>
    <xf numFmtId="0" fontId="0" fillId="0" borderId="16" xfId="0" applyFont="1" applyBorder="1"/>
    <xf numFmtId="0" fontId="0" fillId="0" borderId="17" xfId="0" applyFont="1" applyBorder="1"/>
    <xf numFmtId="0" fontId="0" fillId="0" borderId="14" xfId="0" applyBorder="1"/>
    <xf numFmtId="44" fontId="0" fillId="23" borderId="17" xfId="7" applyFont="1" applyFill="1" applyBorder="1"/>
    <xf numFmtId="16" fontId="0" fillId="0" borderId="3" xfId="0" applyNumberFormat="1" applyFont="1" applyBorder="1" applyAlignment="1">
      <alignment horizontal="left"/>
    </xf>
    <xf numFmtId="0" fontId="0" fillId="0" borderId="1" xfId="0" applyFont="1" applyBorder="1"/>
    <xf numFmtId="0" fontId="0" fillId="0" borderId="18" xfId="0" applyFont="1" applyBorder="1"/>
    <xf numFmtId="0" fontId="0" fillId="0" borderId="19" xfId="0" applyBorder="1"/>
    <xf numFmtId="44" fontId="0" fillId="23" borderId="18" xfId="7" applyFont="1" applyFill="1" applyBorder="1"/>
    <xf numFmtId="16" fontId="3" fillId="23" borderId="19" xfId="0" applyNumberFormat="1" applyFont="1" applyFill="1" applyBorder="1" applyAlignment="1">
      <alignment horizontal="left"/>
    </xf>
    <xf numFmtId="16" fontId="0" fillId="23" borderId="3" xfId="0" applyNumberFormat="1" applyFont="1" applyFill="1" applyBorder="1" applyAlignment="1">
      <alignment horizontal="left"/>
    </xf>
    <xf numFmtId="0" fontId="0" fillId="23" borderId="1" xfId="0" applyFont="1" applyFill="1" applyBorder="1"/>
    <xf numFmtId="0" fontId="0" fillId="23" borderId="18" xfId="0" applyFont="1" applyFill="1" applyBorder="1"/>
    <xf numFmtId="0" fontId="0" fillId="23" borderId="19" xfId="0" applyFill="1" applyBorder="1"/>
    <xf numFmtId="44" fontId="0" fillId="22" borderId="18" xfId="7" applyFont="1" applyFill="1" applyBorder="1"/>
    <xf numFmtId="16" fontId="3" fillId="22" borderId="19" xfId="0" applyNumberFormat="1" applyFont="1" applyFill="1" applyBorder="1" applyAlignment="1">
      <alignment horizontal="left"/>
    </xf>
    <xf numFmtId="16" fontId="0" fillId="22" borderId="3" xfId="0" applyNumberFormat="1" applyFont="1" applyFill="1" applyBorder="1" applyAlignment="1">
      <alignment horizontal="left"/>
    </xf>
    <xf numFmtId="0" fontId="0" fillId="22" borderId="1" xfId="0" applyFont="1" applyFill="1" applyBorder="1"/>
    <xf numFmtId="0" fontId="0" fillId="22" borderId="18" xfId="0" applyFont="1" applyFill="1" applyBorder="1"/>
    <xf numFmtId="0" fontId="0" fillId="22" borderId="20" xfId="0" applyFill="1" applyBorder="1"/>
    <xf numFmtId="44" fontId="0" fillId="22" borderId="21" xfId="7" applyFont="1" applyFill="1" applyBorder="1"/>
    <xf numFmtId="16" fontId="3" fillId="0" borderId="20" xfId="0" applyNumberFormat="1" applyFont="1" applyBorder="1" applyAlignment="1">
      <alignment horizontal="left"/>
    </xf>
    <xf numFmtId="16" fontId="0" fillId="0" borderId="22" xfId="0" applyNumberFormat="1" applyFont="1" applyBorder="1" applyAlignment="1">
      <alignment horizontal="left"/>
    </xf>
    <xf numFmtId="0" fontId="0" fillId="0" borderId="23" xfId="0" applyFont="1" applyBorder="1"/>
    <xf numFmtId="0" fontId="0" fillId="0" borderId="21" xfId="0" applyFont="1" applyBorder="1"/>
    <xf numFmtId="0" fontId="0" fillId="0" borderId="24" xfId="0" applyBorder="1"/>
    <xf numFmtId="44" fontId="0" fillId="24" borderId="25" xfId="7" applyFont="1" applyFill="1" applyBorder="1"/>
    <xf numFmtId="16" fontId="3" fillId="22" borderId="20" xfId="0" applyNumberFormat="1" applyFont="1" applyFill="1" applyBorder="1" applyAlignment="1">
      <alignment horizontal="left"/>
    </xf>
    <xf numFmtId="16" fontId="0" fillId="22" borderId="22" xfId="0" applyNumberFormat="1" applyFont="1" applyFill="1" applyBorder="1" applyAlignment="1">
      <alignment horizontal="left"/>
    </xf>
    <xf numFmtId="0" fontId="0" fillId="22" borderId="23" xfId="0" applyFont="1" applyFill="1" applyBorder="1"/>
    <xf numFmtId="0" fontId="0" fillId="22" borderId="21" xfId="0" applyFont="1" applyFill="1" applyBorder="1"/>
    <xf numFmtId="16" fontId="3" fillId="0" borderId="24" xfId="0" applyNumberFormat="1" applyFont="1" applyBorder="1" applyAlignment="1">
      <alignment horizontal="left"/>
    </xf>
    <xf numFmtId="16" fontId="0" fillId="0" borderId="26" xfId="0" applyNumberFormat="1" applyBorder="1" applyAlignment="1">
      <alignment horizontal="left"/>
    </xf>
    <xf numFmtId="0" fontId="0" fillId="0" borderId="27" xfId="0" applyBorder="1"/>
    <xf numFmtId="0" fontId="0" fillId="0" borderId="25" xfId="0" applyBorder="1"/>
    <xf numFmtId="16" fontId="0" fillId="0" borderId="15" xfId="0" applyNumberFormat="1" applyBorder="1" applyAlignment="1">
      <alignment horizontal="left"/>
    </xf>
    <xf numFmtId="0" fontId="0" fillId="0" borderId="16" xfId="0" applyBorder="1"/>
    <xf numFmtId="0" fontId="0" fillId="0" borderId="17" xfId="0" applyBorder="1"/>
    <xf numFmtId="16" fontId="0" fillId="0" borderId="3" xfId="0" applyNumberFormat="1" applyBorder="1" applyAlignment="1">
      <alignment horizontal="left"/>
    </xf>
    <xf numFmtId="0" fontId="0" fillId="0" borderId="1" xfId="0" applyBorder="1"/>
    <xf numFmtId="0" fontId="0" fillId="0" borderId="18" xfId="0" applyBorder="1"/>
    <xf numFmtId="16" fontId="0" fillId="23" borderId="3" xfId="0" applyNumberFormat="1" applyFill="1" applyBorder="1" applyAlignment="1">
      <alignment horizontal="left"/>
    </xf>
    <xf numFmtId="0" fontId="0" fillId="23" borderId="1" xfId="0" applyFill="1" applyBorder="1"/>
    <xf numFmtId="0" fontId="0" fillId="23" borderId="18" xfId="0" applyFill="1" applyBorder="1"/>
    <xf numFmtId="16" fontId="0" fillId="22" borderId="22" xfId="0" applyNumberFormat="1" applyFill="1" applyBorder="1" applyAlignment="1">
      <alignment horizontal="left"/>
    </xf>
    <xf numFmtId="0" fontId="0" fillId="22" borderId="23" xfId="0" applyFill="1" applyBorder="1"/>
    <xf numFmtId="0" fontId="0" fillId="22" borderId="21" xfId="0" applyFill="1" applyBorder="1"/>
    <xf numFmtId="0" fontId="3" fillId="25" borderId="28" xfId="0" applyFont="1" applyFill="1" applyBorder="1" applyAlignment="1">
      <alignment horizontal="left"/>
    </xf>
    <xf numFmtId="0" fontId="0" fillId="25" borderId="29" xfId="0" applyFill="1" applyBorder="1" applyAlignment="1">
      <alignment horizontal="left"/>
    </xf>
    <xf numFmtId="0" fontId="0" fillId="25" borderId="29" xfId="0" applyFill="1" applyBorder="1"/>
    <xf numFmtId="0" fontId="0" fillId="25" borderId="30" xfId="0" applyFill="1" applyBorder="1"/>
    <xf numFmtId="0" fontId="0" fillId="25" borderId="28" xfId="0" applyFill="1" applyBorder="1"/>
    <xf numFmtId="0" fontId="3" fillId="0" borderId="0" xfId="0" applyFont="1" applyAlignment="1">
      <alignment horizontal="left"/>
    </xf>
    <xf numFmtId="0" fontId="0" fillId="23" borderId="14" xfId="0" applyFill="1" applyBorder="1"/>
    <xf numFmtId="0" fontId="0" fillId="23" borderId="16" xfId="0" applyFill="1" applyBorder="1"/>
    <xf numFmtId="44" fontId="0" fillId="0" borderId="18" xfId="7" applyFont="1" applyBorder="1"/>
    <xf numFmtId="0" fontId="0" fillId="0" borderId="20" xfId="0" applyBorder="1"/>
    <xf numFmtId="0" fontId="0" fillId="0" borderId="23" xfId="0" applyBorder="1"/>
    <xf numFmtId="44" fontId="0" fillId="0" borderId="21" xfId="7" applyFont="1" applyBorder="1"/>
    <xf numFmtId="16" fontId="0" fillId="26" borderId="1" xfId="0" applyNumberFormat="1" applyFont="1" applyFill="1" applyBorder="1" applyAlignment="1">
      <alignment horizontal="center" vertical="center"/>
    </xf>
    <xf numFmtId="0" fontId="0" fillId="16" borderId="0" xfId="0" applyFont="1" applyFill="1" applyAlignment="1">
      <alignment horizontal="center"/>
    </xf>
    <xf numFmtId="0" fontId="0" fillId="16" borderId="1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8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16" fontId="8" fillId="0" borderId="0" xfId="0" applyNumberFormat="1" applyFont="1" applyFill="1" applyAlignment="1">
      <alignment horizontal="center" vertical="center"/>
    </xf>
    <xf numFmtId="16" fontId="0" fillId="0" borderId="0" xfId="0" applyNumberFormat="1" applyFont="1" applyFill="1" applyAlignment="1">
      <alignment horizontal="center"/>
    </xf>
    <xf numFmtId="16" fontId="8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/>
    </xf>
    <xf numFmtId="0" fontId="14" fillId="0" borderId="0" xfId="0" applyNumberFormat="1" applyFont="1" applyFill="1" applyAlignment="1">
      <alignment horizontal="center"/>
    </xf>
    <xf numFmtId="0" fontId="22" fillId="0" borderId="0" xfId="0" applyFont="1" applyFill="1"/>
    <xf numFmtId="0" fontId="8" fillId="16" borderId="0" xfId="0" applyFont="1" applyFill="1" applyAlignment="1">
      <alignment horizontal="center"/>
    </xf>
    <xf numFmtId="0" fontId="0" fillId="16" borderId="0" xfId="0" applyFont="1" applyFill="1" applyAlignment="1">
      <alignment vertical="center"/>
    </xf>
    <xf numFmtId="166" fontId="0" fillId="0" borderId="1" xfId="0" applyNumberFormat="1" applyFont="1" applyBorder="1"/>
    <xf numFmtId="0" fontId="8" fillId="16" borderId="0" xfId="0" applyFont="1" applyFill="1" applyAlignment="1">
      <alignment horizontal="left"/>
    </xf>
    <xf numFmtId="0" fontId="14" fillId="16" borderId="0" xfId="0" applyFont="1" applyFill="1" applyAlignment="1">
      <alignment horizontal="left"/>
    </xf>
    <xf numFmtId="0" fontId="23" fillId="14" borderId="31" xfId="0" applyFont="1" applyFill="1" applyBorder="1" applyAlignment="1">
      <alignment horizontal="center" vertical="center"/>
    </xf>
    <xf numFmtId="0" fontId="23" fillId="14" borderId="32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2" borderId="11" xfId="0" applyFill="1" applyBorder="1" applyAlignment="1">
      <alignment horizontal="center" vertical="center" wrapText="1"/>
    </xf>
    <xf numFmtId="0" fontId="0" fillId="22" borderId="12" xfId="0" applyFill="1" applyBorder="1" applyAlignment="1">
      <alignment horizontal="center" vertical="center" wrapText="1"/>
    </xf>
    <xf numFmtId="0" fontId="0" fillId="22" borderId="13" xfId="0" applyFill="1" applyBorder="1" applyAlignment="1">
      <alignment horizontal="center" vertical="center" wrapText="1"/>
    </xf>
    <xf numFmtId="17" fontId="10" fillId="0" borderId="6" xfId="0" applyNumberFormat="1" applyFont="1" applyBorder="1" applyAlignment="1">
      <alignment horizontal="center"/>
    </xf>
    <xf numFmtId="17" fontId="10" fillId="0" borderId="7" xfId="0" applyNumberFormat="1" applyFont="1" applyBorder="1" applyAlignment="1">
      <alignment horizontal="center"/>
    </xf>
    <xf numFmtId="17" fontId="10" fillId="0" borderId="8" xfId="0" applyNumberFormat="1" applyFont="1" applyBorder="1" applyAlignment="1">
      <alignment horizontal="center"/>
    </xf>
    <xf numFmtId="17" fontId="10" fillId="0" borderId="9" xfId="0" applyNumberFormat="1" applyFont="1" applyBorder="1" applyAlignment="1">
      <alignment horizontal="center"/>
    </xf>
    <xf numFmtId="17" fontId="10" fillId="0" borderId="0" xfId="0" applyNumberFormat="1" applyFont="1" applyBorder="1" applyAlignment="1">
      <alignment horizontal="center"/>
    </xf>
    <xf numFmtId="17" fontId="10" fillId="0" borderId="10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6" xfId="0" applyFill="1" applyBorder="1" applyAlignment="1">
      <alignment horizontal="center" vertical="top"/>
    </xf>
    <xf numFmtId="0" fontId="0" fillId="0" borderId="8" xfId="0" applyFill="1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</cellXfs>
  <cellStyles count="8">
    <cellStyle name="Milliers 2" xfId="6"/>
    <cellStyle name="Monétaire" xfId="7" builtinId="4"/>
    <cellStyle name="Normal" xfId="0" builtinId="0"/>
    <cellStyle name="Normal 2" xfId="1"/>
    <cellStyle name="Normal 2 2" xfId="3"/>
    <cellStyle name="Normal 3" xfId="4"/>
    <cellStyle name="Normal 4" xfId="5"/>
    <cellStyle name="Pourcentage 2" xfId="2"/>
  </cellStyles>
  <dxfs count="0"/>
  <tableStyles count="0" defaultTableStyle="TableStyleMedium9" defaultPivotStyle="PivotStyleLight16"/>
  <colors>
    <mruColors>
      <color rgb="FF0000FF"/>
      <color rgb="FF00FF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30479</xdr:rowOff>
    </xdr:from>
    <xdr:to>
      <xdr:col>2</xdr:col>
      <xdr:colOff>171450</xdr:colOff>
      <xdr:row>0</xdr:row>
      <xdr:rowOff>289560</xdr:rowOff>
    </xdr:to>
    <xdr:sp macro="[0]!Masquer" textlink="">
      <xdr:nvSpPr>
        <xdr:cNvPr id="2" name="Masquer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9050" y="30479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Masquer</a:t>
          </a:r>
        </a:p>
      </xdr:txBody>
    </xdr:sp>
    <xdr:clientData fPrintsWithSheet="0"/>
  </xdr:twoCellAnchor>
  <xdr:twoCellAnchor editAs="oneCell">
    <xdr:from>
      <xdr:col>11</xdr:col>
      <xdr:colOff>312420</xdr:colOff>
      <xdr:row>5</xdr:row>
      <xdr:rowOff>0</xdr:rowOff>
    </xdr:from>
    <xdr:to>
      <xdr:col>11</xdr:col>
      <xdr:colOff>617220</xdr:colOff>
      <xdr:row>6</xdr:row>
      <xdr:rowOff>121920</xdr:rowOff>
    </xdr:to>
    <xdr:sp macro="" textlink="">
      <xdr:nvSpPr>
        <xdr:cNvPr id="5122" name="imgConv" descr="http://ib.adnxs.com/getuid?//its.tradelab.fr/?type=convr&amp;x=1&amp;uuid2=$UID&amp;cdata=%7B%22a%22%3A621044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2140000}"/>
            </a:ext>
          </a:extLst>
        </xdr:cNvPr>
        <xdr:cNvSpPr>
          <a:spLocks noChangeAspect="1" noChangeArrowheads="1"/>
        </xdr:cNvSpPr>
      </xdr:nvSpPr>
      <xdr:spPr bwMode="auto">
        <a:xfrm>
          <a:off x="91135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624840</xdr:colOff>
      <xdr:row>5</xdr:row>
      <xdr:rowOff>0</xdr:rowOff>
    </xdr:from>
    <xdr:to>
      <xdr:col>11</xdr:col>
      <xdr:colOff>929640</xdr:colOff>
      <xdr:row>6</xdr:row>
      <xdr:rowOff>121920</xdr:rowOff>
    </xdr:to>
    <xdr:sp macro="" textlink="">
      <xdr:nvSpPr>
        <xdr:cNvPr id="5123" name="AutoShape 3" descr="http://ib.adnxs.com/px?id=621044&amp;t=2">
          <a:extLst>
            <a:ext uri="{FF2B5EF4-FFF2-40B4-BE49-F238E27FC236}">
              <a16:creationId xmlns:a16="http://schemas.microsoft.com/office/drawing/2014/main" xmlns="" id="{00000000-0008-0000-0100-000003140000}"/>
            </a:ext>
          </a:extLst>
        </xdr:cNvPr>
        <xdr:cNvSpPr>
          <a:spLocks noChangeAspect="1" noChangeArrowheads="1"/>
        </xdr:cNvSpPr>
      </xdr:nvSpPr>
      <xdr:spPr bwMode="auto">
        <a:xfrm>
          <a:off x="94259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937260</xdr:colOff>
      <xdr:row>5</xdr:row>
      <xdr:rowOff>0</xdr:rowOff>
    </xdr:from>
    <xdr:to>
      <xdr:col>11</xdr:col>
      <xdr:colOff>1242060</xdr:colOff>
      <xdr:row>6</xdr:row>
      <xdr:rowOff>121920</xdr:rowOff>
    </xdr:to>
    <xdr:sp macro="" textlink="">
      <xdr:nvSpPr>
        <xdr:cNvPr id="5124" name="AutoShape 4" descr="http://ib.adnxs.com/seg?add=3619252&amp;t=2">
          <a:extLst>
            <a:ext uri="{FF2B5EF4-FFF2-40B4-BE49-F238E27FC236}">
              <a16:creationId xmlns:a16="http://schemas.microsoft.com/office/drawing/2014/main" xmlns="" id="{00000000-0008-0000-0100-000004140000}"/>
            </a:ext>
          </a:extLst>
        </xdr:cNvPr>
        <xdr:cNvSpPr>
          <a:spLocks noChangeAspect="1" noChangeArrowheads="1"/>
        </xdr:cNvSpPr>
      </xdr:nvSpPr>
      <xdr:spPr bwMode="auto">
        <a:xfrm>
          <a:off x="97383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1203960</xdr:colOff>
      <xdr:row>5</xdr:row>
      <xdr:rowOff>0</xdr:rowOff>
    </xdr:from>
    <xdr:to>
      <xdr:col>11</xdr:col>
      <xdr:colOff>1508760</xdr:colOff>
      <xdr:row>6</xdr:row>
      <xdr:rowOff>121920</xdr:rowOff>
    </xdr:to>
    <xdr:sp macro="" textlink="">
      <xdr:nvSpPr>
        <xdr:cNvPr id="5125" name="AutoShape 5" descr="http://ib.adnxs.com/getuid?//its.tradelab.fr/?type=fseg&amp;uuid2=$UID&amp;sid=3619252&amp;val=undefined&amp;fun=738&amp;step=1&amp;siev=3619249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5140000}"/>
            </a:ext>
          </a:extLst>
        </xdr:cNvPr>
        <xdr:cNvSpPr>
          <a:spLocks noChangeAspect="1" noChangeArrowheads="1"/>
        </xdr:cNvSpPr>
      </xdr:nvSpPr>
      <xdr:spPr bwMode="auto">
        <a:xfrm>
          <a:off x="100050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1562100</xdr:colOff>
      <xdr:row>5</xdr:row>
      <xdr:rowOff>0</xdr:rowOff>
    </xdr:from>
    <xdr:to>
      <xdr:col>12</xdr:col>
      <xdr:colOff>0</xdr:colOff>
      <xdr:row>6</xdr:row>
      <xdr:rowOff>121920</xdr:rowOff>
    </xdr:to>
    <xdr:sp macro="" textlink="">
      <xdr:nvSpPr>
        <xdr:cNvPr id="5126" name="imgConv" descr="http://ib.adnxs.com/getuid?//its.tradelab.fr/?type=convr&amp;x=1&amp;uuid2=$UID&amp;cdata=%7B%22a%22%3A621045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6140000}"/>
            </a:ext>
          </a:extLst>
        </xdr:cNvPr>
        <xdr:cNvSpPr>
          <a:spLocks noChangeAspect="1" noChangeArrowheads="1"/>
        </xdr:cNvSpPr>
      </xdr:nvSpPr>
      <xdr:spPr bwMode="auto">
        <a:xfrm>
          <a:off x="1036320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1874520</xdr:colOff>
      <xdr:row>5</xdr:row>
      <xdr:rowOff>0</xdr:rowOff>
    </xdr:from>
    <xdr:to>
      <xdr:col>12</xdr:col>
      <xdr:colOff>274320</xdr:colOff>
      <xdr:row>6</xdr:row>
      <xdr:rowOff>121920</xdr:rowOff>
    </xdr:to>
    <xdr:sp macro="" textlink="">
      <xdr:nvSpPr>
        <xdr:cNvPr id="5127" name="AutoShape 7" descr="http://ib.adnxs.com/px?id=621045&amp;t=2">
          <a:extLst>
            <a:ext uri="{FF2B5EF4-FFF2-40B4-BE49-F238E27FC236}">
              <a16:creationId xmlns:a16="http://schemas.microsoft.com/office/drawing/2014/main" xmlns="" id="{00000000-0008-0000-0100-000007140000}"/>
            </a:ext>
          </a:extLst>
        </xdr:cNvPr>
        <xdr:cNvSpPr>
          <a:spLocks noChangeAspect="1" noChangeArrowheads="1"/>
        </xdr:cNvSpPr>
      </xdr:nvSpPr>
      <xdr:spPr bwMode="auto">
        <a:xfrm>
          <a:off x="106756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281940</xdr:colOff>
      <xdr:row>5</xdr:row>
      <xdr:rowOff>0</xdr:rowOff>
    </xdr:from>
    <xdr:to>
      <xdr:col>12</xdr:col>
      <xdr:colOff>586740</xdr:colOff>
      <xdr:row>6</xdr:row>
      <xdr:rowOff>121920</xdr:rowOff>
    </xdr:to>
    <xdr:sp macro="" textlink="">
      <xdr:nvSpPr>
        <xdr:cNvPr id="5128" name="AutoShape 8" descr="http://ib.adnxs.com/seg?add=3619253&amp;t=2">
          <a:extLst>
            <a:ext uri="{FF2B5EF4-FFF2-40B4-BE49-F238E27FC236}">
              <a16:creationId xmlns:a16="http://schemas.microsoft.com/office/drawing/2014/main" xmlns="" id="{00000000-0008-0000-0100-000008140000}"/>
            </a:ext>
          </a:extLst>
        </xdr:cNvPr>
        <xdr:cNvSpPr>
          <a:spLocks noChangeAspect="1" noChangeArrowheads="1"/>
        </xdr:cNvSpPr>
      </xdr:nvSpPr>
      <xdr:spPr bwMode="auto">
        <a:xfrm>
          <a:off x="109880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594360</xdr:colOff>
      <xdr:row>5</xdr:row>
      <xdr:rowOff>0</xdr:rowOff>
    </xdr:from>
    <xdr:to>
      <xdr:col>12</xdr:col>
      <xdr:colOff>899160</xdr:colOff>
      <xdr:row>6</xdr:row>
      <xdr:rowOff>121920</xdr:rowOff>
    </xdr:to>
    <xdr:sp macro="" textlink="">
      <xdr:nvSpPr>
        <xdr:cNvPr id="5129" name="AutoShape 9" descr="http://ib.adnxs.com/getuid?//its.tradelab.fr/?type=fseg&amp;uuid2=$UID&amp;sid=3619253&amp;val=undefined&amp;fun=738&amp;step=2&amp;siev=3619250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9140000}"/>
            </a:ext>
          </a:extLst>
        </xdr:cNvPr>
        <xdr:cNvSpPr>
          <a:spLocks noChangeAspect="1" noChangeArrowheads="1"/>
        </xdr:cNvSpPr>
      </xdr:nvSpPr>
      <xdr:spPr bwMode="auto">
        <a:xfrm>
          <a:off x="113004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220980</xdr:colOff>
      <xdr:row>0</xdr:row>
      <xdr:rowOff>38100</xdr:rowOff>
    </xdr:from>
    <xdr:to>
      <xdr:col>4</xdr:col>
      <xdr:colOff>342900</xdr:colOff>
      <xdr:row>0</xdr:row>
      <xdr:rowOff>297181</xdr:rowOff>
    </xdr:to>
    <xdr:sp macro="[0]!reset" textlink="">
      <xdr:nvSpPr>
        <xdr:cNvPr id="12" name="Masquer 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1333500" y="38100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Reset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754380</xdr:colOff>
          <xdr:row>0</xdr:row>
          <xdr:rowOff>22860</xdr:rowOff>
        </xdr:from>
        <xdr:to>
          <xdr:col>12</xdr:col>
          <xdr:colOff>388620</xdr:colOff>
          <xdr:row>0</xdr:row>
          <xdr:rowOff>312420</xdr:rowOff>
        </xdr:to>
        <xdr:sp macro="" textlink="">
          <xdr:nvSpPr>
            <xdr:cNvPr id="4" name="TextBox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xmlns="" id="{00000000-0008-0000-0100-000004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327660</xdr:colOff>
          <xdr:row>0</xdr:row>
          <xdr:rowOff>0</xdr:rowOff>
        </xdr:from>
        <xdr:to>
          <xdr:col>43</xdr:col>
          <xdr:colOff>480060</xdr:colOff>
          <xdr:row>5</xdr:row>
          <xdr:rowOff>121920</xdr:rowOff>
        </xdr:to>
        <xdr:sp macro="" textlink="">
          <xdr:nvSpPr>
            <xdr:cNvPr id="3" name="ListBox1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xmlns="" id="{00000000-0008-0000-0100-000003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495300</xdr:colOff>
      <xdr:row>0</xdr:row>
      <xdr:rowOff>22860</xdr:rowOff>
    </xdr:from>
    <xdr:to>
      <xdr:col>11</xdr:col>
      <xdr:colOff>1211580</xdr:colOff>
      <xdr:row>0</xdr:row>
      <xdr:rowOff>274320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 txBox="1"/>
      </xdr:nvSpPr>
      <xdr:spPr>
        <a:xfrm>
          <a:off x="7680960" y="22860"/>
          <a:ext cx="2202180" cy="2514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RECHCHERCHE</a:t>
          </a:r>
          <a:r>
            <a:rPr lang="fr-CA" sz="1400" baseline="0"/>
            <a:t> </a:t>
          </a:r>
          <a:r>
            <a:rPr lang="fr-CA" sz="1400"/>
            <a:t>#</a:t>
          </a:r>
          <a:r>
            <a:rPr lang="fr-CA" sz="1400" baseline="0"/>
            <a:t> BILL</a:t>
          </a:r>
          <a:r>
            <a:rPr lang="fr-CA" sz="1400"/>
            <a:t>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1410931</xdr:colOff>
      <xdr:row>1</xdr:row>
      <xdr:rowOff>52174</xdr:rowOff>
    </xdr:from>
    <xdr:to>
      <xdr:col>4</xdr:col>
      <xdr:colOff>1983288</xdr:colOff>
      <xdr:row>4</xdr:row>
      <xdr:rowOff>16685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6911945" y="240064"/>
          <a:ext cx="2994055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2</xdr:col>
      <xdr:colOff>1</xdr:colOff>
      <xdr:row>0</xdr:row>
      <xdr:rowOff>0</xdr:rowOff>
    </xdr:from>
    <xdr:to>
      <xdr:col>3</xdr:col>
      <xdr:colOff>1127344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1440493</xdr:colOff>
      <xdr:row>0</xdr:row>
      <xdr:rowOff>0</xdr:rowOff>
    </xdr:from>
    <xdr:to>
      <xdr:col>8</xdr:col>
      <xdr:colOff>1680575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 txBox="1"/>
      </xdr:nvSpPr>
      <xdr:spPr>
        <a:xfrm>
          <a:off x="11482192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2037232</xdr:colOff>
      <xdr:row>1</xdr:row>
      <xdr:rowOff>52175</xdr:rowOff>
    </xdr:from>
    <xdr:to>
      <xdr:col>6</xdr:col>
      <xdr:colOff>511478</xdr:colOff>
      <xdr:row>4</xdr:row>
      <xdr:rowOff>16686</xdr:rowOff>
    </xdr:to>
    <xdr:sp macro="[0]!copier" textlink="">
      <xdr:nvSpPr>
        <xdr:cNvPr id="6" name="Pla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9959944" y="240065"/>
          <a:ext cx="2952301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TRANSFERT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genieur" refreshedDate="43265.64550810185" createdVersion="5" refreshedVersion="5" minRefreshableVersion="3" recordCount="31">
  <cacheSource type="worksheet">
    <worksheetSource ref="A29:M1119" sheet="Suivi de commande"/>
  </cacheSource>
  <cacheFields count="13">
    <cacheField name="# SEMAINE" numFmtId="0">
      <sharedItems containsString="0" containsBlank="1" containsNumber="1" containsInteger="1" minValue="23" maxValue="52" count="31"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m/>
      </sharedItems>
    </cacheField>
    <cacheField name="Semaine" numFmtId="0">
      <sharedItems containsBlank="1"/>
    </cacheField>
    <cacheField name="# Interne" numFmtId="0">
      <sharedItems containsNonDate="0" containsString="0" containsBlank="1"/>
    </cacheField>
    <cacheField name="# Bill" numFmtId="0">
      <sharedItems containsString="0" containsBlank="1" containsNumber="1" containsInteger="1" minValue="1" maxValue="1"/>
    </cacheField>
    <cacheField name="Qté lot" numFmtId="0">
      <sharedItems containsNonDate="0" containsString="0" containsBlank="1"/>
    </cacheField>
    <cacheField name="Qté fait" numFmtId="0">
      <sharedItems containsNonDate="0" containsString="0" containsBlank="1"/>
    </cacheField>
    <cacheField name="Client" numFmtId="0">
      <sharedItems containsNonDate="0" containsString="0" containsBlank="1"/>
    </cacheField>
    <cacheField name="Catégorie porte" numFmtId="0">
      <sharedItems containsNonDate="0" containsString="0" containsBlank="1"/>
    </cacheField>
    <cacheField name="Modèle" numFmtId="0">
      <sharedItems containsString="0" containsBlank="1" containsNumber="1" containsInteger="1" minValue="0" maxValue="0"/>
    </cacheField>
    <cacheField name="Date de livraison" numFmtId="0">
      <sharedItems containsNonDate="0" containsDate="1" containsString="0" containsBlank="1" minDate="2018-06-01T00:00:00" maxDate="2018-12-02T00:00:00"/>
    </cacheField>
    <cacheField name="Battants" numFmtId="0">
      <sharedItems containsNonDate="0" containsString="0" containsBlank="1"/>
    </cacheField>
    <cacheField name="RUSH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SEMAINE DU 4 AU 8 JUIN"/>
    <m/>
    <n v="1"/>
    <m/>
    <m/>
    <m/>
    <m/>
    <m/>
    <d v="2018-06-01T00:00:00"/>
    <m/>
    <m/>
    <m/>
  </r>
  <r>
    <x v="1"/>
    <s v="SEMAINE DU 11 AU 15 JUIN"/>
    <m/>
    <n v="1"/>
    <m/>
    <m/>
    <m/>
    <m/>
    <m/>
    <d v="2018-06-01T00:00:00"/>
    <m/>
    <m/>
    <m/>
  </r>
  <r>
    <x v="2"/>
    <s v="SEMAINE DU 18 AU 22 JUIN"/>
    <m/>
    <n v="1"/>
    <m/>
    <m/>
    <m/>
    <m/>
    <n v="0"/>
    <d v="2018-06-01T00:00:00"/>
    <m/>
    <m/>
    <m/>
  </r>
  <r>
    <x v="3"/>
    <s v="SEMAINE DU 25 AU 29 JUIN"/>
    <m/>
    <n v="1"/>
    <m/>
    <m/>
    <m/>
    <m/>
    <n v="0"/>
    <d v="2018-06-01T00:00:00"/>
    <m/>
    <m/>
    <m/>
  </r>
  <r>
    <x v="4"/>
    <s v="SEMAINE DU 2 AU 6 JUILLET"/>
    <m/>
    <n v="1"/>
    <m/>
    <m/>
    <m/>
    <m/>
    <n v="0"/>
    <d v="2018-07-01T00:00:00"/>
    <m/>
    <m/>
    <m/>
  </r>
  <r>
    <x v="5"/>
    <s v="SEMAINE DU 9 AU 13 JUILLET"/>
    <m/>
    <n v="1"/>
    <m/>
    <m/>
    <m/>
    <m/>
    <n v="0"/>
    <d v="2018-07-01T00:00:00"/>
    <m/>
    <m/>
    <m/>
  </r>
  <r>
    <x v="6"/>
    <s v="SEMAINE DU 16 AU 20 JUILLET"/>
    <m/>
    <n v="1"/>
    <m/>
    <m/>
    <m/>
    <m/>
    <n v="0"/>
    <d v="2018-07-01T00:00:00"/>
    <m/>
    <m/>
    <m/>
  </r>
  <r>
    <x v="7"/>
    <s v="SEMAINE DU 23 AU 27 JUILLET"/>
    <m/>
    <n v="1"/>
    <m/>
    <m/>
    <m/>
    <m/>
    <n v="0"/>
    <d v="2018-07-01T00:00:00"/>
    <m/>
    <m/>
    <m/>
  </r>
  <r>
    <x v="8"/>
    <s v="SEMAINE DU 30 JUILLET AU 3 AOÛT"/>
    <m/>
    <n v="1"/>
    <m/>
    <m/>
    <m/>
    <m/>
    <n v="0"/>
    <d v="2018-07-01T00:00:00"/>
    <m/>
    <m/>
    <m/>
  </r>
  <r>
    <x v="9"/>
    <s v="SEMAINE DU 6 AU 10 AOÛT"/>
    <m/>
    <n v="1"/>
    <m/>
    <m/>
    <m/>
    <m/>
    <n v="0"/>
    <d v="2018-08-01T00:00:00"/>
    <m/>
    <m/>
    <m/>
  </r>
  <r>
    <x v="10"/>
    <s v="SEMAINE DU 13 AU 17 AOÛT"/>
    <m/>
    <n v="1"/>
    <m/>
    <m/>
    <m/>
    <m/>
    <n v="0"/>
    <d v="2018-08-01T00:00:00"/>
    <m/>
    <m/>
    <m/>
  </r>
  <r>
    <x v="11"/>
    <s v="SEMAINE DU 20 AU 24 AOÛT"/>
    <m/>
    <n v="1"/>
    <m/>
    <m/>
    <m/>
    <m/>
    <n v="0"/>
    <d v="2018-08-01T00:00:00"/>
    <m/>
    <m/>
    <m/>
  </r>
  <r>
    <x v="12"/>
    <s v="SEMAINE DU 27 AU 31 AOÛT"/>
    <m/>
    <n v="1"/>
    <m/>
    <m/>
    <m/>
    <m/>
    <n v="0"/>
    <d v="2018-08-01T00:00:00"/>
    <m/>
    <m/>
    <m/>
  </r>
  <r>
    <x v="13"/>
    <s v="SEMAINE DU 3 AU 7 SEPTEMBRE"/>
    <m/>
    <n v="1"/>
    <m/>
    <m/>
    <m/>
    <m/>
    <n v="0"/>
    <d v="2018-09-01T00:00:00"/>
    <m/>
    <m/>
    <m/>
  </r>
  <r>
    <x v="14"/>
    <s v="SEMAINE DU 10 AU 14 SEPTEMBRE"/>
    <m/>
    <n v="1"/>
    <m/>
    <m/>
    <m/>
    <m/>
    <n v="0"/>
    <d v="2018-09-01T00:00:00"/>
    <m/>
    <m/>
    <m/>
  </r>
  <r>
    <x v="15"/>
    <s v="SEMAINE DU 17 AU 21 SEPTEMBRE"/>
    <m/>
    <n v="1"/>
    <m/>
    <m/>
    <m/>
    <m/>
    <n v="0"/>
    <d v="2018-09-01T00:00:00"/>
    <m/>
    <m/>
    <m/>
  </r>
  <r>
    <x v="16"/>
    <s v="SEMAINE DU 24 AU 28 SEPTEMBRE"/>
    <m/>
    <n v="1"/>
    <m/>
    <m/>
    <m/>
    <m/>
    <n v="0"/>
    <d v="2018-09-01T00:00:00"/>
    <m/>
    <m/>
    <m/>
  </r>
  <r>
    <x v="17"/>
    <s v="SEMAINE DU 1 AU 5 OCTOBRE"/>
    <m/>
    <n v="1"/>
    <m/>
    <m/>
    <m/>
    <m/>
    <n v="0"/>
    <d v="2018-09-01T00:00:00"/>
    <m/>
    <m/>
    <m/>
  </r>
  <r>
    <x v="18"/>
    <s v="SEMAINE DU 8 AU 12 OCTOBRE"/>
    <m/>
    <n v="1"/>
    <m/>
    <m/>
    <m/>
    <m/>
    <n v="0"/>
    <d v="2018-10-01T00:00:00"/>
    <m/>
    <m/>
    <m/>
  </r>
  <r>
    <x v="19"/>
    <s v="SEMAINE DU 15 AU 19 OCTOBRE"/>
    <m/>
    <n v="1"/>
    <m/>
    <m/>
    <m/>
    <m/>
    <n v="0"/>
    <d v="2018-10-01T00:00:00"/>
    <m/>
    <m/>
    <m/>
  </r>
  <r>
    <x v="20"/>
    <s v="SEMAINE DU 22 AU 26 OCTOBRE"/>
    <m/>
    <n v="1"/>
    <m/>
    <m/>
    <m/>
    <m/>
    <n v="0"/>
    <d v="2018-10-01T00:00:00"/>
    <m/>
    <m/>
    <m/>
  </r>
  <r>
    <x v="21"/>
    <s v="SEMAINE DU 29 OCTOBRE AU 2 NOVEMBRE"/>
    <m/>
    <n v="1"/>
    <m/>
    <m/>
    <m/>
    <m/>
    <n v="0"/>
    <d v="2018-10-01T00:00:00"/>
    <m/>
    <m/>
    <m/>
  </r>
  <r>
    <x v="22"/>
    <s v="SEMAINE DU 5 AU 9 NOVEMBRE"/>
    <m/>
    <n v="1"/>
    <m/>
    <m/>
    <m/>
    <m/>
    <n v="0"/>
    <d v="2018-11-01T00:00:00"/>
    <m/>
    <m/>
    <m/>
  </r>
  <r>
    <x v="23"/>
    <s v="SEMAINE DU 12 AU 16 NOVEMBRE"/>
    <m/>
    <n v="1"/>
    <m/>
    <m/>
    <m/>
    <m/>
    <n v="0"/>
    <d v="2018-11-01T00:00:00"/>
    <m/>
    <m/>
    <m/>
  </r>
  <r>
    <x v="24"/>
    <s v="SEMAINE DU 19 AU 23 NOVEMBRE"/>
    <m/>
    <n v="1"/>
    <m/>
    <m/>
    <m/>
    <m/>
    <n v="0"/>
    <d v="2018-11-01T00:00:00"/>
    <m/>
    <m/>
    <m/>
  </r>
  <r>
    <x v="25"/>
    <s v="SEMAINE DU 26 AU 30 NOVEMBRE"/>
    <m/>
    <n v="1"/>
    <m/>
    <m/>
    <m/>
    <m/>
    <n v="0"/>
    <d v="2018-11-01T00:00:00"/>
    <m/>
    <m/>
    <m/>
  </r>
  <r>
    <x v="26"/>
    <s v="SEMAINE DU 3 AU 7 DÉCEMBRE"/>
    <m/>
    <n v="1"/>
    <m/>
    <m/>
    <m/>
    <m/>
    <n v="0"/>
    <d v="2018-12-01T00:00:00"/>
    <m/>
    <m/>
    <m/>
  </r>
  <r>
    <x v="27"/>
    <s v="SEMAINE DU 10 AU 14 DÉCEMBRE"/>
    <m/>
    <n v="1"/>
    <m/>
    <m/>
    <m/>
    <m/>
    <n v="0"/>
    <d v="2018-12-01T00:00:00"/>
    <m/>
    <m/>
    <m/>
  </r>
  <r>
    <x v="28"/>
    <s v="SEMAINE DU 17 AU 21 DÉCEMBRE"/>
    <m/>
    <n v="1"/>
    <m/>
    <m/>
    <m/>
    <m/>
    <n v="0"/>
    <d v="2018-12-01T00:00:00"/>
    <m/>
    <m/>
    <m/>
  </r>
  <r>
    <x v="29"/>
    <s v="SEMAINE DU 24 AU 28 DÉCEMBRE"/>
    <m/>
    <n v="1"/>
    <m/>
    <m/>
    <m/>
    <m/>
    <n v="0"/>
    <d v="2018-12-01T00:00:00"/>
    <m/>
    <m/>
    <m/>
  </r>
  <r>
    <x v="3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A33" firstHeaderRow="1" firstDataRow="1" firstDataCol="1"/>
  <pivotFields count="13"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 sortType="ascending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2811"/>
  <sheetViews>
    <sheetView workbookViewId="0">
      <pane ySplit="2" topLeftCell="A370" activePane="bottomLeft" state="frozen"/>
      <selection pane="bottomLeft" activeCell="H392" sqref="H392"/>
    </sheetView>
  </sheetViews>
  <sheetFormatPr baseColWidth="10" defaultColWidth="11.44140625" defaultRowHeight="14.4" x14ac:dyDescent="0.3"/>
  <cols>
    <col min="1" max="1" width="11.109375" style="136" bestFit="1" customWidth="1"/>
    <col min="2" max="2" width="5.109375" style="50" bestFit="1" customWidth="1"/>
    <col min="3" max="3" width="10.6640625" style="50" bestFit="1" customWidth="1"/>
    <col min="4" max="4" width="8" style="50" bestFit="1" customWidth="1"/>
    <col min="5" max="5" width="6.6640625" style="50" bestFit="1" customWidth="1"/>
    <col min="6" max="6" width="7.33203125" style="50" bestFit="1" customWidth="1"/>
    <col min="7" max="7" width="5.6640625" style="49" bestFit="1" customWidth="1"/>
    <col min="8" max="8" width="16.33203125" style="49" bestFit="1" customWidth="1"/>
    <col min="9" max="9" width="19.44140625" style="49" bestFit="1" customWidth="1"/>
    <col min="10" max="10" width="14.5546875" style="132" bestFit="1" customWidth="1"/>
    <col min="11" max="11" width="21.6640625" style="49" bestFit="1" customWidth="1"/>
    <col min="12" max="12" width="27.6640625" style="48" bestFit="1" customWidth="1"/>
    <col min="13" max="13" width="13.88671875" style="48" bestFit="1" customWidth="1"/>
    <col min="14" max="14" width="12.6640625" style="48" bestFit="1" customWidth="1"/>
    <col min="15" max="15" width="20" style="48" bestFit="1" customWidth="1"/>
    <col min="16" max="16" width="9.88671875" style="48" bestFit="1" customWidth="1"/>
    <col min="17" max="17" width="8.88671875" style="48" bestFit="1" customWidth="1"/>
    <col min="18" max="25" width="11.44140625" style="48"/>
    <col min="26" max="26" width="2" style="48" bestFit="1" customWidth="1"/>
    <col min="27" max="16384" width="11.44140625" style="48"/>
  </cols>
  <sheetData>
    <row r="1" spans="1:16" s="109" customFormat="1" ht="26.25" customHeight="1" x14ac:dyDescent="0.3">
      <c r="A1" s="250" t="s">
        <v>140</v>
      </c>
      <c r="B1" s="250"/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1"/>
      <c r="N1" s="157" t="s">
        <v>214</v>
      </c>
      <c r="O1" s="246"/>
      <c r="P1" s="150"/>
    </row>
    <row r="2" spans="1:16" s="109" customFormat="1" ht="26.25" customHeight="1" x14ac:dyDescent="0.3">
      <c r="A2" s="230" t="s">
        <v>139</v>
      </c>
      <c r="B2" s="57" t="s">
        <v>138</v>
      </c>
      <c r="C2" s="46" t="s">
        <v>3</v>
      </c>
      <c r="D2" s="47" t="s">
        <v>4</v>
      </c>
      <c r="E2" s="47" t="s">
        <v>5</v>
      </c>
      <c r="F2" s="46" t="s">
        <v>6</v>
      </c>
      <c r="G2" s="46" t="s">
        <v>0</v>
      </c>
      <c r="H2" s="46" t="s">
        <v>7</v>
      </c>
      <c r="I2" s="46" t="s">
        <v>8</v>
      </c>
      <c r="J2" s="131" t="s">
        <v>9</v>
      </c>
      <c r="K2" s="46" t="s">
        <v>10</v>
      </c>
      <c r="L2" s="46" t="s">
        <v>72</v>
      </c>
      <c r="M2" s="156" t="s">
        <v>213</v>
      </c>
      <c r="N2" s="158">
        <f ca="1">SOMME_SI_COULEUR(qtélot,O1)-SOMME_SI_COULEUR(FAIT,P1)</f>
        <v>5757</v>
      </c>
    </row>
    <row r="3" spans="1:16" s="51" customFormat="1" ht="18" customHeight="1" x14ac:dyDescent="0.3">
      <c r="A3" s="236">
        <v>43207</v>
      </c>
      <c r="B3" s="130">
        <v>1</v>
      </c>
      <c r="C3" s="53">
        <v>121370</v>
      </c>
      <c r="D3" s="241">
        <v>60311</v>
      </c>
      <c r="E3" s="75">
        <v>20</v>
      </c>
      <c r="F3" s="93"/>
      <c r="G3" s="48"/>
      <c r="H3" s="48" t="s">
        <v>13</v>
      </c>
      <c r="I3" s="48" t="s">
        <v>137</v>
      </c>
      <c r="J3" s="132">
        <v>43209</v>
      </c>
      <c r="K3" s="58"/>
    </row>
    <row r="4" spans="1:16" s="51" customFormat="1" x14ac:dyDescent="0.3">
      <c r="A4" s="236">
        <v>43207</v>
      </c>
      <c r="B4" s="130">
        <v>2</v>
      </c>
      <c r="C4" s="53">
        <v>121401</v>
      </c>
      <c r="D4" s="241">
        <v>60284</v>
      </c>
      <c r="E4" s="75">
        <v>11</v>
      </c>
      <c r="F4" s="93"/>
      <c r="G4" s="48"/>
      <c r="H4" s="48" t="s">
        <v>13</v>
      </c>
      <c r="I4" s="48" t="s">
        <v>15</v>
      </c>
      <c r="J4" s="132">
        <v>43215</v>
      </c>
      <c r="K4" s="58"/>
    </row>
    <row r="5" spans="1:16" s="51" customFormat="1" x14ac:dyDescent="0.3">
      <c r="A5" s="236">
        <v>43207</v>
      </c>
      <c r="B5" s="130">
        <v>3</v>
      </c>
      <c r="C5" s="53">
        <v>121400</v>
      </c>
      <c r="D5" s="241">
        <v>60259</v>
      </c>
      <c r="E5" s="75">
        <v>1</v>
      </c>
      <c r="F5" s="93"/>
      <c r="G5" s="48"/>
      <c r="H5" s="48" t="s">
        <v>23</v>
      </c>
      <c r="I5" s="48" t="s">
        <v>26</v>
      </c>
      <c r="J5" s="132">
        <v>43216</v>
      </c>
      <c r="K5" s="58"/>
    </row>
    <row r="6" spans="1:16" s="51" customFormat="1" x14ac:dyDescent="0.3">
      <c r="A6" s="236">
        <v>43207</v>
      </c>
      <c r="B6" s="130">
        <v>4</v>
      </c>
      <c r="C6" s="53">
        <v>121407</v>
      </c>
      <c r="D6" s="241">
        <v>60265</v>
      </c>
      <c r="E6" s="75">
        <v>3</v>
      </c>
      <c r="F6" s="93"/>
      <c r="G6" s="48"/>
      <c r="H6" s="48" t="s">
        <v>13</v>
      </c>
      <c r="I6" s="48" t="s">
        <v>14</v>
      </c>
      <c r="J6" s="132">
        <v>43213</v>
      </c>
      <c r="K6" s="58"/>
      <c r="L6" s="151"/>
    </row>
    <row r="7" spans="1:16" s="51" customFormat="1" x14ac:dyDescent="0.3">
      <c r="A7" s="236">
        <v>43207</v>
      </c>
      <c r="B7" s="130">
        <v>5</v>
      </c>
      <c r="C7" s="53">
        <v>121417</v>
      </c>
      <c r="D7" s="241">
        <v>60294</v>
      </c>
      <c r="E7" s="75">
        <v>1</v>
      </c>
      <c r="F7" s="93"/>
      <c r="G7" s="48"/>
      <c r="H7" s="48" t="s">
        <v>13</v>
      </c>
      <c r="I7" s="48" t="s">
        <v>15</v>
      </c>
      <c r="J7" s="132">
        <v>43215</v>
      </c>
      <c r="K7" s="58"/>
      <c r="L7" s="152"/>
    </row>
    <row r="8" spans="1:16" s="51" customFormat="1" x14ac:dyDescent="0.3">
      <c r="A8" s="236">
        <v>43207</v>
      </c>
      <c r="B8" s="130">
        <v>6</v>
      </c>
      <c r="C8" s="53">
        <v>121408</v>
      </c>
      <c r="D8" s="241">
        <v>60260</v>
      </c>
      <c r="E8" s="104">
        <v>8</v>
      </c>
      <c r="F8" s="93"/>
      <c r="G8" s="48"/>
      <c r="H8" s="48" t="s">
        <v>18</v>
      </c>
      <c r="I8" s="108" t="s">
        <v>136</v>
      </c>
      <c r="J8" s="132">
        <v>43216</v>
      </c>
      <c r="K8" s="58"/>
      <c r="L8" s="152"/>
    </row>
    <row r="9" spans="1:16" s="51" customFormat="1" x14ac:dyDescent="0.3">
      <c r="A9" s="236">
        <v>43207</v>
      </c>
      <c r="B9" s="130">
        <v>7</v>
      </c>
      <c r="C9" s="53" t="s">
        <v>135</v>
      </c>
      <c r="D9" s="241">
        <v>60323</v>
      </c>
      <c r="E9" s="75">
        <v>25</v>
      </c>
      <c r="F9" s="93"/>
      <c r="G9" s="48"/>
      <c r="H9" s="48" t="s">
        <v>13</v>
      </c>
      <c r="I9" s="48" t="s">
        <v>15</v>
      </c>
      <c r="J9" s="132">
        <v>43208</v>
      </c>
      <c r="K9" s="58"/>
      <c r="L9" s="152"/>
    </row>
    <row r="10" spans="1:16" s="51" customFormat="1" x14ac:dyDescent="0.3">
      <c r="A10" s="236">
        <v>43208</v>
      </c>
      <c r="B10" s="127">
        <v>1</v>
      </c>
      <c r="C10" s="53">
        <v>121442</v>
      </c>
      <c r="D10" s="241">
        <v>60324</v>
      </c>
      <c r="E10" s="104">
        <v>4</v>
      </c>
      <c r="F10" s="93"/>
      <c r="G10" s="48"/>
      <c r="H10" s="48" t="s">
        <v>13</v>
      </c>
      <c r="I10" s="48" t="s">
        <v>15</v>
      </c>
      <c r="J10" s="132">
        <v>43215</v>
      </c>
      <c r="K10" s="58"/>
      <c r="L10" s="152"/>
    </row>
    <row r="11" spans="1:16" s="51" customFormat="1" x14ac:dyDescent="0.3">
      <c r="A11" s="236">
        <v>43208</v>
      </c>
      <c r="B11" s="127">
        <v>2</v>
      </c>
      <c r="C11" s="53">
        <v>121134</v>
      </c>
      <c r="D11" s="241">
        <v>60054</v>
      </c>
      <c r="E11" s="104">
        <v>24</v>
      </c>
      <c r="F11" s="93"/>
      <c r="H11" s="51" t="s">
        <v>13</v>
      </c>
      <c r="I11" s="51" t="s">
        <v>19</v>
      </c>
      <c r="J11" s="133">
        <v>43213</v>
      </c>
      <c r="K11" s="78"/>
      <c r="L11" s="152"/>
    </row>
    <row r="12" spans="1:16" s="51" customFormat="1" x14ac:dyDescent="0.3">
      <c r="A12" s="236">
        <v>43208</v>
      </c>
      <c r="B12" s="127">
        <v>3</v>
      </c>
      <c r="C12" s="53">
        <v>121335</v>
      </c>
      <c r="D12" s="241">
        <v>60230</v>
      </c>
      <c r="E12" s="104">
        <v>21</v>
      </c>
      <c r="F12" s="93"/>
      <c r="G12" s="48"/>
      <c r="H12" s="48" t="s">
        <v>13</v>
      </c>
      <c r="I12" s="48" t="s">
        <v>19</v>
      </c>
      <c r="J12" s="132">
        <v>43213</v>
      </c>
      <c r="K12" s="58"/>
      <c r="L12" s="152"/>
    </row>
    <row r="13" spans="1:16" s="51" customFormat="1" x14ac:dyDescent="0.3">
      <c r="A13" s="236">
        <v>43208</v>
      </c>
      <c r="B13" s="127">
        <v>4</v>
      </c>
      <c r="C13" s="53">
        <v>121182</v>
      </c>
      <c r="D13" s="241">
        <v>60099</v>
      </c>
      <c r="E13" s="104">
        <v>1</v>
      </c>
      <c r="F13" s="93"/>
      <c r="G13" s="48"/>
      <c r="H13" s="48" t="s">
        <v>34</v>
      </c>
      <c r="I13" s="48" t="s">
        <v>19</v>
      </c>
      <c r="J13" s="132">
        <v>43216</v>
      </c>
      <c r="K13" s="58"/>
      <c r="L13" s="109"/>
    </row>
    <row r="14" spans="1:16" s="51" customFormat="1" x14ac:dyDescent="0.3">
      <c r="A14" s="236">
        <v>43208</v>
      </c>
      <c r="B14" s="127">
        <v>5</v>
      </c>
      <c r="C14" s="53">
        <v>121164</v>
      </c>
      <c r="D14" s="241">
        <v>60081</v>
      </c>
      <c r="E14" s="104">
        <v>1</v>
      </c>
      <c r="F14" s="93"/>
      <c r="G14" s="48"/>
      <c r="H14" s="48" t="s">
        <v>13</v>
      </c>
      <c r="I14" s="48" t="s">
        <v>134</v>
      </c>
      <c r="J14" s="132">
        <v>43216</v>
      </c>
      <c r="K14" s="58"/>
      <c r="L14" s="152"/>
    </row>
    <row r="15" spans="1:16" s="51" customFormat="1" x14ac:dyDescent="0.3">
      <c r="A15" s="236">
        <v>43208</v>
      </c>
      <c r="B15" s="127">
        <v>6</v>
      </c>
      <c r="C15" s="53">
        <v>121160</v>
      </c>
      <c r="D15" s="241">
        <v>60050</v>
      </c>
      <c r="E15" s="75">
        <v>1</v>
      </c>
      <c r="F15" s="93"/>
      <c r="G15" s="48"/>
      <c r="H15" s="48" t="s">
        <v>18</v>
      </c>
      <c r="I15" s="48" t="s">
        <v>19</v>
      </c>
      <c r="J15" s="132">
        <v>43213</v>
      </c>
      <c r="K15" s="58"/>
      <c r="L15" s="152"/>
    </row>
    <row r="16" spans="1:16" s="51" customFormat="1" x14ac:dyDescent="0.3">
      <c r="A16" s="236">
        <v>43208</v>
      </c>
      <c r="B16" s="127">
        <v>7</v>
      </c>
      <c r="C16" s="53">
        <v>121247</v>
      </c>
      <c r="D16" s="241">
        <v>60135</v>
      </c>
      <c r="E16" s="104">
        <v>2</v>
      </c>
      <c r="F16" s="93"/>
      <c r="G16" s="48"/>
      <c r="H16" s="48" t="s">
        <v>13</v>
      </c>
      <c r="I16" s="48" t="s">
        <v>19</v>
      </c>
      <c r="J16" s="132">
        <v>43214</v>
      </c>
      <c r="K16" s="58"/>
      <c r="L16" s="152"/>
    </row>
    <row r="17" spans="1:13" s="51" customFormat="1" x14ac:dyDescent="0.3">
      <c r="A17" s="236">
        <v>43208</v>
      </c>
      <c r="B17" s="127">
        <v>8</v>
      </c>
      <c r="C17" s="53">
        <v>121245</v>
      </c>
      <c r="D17" s="241">
        <v>60129</v>
      </c>
      <c r="E17" s="104">
        <v>10</v>
      </c>
      <c r="F17" s="93"/>
      <c r="G17" s="48"/>
      <c r="H17" s="48" t="s">
        <v>23</v>
      </c>
      <c r="I17" s="48" t="s">
        <v>19</v>
      </c>
      <c r="J17" s="132">
        <v>43216</v>
      </c>
      <c r="K17" s="58"/>
      <c r="L17" s="152"/>
    </row>
    <row r="18" spans="1:13" s="51" customFormat="1" x14ac:dyDescent="0.3">
      <c r="A18" s="236">
        <v>43208</v>
      </c>
      <c r="B18" s="127">
        <v>9</v>
      </c>
      <c r="C18" s="53">
        <v>121236</v>
      </c>
      <c r="D18" s="241">
        <v>60124</v>
      </c>
      <c r="E18" s="104">
        <v>1</v>
      </c>
      <c r="F18" s="93"/>
      <c r="G18" s="48"/>
      <c r="H18" s="48" t="s">
        <v>18</v>
      </c>
      <c r="I18" s="48" t="s">
        <v>26</v>
      </c>
      <c r="J18" s="132">
        <v>43215</v>
      </c>
      <c r="K18" s="58"/>
      <c r="L18" s="152"/>
    </row>
    <row r="19" spans="1:13" s="51" customFormat="1" x14ac:dyDescent="0.3">
      <c r="A19" s="236">
        <v>43208</v>
      </c>
      <c r="B19" s="127">
        <v>10</v>
      </c>
      <c r="C19" s="53">
        <v>121246</v>
      </c>
      <c r="D19" s="241">
        <v>60130</v>
      </c>
      <c r="E19" s="104">
        <v>1</v>
      </c>
      <c r="F19" s="93"/>
      <c r="G19" s="48"/>
      <c r="H19" s="48" t="s">
        <v>23</v>
      </c>
      <c r="I19" s="48" t="s">
        <v>15</v>
      </c>
      <c r="J19" s="132">
        <v>43215</v>
      </c>
      <c r="K19" s="58"/>
      <c r="L19" s="152"/>
    </row>
    <row r="20" spans="1:13" s="51" customFormat="1" x14ac:dyDescent="0.3">
      <c r="A20" s="236">
        <v>43208</v>
      </c>
      <c r="B20" s="127">
        <v>11</v>
      </c>
      <c r="C20" s="53">
        <v>121259</v>
      </c>
      <c r="D20" s="241">
        <v>60140</v>
      </c>
      <c r="E20" s="75">
        <v>2</v>
      </c>
      <c r="F20" s="93"/>
      <c r="G20" s="48"/>
      <c r="H20" s="48" t="s">
        <v>18</v>
      </c>
      <c r="I20" s="48" t="s">
        <v>19</v>
      </c>
      <c r="J20" s="132">
        <v>43216</v>
      </c>
      <c r="K20" s="58"/>
      <c r="L20" s="152"/>
    </row>
    <row r="21" spans="1:13" s="51" customFormat="1" x14ac:dyDescent="0.3">
      <c r="A21" s="236">
        <v>43208</v>
      </c>
      <c r="B21" s="127">
        <v>12</v>
      </c>
      <c r="C21" s="53">
        <v>121241</v>
      </c>
      <c r="D21" s="241">
        <v>60128</v>
      </c>
      <c r="E21" s="75">
        <v>1</v>
      </c>
      <c r="F21" s="93"/>
      <c r="G21" s="48"/>
      <c r="H21" s="48" t="s">
        <v>18</v>
      </c>
      <c r="I21" s="48" t="s">
        <v>19</v>
      </c>
      <c r="J21" s="132">
        <v>43216</v>
      </c>
      <c r="K21" s="58"/>
      <c r="L21" s="152"/>
    </row>
    <row r="22" spans="1:13" s="51" customFormat="1" x14ac:dyDescent="0.3">
      <c r="A22" s="236">
        <v>43208</v>
      </c>
      <c r="B22" s="127">
        <v>13</v>
      </c>
      <c r="C22" s="53">
        <v>121262</v>
      </c>
      <c r="D22" s="241">
        <v>60153</v>
      </c>
      <c r="E22" s="104">
        <v>1</v>
      </c>
      <c r="F22" s="93"/>
      <c r="G22" s="48"/>
      <c r="H22" s="48" t="s">
        <v>18</v>
      </c>
      <c r="I22" s="48" t="s">
        <v>26</v>
      </c>
      <c r="J22" s="132">
        <v>43216</v>
      </c>
      <c r="K22" s="58"/>
      <c r="L22" s="151"/>
    </row>
    <row r="23" spans="1:13" s="51" customFormat="1" x14ac:dyDescent="0.3">
      <c r="A23" s="236">
        <v>43208</v>
      </c>
      <c r="B23" s="127">
        <v>14</v>
      </c>
      <c r="C23" s="53">
        <v>121240</v>
      </c>
      <c r="D23" s="241">
        <v>60127</v>
      </c>
      <c r="E23" s="75">
        <v>1</v>
      </c>
      <c r="F23" s="93"/>
      <c r="G23" s="48"/>
      <c r="H23" s="48" t="s">
        <v>18</v>
      </c>
      <c r="I23" s="48" t="s">
        <v>19</v>
      </c>
      <c r="J23" s="132">
        <v>43216</v>
      </c>
      <c r="K23" s="58"/>
      <c r="L23" s="48"/>
    </row>
    <row r="24" spans="1:13" s="51" customFormat="1" x14ac:dyDescent="0.3">
      <c r="A24" s="236">
        <v>43208</v>
      </c>
      <c r="B24" s="127">
        <v>15</v>
      </c>
      <c r="C24" s="53">
        <v>121275</v>
      </c>
      <c r="D24" s="241">
        <v>60163</v>
      </c>
      <c r="E24" s="104">
        <v>2</v>
      </c>
      <c r="F24" s="93"/>
      <c r="G24" s="48"/>
      <c r="H24" s="48" t="s">
        <v>23</v>
      </c>
      <c r="I24" s="48" t="s">
        <v>26</v>
      </c>
      <c r="J24" s="132">
        <v>43215</v>
      </c>
      <c r="K24" s="58"/>
      <c r="L24" s="48"/>
    </row>
    <row r="25" spans="1:13" s="51" customFormat="1" x14ac:dyDescent="0.3">
      <c r="A25" s="236">
        <v>43208</v>
      </c>
      <c r="B25" s="127">
        <v>16</v>
      </c>
      <c r="C25" s="53">
        <v>121276</v>
      </c>
      <c r="D25" s="241">
        <v>60164</v>
      </c>
      <c r="E25" s="104">
        <v>2</v>
      </c>
      <c r="F25" s="93"/>
      <c r="G25" s="48"/>
      <c r="H25" s="48" t="s">
        <v>18</v>
      </c>
      <c r="I25" s="48" t="s">
        <v>26</v>
      </c>
      <c r="J25" s="132">
        <v>43215</v>
      </c>
      <c r="K25" s="58"/>
      <c r="L25" s="48"/>
    </row>
    <row r="26" spans="1:13" s="51" customFormat="1" x14ac:dyDescent="0.3">
      <c r="A26" s="236">
        <v>43208</v>
      </c>
      <c r="B26" s="127">
        <v>17</v>
      </c>
      <c r="C26" s="53">
        <v>121360</v>
      </c>
      <c r="D26" s="241">
        <v>60256</v>
      </c>
      <c r="E26" s="72">
        <v>2</v>
      </c>
      <c r="F26" s="93"/>
      <c r="G26" s="48"/>
      <c r="H26" s="48" t="s">
        <v>13</v>
      </c>
      <c r="I26" s="48" t="s">
        <v>19</v>
      </c>
      <c r="J26" s="132">
        <v>43215</v>
      </c>
      <c r="K26" s="58"/>
      <c r="L26" s="48" t="s">
        <v>133</v>
      </c>
      <c r="M26" s="51" t="s">
        <v>29</v>
      </c>
    </row>
    <row r="27" spans="1:13" s="51" customFormat="1" x14ac:dyDescent="0.3">
      <c r="A27" s="236">
        <v>43208</v>
      </c>
      <c r="B27" s="127">
        <v>18</v>
      </c>
      <c r="C27" s="53">
        <v>121376</v>
      </c>
      <c r="D27" s="241">
        <v>60254</v>
      </c>
      <c r="E27" s="107">
        <v>2</v>
      </c>
      <c r="F27" s="93"/>
      <c r="G27" s="48"/>
      <c r="H27" s="48" t="s">
        <v>13</v>
      </c>
      <c r="I27" s="48" t="s">
        <v>26</v>
      </c>
      <c r="J27" s="132">
        <v>43222</v>
      </c>
      <c r="K27" s="58"/>
      <c r="L27" s="48"/>
      <c r="M27" s="51" t="s">
        <v>132</v>
      </c>
    </row>
    <row r="28" spans="1:13" s="51" customFormat="1" x14ac:dyDescent="0.3">
      <c r="A28" s="236">
        <v>43208</v>
      </c>
      <c r="B28" s="127">
        <v>19</v>
      </c>
      <c r="C28" s="53">
        <v>121270</v>
      </c>
      <c r="D28" s="241">
        <v>60179</v>
      </c>
      <c r="E28" s="104">
        <v>26</v>
      </c>
      <c r="F28" s="93"/>
      <c r="G28" s="48"/>
      <c r="H28" s="48" t="s">
        <v>18</v>
      </c>
      <c r="I28" s="48" t="s">
        <v>19</v>
      </c>
      <c r="J28" s="132">
        <v>43216</v>
      </c>
      <c r="K28" s="58"/>
      <c r="L28" s="48"/>
    </row>
    <row r="29" spans="1:13" s="51" customFormat="1" x14ac:dyDescent="0.3">
      <c r="A29" s="236">
        <v>43209</v>
      </c>
      <c r="B29" s="128">
        <v>1</v>
      </c>
      <c r="C29" s="53">
        <v>121458</v>
      </c>
      <c r="D29" s="241">
        <v>60363</v>
      </c>
      <c r="E29" s="107">
        <v>1</v>
      </c>
      <c r="F29" s="93"/>
      <c r="G29" s="48"/>
      <c r="H29" s="48" t="s">
        <v>13</v>
      </c>
      <c r="I29" s="48" t="s">
        <v>14</v>
      </c>
      <c r="J29" s="132">
        <v>43221</v>
      </c>
      <c r="K29" s="58"/>
      <c r="L29" s="48"/>
    </row>
    <row r="30" spans="1:13" s="51" customFormat="1" x14ac:dyDescent="0.3">
      <c r="A30" s="236">
        <v>43209</v>
      </c>
      <c r="B30" s="128">
        <v>2</v>
      </c>
      <c r="C30" s="53">
        <v>121462</v>
      </c>
      <c r="D30" s="241">
        <v>60369</v>
      </c>
      <c r="E30" s="107">
        <v>2</v>
      </c>
      <c r="F30" s="93"/>
      <c r="G30" s="48"/>
      <c r="H30" s="48" t="s">
        <v>13</v>
      </c>
      <c r="I30" s="48" t="s">
        <v>15</v>
      </c>
      <c r="J30" s="132">
        <v>43215</v>
      </c>
      <c r="K30" s="58"/>
      <c r="L30" s="48"/>
    </row>
    <row r="31" spans="1:13" s="51" customFormat="1" x14ac:dyDescent="0.3">
      <c r="A31" s="236">
        <v>43209</v>
      </c>
      <c r="B31" s="128">
        <v>3</v>
      </c>
      <c r="C31" s="53">
        <v>121362</v>
      </c>
      <c r="D31" s="241">
        <v>60258</v>
      </c>
      <c r="E31" s="107">
        <v>2</v>
      </c>
      <c r="F31" s="93"/>
      <c r="G31" s="48"/>
      <c r="H31" s="48" t="s">
        <v>13</v>
      </c>
      <c r="I31" s="48" t="s">
        <v>26</v>
      </c>
      <c r="J31" s="132">
        <v>43215</v>
      </c>
      <c r="K31" s="58"/>
      <c r="L31" s="48"/>
      <c r="M31" s="48"/>
    </row>
    <row r="32" spans="1:13" s="51" customFormat="1" x14ac:dyDescent="0.3">
      <c r="A32" s="236">
        <v>43209</v>
      </c>
      <c r="B32" s="128">
        <v>4</v>
      </c>
      <c r="C32" s="53">
        <v>121271</v>
      </c>
      <c r="D32" s="241">
        <v>60154</v>
      </c>
      <c r="E32" s="107">
        <v>3</v>
      </c>
      <c r="F32" s="93"/>
      <c r="G32" s="48"/>
      <c r="H32" s="48" t="s">
        <v>18</v>
      </c>
      <c r="I32" s="48" t="s">
        <v>19</v>
      </c>
      <c r="J32" s="132">
        <v>43216</v>
      </c>
      <c r="K32" s="58"/>
      <c r="L32" s="48"/>
      <c r="M32" s="48"/>
    </row>
    <row r="33" spans="1:13" s="51" customFormat="1" x14ac:dyDescent="0.3">
      <c r="A33" s="236">
        <v>43209</v>
      </c>
      <c r="B33" s="128">
        <v>5</v>
      </c>
      <c r="C33" s="53">
        <v>120967</v>
      </c>
      <c r="D33" s="241">
        <v>59930</v>
      </c>
      <c r="E33" s="75">
        <v>1</v>
      </c>
      <c r="F33" s="93"/>
      <c r="G33" s="48"/>
      <c r="H33" s="48" t="s">
        <v>18</v>
      </c>
      <c r="I33" s="48" t="s">
        <v>19</v>
      </c>
      <c r="J33" s="132">
        <v>43216</v>
      </c>
      <c r="K33" s="58"/>
      <c r="L33" s="48" t="s">
        <v>131</v>
      </c>
      <c r="M33" s="58" t="s">
        <v>37</v>
      </c>
    </row>
    <row r="34" spans="1:13" s="51" customFormat="1" x14ac:dyDescent="0.3">
      <c r="A34" s="236">
        <v>43209</v>
      </c>
      <c r="B34" s="128">
        <v>6</v>
      </c>
      <c r="C34" s="53">
        <v>121316</v>
      </c>
      <c r="D34" s="241">
        <v>60193</v>
      </c>
      <c r="E34" s="75">
        <v>1</v>
      </c>
      <c r="F34" s="93"/>
      <c r="G34" s="48"/>
      <c r="H34" s="48" t="s">
        <v>23</v>
      </c>
      <c r="I34" s="48" t="s">
        <v>19</v>
      </c>
      <c r="J34" s="132">
        <v>43215</v>
      </c>
      <c r="K34" s="58"/>
      <c r="L34" s="48"/>
      <c r="M34" s="48"/>
    </row>
    <row r="35" spans="1:13" s="51" customFormat="1" x14ac:dyDescent="0.3">
      <c r="A35" s="236">
        <v>43209</v>
      </c>
      <c r="B35" s="128">
        <v>7</v>
      </c>
      <c r="C35" s="53">
        <v>121324</v>
      </c>
      <c r="D35" s="241">
        <v>60195</v>
      </c>
      <c r="E35" s="75">
        <v>5</v>
      </c>
      <c r="F35" s="93"/>
      <c r="G35" s="48"/>
      <c r="H35" s="48" t="s">
        <v>23</v>
      </c>
      <c r="I35" s="48" t="s">
        <v>26</v>
      </c>
      <c r="J35" s="132">
        <v>43216</v>
      </c>
      <c r="K35" s="58"/>
      <c r="L35" s="48"/>
      <c r="M35" s="48"/>
    </row>
    <row r="36" spans="1:13" s="51" customFormat="1" x14ac:dyDescent="0.3">
      <c r="A36" s="236">
        <v>43209</v>
      </c>
      <c r="B36" s="128">
        <v>8</v>
      </c>
      <c r="C36" s="53">
        <v>121355</v>
      </c>
      <c r="D36" s="241">
        <v>60229</v>
      </c>
      <c r="E36" s="107">
        <v>1</v>
      </c>
      <c r="F36" s="93"/>
      <c r="G36" s="48"/>
      <c r="H36" s="48" t="s">
        <v>13</v>
      </c>
      <c r="I36" s="48" t="s">
        <v>19</v>
      </c>
      <c r="J36" s="132">
        <v>43215</v>
      </c>
      <c r="K36" s="58"/>
      <c r="L36" s="48"/>
      <c r="M36" s="48"/>
    </row>
    <row r="37" spans="1:13" s="51" customFormat="1" x14ac:dyDescent="0.3">
      <c r="A37" s="236">
        <v>43209</v>
      </c>
      <c r="B37" s="128">
        <v>9</v>
      </c>
      <c r="C37" s="53">
        <v>121314</v>
      </c>
      <c r="D37" s="241">
        <v>60198</v>
      </c>
      <c r="E37" s="75">
        <v>1</v>
      </c>
      <c r="F37" s="93"/>
      <c r="H37" s="51" t="s">
        <v>13</v>
      </c>
      <c r="I37" s="51" t="s">
        <v>19</v>
      </c>
      <c r="J37" s="132">
        <v>43215</v>
      </c>
      <c r="K37" s="58"/>
      <c r="L37" s="51" t="s">
        <v>130</v>
      </c>
      <c r="M37" s="48"/>
    </row>
    <row r="38" spans="1:13" s="51" customFormat="1" x14ac:dyDescent="0.3">
      <c r="A38" s="236">
        <v>43209</v>
      </c>
      <c r="B38" s="128">
        <v>10</v>
      </c>
      <c r="C38" s="53">
        <v>121372</v>
      </c>
      <c r="D38" s="241">
        <v>60299</v>
      </c>
      <c r="E38" s="72">
        <v>43</v>
      </c>
      <c r="F38" s="93"/>
      <c r="H38" s="51" t="s">
        <v>13</v>
      </c>
      <c r="I38" s="51" t="s">
        <v>19</v>
      </c>
      <c r="J38" s="132">
        <v>43223</v>
      </c>
      <c r="K38" s="58"/>
      <c r="L38" s="51" t="s">
        <v>129</v>
      </c>
      <c r="M38" s="55"/>
    </row>
    <row r="39" spans="1:13" s="51" customFormat="1" x14ac:dyDescent="0.3">
      <c r="A39" s="236">
        <v>43209</v>
      </c>
      <c r="B39" s="128">
        <v>11</v>
      </c>
      <c r="C39" s="53">
        <v>121281</v>
      </c>
      <c r="D39" s="241">
        <v>60175</v>
      </c>
      <c r="E39" s="107">
        <v>1</v>
      </c>
      <c r="F39" s="93"/>
      <c r="G39" s="48"/>
      <c r="H39" s="48" t="s">
        <v>18</v>
      </c>
      <c r="I39" s="48" t="s">
        <v>15</v>
      </c>
      <c r="J39" s="132">
        <v>43220</v>
      </c>
      <c r="K39" s="58"/>
      <c r="L39" s="48"/>
    </row>
    <row r="40" spans="1:13" s="51" customFormat="1" x14ac:dyDescent="0.3">
      <c r="A40" s="236">
        <v>43209</v>
      </c>
      <c r="B40" s="128">
        <v>12</v>
      </c>
      <c r="C40" s="53">
        <v>121294</v>
      </c>
      <c r="D40" s="241">
        <v>60174</v>
      </c>
      <c r="E40" s="75">
        <v>2</v>
      </c>
      <c r="F40" s="93"/>
      <c r="G40" s="48"/>
      <c r="H40" s="48" t="s">
        <v>18</v>
      </c>
      <c r="I40" s="48" t="s">
        <v>27</v>
      </c>
      <c r="J40" s="132">
        <v>43220</v>
      </c>
      <c r="K40" s="58"/>
      <c r="L40" s="48"/>
    </row>
    <row r="41" spans="1:13" s="51" customFormat="1" x14ac:dyDescent="0.3">
      <c r="A41" s="236">
        <v>43209</v>
      </c>
      <c r="B41" s="128">
        <v>13</v>
      </c>
      <c r="C41" s="53">
        <v>121293</v>
      </c>
      <c r="D41" s="241">
        <v>60173</v>
      </c>
      <c r="E41" s="75">
        <v>4</v>
      </c>
      <c r="F41" s="93"/>
      <c r="G41" s="48"/>
      <c r="H41" s="48" t="s">
        <v>18</v>
      </c>
      <c r="I41" s="48" t="s">
        <v>27</v>
      </c>
      <c r="J41" s="132">
        <v>43220</v>
      </c>
      <c r="K41" s="58"/>
      <c r="L41" s="48"/>
    </row>
    <row r="42" spans="1:13" s="51" customFormat="1" x14ac:dyDescent="0.3">
      <c r="A42" s="236">
        <v>43209</v>
      </c>
      <c r="B42" s="128">
        <v>14</v>
      </c>
      <c r="C42" s="53">
        <v>121414</v>
      </c>
      <c r="D42" s="241">
        <v>60321</v>
      </c>
      <c r="E42" s="107">
        <v>2</v>
      </c>
      <c r="F42" s="93"/>
      <c r="G42" s="48"/>
      <c r="H42" s="48" t="s">
        <v>13</v>
      </c>
      <c r="I42" s="48" t="s">
        <v>68</v>
      </c>
      <c r="J42" s="132">
        <v>43220</v>
      </c>
      <c r="K42" s="58"/>
      <c r="L42" s="48"/>
    </row>
    <row r="43" spans="1:13" s="51" customFormat="1" x14ac:dyDescent="0.3">
      <c r="A43" s="236">
        <v>43209</v>
      </c>
      <c r="B43" s="128">
        <v>15</v>
      </c>
      <c r="C43" s="53">
        <v>121300</v>
      </c>
      <c r="D43" s="241">
        <v>60197</v>
      </c>
      <c r="E43" s="107">
        <v>14</v>
      </c>
      <c r="F43" s="93"/>
      <c r="G43" s="48"/>
      <c r="H43" s="48" t="s">
        <v>13</v>
      </c>
      <c r="I43" s="48" t="s">
        <v>19</v>
      </c>
      <c r="J43" s="132">
        <v>43220</v>
      </c>
      <c r="K43" s="58"/>
      <c r="L43" s="48"/>
      <c r="M43" s="51" t="s">
        <v>128</v>
      </c>
    </row>
    <row r="44" spans="1:13" s="51" customFormat="1" x14ac:dyDescent="0.3">
      <c r="A44" s="236">
        <v>43210</v>
      </c>
      <c r="B44" s="74">
        <v>1</v>
      </c>
      <c r="C44" s="53">
        <v>121178</v>
      </c>
      <c r="D44" s="241">
        <v>60077</v>
      </c>
      <c r="E44" s="75">
        <v>8</v>
      </c>
      <c r="F44" s="93"/>
      <c r="G44" s="48"/>
      <c r="H44" s="48" t="s">
        <v>18</v>
      </c>
      <c r="I44" s="48" t="s">
        <v>14</v>
      </c>
      <c r="J44" s="132">
        <v>43220</v>
      </c>
      <c r="K44" s="58"/>
      <c r="L44" s="48"/>
    </row>
    <row r="45" spans="1:13" s="51" customFormat="1" x14ac:dyDescent="0.3">
      <c r="A45" s="236">
        <v>43210</v>
      </c>
      <c r="B45" s="74">
        <v>2</v>
      </c>
      <c r="C45" s="53">
        <v>121177</v>
      </c>
      <c r="D45" s="241">
        <v>60076</v>
      </c>
      <c r="E45" s="75">
        <v>8</v>
      </c>
      <c r="F45" s="93"/>
      <c r="G45" s="48"/>
      <c r="H45" s="48" t="s">
        <v>18</v>
      </c>
      <c r="I45" s="48" t="s">
        <v>14</v>
      </c>
      <c r="J45" s="132">
        <v>43220</v>
      </c>
      <c r="K45" s="58"/>
      <c r="L45" s="48"/>
    </row>
    <row r="46" spans="1:13" s="51" customFormat="1" x14ac:dyDescent="0.3">
      <c r="A46" s="236">
        <v>43210</v>
      </c>
      <c r="B46" s="74">
        <v>3</v>
      </c>
      <c r="C46" s="53">
        <v>121176</v>
      </c>
      <c r="D46" s="241">
        <v>60075</v>
      </c>
      <c r="E46" s="75">
        <v>8</v>
      </c>
      <c r="F46" s="93"/>
      <c r="G46" s="48"/>
      <c r="H46" s="48" t="s">
        <v>18</v>
      </c>
      <c r="I46" s="48" t="s">
        <v>14</v>
      </c>
      <c r="J46" s="132">
        <v>43220</v>
      </c>
      <c r="K46" s="58"/>
      <c r="L46" s="48"/>
    </row>
    <row r="47" spans="1:13" s="51" customFormat="1" x14ac:dyDescent="0.3">
      <c r="A47" s="236">
        <v>43210</v>
      </c>
      <c r="B47" s="74">
        <v>4</v>
      </c>
      <c r="C47" s="53">
        <v>121169</v>
      </c>
      <c r="D47" s="241">
        <v>60060</v>
      </c>
      <c r="E47" s="75">
        <v>8</v>
      </c>
      <c r="F47" s="93"/>
      <c r="G47" s="48"/>
      <c r="H47" s="48" t="s">
        <v>18</v>
      </c>
      <c r="I47" s="48" t="s">
        <v>14</v>
      </c>
      <c r="J47" s="132">
        <v>43220</v>
      </c>
      <c r="K47" s="58"/>
      <c r="L47" s="48"/>
    </row>
    <row r="48" spans="1:13" s="51" customFormat="1" x14ac:dyDescent="0.3">
      <c r="A48" s="236">
        <v>43210</v>
      </c>
      <c r="B48" s="74">
        <v>5</v>
      </c>
      <c r="C48" s="53">
        <v>121168</v>
      </c>
      <c r="D48" s="241">
        <v>60059</v>
      </c>
      <c r="E48" s="75">
        <v>8</v>
      </c>
      <c r="F48" s="93"/>
      <c r="G48" s="48"/>
      <c r="H48" s="48" t="s">
        <v>18</v>
      </c>
      <c r="I48" s="48" t="s">
        <v>14</v>
      </c>
      <c r="J48" s="132">
        <v>43220</v>
      </c>
      <c r="K48" s="58"/>
      <c r="L48" s="48"/>
    </row>
    <row r="49" spans="1:13" s="51" customFormat="1" x14ac:dyDescent="0.3">
      <c r="A49" s="236">
        <v>43210</v>
      </c>
      <c r="B49" s="74">
        <v>6</v>
      </c>
      <c r="C49" s="53">
        <v>121167</v>
      </c>
      <c r="D49" s="241">
        <v>60095</v>
      </c>
      <c r="E49" s="75">
        <v>8</v>
      </c>
      <c r="F49" s="93"/>
      <c r="G49" s="48"/>
      <c r="H49" s="48" t="s">
        <v>18</v>
      </c>
      <c r="I49" s="48" t="s">
        <v>14</v>
      </c>
      <c r="J49" s="132">
        <v>43220</v>
      </c>
      <c r="K49" s="58"/>
      <c r="L49" s="48"/>
    </row>
    <row r="50" spans="1:13" s="51" customFormat="1" x14ac:dyDescent="0.3">
      <c r="A50" s="236">
        <v>43210</v>
      </c>
      <c r="B50" s="74">
        <v>7</v>
      </c>
      <c r="C50" s="53">
        <v>121157</v>
      </c>
      <c r="D50" s="241">
        <v>60049</v>
      </c>
      <c r="E50" s="75">
        <v>8</v>
      </c>
      <c r="F50" s="93"/>
      <c r="G50" s="48"/>
      <c r="H50" s="48" t="s">
        <v>18</v>
      </c>
      <c r="I50" s="48" t="s">
        <v>14</v>
      </c>
      <c r="J50" s="132">
        <v>43220</v>
      </c>
      <c r="K50" s="58"/>
      <c r="L50" s="48"/>
    </row>
    <row r="51" spans="1:13" s="51" customFormat="1" x14ac:dyDescent="0.3">
      <c r="A51" s="236">
        <v>43210</v>
      </c>
      <c r="B51" s="74">
        <v>8</v>
      </c>
      <c r="C51" s="53">
        <v>121504</v>
      </c>
      <c r="D51" s="241">
        <v>60375</v>
      </c>
      <c r="E51" s="75">
        <v>4</v>
      </c>
      <c r="F51" s="93"/>
      <c r="G51" s="48"/>
      <c r="H51" s="48" t="s">
        <v>18</v>
      </c>
      <c r="I51" s="48" t="s">
        <v>127</v>
      </c>
      <c r="J51" s="132">
        <v>43215</v>
      </c>
      <c r="K51" s="58"/>
      <c r="L51" s="48"/>
    </row>
    <row r="52" spans="1:13" s="51" customFormat="1" x14ac:dyDescent="0.3">
      <c r="A52" s="236">
        <v>43210</v>
      </c>
      <c r="B52" s="74">
        <v>9</v>
      </c>
      <c r="C52" s="53">
        <v>121499</v>
      </c>
      <c r="D52" s="241">
        <v>60378</v>
      </c>
      <c r="E52" s="75">
        <v>2</v>
      </c>
      <c r="F52" s="93"/>
      <c r="G52" s="48"/>
      <c r="H52" s="48" t="s">
        <v>18</v>
      </c>
      <c r="I52" s="48" t="s">
        <v>19</v>
      </c>
      <c r="J52" s="132">
        <v>43215</v>
      </c>
      <c r="K52" s="58"/>
      <c r="L52" s="48"/>
    </row>
    <row r="53" spans="1:13" s="51" customFormat="1" x14ac:dyDescent="0.3">
      <c r="A53" s="236">
        <v>43213</v>
      </c>
      <c r="B53" s="129">
        <v>1</v>
      </c>
      <c r="C53" s="53">
        <v>120817</v>
      </c>
      <c r="D53" s="241">
        <v>59799</v>
      </c>
      <c r="E53" s="75">
        <v>222</v>
      </c>
      <c r="F53" s="93"/>
      <c r="G53" s="48"/>
      <c r="H53" s="48" t="s">
        <v>13</v>
      </c>
      <c r="I53" s="48" t="s">
        <v>36</v>
      </c>
      <c r="J53" s="132">
        <v>43208</v>
      </c>
      <c r="K53" s="58"/>
      <c r="L53" s="48"/>
    </row>
    <row r="54" spans="1:13" s="51" customFormat="1" x14ac:dyDescent="0.3">
      <c r="A54" s="236">
        <v>43213</v>
      </c>
      <c r="B54" s="129">
        <v>2</v>
      </c>
      <c r="C54" s="53">
        <v>121368</v>
      </c>
      <c r="D54" s="241">
        <v>60405</v>
      </c>
      <c r="E54" s="75">
        <v>1</v>
      </c>
      <c r="F54" s="93"/>
      <c r="G54" s="48"/>
      <c r="H54" s="48" t="s">
        <v>13</v>
      </c>
      <c r="I54" s="48" t="s">
        <v>19</v>
      </c>
      <c r="J54" s="132">
        <v>43208</v>
      </c>
      <c r="K54" s="58"/>
      <c r="L54" s="48" t="s">
        <v>126</v>
      </c>
    </row>
    <row r="55" spans="1:13" s="51" customFormat="1" x14ac:dyDescent="0.3">
      <c r="A55" s="236">
        <v>43214</v>
      </c>
      <c r="B55" s="130">
        <v>1</v>
      </c>
      <c r="C55" s="53" t="s">
        <v>125</v>
      </c>
      <c r="D55" s="241">
        <v>60437</v>
      </c>
      <c r="E55" s="75">
        <v>8</v>
      </c>
      <c r="F55" s="93"/>
      <c r="G55" s="48"/>
      <c r="H55" s="48" t="s">
        <v>13</v>
      </c>
      <c r="I55" s="48" t="s">
        <v>124</v>
      </c>
      <c r="J55" s="132">
        <v>43217</v>
      </c>
      <c r="K55" s="58"/>
      <c r="L55" s="48"/>
    </row>
    <row r="56" spans="1:13" s="51" customFormat="1" x14ac:dyDescent="0.3">
      <c r="A56" s="236">
        <v>43214</v>
      </c>
      <c r="B56" s="130">
        <v>2</v>
      </c>
      <c r="C56" s="53">
        <v>121305</v>
      </c>
      <c r="D56" s="241">
        <v>60200</v>
      </c>
      <c r="E56" s="72">
        <v>47</v>
      </c>
      <c r="F56" s="93"/>
      <c r="G56" s="48"/>
      <c r="H56" s="48" t="s">
        <v>13</v>
      </c>
      <c r="I56" s="48" t="s">
        <v>19</v>
      </c>
      <c r="J56" s="132">
        <v>43220</v>
      </c>
      <c r="K56" s="58"/>
      <c r="L56" s="48" t="s">
        <v>29</v>
      </c>
      <c r="M56" s="51" t="s">
        <v>105</v>
      </c>
    </row>
    <row r="57" spans="1:13" s="51" customFormat="1" x14ac:dyDescent="0.3">
      <c r="A57" s="236">
        <v>43214</v>
      </c>
      <c r="B57" s="130">
        <v>3</v>
      </c>
      <c r="C57" s="53">
        <v>121303</v>
      </c>
      <c r="D57" s="241">
        <v>60183</v>
      </c>
      <c r="E57" s="75">
        <v>1</v>
      </c>
      <c r="F57" s="93"/>
      <c r="G57" s="48"/>
      <c r="H57" s="48" t="s">
        <v>18</v>
      </c>
      <c r="I57" s="48" t="s">
        <v>123</v>
      </c>
      <c r="J57" s="132">
        <v>43220</v>
      </c>
      <c r="K57" s="58"/>
      <c r="L57" s="48" t="s">
        <v>29</v>
      </c>
    </row>
    <row r="58" spans="1:13" s="51" customFormat="1" x14ac:dyDescent="0.3">
      <c r="A58" s="236">
        <v>43214</v>
      </c>
      <c r="B58" s="130">
        <v>4</v>
      </c>
      <c r="C58" s="53">
        <v>121287</v>
      </c>
      <c r="D58" s="241">
        <v>60166</v>
      </c>
      <c r="E58" s="72">
        <v>2</v>
      </c>
      <c r="F58" s="93"/>
      <c r="G58" s="48"/>
      <c r="H58" s="48" t="s">
        <v>18</v>
      </c>
      <c r="I58" s="48" t="s">
        <v>19</v>
      </c>
      <c r="J58" s="132">
        <v>43223</v>
      </c>
      <c r="K58" s="58"/>
      <c r="L58" s="48"/>
    </row>
    <row r="59" spans="1:13" s="51" customFormat="1" x14ac:dyDescent="0.3">
      <c r="A59" s="236">
        <v>43214</v>
      </c>
      <c r="B59" s="130">
        <v>5</v>
      </c>
      <c r="C59" s="53">
        <v>121327</v>
      </c>
      <c r="D59" s="241">
        <v>60202</v>
      </c>
      <c r="E59" s="72">
        <v>20</v>
      </c>
      <c r="F59" s="93"/>
      <c r="G59" s="48"/>
      <c r="H59" s="48" t="s">
        <v>18</v>
      </c>
      <c r="I59" s="48" t="s">
        <v>26</v>
      </c>
      <c r="J59" s="132">
        <v>43222</v>
      </c>
      <c r="K59" s="58"/>
      <c r="L59" s="48"/>
    </row>
    <row r="60" spans="1:13" s="51" customFormat="1" x14ac:dyDescent="0.3">
      <c r="A60" s="236">
        <v>43214</v>
      </c>
      <c r="B60" s="130">
        <v>6</v>
      </c>
      <c r="C60" s="53">
        <v>121537</v>
      </c>
      <c r="D60" s="241">
        <v>60397</v>
      </c>
      <c r="E60" s="75">
        <v>1</v>
      </c>
      <c r="F60" s="93"/>
      <c r="G60" s="48"/>
      <c r="H60" s="48" t="s">
        <v>13</v>
      </c>
      <c r="I60" s="48" t="s">
        <v>14</v>
      </c>
      <c r="J60" s="132">
        <v>43222</v>
      </c>
      <c r="K60" s="58"/>
      <c r="L60" s="48"/>
      <c r="M60" s="51" t="s">
        <v>122</v>
      </c>
    </row>
    <row r="61" spans="1:13" s="51" customFormat="1" x14ac:dyDescent="0.3">
      <c r="A61" s="236">
        <v>43214</v>
      </c>
      <c r="B61" s="130">
        <v>7</v>
      </c>
      <c r="C61" s="53">
        <v>121313</v>
      </c>
      <c r="D61" s="241">
        <v>60199</v>
      </c>
      <c r="E61" s="72">
        <v>1</v>
      </c>
      <c r="F61" s="93"/>
      <c r="H61" s="51" t="s">
        <v>13</v>
      </c>
      <c r="I61" s="51" t="s">
        <v>19</v>
      </c>
      <c r="J61" s="133">
        <v>43215</v>
      </c>
      <c r="K61" s="78"/>
      <c r="L61" s="51" t="s">
        <v>29</v>
      </c>
      <c r="M61" s="55"/>
    </row>
    <row r="62" spans="1:13" s="51" customFormat="1" x14ac:dyDescent="0.3">
      <c r="A62" s="236">
        <v>43215</v>
      </c>
      <c r="B62" s="127">
        <v>1</v>
      </c>
      <c r="C62" s="53">
        <v>121301</v>
      </c>
      <c r="D62" s="241">
        <v>60201</v>
      </c>
      <c r="E62" s="75">
        <v>13</v>
      </c>
      <c r="F62" s="93"/>
      <c r="G62" s="48"/>
      <c r="H62" s="48" t="s">
        <v>23</v>
      </c>
      <c r="I62" s="48" t="s">
        <v>17</v>
      </c>
      <c r="J62" s="132">
        <v>43220</v>
      </c>
      <c r="K62" s="58"/>
      <c r="L62" s="48" t="s">
        <v>29</v>
      </c>
      <c r="M62" s="48" t="s">
        <v>11</v>
      </c>
    </row>
    <row r="63" spans="1:13" s="51" customFormat="1" x14ac:dyDescent="0.3">
      <c r="A63" s="236">
        <v>43215</v>
      </c>
      <c r="B63" s="127">
        <v>2</v>
      </c>
      <c r="C63" s="53">
        <v>121311</v>
      </c>
      <c r="D63" s="241">
        <v>60191</v>
      </c>
      <c r="E63" s="75">
        <v>3</v>
      </c>
      <c r="F63" s="93"/>
      <c r="G63" s="48"/>
      <c r="H63" s="48" t="s">
        <v>18</v>
      </c>
      <c r="I63" s="48" t="s">
        <v>17</v>
      </c>
      <c r="J63" s="132">
        <v>43220</v>
      </c>
      <c r="K63" s="58"/>
      <c r="L63" s="48" t="s">
        <v>29</v>
      </c>
      <c r="M63" s="48" t="s">
        <v>11</v>
      </c>
    </row>
    <row r="64" spans="1:13" s="51" customFormat="1" x14ac:dyDescent="0.3">
      <c r="A64" s="236">
        <v>43215</v>
      </c>
      <c r="B64" s="127">
        <v>3</v>
      </c>
      <c r="C64" s="53">
        <v>121421</v>
      </c>
      <c r="D64" s="241">
        <v>60295</v>
      </c>
      <c r="E64" s="75">
        <v>4</v>
      </c>
      <c r="F64" s="93"/>
      <c r="G64" s="48"/>
      <c r="H64" s="48" t="s">
        <v>13</v>
      </c>
      <c r="I64" s="48" t="s">
        <v>19</v>
      </c>
      <c r="J64" s="132">
        <v>43222</v>
      </c>
      <c r="K64" s="58"/>
      <c r="L64" s="48" t="s">
        <v>121</v>
      </c>
      <c r="M64" s="48" t="s">
        <v>20</v>
      </c>
    </row>
    <row r="65" spans="1:14" s="51" customFormat="1" x14ac:dyDescent="0.3">
      <c r="A65" s="236">
        <v>43215</v>
      </c>
      <c r="B65" s="127">
        <v>4</v>
      </c>
      <c r="C65" s="53">
        <v>121507</v>
      </c>
      <c r="D65" s="241">
        <v>60376</v>
      </c>
      <c r="E65" s="72">
        <v>1</v>
      </c>
      <c r="F65" s="93"/>
      <c r="G65" s="48"/>
      <c r="H65" s="48" t="s">
        <v>18</v>
      </c>
      <c r="I65" s="48" t="s">
        <v>120</v>
      </c>
      <c r="J65" s="132">
        <v>43222</v>
      </c>
      <c r="K65" s="58"/>
      <c r="L65" s="48" t="s">
        <v>20</v>
      </c>
    </row>
    <row r="66" spans="1:14" s="51" customFormat="1" x14ac:dyDescent="0.3">
      <c r="A66" s="236">
        <v>43215</v>
      </c>
      <c r="B66" s="127">
        <v>5</v>
      </c>
      <c r="C66" s="53">
        <v>121576</v>
      </c>
      <c r="D66" s="241">
        <v>60439</v>
      </c>
      <c r="E66" s="72">
        <v>2</v>
      </c>
      <c r="F66" s="93"/>
      <c r="G66" s="48"/>
      <c r="H66" s="48" t="s">
        <v>119</v>
      </c>
      <c r="I66" s="48" t="s">
        <v>15</v>
      </c>
      <c r="J66" s="132">
        <v>43222</v>
      </c>
      <c r="K66" s="58"/>
      <c r="L66" s="48"/>
    </row>
    <row r="67" spans="1:14" s="51" customFormat="1" x14ac:dyDescent="0.3">
      <c r="A67" s="236">
        <v>43215</v>
      </c>
      <c r="B67" s="127">
        <v>6</v>
      </c>
      <c r="C67" s="53">
        <v>121413</v>
      </c>
      <c r="D67" s="241">
        <v>60312</v>
      </c>
      <c r="E67" s="72">
        <v>4</v>
      </c>
      <c r="F67" s="93"/>
      <c r="G67" s="48"/>
      <c r="H67" s="48" t="s">
        <v>23</v>
      </c>
      <c r="I67" s="48" t="s">
        <v>15</v>
      </c>
      <c r="J67" s="132">
        <v>43222</v>
      </c>
      <c r="K67" s="58"/>
      <c r="L67" s="48"/>
    </row>
    <row r="68" spans="1:14" s="51" customFormat="1" x14ac:dyDescent="0.3">
      <c r="A68" s="236">
        <v>43215</v>
      </c>
      <c r="B68" s="127">
        <v>7</v>
      </c>
      <c r="C68" s="53">
        <v>121436</v>
      </c>
      <c r="D68" s="241">
        <v>60328</v>
      </c>
      <c r="E68" s="72">
        <v>1</v>
      </c>
      <c r="F68" s="93"/>
      <c r="G68" s="48"/>
      <c r="H68" s="48" t="s">
        <v>23</v>
      </c>
      <c r="I68" s="48" t="s">
        <v>15</v>
      </c>
      <c r="J68" s="132">
        <v>43222</v>
      </c>
      <c r="K68" s="58"/>
      <c r="L68" s="48"/>
    </row>
    <row r="69" spans="1:14" s="51" customFormat="1" x14ac:dyDescent="0.3">
      <c r="A69" s="236">
        <v>43215</v>
      </c>
      <c r="B69" s="127">
        <v>8</v>
      </c>
      <c r="C69" s="53">
        <v>121334</v>
      </c>
      <c r="D69" s="241">
        <v>60232</v>
      </c>
      <c r="E69" s="72">
        <v>6</v>
      </c>
      <c r="F69" s="93"/>
      <c r="G69" s="48"/>
      <c r="H69" s="48" t="s">
        <v>23</v>
      </c>
      <c r="I69" s="48" t="s">
        <v>14</v>
      </c>
      <c r="J69" s="132">
        <v>43222</v>
      </c>
      <c r="K69" s="58"/>
      <c r="L69" s="48"/>
    </row>
    <row r="70" spans="1:14" s="51" customFormat="1" x14ac:dyDescent="0.3">
      <c r="A70" s="236">
        <v>43215</v>
      </c>
      <c r="B70" s="127">
        <v>9</v>
      </c>
      <c r="C70" s="53">
        <v>121494</v>
      </c>
      <c r="D70" s="241">
        <v>60347</v>
      </c>
      <c r="E70" s="72">
        <v>2</v>
      </c>
      <c r="F70" s="93"/>
      <c r="G70" s="48"/>
      <c r="H70" s="48" t="s">
        <v>18</v>
      </c>
      <c r="I70" s="48" t="s">
        <v>14</v>
      </c>
      <c r="J70" s="132">
        <v>43222</v>
      </c>
      <c r="K70" s="58"/>
      <c r="L70" s="48"/>
    </row>
    <row r="71" spans="1:14" s="51" customFormat="1" x14ac:dyDescent="0.3">
      <c r="A71" s="236">
        <v>43215</v>
      </c>
      <c r="B71" s="127">
        <v>10</v>
      </c>
      <c r="C71" s="53">
        <v>121510</v>
      </c>
      <c r="D71" s="241">
        <v>60380</v>
      </c>
      <c r="E71" s="72">
        <v>1</v>
      </c>
      <c r="F71" s="93"/>
      <c r="G71" s="48"/>
      <c r="H71" s="48" t="s">
        <v>18</v>
      </c>
      <c r="I71" s="48" t="s">
        <v>47</v>
      </c>
      <c r="J71" s="132">
        <v>43222</v>
      </c>
      <c r="K71" s="58"/>
      <c r="L71" s="48"/>
    </row>
    <row r="72" spans="1:14" s="51" customFormat="1" x14ac:dyDescent="0.3">
      <c r="A72" s="236">
        <v>43215</v>
      </c>
      <c r="B72" s="127">
        <v>11</v>
      </c>
      <c r="C72" s="53">
        <v>121382</v>
      </c>
      <c r="D72" s="241">
        <v>60285</v>
      </c>
      <c r="E72" s="75">
        <v>1</v>
      </c>
      <c r="F72" s="93"/>
      <c r="G72" s="48"/>
      <c r="H72" s="48" t="s">
        <v>13</v>
      </c>
      <c r="I72" s="48" t="s">
        <v>14</v>
      </c>
      <c r="J72" s="132">
        <v>43222</v>
      </c>
      <c r="K72" s="58"/>
      <c r="L72" s="48"/>
    </row>
    <row r="73" spans="1:14" s="51" customFormat="1" x14ac:dyDescent="0.3">
      <c r="A73" s="236">
        <v>43215</v>
      </c>
      <c r="B73" s="127">
        <v>12</v>
      </c>
      <c r="C73" s="53">
        <v>121076</v>
      </c>
      <c r="D73" s="241">
        <v>60016</v>
      </c>
      <c r="E73" s="104">
        <v>2</v>
      </c>
      <c r="F73" s="93"/>
      <c r="G73" s="48"/>
      <c r="H73" s="48" t="s">
        <v>13</v>
      </c>
      <c r="I73" s="48" t="s">
        <v>118</v>
      </c>
      <c r="J73" s="132">
        <v>43238</v>
      </c>
      <c r="K73" s="58"/>
      <c r="L73" s="48"/>
    </row>
    <row r="74" spans="1:14" s="51" customFormat="1" x14ac:dyDescent="0.3">
      <c r="A74" s="236">
        <v>43215</v>
      </c>
      <c r="B74" s="127">
        <v>13</v>
      </c>
      <c r="C74" s="53">
        <v>121022</v>
      </c>
      <c r="D74" s="241">
        <v>60010</v>
      </c>
      <c r="E74" s="106">
        <v>2</v>
      </c>
      <c r="F74" s="93"/>
      <c r="G74" s="48"/>
      <c r="H74" s="48" t="s">
        <v>13</v>
      </c>
      <c r="I74" s="48" t="s">
        <v>14</v>
      </c>
      <c r="J74" s="132">
        <v>43223</v>
      </c>
      <c r="K74" s="58"/>
      <c r="L74" s="48" t="s">
        <v>117</v>
      </c>
    </row>
    <row r="75" spans="1:14" s="51" customFormat="1" x14ac:dyDescent="0.3">
      <c r="A75" s="236">
        <v>43215</v>
      </c>
      <c r="B75" s="127">
        <v>14</v>
      </c>
      <c r="C75" s="53" t="s">
        <v>116</v>
      </c>
      <c r="D75" s="241">
        <v>60180</v>
      </c>
      <c r="E75" s="106">
        <v>17</v>
      </c>
      <c r="F75" s="93"/>
      <c r="G75" s="48"/>
      <c r="H75" s="48" t="s">
        <v>13</v>
      </c>
      <c r="I75" s="48" t="s">
        <v>14</v>
      </c>
      <c r="J75" s="132">
        <v>43223</v>
      </c>
      <c r="K75" s="58"/>
      <c r="L75" s="48" t="s">
        <v>115</v>
      </c>
      <c r="M75" s="48"/>
      <c r="N75" s="48"/>
    </row>
    <row r="76" spans="1:14" s="51" customFormat="1" x14ac:dyDescent="0.3">
      <c r="A76" s="236">
        <v>43157</v>
      </c>
      <c r="B76" s="128">
        <v>1</v>
      </c>
      <c r="C76" s="53">
        <v>121398</v>
      </c>
      <c r="D76" s="241">
        <v>60257</v>
      </c>
      <c r="E76" s="75">
        <v>2</v>
      </c>
      <c r="F76" s="93"/>
      <c r="G76" s="48"/>
      <c r="H76" s="48" t="s">
        <v>18</v>
      </c>
      <c r="I76" s="48" t="s">
        <v>19</v>
      </c>
      <c r="J76" s="132">
        <v>43222</v>
      </c>
      <c r="K76" s="58"/>
      <c r="L76" s="48"/>
      <c r="M76" s="48"/>
      <c r="N76" s="48"/>
    </row>
    <row r="77" spans="1:14" s="51" customFormat="1" x14ac:dyDescent="0.3">
      <c r="A77" s="236">
        <v>43157</v>
      </c>
      <c r="B77" s="128">
        <v>2</v>
      </c>
      <c r="C77" s="53">
        <v>121286</v>
      </c>
      <c r="D77" s="241">
        <v>60239</v>
      </c>
      <c r="E77" s="75">
        <v>6</v>
      </c>
      <c r="F77" s="93"/>
      <c r="G77" s="48"/>
      <c r="H77" s="48" t="s">
        <v>18</v>
      </c>
      <c r="I77" s="48" t="s">
        <v>19</v>
      </c>
      <c r="J77" s="132">
        <v>43223</v>
      </c>
      <c r="K77" s="58"/>
      <c r="L77" s="48"/>
      <c r="M77" s="48"/>
      <c r="N77" s="48"/>
    </row>
    <row r="78" spans="1:14" s="51" customFormat="1" x14ac:dyDescent="0.3">
      <c r="A78" s="236">
        <v>43157</v>
      </c>
      <c r="B78" s="128">
        <v>3</v>
      </c>
      <c r="C78" s="53">
        <v>121386</v>
      </c>
      <c r="D78" s="241">
        <v>60242</v>
      </c>
      <c r="E78" s="72">
        <v>5</v>
      </c>
      <c r="F78" s="93"/>
      <c r="G78" s="48"/>
      <c r="H78" s="48" t="s">
        <v>18</v>
      </c>
      <c r="I78" s="48" t="s">
        <v>26</v>
      </c>
      <c r="J78" s="132">
        <v>43222</v>
      </c>
      <c r="K78" s="58"/>
      <c r="L78" s="48"/>
      <c r="M78" s="48"/>
      <c r="N78" s="48"/>
    </row>
    <row r="79" spans="1:14" s="51" customFormat="1" x14ac:dyDescent="0.3">
      <c r="A79" s="236">
        <v>43157</v>
      </c>
      <c r="B79" s="128">
        <v>4</v>
      </c>
      <c r="C79" s="53">
        <v>121489</v>
      </c>
      <c r="D79" s="241">
        <v>60379</v>
      </c>
      <c r="E79" s="75">
        <v>22</v>
      </c>
      <c r="F79" s="93"/>
      <c r="G79" s="48"/>
      <c r="H79" s="48" t="s">
        <v>18</v>
      </c>
      <c r="I79" s="48" t="s">
        <v>26</v>
      </c>
      <c r="J79" s="132">
        <v>43223</v>
      </c>
      <c r="K79" s="58"/>
      <c r="L79" s="48"/>
      <c r="M79" s="48"/>
      <c r="N79" s="48"/>
    </row>
    <row r="80" spans="1:14" s="51" customFormat="1" x14ac:dyDescent="0.3">
      <c r="A80" s="236">
        <v>43157</v>
      </c>
      <c r="B80" s="128">
        <v>5</v>
      </c>
      <c r="C80" s="53">
        <v>121055</v>
      </c>
      <c r="D80" s="241">
        <v>59994</v>
      </c>
      <c r="E80" s="106">
        <v>1</v>
      </c>
      <c r="F80" s="93"/>
      <c r="G80" s="48"/>
      <c r="H80" s="48" t="s">
        <v>13</v>
      </c>
      <c r="I80" s="48" t="s">
        <v>14</v>
      </c>
      <c r="J80" s="132">
        <v>43223</v>
      </c>
      <c r="K80" s="58"/>
      <c r="L80" s="48"/>
      <c r="M80" s="48"/>
      <c r="N80" s="48"/>
    </row>
    <row r="81" spans="1:14" s="51" customFormat="1" x14ac:dyDescent="0.3">
      <c r="A81" s="236">
        <v>43157</v>
      </c>
      <c r="B81" s="128">
        <v>6</v>
      </c>
      <c r="C81" s="53">
        <v>121482</v>
      </c>
      <c r="D81" s="241">
        <v>60340</v>
      </c>
      <c r="E81" s="72">
        <v>2</v>
      </c>
      <c r="F81" s="93"/>
      <c r="G81" s="48"/>
      <c r="H81" s="48" t="s">
        <v>23</v>
      </c>
      <c r="I81" s="48" t="s">
        <v>47</v>
      </c>
      <c r="J81" s="132">
        <v>43222</v>
      </c>
      <c r="K81" s="58"/>
      <c r="L81" s="48"/>
      <c r="M81" s="48"/>
      <c r="N81" s="48"/>
    </row>
    <row r="82" spans="1:14" s="51" customFormat="1" x14ac:dyDescent="0.3">
      <c r="A82" s="236">
        <v>43157</v>
      </c>
      <c r="B82" s="128">
        <v>7</v>
      </c>
      <c r="C82" s="53">
        <v>121599</v>
      </c>
      <c r="D82" s="241">
        <v>60464</v>
      </c>
      <c r="E82" s="106">
        <v>1</v>
      </c>
      <c r="F82" s="93"/>
      <c r="G82" s="48"/>
      <c r="H82" s="48" t="s">
        <v>18</v>
      </c>
      <c r="I82" s="48" t="s">
        <v>19</v>
      </c>
      <c r="J82" s="132">
        <v>43223</v>
      </c>
      <c r="K82" s="58"/>
      <c r="L82" s="48"/>
      <c r="M82" s="48"/>
      <c r="N82" s="48"/>
    </row>
    <row r="83" spans="1:14" s="51" customFormat="1" x14ac:dyDescent="0.3">
      <c r="A83" s="236">
        <v>43157</v>
      </c>
      <c r="B83" s="128">
        <v>8</v>
      </c>
      <c r="C83" s="53">
        <v>121521</v>
      </c>
      <c r="D83" s="241">
        <v>60391</v>
      </c>
      <c r="E83" s="106">
        <v>4</v>
      </c>
      <c r="F83" s="93"/>
      <c r="G83" s="48"/>
      <c r="H83" s="48" t="s">
        <v>18</v>
      </c>
      <c r="I83" s="48" t="s">
        <v>14</v>
      </c>
      <c r="J83" s="132">
        <v>43223</v>
      </c>
      <c r="K83" s="58"/>
      <c r="L83" s="48"/>
      <c r="M83" s="48"/>
      <c r="N83" s="48"/>
    </row>
    <row r="84" spans="1:14" s="51" customFormat="1" x14ac:dyDescent="0.3">
      <c r="A84" s="236">
        <v>43157</v>
      </c>
      <c r="B84" s="128">
        <v>9</v>
      </c>
      <c r="C84" s="53">
        <v>121463</v>
      </c>
      <c r="D84" s="241">
        <v>60356</v>
      </c>
      <c r="E84" s="72">
        <v>9</v>
      </c>
      <c r="F84" s="93"/>
      <c r="G84" s="48"/>
      <c r="H84" s="48" t="s">
        <v>13</v>
      </c>
      <c r="I84" s="48" t="s">
        <v>26</v>
      </c>
      <c r="J84" s="132">
        <v>43224</v>
      </c>
      <c r="K84" s="58"/>
      <c r="L84" s="48"/>
      <c r="M84" s="48"/>
      <c r="N84" s="48"/>
    </row>
    <row r="85" spans="1:14" s="51" customFormat="1" x14ac:dyDescent="0.3">
      <c r="A85" s="236">
        <v>43157</v>
      </c>
      <c r="B85" s="128">
        <v>10</v>
      </c>
      <c r="C85" s="53">
        <v>121466</v>
      </c>
      <c r="D85" s="241">
        <v>60368</v>
      </c>
      <c r="E85" s="72">
        <v>3</v>
      </c>
      <c r="F85" s="93"/>
      <c r="G85" s="48"/>
      <c r="H85" s="48" t="s">
        <v>13</v>
      </c>
      <c r="I85" s="48" t="s">
        <v>26</v>
      </c>
      <c r="J85" s="132">
        <v>43224</v>
      </c>
      <c r="K85" s="58"/>
      <c r="L85" s="48"/>
      <c r="M85" s="48"/>
      <c r="N85" s="48"/>
    </row>
    <row r="86" spans="1:14" s="51" customFormat="1" x14ac:dyDescent="0.3">
      <c r="A86" s="236">
        <v>43157</v>
      </c>
      <c r="B86" s="128">
        <v>11</v>
      </c>
      <c r="C86" s="53">
        <v>121467</v>
      </c>
      <c r="D86" s="241">
        <v>60359</v>
      </c>
      <c r="E86" s="72">
        <v>2</v>
      </c>
      <c r="F86" s="93"/>
      <c r="G86" s="48"/>
      <c r="H86" s="48" t="s">
        <v>13</v>
      </c>
      <c r="I86" s="48" t="s">
        <v>26</v>
      </c>
      <c r="J86" s="132">
        <v>43224</v>
      </c>
      <c r="K86" s="58"/>
      <c r="L86" s="48"/>
      <c r="M86" s="48"/>
      <c r="N86" s="48"/>
    </row>
    <row r="87" spans="1:14" s="51" customFormat="1" x14ac:dyDescent="0.3">
      <c r="A87" s="236">
        <v>43157</v>
      </c>
      <c r="B87" s="128">
        <v>12</v>
      </c>
      <c r="C87" s="53">
        <v>121468</v>
      </c>
      <c r="D87" s="241">
        <v>60360</v>
      </c>
      <c r="E87" s="72">
        <v>2</v>
      </c>
      <c r="F87" s="93"/>
      <c r="G87" s="48"/>
      <c r="H87" s="48" t="s">
        <v>13</v>
      </c>
      <c r="I87" s="48" t="s">
        <v>26</v>
      </c>
      <c r="J87" s="132">
        <v>43224</v>
      </c>
      <c r="K87" s="58"/>
      <c r="L87" s="48"/>
      <c r="M87" s="48"/>
      <c r="N87" s="48"/>
    </row>
    <row r="88" spans="1:14" s="51" customFormat="1" x14ac:dyDescent="0.3">
      <c r="A88" s="236">
        <v>43157</v>
      </c>
      <c r="B88" s="128">
        <v>13</v>
      </c>
      <c r="C88" s="53">
        <v>121469</v>
      </c>
      <c r="D88" s="241">
        <v>60367</v>
      </c>
      <c r="E88" s="72">
        <v>16</v>
      </c>
      <c r="F88" s="93"/>
      <c r="G88" s="48"/>
      <c r="H88" s="48" t="s">
        <v>13</v>
      </c>
      <c r="I88" s="48" t="s">
        <v>26</v>
      </c>
      <c r="J88" s="132">
        <v>43224</v>
      </c>
      <c r="K88" s="58"/>
      <c r="L88" s="48"/>
      <c r="M88" s="48"/>
      <c r="N88" s="48"/>
    </row>
    <row r="89" spans="1:14" s="51" customFormat="1" x14ac:dyDescent="0.3">
      <c r="A89" s="236">
        <v>43157</v>
      </c>
      <c r="B89" s="128">
        <v>14</v>
      </c>
      <c r="C89" s="53">
        <v>121470</v>
      </c>
      <c r="D89" s="241">
        <v>60361</v>
      </c>
      <c r="E89" s="72">
        <v>18</v>
      </c>
      <c r="F89" s="93"/>
      <c r="G89" s="48"/>
      <c r="H89" s="48" t="s">
        <v>13</v>
      </c>
      <c r="I89" s="48" t="s">
        <v>26</v>
      </c>
      <c r="J89" s="132">
        <v>43224</v>
      </c>
      <c r="K89" s="58"/>
      <c r="L89" s="48"/>
      <c r="M89" s="48"/>
      <c r="N89" s="48"/>
    </row>
    <row r="90" spans="1:14" s="51" customFormat="1" x14ac:dyDescent="0.3">
      <c r="A90" s="236">
        <v>43157</v>
      </c>
      <c r="B90" s="128">
        <v>15</v>
      </c>
      <c r="C90" s="53">
        <v>121471</v>
      </c>
      <c r="D90" s="241">
        <v>60362</v>
      </c>
      <c r="E90" s="72">
        <v>6</v>
      </c>
      <c r="F90" s="93"/>
      <c r="G90" s="48"/>
      <c r="H90" s="48" t="s">
        <v>13</v>
      </c>
      <c r="I90" s="48" t="s">
        <v>26</v>
      </c>
      <c r="J90" s="132">
        <v>43224</v>
      </c>
      <c r="K90" s="58"/>
      <c r="L90" s="48"/>
      <c r="M90" s="48" t="s">
        <v>114</v>
      </c>
      <c r="N90" s="48"/>
    </row>
    <row r="91" spans="1:14" s="51" customFormat="1" x14ac:dyDescent="0.3">
      <c r="A91" s="236">
        <v>43217</v>
      </c>
      <c r="B91" s="74">
        <v>1</v>
      </c>
      <c r="C91" s="53">
        <v>121544</v>
      </c>
      <c r="D91" s="241">
        <v>60427</v>
      </c>
      <c r="E91" s="75">
        <v>17</v>
      </c>
      <c r="F91" s="93"/>
      <c r="G91" s="48"/>
      <c r="H91" s="48" t="s">
        <v>23</v>
      </c>
      <c r="I91" s="48" t="s">
        <v>15</v>
      </c>
      <c r="J91" s="132">
        <v>43229</v>
      </c>
      <c r="K91" s="58"/>
      <c r="L91" s="48"/>
      <c r="M91" s="48"/>
      <c r="N91" s="48"/>
    </row>
    <row r="92" spans="1:14" s="51" customFormat="1" x14ac:dyDescent="0.3">
      <c r="A92" s="236">
        <v>43217</v>
      </c>
      <c r="B92" s="74">
        <v>2</v>
      </c>
      <c r="C92" s="53">
        <v>121448</v>
      </c>
      <c r="D92" s="241">
        <v>60326</v>
      </c>
      <c r="E92" s="75">
        <v>12</v>
      </c>
      <c r="F92" s="93"/>
      <c r="G92" s="48"/>
      <c r="H92" s="48" t="s">
        <v>13</v>
      </c>
      <c r="I92" s="48" t="s">
        <v>109</v>
      </c>
      <c r="J92" s="132">
        <v>43229</v>
      </c>
      <c r="K92" s="58"/>
      <c r="L92" s="48"/>
    </row>
    <row r="93" spans="1:14" s="51" customFormat="1" x14ac:dyDescent="0.3">
      <c r="A93" s="236">
        <v>43217</v>
      </c>
      <c r="B93" s="74">
        <v>3</v>
      </c>
      <c r="C93" s="53">
        <v>121626</v>
      </c>
      <c r="D93" s="241">
        <v>60474</v>
      </c>
      <c r="E93" s="75">
        <v>2</v>
      </c>
      <c r="F93" s="93"/>
      <c r="G93" s="48"/>
      <c r="H93" s="48" t="s">
        <v>13</v>
      </c>
      <c r="I93" s="48" t="s">
        <v>14</v>
      </c>
      <c r="J93" s="132">
        <v>43231</v>
      </c>
      <c r="K93" s="58"/>
      <c r="L93" s="48"/>
    </row>
    <row r="94" spans="1:14" s="51" customFormat="1" x14ac:dyDescent="0.3">
      <c r="A94" s="236">
        <v>43217</v>
      </c>
      <c r="B94" s="74">
        <v>4</v>
      </c>
      <c r="C94" s="53">
        <v>121613</v>
      </c>
      <c r="D94" s="241">
        <v>60475</v>
      </c>
      <c r="E94" s="75">
        <v>2</v>
      </c>
      <c r="F94" s="93"/>
      <c r="G94" s="48"/>
      <c r="H94" s="48" t="s">
        <v>13</v>
      </c>
      <c r="I94" s="48" t="s">
        <v>14</v>
      </c>
      <c r="J94" s="132">
        <v>43231</v>
      </c>
      <c r="K94" s="58"/>
      <c r="L94" s="48"/>
    </row>
    <row r="95" spans="1:14" s="51" customFormat="1" x14ac:dyDescent="0.3">
      <c r="A95" s="236">
        <v>43217</v>
      </c>
      <c r="B95" s="74">
        <v>5</v>
      </c>
      <c r="C95" s="53">
        <v>121444</v>
      </c>
      <c r="D95" s="241">
        <v>60342</v>
      </c>
      <c r="E95" s="75">
        <v>11</v>
      </c>
      <c r="F95" s="93"/>
      <c r="G95" s="48"/>
      <c r="H95" s="48" t="s">
        <v>23</v>
      </c>
      <c r="I95" s="48" t="s">
        <v>19</v>
      </c>
      <c r="J95" s="132">
        <v>43229</v>
      </c>
      <c r="K95" s="58"/>
      <c r="L95" s="48"/>
    </row>
    <row r="96" spans="1:14" s="51" customFormat="1" x14ac:dyDescent="0.3">
      <c r="A96" s="236">
        <v>43217</v>
      </c>
      <c r="B96" s="74">
        <v>6</v>
      </c>
      <c r="C96" s="53">
        <v>121502</v>
      </c>
      <c r="D96" s="241">
        <v>60374</v>
      </c>
      <c r="E96" s="75">
        <v>1</v>
      </c>
      <c r="F96" s="93"/>
      <c r="G96" s="48"/>
      <c r="H96" s="48" t="s">
        <v>18</v>
      </c>
      <c r="I96" s="48" t="s">
        <v>19</v>
      </c>
      <c r="J96" s="132">
        <v>43230</v>
      </c>
      <c r="K96" s="58"/>
      <c r="L96" s="48"/>
    </row>
    <row r="97" spans="1:13" s="51" customFormat="1" x14ac:dyDescent="0.3">
      <c r="A97" s="236">
        <v>43217</v>
      </c>
      <c r="B97" s="74">
        <v>7</v>
      </c>
      <c r="C97" s="53">
        <v>121501</v>
      </c>
      <c r="D97" s="241">
        <v>60373</v>
      </c>
      <c r="E97" s="75">
        <v>16</v>
      </c>
      <c r="F97" s="93"/>
      <c r="G97" s="48"/>
      <c r="H97" s="48" t="s">
        <v>18</v>
      </c>
      <c r="I97" s="48" t="s">
        <v>26</v>
      </c>
      <c r="J97" s="132">
        <v>43230</v>
      </c>
      <c r="K97" s="58"/>
      <c r="L97" s="48"/>
    </row>
    <row r="98" spans="1:13" s="51" customFormat="1" x14ac:dyDescent="0.3">
      <c r="A98" s="236">
        <v>43217</v>
      </c>
      <c r="B98" s="74">
        <v>8</v>
      </c>
      <c r="C98" s="53">
        <v>121500</v>
      </c>
      <c r="D98" s="241">
        <v>60372</v>
      </c>
      <c r="E98" s="75">
        <v>19</v>
      </c>
      <c r="F98" s="93"/>
      <c r="G98" s="48"/>
      <c r="H98" s="48" t="s">
        <v>18</v>
      </c>
      <c r="I98" s="48" t="s">
        <v>26</v>
      </c>
      <c r="J98" s="132">
        <v>43237</v>
      </c>
      <c r="K98" s="58"/>
      <c r="L98" s="48"/>
      <c r="M98" s="51" t="s">
        <v>113</v>
      </c>
    </row>
    <row r="99" spans="1:13" s="51" customFormat="1" x14ac:dyDescent="0.3">
      <c r="A99" s="236">
        <v>43217</v>
      </c>
      <c r="B99" s="74">
        <v>9</v>
      </c>
      <c r="C99" s="53" t="s">
        <v>112</v>
      </c>
      <c r="D99" s="241">
        <v>60501</v>
      </c>
      <c r="E99" s="106">
        <v>25</v>
      </c>
      <c r="F99" s="93"/>
      <c r="G99" s="48"/>
      <c r="H99" s="48" t="s">
        <v>111</v>
      </c>
      <c r="I99" s="48" t="s">
        <v>19</v>
      </c>
      <c r="J99" s="132" t="s">
        <v>110</v>
      </c>
      <c r="K99" s="58"/>
      <c r="L99" s="48"/>
    </row>
    <row r="100" spans="1:13" s="51" customFormat="1" x14ac:dyDescent="0.3">
      <c r="A100" s="236">
        <v>43220</v>
      </c>
      <c r="B100" s="129">
        <v>1</v>
      </c>
      <c r="C100" s="53">
        <v>121652</v>
      </c>
      <c r="D100" s="241">
        <v>60497</v>
      </c>
      <c r="E100" s="75">
        <v>3</v>
      </c>
      <c r="F100" s="93"/>
      <c r="G100" s="48"/>
      <c r="H100" s="48" t="s">
        <v>23</v>
      </c>
      <c r="I100" s="48" t="s">
        <v>25</v>
      </c>
      <c r="J100" s="132">
        <v>43229</v>
      </c>
      <c r="K100" s="58"/>
      <c r="L100" s="48"/>
    </row>
    <row r="101" spans="1:13" s="51" customFormat="1" x14ac:dyDescent="0.3">
      <c r="A101" s="236">
        <v>43220</v>
      </c>
      <c r="B101" s="129">
        <v>2</v>
      </c>
      <c r="C101" s="53">
        <v>121641</v>
      </c>
      <c r="D101" s="241">
        <v>60471</v>
      </c>
      <c r="E101" s="75">
        <v>1</v>
      </c>
      <c r="F101" s="93"/>
      <c r="G101" s="48"/>
      <c r="H101" s="48" t="s">
        <v>18</v>
      </c>
      <c r="I101" s="48" t="s">
        <v>26</v>
      </c>
      <c r="J101" s="132">
        <v>43223</v>
      </c>
      <c r="K101" s="58"/>
      <c r="L101" s="48"/>
    </row>
    <row r="102" spans="1:13" s="51" customFormat="1" x14ac:dyDescent="0.3">
      <c r="A102" s="236">
        <v>43220</v>
      </c>
      <c r="B102" s="129">
        <v>3</v>
      </c>
      <c r="C102" s="53">
        <v>121477</v>
      </c>
      <c r="D102" s="241">
        <v>60337</v>
      </c>
      <c r="E102" s="75">
        <v>1</v>
      </c>
      <c r="F102" s="93"/>
      <c r="G102" s="48"/>
      <c r="H102" s="48" t="s">
        <v>18</v>
      </c>
      <c r="I102" s="48" t="s">
        <v>19</v>
      </c>
      <c r="J102" s="132">
        <v>43230</v>
      </c>
      <c r="K102" s="58"/>
      <c r="L102" s="48"/>
    </row>
    <row r="103" spans="1:13" s="51" customFormat="1" x14ac:dyDescent="0.3">
      <c r="A103" s="236">
        <v>43220</v>
      </c>
      <c r="B103" s="129">
        <v>4</v>
      </c>
      <c r="C103" s="53">
        <v>121410</v>
      </c>
      <c r="D103" s="241">
        <v>60262</v>
      </c>
      <c r="E103" s="75">
        <v>1</v>
      </c>
      <c r="F103" s="93"/>
      <c r="G103" s="48"/>
      <c r="H103" s="48" t="s">
        <v>18</v>
      </c>
      <c r="I103" s="48" t="s">
        <v>106</v>
      </c>
      <c r="J103" s="132">
        <v>43230</v>
      </c>
      <c r="K103" s="58"/>
      <c r="L103" s="48"/>
    </row>
    <row r="104" spans="1:13" s="51" customFormat="1" x14ac:dyDescent="0.3">
      <c r="A104" s="236">
        <v>43220</v>
      </c>
      <c r="B104" s="129">
        <v>5</v>
      </c>
      <c r="C104" s="53">
        <v>121419</v>
      </c>
      <c r="D104" s="241">
        <v>60280</v>
      </c>
      <c r="E104" s="75">
        <v>2</v>
      </c>
      <c r="F104" s="93"/>
      <c r="G104" s="48"/>
      <c r="H104" s="48" t="s">
        <v>18</v>
      </c>
      <c r="I104" s="48" t="s">
        <v>109</v>
      </c>
      <c r="J104" s="132">
        <v>43230</v>
      </c>
      <c r="K104" s="58"/>
      <c r="L104" s="48"/>
    </row>
    <row r="105" spans="1:13" s="51" customFormat="1" x14ac:dyDescent="0.3">
      <c r="A105" s="236">
        <v>43220</v>
      </c>
      <c r="B105" s="129">
        <v>6</v>
      </c>
      <c r="C105" s="53">
        <v>121445</v>
      </c>
      <c r="D105" s="241">
        <v>60327</v>
      </c>
      <c r="E105" s="75">
        <v>1</v>
      </c>
      <c r="F105" s="93"/>
      <c r="G105" s="48"/>
      <c r="H105" s="48" t="s">
        <v>18</v>
      </c>
      <c r="I105" s="48" t="s">
        <v>19</v>
      </c>
      <c r="J105" s="132">
        <v>43230</v>
      </c>
      <c r="K105" s="58"/>
      <c r="L105" s="48"/>
    </row>
    <row r="106" spans="1:13" s="51" customFormat="1" x14ac:dyDescent="0.3">
      <c r="A106" s="236">
        <v>43220</v>
      </c>
      <c r="B106" s="129">
        <v>7</v>
      </c>
      <c r="C106" s="53">
        <v>121479</v>
      </c>
      <c r="D106" s="241">
        <v>60338</v>
      </c>
      <c r="E106" s="89">
        <v>2</v>
      </c>
      <c r="F106" s="93"/>
      <c r="G106" s="48"/>
      <c r="H106" s="48" t="s">
        <v>18</v>
      </c>
      <c r="I106" s="48" t="s">
        <v>108</v>
      </c>
      <c r="J106" s="132">
        <v>43231</v>
      </c>
      <c r="K106" s="58"/>
      <c r="L106" s="48"/>
    </row>
    <row r="107" spans="1:13" s="51" customFormat="1" x14ac:dyDescent="0.3">
      <c r="A107" s="236">
        <v>43220</v>
      </c>
      <c r="B107" s="129">
        <v>8</v>
      </c>
      <c r="C107" s="53">
        <v>121480</v>
      </c>
      <c r="D107" s="241">
        <v>60339</v>
      </c>
      <c r="E107" s="89">
        <v>1</v>
      </c>
      <c r="F107" s="93"/>
      <c r="G107" s="48"/>
      <c r="H107" s="48" t="s">
        <v>18</v>
      </c>
      <c r="I107" s="48" t="s">
        <v>108</v>
      </c>
      <c r="J107" s="132">
        <v>43231</v>
      </c>
      <c r="K107" s="58"/>
      <c r="L107" s="48"/>
    </row>
    <row r="108" spans="1:13" s="51" customFormat="1" x14ac:dyDescent="0.3">
      <c r="A108" s="236">
        <v>43220</v>
      </c>
      <c r="B108" s="129">
        <v>9</v>
      </c>
      <c r="C108" s="53">
        <v>121553</v>
      </c>
      <c r="D108" s="241">
        <v>60416</v>
      </c>
      <c r="E108" s="75">
        <v>4</v>
      </c>
      <c r="F108" s="93"/>
      <c r="G108" s="48"/>
      <c r="H108" s="48" t="s">
        <v>18</v>
      </c>
      <c r="I108" s="48" t="s">
        <v>26</v>
      </c>
      <c r="J108" s="132">
        <v>43230</v>
      </c>
      <c r="K108" s="58"/>
      <c r="L108" s="48"/>
    </row>
    <row r="109" spans="1:13" s="51" customFormat="1" x14ac:dyDescent="0.3">
      <c r="A109" s="236">
        <v>43220</v>
      </c>
      <c r="B109" s="129">
        <v>10</v>
      </c>
      <c r="C109" s="53">
        <v>121577</v>
      </c>
      <c r="D109" s="241">
        <v>60440</v>
      </c>
      <c r="E109" s="75">
        <v>1</v>
      </c>
      <c r="F109" s="93"/>
      <c r="G109" s="48"/>
      <c r="H109" s="48" t="s">
        <v>107</v>
      </c>
      <c r="I109" s="48" t="s">
        <v>15</v>
      </c>
      <c r="J109" s="132">
        <v>43227</v>
      </c>
      <c r="K109" s="58"/>
      <c r="L109" s="48"/>
    </row>
    <row r="110" spans="1:13" s="51" customFormat="1" x14ac:dyDescent="0.3">
      <c r="A110" s="236">
        <v>43220</v>
      </c>
      <c r="B110" s="129">
        <v>11</v>
      </c>
      <c r="C110" s="53">
        <v>121611</v>
      </c>
      <c r="D110" s="241">
        <v>60456</v>
      </c>
      <c r="E110" s="104">
        <v>3</v>
      </c>
      <c r="F110" s="93"/>
      <c r="G110" s="48"/>
      <c r="H110" s="48" t="s">
        <v>18</v>
      </c>
      <c r="I110" s="48" t="s">
        <v>25</v>
      </c>
      <c r="J110" s="132">
        <v>43229</v>
      </c>
      <c r="K110" s="58"/>
      <c r="L110" s="48"/>
    </row>
    <row r="111" spans="1:13" s="51" customFormat="1" x14ac:dyDescent="0.3">
      <c r="A111" s="236">
        <v>43220</v>
      </c>
      <c r="B111" s="129">
        <v>12</v>
      </c>
      <c r="C111" s="53">
        <v>121627</v>
      </c>
      <c r="D111" s="241">
        <v>60478</v>
      </c>
      <c r="E111" s="75">
        <v>3</v>
      </c>
      <c r="F111" s="93"/>
      <c r="G111" s="48"/>
      <c r="H111" s="48" t="s">
        <v>34</v>
      </c>
      <c r="I111" s="48" t="s">
        <v>14</v>
      </c>
      <c r="J111" s="132">
        <v>43229</v>
      </c>
      <c r="K111" s="58"/>
      <c r="L111" s="48"/>
    </row>
    <row r="112" spans="1:13" s="51" customFormat="1" x14ac:dyDescent="0.3">
      <c r="A112" s="236">
        <v>43220</v>
      </c>
      <c r="B112" s="129">
        <v>13</v>
      </c>
      <c r="C112" s="53">
        <v>121487</v>
      </c>
      <c r="D112" s="241">
        <v>60341</v>
      </c>
      <c r="E112" s="75">
        <v>2</v>
      </c>
      <c r="F112" s="93"/>
      <c r="G112" s="48"/>
      <c r="H112" s="48" t="s">
        <v>18</v>
      </c>
      <c r="I112" s="48" t="s">
        <v>26</v>
      </c>
      <c r="J112" s="132">
        <v>43229</v>
      </c>
      <c r="K112" s="58"/>
      <c r="L112" s="48"/>
    </row>
    <row r="113" spans="1:16" s="51" customFormat="1" x14ac:dyDescent="0.3">
      <c r="A113" s="236">
        <v>43220</v>
      </c>
      <c r="B113" s="129">
        <v>14</v>
      </c>
      <c r="C113" s="53">
        <v>121460</v>
      </c>
      <c r="D113" s="241">
        <v>60325</v>
      </c>
      <c r="E113" s="75">
        <v>5</v>
      </c>
      <c r="F113" s="93"/>
      <c r="G113" s="48"/>
      <c r="H113" s="48" t="s">
        <v>18</v>
      </c>
      <c r="I113" s="48" t="s">
        <v>19</v>
      </c>
      <c r="J113" s="132">
        <v>43222</v>
      </c>
      <c r="K113" s="58"/>
      <c r="L113" s="48"/>
    </row>
    <row r="114" spans="1:16" s="51" customFormat="1" x14ac:dyDescent="0.3">
      <c r="A114" s="236">
        <v>43220</v>
      </c>
      <c r="B114" s="129">
        <v>15</v>
      </c>
      <c r="C114" s="53">
        <v>121455</v>
      </c>
      <c r="D114" s="241">
        <v>60320</v>
      </c>
      <c r="E114" s="75">
        <v>1</v>
      </c>
      <c r="F114" s="93"/>
      <c r="G114" s="48"/>
      <c r="H114" s="48" t="s">
        <v>18</v>
      </c>
      <c r="I114" s="48" t="s">
        <v>19</v>
      </c>
      <c r="J114" s="132">
        <v>43234</v>
      </c>
      <c r="K114" s="58"/>
      <c r="L114" s="48"/>
    </row>
    <row r="115" spans="1:16" s="51" customFormat="1" x14ac:dyDescent="0.3">
      <c r="A115" s="236">
        <v>43220</v>
      </c>
      <c r="B115" s="129">
        <v>16</v>
      </c>
      <c r="C115" s="53">
        <v>121433</v>
      </c>
      <c r="D115" s="241">
        <v>60300</v>
      </c>
      <c r="E115" s="72">
        <v>2</v>
      </c>
      <c r="F115" s="93"/>
      <c r="G115" s="48"/>
      <c r="H115" s="48" t="s">
        <v>18</v>
      </c>
      <c r="I115" s="48" t="s">
        <v>19</v>
      </c>
      <c r="J115" s="132">
        <v>43234</v>
      </c>
      <c r="K115" s="58"/>
      <c r="L115" s="48"/>
    </row>
    <row r="116" spans="1:16" s="51" customFormat="1" x14ac:dyDescent="0.3">
      <c r="A116" s="236">
        <v>43220</v>
      </c>
      <c r="B116" s="129">
        <v>17</v>
      </c>
      <c r="C116" s="53">
        <v>121434</v>
      </c>
      <c r="D116" s="241">
        <v>60314</v>
      </c>
      <c r="E116" s="72">
        <v>3</v>
      </c>
      <c r="F116" s="93"/>
      <c r="G116" s="48"/>
      <c r="H116" s="48" t="s">
        <v>18</v>
      </c>
      <c r="I116" s="48" t="s">
        <v>19</v>
      </c>
      <c r="J116" s="132">
        <v>43234</v>
      </c>
      <c r="K116" s="58"/>
      <c r="L116" s="48"/>
    </row>
    <row r="117" spans="1:16" s="51" customFormat="1" x14ac:dyDescent="0.3">
      <c r="A117" s="236">
        <v>43220</v>
      </c>
      <c r="B117" s="129">
        <v>18</v>
      </c>
      <c r="C117" s="53">
        <v>121601</v>
      </c>
      <c r="D117" s="241">
        <v>60466</v>
      </c>
      <c r="E117" s="72">
        <v>17</v>
      </c>
      <c r="F117" s="93"/>
      <c r="G117" s="48"/>
      <c r="H117" s="48" t="s">
        <v>18</v>
      </c>
      <c r="I117" s="48" t="s">
        <v>56</v>
      </c>
      <c r="J117" s="132">
        <v>43234</v>
      </c>
      <c r="K117" s="58"/>
      <c r="L117" s="48"/>
    </row>
    <row r="118" spans="1:16" s="51" customFormat="1" x14ac:dyDescent="0.3">
      <c r="A118" s="236">
        <v>43220</v>
      </c>
      <c r="B118" s="129">
        <v>19</v>
      </c>
      <c r="C118" s="53">
        <v>121457</v>
      </c>
      <c r="D118" s="241">
        <v>60322</v>
      </c>
      <c r="E118" s="75">
        <v>1</v>
      </c>
      <c r="F118" s="93"/>
      <c r="G118" s="48"/>
      <c r="H118" s="48" t="s">
        <v>18</v>
      </c>
      <c r="I118" s="48" t="s">
        <v>19</v>
      </c>
      <c r="J118" s="132">
        <v>43228</v>
      </c>
      <c r="K118" s="58"/>
      <c r="L118" s="48" t="s">
        <v>20</v>
      </c>
    </row>
    <row r="119" spans="1:16" s="51" customFormat="1" x14ac:dyDescent="0.3">
      <c r="A119" s="236">
        <v>43220</v>
      </c>
      <c r="B119" s="129">
        <v>20</v>
      </c>
      <c r="C119" s="53">
        <v>121420</v>
      </c>
      <c r="D119" s="241">
        <v>60281</v>
      </c>
      <c r="E119" s="75">
        <v>1</v>
      </c>
      <c r="F119" s="93"/>
      <c r="G119" s="48"/>
      <c r="H119" s="48" t="s">
        <v>18</v>
      </c>
      <c r="I119" s="48" t="s">
        <v>106</v>
      </c>
      <c r="J119" s="132">
        <v>43229</v>
      </c>
      <c r="K119" s="58"/>
      <c r="L119" s="48" t="s">
        <v>20</v>
      </c>
    </row>
    <row r="120" spans="1:16" s="51" customFormat="1" x14ac:dyDescent="0.3">
      <c r="A120" s="236">
        <v>43220</v>
      </c>
      <c r="B120" s="129">
        <v>21</v>
      </c>
      <c r="C120" s="53">
        <v>121593</v>
      </c>
      <c r="D120" s="241">
        <v>60465</v>
      </c>
      <c r="E120" s="75">
        <v>21</v>
      </c>
      <c r="F120" s="93"/>
      <c r="G120" s="48"/>
      <c r="H120" s="48" t="s">
        <v>18</v>
      </c>
      <c r="I120" s="48" t="s">
        <v>19</v>
      </c>
      <c r="J120" s="132">
        <v>43234</v>
      </c>
      <c r="K120" s="58"/>
      <c r="L120" s="51" t="s">
        <v>105</v>
      </c>
      <c r="M120" s="48"/>
      <c r="N120" s="48" t="s">
        <v>11</v>
      </c>
      <c r="O120" s="48" t="s">
        <v>104</v>
      </c>
      <c r="P120" s="48"/>
    </row>
    <row r="121" spans="1:16" s="51" customFormat="1" x14ac:dyDescent="0.3">
      <c r="A121" s="236">
        <v>43221</v>
      </c>
      <c r="B121" s="130">
        <v>1</v>
      </c>
      <c r="C121" s="53">
        <v>120961</v>
      </c>
      <c r="D121" s="241">
        <v>59914</v>
      </c>
      <c r="E121" s="75">
        <v>44</v>
      </c>
      <c r="F121" s="93"/>
      <c r="G121" s="48"/>
      <c r="H121" s="48" t="s">
        <v>87</v>
      </c>
      <c r="I121" s="48" t="s">
        <v>19</v>
      </c>
      <c r="J121" s="132">
        <v>43223</v>
      </c>
      <c r="K121" s="58"/>
      <c r="L121" s="48" t="s">
        <v>84</v>
      </c>
      <c r="M121" s="48" t="s">
        <v>103</v>
      </c>
      <c r="N121" s="48"/>
      <c r="O121" s="48"/>
      <c r="P121" s="48"/>
    </row>
    <row r="122" spans="1:16" s="51" customFormat="1" x14ac:dyDescent="0.3">
      <c r="A122" s="236">
        <v>43221</v>
      </c>
      <c r="B122" s="130">
        <v>2</v>
      </c>
      <c r="C122" s="53">
        <v>121643</v>
      </c>
      <c r="D122" s="241">
        <v>60496</v>
      </c>
      <c r="E122" s="75">
        <v>1</v>
      </c>
      <c r="F122" s="93"/>
      <c r="G122" s="48"/>
      <c r="H122" s="48" t="s">
        <v>13</v>
      </c>
      <c r="I122" s="48" t="s">
        <v>102</v>
      </c>
      <c r="J122" s="132">
        <v>43229</v>
      </c>
      <c r="K122" s="58"/>
      <c r="L122" s="48" t="s">
        <v>101</v>
      </c>
      <c r="M122" s="48"/>
      <c r="N122" s="48"/>
      <c r="O122" s="48"/>
      <c r="P122" s="48"/>
    </row>
    <row r="123" spans="1:16" s="51" customFormat="1" x14ac:dyDescent="0.3">
      <c r="A123" s="236">
        <v>43221</v>
      </c>
      <c r="B123" s="130">
        <v>3</v>
      </c>
      <c r="C123" s="53">
        <v>121612</v>
      </c>
      <c r="D123" s="241">
        <v>60479</v>
      </c>
      <c r="E123" s="104">
        <v>1</v>
      </c>
      <c r="F123" s="93"/>
      <c r="G123" s="48"/>
      <c r="H123" s="48" t="s">
        <v>13</v>
      </c>
      <c r="I123" s="48" t="s">
        <v>15</v>
      </c>
      <c r="J123" s="132">
        <v>43236</v>
      </c>
      <c r="K123" s="58"/>
      <c r="L123" s="48"/>
      <c r="M123" s="48"/>
      <c r="N123" s="48"/>
      <c r="O123" s="48"/>
      <c r="P123" s="48"/>
    </row>
    <row r="124" spans="1:16" s="51" customFormat="1" x14ac:dyDescent="0.3">
      <c r="A124" s="236">
        <v>43222</v>
      </c>
      <c r="B124" s="128">
        <v>1</v>
      </c>
      <c r="C124" s="53">
        <v>121695</v>
      </c>
      <c r="D124" s="241">
        <v>60528</v>
      </c>
      <c r="E124" s="75">
        <v>9</v>
      </c>
      <c r="F124" s="93"/>
      <c r="G124" s="48"/>
      <c r="H124" s="48" t="s">
        <v>13</v>
      </c>
      <c r="I124" s="48" t="s">
        <v>100</v>
      </c>
      <c r="J124" s="132">
        <v>43239</v>
      </c>
      <c r="K124" s="58"/>
      <c r="L124" s="48"/>
      <c r="M124" s="48"/>
      <c r="N124" s="48"/>
      <c r="O124" s="48"/>
      <c r="P124" s="48"/>
    </row>
    <row r="125" spans="1:16" s="51" customFormat="1" x14ac:dyDescent="0.3">
      <c r="A125" s="236">
        <v>43222</v>
      </c>
      <c r="B125" s="128">
        <v>2</v>
      </c>
      <c r="C125" s="53">
        <v>121681</v>
      </c>
      <c r="D125" s="241">
        <v>60531</v>
      </c>
      <c r="E125" s="102">
        <v>8</v>
      </c>
      <c r="F125" s="93"/>
      <c r="G125" s="48"/>
      <c r="H125" s="48" t="s">
        <v>99</v>
      </c>
      <c r="I125" s="48" t="s">
        <v>98</v>
      </c>
      <c r="J125" s="132">
        <v>43229</v>
      </c>
      <c r="K125" s="58"/>
      <c r="L125" s="48"/>
      <c r="M125" s="48"/>
      <c r="N125" s="48"/>
      <c r="O125" s="48"/>
      <c r="P125" s="48"/>
    </row>
    <row r="126" spans="1:16" s="51" customFormat="1" x14ac:dyDescent="0.3">
      <c r="A126" s="236">
        <v>43222</v>
      </c>
      <c r="B126" s="128">
        <v>3</v>
      </c>
      <c r="C126" s="53">
        <v>121694</v>
      </c>
      <c r="D126" s="241">
        <v>60524</v>
      </c>
      <c r="E126" s="104">
        <v>1</v>
      </c>
      <c r="F126" s="93"/>
      <c r="G126" s="48"/>
      <c r="H126" s="48" t="s">
        <v>18</v>
      </c>
      <c r="I126" s="48" t="s">
        <v>19</v>
      </c>
      <c r="J126" s="132">
        <v>43236</v>
      </c>
      <c r="K126" s="58"/>
      <c r="L126" s="48"/>
      <c r="M126" s="48"/>
      <c r="N126" s="48"/>
      <c r="O126" s="48"/>
      <c r="P126" s="48"/>
    </row>
    <row r="127" spans="1:16" x14ac:dyDescent="0.3">
      <c r="A127" s="237">
        <v>43222</v>
      </c>
      <c r="B127" s="128">
        <v>4</v>
      </c>
      <c r="C127" s="53">
        <v>121561</v>
      </c>
      <c r="D127" s="241">
        <v>60422</v>
      </c>
      <c r="E127" s="79">
        <v>12</v>
      </c>
      <c r="F127" s="93"/>
      <c r="G127" s="48"/>
      <c r="H127" s="48" t="s">
        <v>23</v>
      </c>
      <c r="I127" s="48" t="s">
        <v>19</v>
      </c>
      <c r="J127" s="132">
        <v>43234</v>
      </c>
      <c r="K127" s="58"/>
    </row>
    <row r="128" spans="1:16" x14ac:dyDescent="0.3">
      <c r="A128" s="237">
        <v>43222</v>
      </c>
      <c r="B128" s="128">
        <v>5</v>
      </c>
      <c r="C128" s="53">
        <v>121530</v>
      </c>
      <c r="D128" s="241">
        <v>60393</v>
      </c>
      <c r="E128" s="79">
        <v>8</v>
      </c>
      <c r="F128" s="93"/>
      <c r="G128" s="48"/>
      <c r="H128" s="48" t="s">
        <v>23</v>
      </c>
      <c r="I128" s="48" t="s">
        <v>19</v>
      </c>
      <c r="J128" s="132">
        <v>43234</v>
      </c>
      <c r="K128" s="58"/>
      <c r="N128" s="48">
        <f>E106+E107+E110+E115+E116+E117+E120+E123+E125+E126+E127+E128+E129+E130+E131+E132+E133+E134+E135+E136+E137+E138+E139+E140+E141+E142+E143</f>
        <v>200</v>
      </c>
    </row>
    <row r="129" spans="1:14" x14ac:dyDescent="0.3">
      <c r="A129" s="237">
        <v>43222</v>
      </c>
      <c r="B129" s="128">
        <v>6</v>
      </c>
      <c r="C129" s="53">
        <v>121549</v>
      </c>
      <c r="D129" s="241">
        <v>60412</v>
      </c>
      <c r="E129" s="79">
        <v>12</v>
      </c>
      <c r="F129" s="93"/>
      <c r="G129" s="48"/>
      <c r="H129" s="48" t="s">
        <v>23</v>
      </c>
      <c r="I129" s="48" t="s">
        <v>19</v>
      </c>
      <c r="J129" s="132">
        <v>43234</v>
      </c>
      <c r="K129" s="58"/>
    </row>
    <row r="130" spans="1:14" x14ac:dyDescent="0.3">
      <c r="A130" s="237">
        <v>43222</v>
      </c>
      <c r="B130" s="128">
        <v>7</v>
      </c>
      <c r="C130" s="53">
        <v>121543</v>
      </c>
      <c r="D130" s="241">
        <v>60408</v>
      </c>
      <c r="E130" s="79">
        <v>12</v>
      </c>
      <c r="F130" s="93"/>
      <c r="G130" s="48"/>
      <c r="H130" s="48" t="s">
        <v>23</v>
      </c>
      <c r="I130" s="48" t="s">
        <v>19</v>
      </c>
      <c r="J130" s="132">
        <v>43234</v>
      </c>
      <c r="K130" s="58"/>
    </row>
    <row r="131" spans="1:14" x14ac:dyDescent="0.3">
      <c r="A131" s="237">
        <v>43222</v>
      </c>
      <c r="B131" s="128">
        <v>8</v>
      </c>
      <c r="C131" s="53">
        <v>121556</v>
      </c>
      <c r="D131" s="241">
        <v>60417</v>
      </c>
      <c r="E131" s="104">
        <v>12</v>
      </c>
      <c r="F131" s="93"/>
      <c r="G131" s="48"/>
      <c r="H131" s="48" t="s">
        <v>23</v>
      </c>
      <c r="I131" s="48" t="s">
        <v>19</v>
      </c>
      <c r="J131" s="132">
        <v>43234</v>
      </c>
      <c r="K131" s="58"/>
    </row>
    <row r="132" spans="1:14" x14ac:dyDescent="0.3">
      <c r="A132" s="237">
        <v>43222</v>
      </c>
      <c r="B132" s="128">
        <v>9</v>
      </c>
      <c r="C132" s="53">
        <v>121678</v>
      </c>
      <c r="D132" s="241">
        <v>60527</v>
      </c>
      <c r="E132" s="104">
        <v>1</v>
      </c>
      <c r="F132" s="93"/>
      <c r="G132" s="48"/>
      <c r="H132" s="48" t="s">
        <v>13</v>
      </c>
      <c r="I132" s="48" t="s">
        <v>14</v>
      </c>
      <c r="J132" s="132">
        <v>43227</v>
      </c>
      <c r="K132" s="58"/>
    </row>
    <row r="133" spans="1:14" x14ac:dyDescent="0.3">
      <c r="A133" s="237">
        <v>43223</v>
      </c>
      <c r="B133" s="127">
        <v>1</v>
      </c>
      <c r="C133" s="53">
        <v>121515</v>
      </c>
      <c r="D133" s="241">
        <v>60383</v>
      </c>
      <c r="E133" s="101">
        <v>3</v>
      </c>
      <c r="F133" s="93"/>
      <c r="G133" s="51"/>
      <c r="H133" s="51" t="s">
        <v>34</v>
      </c>
      <c r="I133" s="51" t="s">
        <v>19</v>
      </c>
      <c r="J133" s="132">
        <v>43227</v>
      </c>
      <c r="K133" s="58"/>
      <c r="L133" s="51" t="s">
        <v>75</v>
      </c>
      <c r="M133" s="51" t="s">
        <v>35</v>
      </c>
      <c r="N133" s="51" t="s">
        <v>97</v>
      </c>
    </row>
    <row r="134" spans="1:14" x14ac:dyDescent="0.3">
      <c r="A134" s="237">
        <v>43223</v>
      </c>
      <c r="B134" s="127">
        <v>2</v>
      </c>
      <c r="C134" s="53">
        <v>121711</v>
      </c>
      <c r="D134" s="241">
        <v>60535</v>
      </c>
      <c r="E134" s="79">
        <v>1</v>
      </c>
      <c r="F134" s="93"/>
      <c r="G134" s="51"/>
      <c r="H134" s="51" t="s">
        <v>23</v>
      </c>
      <c r="I134" s="51" t="s">
        <v>26</v>
      </c>
      <c r="J134" s="132">
        <v>43229</v>
      </c>
      <c r="K134" s="58"/>
    </row>
    <row r="135" spans="1:14" x14ac:dyDescent="0.3">
      <c r="A135" s="237">
        <v>43223</v>
      </c>
      <c r="B135" s="127">
        <v>3</v>
      </c>
      <c r="C135" s="53">
        <v>121705</v>
      </c>
      <c r="D135" s="241">
        <v>60546</v>
      </c>
      <c r="E135" s="104">
        <v>4</v>
      </c>
      <c r="F135" s="93"/>
      <c r="G135" s="51"/>
      <c r="H135" s="51" t="s">
        <v>96</v>
      </c>
      <c r="I135" s="51" t="s">
        <v>36</v>
      </c>
      <c r="J135" s="132">
        <v>43229</v>
      </c>
      <c r="K135" s="58"/>
    </row>
    <row r="136" spans="1:14" x14ac:dyDescent="0.3">
      <c r="A136" s="237">
        <v>43223</v>
      </c>
      <c r="B136" s="127">
        <v>4</v>
      </c>
      <c r="C136" s="53">
        <v>121730</v>
      </c>
      <c r="D136" s="241">
        <v>60547</v>
      </c>
      <c r="E136" s="79">
        <v>2</v>
      </c>
      <c r="F136" s="93"/>
      <c r="G136" s="51"/>
      <c r="H136" s="51" t="s">
        <v>13</v>
      </c>
      <c r="I136" s="51" t="s">
        <v>55</v>
      </c>
      <c r="J136" s="132">
        <v>43229</v>
      </c>
      <c r="K136" s="58"/>
      <c r="L136" s="105"/>
    </row>
    <row r="137" spans="1:14" x14ac:dyDescent="0.3">
      <c r="A137" s="237">
        <v>43223</v>
      </c>
      <c r="B137" s="127">
        <v>5</v>
      </c>
      <c r="C137" s="53">
        <v>121727</v>
      </c>
      <c r="D137" s="241">
        <v>60548</v>
      </c>
      <c r="E137" s="104">
        <v>3</v>
      </c>
      <c r="F137" s="93"/>
      <c r="G137" s="51"/>
      <c r="H137" s="51" t="s">
        <v>13</v>
      </c>
      <c r="I137" s="51" t="s">
        <v>36</v>
      </c>
      <c r="J137" s="132">
        <v>43229</v>
      </c>
      <c r="K137" s="58"/>
    </row>
    <row r="138" spans="1:14" x14ac:dyDescent="0.3">
      <c r="A138" s="237">
        <v>43223</v>
      </c>
      <c r="B138" s="127">
        <v>6</v>
      </c>
      <c r="C138" s="53">
        <v>121529</v>
      </c>
      <c r="D138" s="241">
        <v>60392</v>
      </c>
      <c r="E138" s="104">
        <v>10</v>
      </c>
      <c r="F138" s="93"/>
      <c r="G138" s="48"/>
      <c r="H138" s="48" t="s">
        <v>18</v>
      </c>
      <c r="I138" s="48" t="s">
        <v>19</v>
      </c>
      <c r="J138" s="132">
        <v>43234</v>
      </c>
      <c r="K138" s="58"/>
    </row>
    <row r="139" spans="1:14" x14ac:dyDescent="0.3">
      <c r="A139" s="237">
        <v>43223</v>
      </c>
      <c r="B139" s="127">
        <v>7</v>
      </c>
      <c r="C139" s="53">
        <v>121541</v>
      </c>
      <c r="D139" s="241">
        <v>60407</v>
      </c>
      <c r="E139" s="104">
        <v>15</v>
      </c>
      <c r="F139" s="93"/>
      <c r="G139" s="48"/>
      <c r="H139" s="48" t="s">
        <v>18</v>
      </c>
      <c r="I139" s="48" t="s">
        <v>19</v>
      </c>
      <c r="J139" s="132">
        <v>43234</v>
      </c>
      <c r="K139" s="58"/>
    </row>
    <row r="140" spans="1:14" x14ac:dyDescent="0.3">
      <c r="A140" s="237">
        <v>43223</v>
      </c>
      <c r="B140" s="127">
        <v>8</v>
      </c>
      <c r="C140" s="53">
        <v>121547</v>
      </c>
      <c r="D140" s="241">
        <v>60411</v>
      </c>
      <c r="E140" s="79">
        <v>15</v>
      </c>
      <c r="F140" s="93"/>
      <c r="G140" s="48"/>
      <c r="H140" s="48" t="s">
        <v>18</v>
      </c>
      <c r="I140" s="48" t="s">
        <v>19</v>
      </c>
      <c r="J140" s="132">
        <v>43234</v>
      </c>
      <c r="K140" s="58"/>
    </row>
    <row r="141" spans="1:14" x14ac:dyDescent="0.3">
      <c r="A141" s="237">
        <v>43223</v>
      </c>
      <c r="B141" s="127">
        <v>9</v>
      </c>
      <c r="C141" s="53">
        <v>121554</v>
      </c>
      <c r="D141" s="241">
        <v>60426</v>
      </c>
      <c r="E141" s="79">
        <v>15</v>
      </c>
      <c r="F141" s="93"/>
      <c r="G141" s="48"/>
      <c r="H141" s="48" t="s">
        <v>18</v>
      </c>
      <c r="I141" s="48" t="s">
        <v>19</v>
      </c>
      <c r="J141" s="132">
        <v>43234</v>
      </c>
      <c r="K141" s="58"/>
    </row>
    <row r="142" spans="1:14" x14ac:dyDescent="0.3">
      <c r="A142" s="237">
        <v>43223</v>
      </c>
      <c r="B142" s="127">
        <v>10</v>
      </c>
      <c r="C142" s="53">
        <v>121560</v>
      </c>
      <c r="D142" s="241">
        <v>60421</v>
      </c>
      <c r="E142" s="79">
        <v>15</v>
      </c>
      <c r="F142" s="93"/>
      <c r="G142" s="48"/>
      <c r="H142" s="48" t="s">
        <v>18</v>
      </c>
      <c r="I142" s="48" t="s">
        <v>19</v>
      </c>
      <c r="J142" s="132">
        <v>43234</v>
      </c>
      <c r="K142" s="58"/>
    </row>
    <row r="143" spans="1:14" x14ac:dyDescent="0.3">
      <c r="A143" s="237">
        <v>43223</v>
      </c>
      <c r="B143" s="127">
        <v>11</v>
      </c>
      <c r="C143" s="53">
        <v>121318</v>
      </c>
      <c r="D143" s="241">
        <v>60194</v>
      </c>
      <c r="E143" s="102">
        <v>1</v>
      </c>
      <c r="F143" s="93"/>
      <c r="G143" s="51"/>
      <c r="H143" s="51" t="s">
        <v>18</v>
      </c>
      <c r="I143" s="51" t="s">
        <v>19</v>
      </c>
      <c r="J143" s="132">
        <v>43234</v>
      </c>
      <c r="K143" s="58"/>
      <c r="L143" s="51" t="s">
        <v>75</v>
      </c>
      <c r="M143" s="51"/>
      <c r="N143" s="48" t="s">
        <v>95</v>
      </c>
    </row>
    <row r="144" spans="1:14" x14ac:dyDescent="0.3">
      <c r="A144" s="237">
        <v>43224</v>
      </c>
      <c r="B144" s="103">
        <v>1</v>
      </c>
      <c r="C144" s="53">
        <v>121756</v>
      </c>
      <c r="D144" s="241">
        <v>60573</v>
      </c>
      <c r="E144" s="102">
        <v>2</v>
      </c>
      <c r="F144" s="93"/>
      <c r="G144" s="51"/>
      <c r="H144" s="51" t="s">
        <v>34</v>
      </c>
      <c r="I144" s="51" t="s">
        <v>19</v>
      </c>
      <c r="J144" s="132">
        <v>43230</v>
      </c>
      <c r="K144" s="58"/>
      <c r="L144" s="51"/>
      <c r="M144" s="51"/>
    </row>
    <row r="145" spans="1:15" x14ac:dyDescent="0.3">
      <c r="A145" s="237">
        <v>43224</v>
      </c>
      <c r="B145" s="103">
        <v>2</v>
      </c>
      <c r="C145" s="53">
        <v>121491</v>
      </c>
      <c r="D145" s="241">
        <v>60467</v>
      </c>
      <c r="E145" s="96">
        <v>5</v>
      </c>
      <c r="F145" s="93"/>
      <c r="G145" s="48"/>
      <c r="H145" s="48" t="s">
        <v>18</v>
      </c>
      <c r="I145" s="48" t="s">
        <v>47</v>
      </c>
      <c r="J145" s="132">
        <v>43237</v>
      </c>
      <c r="K145" s="58"/>
      <c r="L145" s="48" t="s">
        <v>94</v>
      </c>
    </row>
    <row r="146" spans="1:15" x14ac:dyDescent="0.3">
      <c r="A146" s="237">
        <v>43224</v>
      </c>
      <c r="B146" s="103">
        <v>3</v>
      </c>
      <c r="C146" s="53">
        <v>121728</v>
      </c>
      <c r="D146" s="241">
        <v>60540</v>
      </c>
      <c r="E146" s="96">
        <v>1</v>
      </c>
      <c r="F146" s="93"/>
      <c r="G146" s="48"/>
      <c r="H146" s="48" t="s">
        <v>18</v>
      </c>
      <c r="I146" s="48" t="s">
        <v>25</v>
      </c>
      <c r="J146" s="132">
        <v>43248</v>
      </c>
      <c r="K146" s="58"/>
      <c r="L146" s="48" t="s">
        <v>93</v>
      </c>
    </row>
    <row r="147" spans="1:15" x14ac:dyDescent="0.3">
      <c r="A147" s="237">
        <v>43224</v>
      </c>
      <c r="B147" s="103">
        <v>4</v>
      </c>
      <c r="C147" s="53">
        <v>121531</v>
      </c>
      <c r="D147" s="241">
        <v>60394</v>
      </c>
      <c r="E147" s="102">
        <v>6</v>
      </c>
      <c r="F147" s="93"/>
      <c r="G147" s="48"/>
      <c r="H147" s="48" t="s">
        <v>18</v>
      </c>
      <c r="I147" s="48" t="s">
        <v>19</v>
      </c>
      <c r="J147" s="132">
        <v>43234</v>
      </c>
      <c r="K147" s="58"/>
    </row>
    <row r="148" spans="1:15" x14ac:dyDescent="0.3">
      <c r="A148" s="237">
        <v>43224</v>
      </c>
      <c r="B148" s="103">
        <v>5</v>
      </c>
      <c r="C148" s="53">
        <v>121545</v>
      </c>
      <c r="D148" s="241">
        <v>60409</v>
      </c>
      <c r="E148" s="102">
        <v>10</v>
      </c>
      <c r="F148" s="93"/>
      <c r="G148" s="48"/>
      <c r="H148" s="48" t="s">
        <v>18</v>
      </c>
      <c r="I148" s="48" t="s">
        <v>19</v>
      </c>
      <c r="J148" s="132">
        <v>43234</v>
      </c>
      <c r="K148" s="58"/>
    </row>
    <row r="149" spans="1:15" x14ac:dyDescent="0.3">
      <c r="A149" s="237">
        <v>43224</v>
      </c>
      <c r="B149" s="103">
        <v>6</v>
      </c>
      <c r="C149" s="53">
        <v>121546</v>
      </c>
      <c r="D149" s="241">
        <v>60410</v>
      </c>
      <c r="E149" s="102">
        <v>2</v>
      </c>
      <c r="F149" s="93"/>
      <c r="G149" s="48"/>
      <c r="H149" s="48" t="s">
        <v>18</v>
      </c>
      <c r="I149" s="48" t="s">
        <v>19</v>
      </c>
      <c r="J149" s="132">
        <v>43234</v>
      </c>
      <c r="K149" s="58"/>
    </row>
    <row r="150" spans="1:15" x14ac:dyDescent="0.3">
      <c r="A150" s="237">
        <v>43224</v>
      </c>
      <c r="B150" s="103">
        <v>7</v>
      </c>
      <c r="C150" s="53">
        <v>121550</v>
      </c>
      <c r="D150" s="241">
        <v>60413</v>
      </c>
      <c r="E150" s="102">
        <v>10</v>
      </c>
      <c r="F150" s="93"/>
      <c r="G150" s="48"/>
      <c r="H150" s="48" t="s">
        <v>18</v>
      </c>
      <c r="I150" s="48" t="s">
        <v>19</v>
      </c>
      <c r="J150" s="132">
        <v>43234</v>
      </c>
      <c r="K150" s="58"/>
    </row>
    <row r="151" spans="1:15" x14ac:dyDescent="0.3">
      <c r="A151" s="237">
        <v>43224</v>
      </c>
      <c r="B151" s="103">
        <v>8</v>
      </c>
      <c r="C151" s="53">
        <v>121552</v>
      </c>
      <c r="D151" s="241">
        <v>60414</v>
      </c>
      <c r="E151" s="102">
        <v>2</v>
      </c>
      <c r="F151" s="93"/>
      <c r="G151" s="48"/>
      <c r="H151" s="48" t="s">
        <v>18</v>
      </c>
      <c r="I151" s="48" t="s">
        <v>19</v>
      </c>
      <c r="J151" s="132">
        <v>43234</v>
      </c>
      <c r="K151" s="58"/>
    </row>
    <row r="152" spans="1:15" x14ac:dyDescent="0.3">
      <c r="A152" s="237">
        <v>43224</v>
      </c>
      <c r="B152" s="103">
        <v>9</v>
      </c>
      <c r="C152" s="53">
        <v>121557</v>
      </c>
      <c r="D152" s="241">
        <v>60418</v>
      </c>
      <c r="E152" s="102">
        <v>6</v>
      </c>
      <c r="F152" s="93"/>
      <c r="G152" s="48"/>
      <c r="H152" s="48" t="s">
        <v>18</v>
      </c>
      <c r="I152" s="48" t="s">
        <v>19</v>
      </c>
      <c r="J152" s="132">
        <v>43234</v>
      </c>
      <c r="K152" s="58"/>
    </row>
    <row r="153" spans="1:15" x14ac:dyDescent="0.3">
      <c r="A153" s="237">
        <v>43224</v>
      </c>
      <c r="B153" s="103">
        <v>10</v>
      </c>
      <c r="C153" s="53">
        <v>121558</v>
      </c>
      <c r="D153" s="241">
        <v>60419</v>
      </c>
      <c r="E153" s="102">
        <v>4</v>
      </c>
      <c r="F153" s="93"/>
      <c r="G153" s="48"/>
      <c r="H153" s="48" t="s">
        <v>18</v>
      </c>
      <c r="I153" s="48" t="s">
        <v>19</v>
      </c>
      <c r="J153" s="132">
        <v>43234</v>
      </c>
      <c r="K153" s="58"/>
    </row>
    <row r="154" spans="1:15" x14ac:dyDescent="0.3">
      <c r="A154" s="237">
        <v>43224</v>
      </c>
      <c r="B154" s="103">
        <v>11</v>
      </c>
      <c r="C154" s="53">
        <v>121559</v>
      </c>
      <c r="D154" s="241">
        <v>60420</v>
      </c>
      <c r="E154" s="102">
        <v>2</v>
      </c>
      <c r="F154" s="93"/>
      <c r="G154" s="48"/>
      <c r="H154" s="48" t="s">
        <v>18</v>
      </c>
      <c r="I154" s="48" t="s">
        <v>19</v>
      </c>
      <c r="J154" s="132">
        <v>43234</v>
      </c>
      <c r="K154" s="58"/>
    </row>
    <row r="155" spans="1:15" x14ac:dyDescent="0.3">
      <c r="A155" s="237">
        <v>43224</v>
      </c>
      <c r="B155" s="103">
        <v>12</v>
      </c>
      <c r="C155" s="53">
        <v>121562</v>
      </c>
      <c r="D155" s="241">
        <v>60423</v>
      </c>
      <c r="E155" s="102">
        <v>2</v>
      </c>
      <c r="F155" s="93"/>
      <c r="G155" s="48"/>
      <c r="H155" s="48" t="s">
        <v>18</v>
      </c>
      <c r="I155" s="48" t="s">
        <v>19</v>
      </c>
      <c r="J155" s="132">
        <v>43234</v>
      </c>
      <c r="K155" s="58"/>
    </row>
    <row r="156" spans="1:15" x14ac:dyDescent="0.3">
      <c r="A156" s="237">
        <v>43224</v>
      </c>
      <c r="B156" s="103">
        <v>13</v>
      </c>
      <c r="C156" s="53">
        <v>121563</v>
      </c>
      <c r="D156" s="241">
        <v>60424</v>
      </c>
      <c r="E156" s="102">
        <v>6</v>
      </c>
      <c r="F156" s="93"/>
      <c r="G156" s="48"/>
      <c r="H156" s="48" t="s">
        <v>18</v>
      </c>
      <c r="I156" s="48" t="s">
        <v>19</v>
      </c>
      <c r="J156" s="132">
        <v>43234</v>
      </c>
      <c r="K156" s="58"/>
    </row>
    <row r="157" spans="1:15" x14ac:dyDescent="0.3">
      <c r="A157" s="237">
        <v>43224</v>
      </c>
      <c r="B157" s="103">
        <v>14</v>
      </c>
      <c r="C157" s="53">
        <v>121564</v>
      </c>
      <c r="D157" s="241">
        <v>60451</v>
      </c>
      <c r="E157" s="102">
        <v>4</v>
      </c>
      <c r="F157" s="93"/>
      <c r="G157" s="48"/>
      <c r="H157" s="48" t="s">
        <v>18</v>
      </c>
      <c r="I157" s="48" t="s">
        <v>19</v>
      </c>
      <c r="J157" s="132">
        <v>43234</v>
      </c>
      <c r="K157" s="58"/>
    </row>
    <row r="158" spans="1:15" x14ac:dyDescent="0.3">
      <c r="A158" s="237">
        <v>43224</v>
      </c>
      <c r="B158" s="103">
        <v>15</v>
      </c>
      <c r="C158" s="53">
        <v>121733</v>
      </c>
      <c r="D158" s="241">
        <v>60583</v>
      </c>
      <c r="E158" s="102">
        <v>1</v>
      </c>
      <c r="F158" s="93"/>
      <c r="G158" s="51"/>
      <c r="H158" s="51" t="s">
        <v>13</v>
      </c>
      <c r="I158" s="51" t="s">
        <v>14</v>
      </c>
      <c r="J158" s="132">
        <v>43230</v>
      </c>
      <c r="K158" s="58"/>
      <c r="L158" s="51"/>
      <c r="M158" s="51"/>
    </row>
    <row r="159" spans="1:15" x14ac:dyDescent="0.3">
      <c r="A159" s="237">
        <v>43224</v>
      </c>
      <c r="B159" s="103">
        <v>16</v>
      </c>
      <c r="C159" s="53">
        <v>121139</v>
      </c>
      <c r="D159" s="241">
        <v>60055</v>
      </c>
      <c r="E159" s="101">
        <v>5</v>
      </c>
      <c r="F159" s="93"/>
      <c r="G159" s="48"/>
      <c r="H159" s="48" t="s">
        <v>18</v>
      </c>
      <c r="I159" s="48" t="s">
        <v>19</v>
      </c>
      <c r="J159" s="132">
        <v>43227</v>
      </c>
      <c r="K159" s="58"/>
      <c r="L159" s="59" t="s">
        <v>92</v>
      </c>
      <c r="M159" s="59" t="s">
        <v>91</v>
      </c>
      <c r="O159" s="48" t="s">
        <v>52</v>
      </c>
    </row>
    <row r="160" spans="1:15" x14ac:dyDescent="0.3">
      <c r="A160" s="237">
        <v>43227</v>
      </c>
      <c r="B160" s="128">
        <v>1</v>
      </c>
      <c r="C160" s="53">
        <v>121619</v>
      </c>
      <c r="D160" s="241">
        <v>60463</v>
      </c>
      <c r="E160" s="102">
        <v>20</v>
      </c>
      <c r="F160" s="93"/>
      <c r="G160" s="48"/>
      <c r="H160" s="48" t="s">
        <v>18</v>
      </c>
      <c r="I160" s="48" t="s">
        <v>19</v>
      </c>
      <c r="J160" s="132">
        <v>43234</v>
      </c>
      <c r="K160" s="58"/>
      <c r="L160" s="51"/>
      <c r="M160" s="51"/>
    </row>
    <row r="161" spans="1:13" x14ac:dyDescent="0.3">
      <c r="A161" s="237">
        <v>43227</v>
      </c>
      <c r="B161" s="128">
        <v>2</v>
      </c>
      <c r="C161" s="53">
        <v>121795</v>
      </c>
      <c r="D161" s="241">
        <v>60592</v>
      </c>
      <c r="E161" s="101">
        <v>1</v>
      </c>
      <c r="F161" s="93"/>
      <c r="G161" s="48"/>
      <c r="H161" s="48" t="s">
        <v>18</v>
      </c>
      <c r="I161" s="48" t="s">
        <v>19</v>
      </c>
      <c r="J161" s="132">
        <v>43238</v>
      </c>
      <c r="K161" s="58"/>
      <c r="L161" s="77" t="s">
        <v>72</v>
      </c>
      <c r="M161" s="51"/>
    </row>
    <row r="162" spans="1:13" x14ac:dyDescent="0.3">
      <c r="A162" s="237">
        <v>43227</v>
      </c>
      <c r="B162" s="128">
        <v>3</v>
      </c>
      <c r="C162" s="53">
        <v>121794</v>
      </c>
      <c r="D162" s="241">
        <v>60591</v>
      </c>
      <c r="E162" s="72">
        <v>6</v>
      </c>
      <c r="F162" s="93"/>
      <c r="G162" s="48"/>
      <c r="H162" s="48" t="s">
        <v>18</v>
      </c>
      <c r="I162" s="48" t="s">
        <v>19</v>
      </c>
      <c r="J162" s="132">
        <v>43238</v>
      </c>
      <c r="K162" s="58"/>
      <c r="L162" s="77" t="s">
        <v>72</v>
      </c>
      <c r="M162" s="51"/>
    </row>
    <row r="163" spans="1:13" x14ac:dyDescent="0.3">
      <c r="A163" s="237">
        <v>43227</v>
      </c>
      <c r="B163" s="128">
        <v>4</v>
      </c>
      <c r="C163" s="53">
        <v>121791</v>
      </c>
      <c r="D163" s="241">
        <v>60589</v>
      </c>
      <c r="E163" s="101">
        <v>5</v>
      </c>
      <c r="F163" s="93"/>
      <c r="G163" s="48"/>
      <c r="H163" s="48" t="s">
        <v>18</v>
      </c>
      <c r="I163" s="48" t="s">
        <v>19</v>
      </c>
      <c r="J163" s="132">
        <v>43238</v>
      </c>
      <c r="K163" s="58"/>
      <c r="L163" s="77" t="s">
        <v>72</v>
      </c>
      <c r="M163" s="51"/>
    </row>
    <row r="164" spans="1:13" x14ac:dyDescent="0.3">
      <c r="A164" s="237">
        <v>43227</v>
      </c>
      <c r="B164" s="128">
        <v>5</v>
      </c>
      <c r="C164" s="53">
        <v>121669</v>
      </c>
      <c r="D164" s="241">
        <v>60511</v>
      </c>
      <c r="E164" s="100">
        <v>2</v>
      </c>
      <c r="F164" s="93"/>
      <c r="G164" s="48"/>
      <c r="H164" s="48" t="s">
        <v>18</v>
      </c>
      <c r="I164" s="48" t="s">
        <v>19</v>
      </c>
      <c r="J164" s="132">
        <v>43234</v>
      </c>
      <c r="K164" s="58"/>
      <c r="L164" s="51"/>
      <c r="M164" s="51"/>
    </row>
    <row r="165" spans="1:13" x14ac:dyDescent="0.3">
      <c r="A165" s="237">
        <v>43227</v>
      </c>
      <c r="B165" s="128">
        <v>6</v>
      </c>
      <c r="C165" s="53">
        <v>121668</v>
      </c>
      <c r="D165" s="241">
        <v>60509</v>
      </c>
      <c r="E165" s="101">
        <v>1</v>
      </c>
      <c r="F165" s="93"/>
      <c r="G165" s="48"/>
      <c r="H165" s="48" t="s">
        <v>18</v>
      </c>
      <c r="I165" s="48" t="s">
        <v>19</v>
      </c>
      <c r="J165" s="132">
        <v>43234</v>
      </c>
      <c r="K165" s="58"/>
      <c r="L165" s="51"/>
      <c r="M165" s="51"/>
    </row>
    <row r="166" spans="1:13" x14ac:dyDescent="0.3">
      <c r="A166" s="237">
        <v>43227</v>
      </c>
      <c r="B166" s="128">
        <v>7</v>
      </c>
      <c r="C166" s="53">
        <v>121761</v>
      </c>
      <c r="D166" s="241">
        <v>60599</v>
      </c>
      <c r="E166" s="75">
        <v>4</v>
      </c>
      <c r="F166" s="248"/>
      <c r="G166" s="48"/>
      <c r="H166" s="48" t="s">
        <v>18</v>
      </c>
      <c r="I166" s="48" t="s">
        <v>19</v>
      </c>
      <c r="J166" s="132">
        <v>43238</v>
      </c>
      <c r="K166" s="58"/>
      <c r="L166" s="51"/>
      <c r="M166" s="51"/>
    </row>
    <row r="167" spans="1:13" x14ac:dyDescent="0.3">
      <c r="A167" s="237">
        <v>43227</v>
      </c>
      <c r="B167" s="128">
        <v>8</v>
      </c>
      <c r="C167" s="53">
        <v>121497</v>
      </c>
      <c r="D167" s="241">
        <v>60396</v>
      </c>
      <c r="E167" s="102">
        <v>5</v>
      </c>
      <c r="F167" s="93"/>
      <c r="G167" s="48"/>
      <c r="H167" s="48" t="s">
        <v>13</v>
      </c>
      <c r="I167" s="48" t="s">
        <v>19</v>
      </c>
      <c r="J167" s="132">
        <v>43236</v>
      </c>
      <c r="K167" s="58"/>
      <c r="L167" s="51"/>
      <c r="M167" s="51"/>
    </row>
    <row r="168" spans="1:13" x14ac:dyDescent="0.3">
      <c r="A168" s="237">
        <v>43227</v>
      </c>
      <c r="B168" s="128">
        <v>9</v>
      </c>
      <c r="C168" s="53">
        <v>121498</v>
      </c>
      <c r="D168" s="241">
        <v>60370</v>
      </c>
      <c r="E168" s="72">
        <v>1</v>
      </c>
      <c r="F168" s="93"/>
      <c r="G168" s="48"/>
      <c r="H168" s="48" t="s">
        <v>18</v>
      </c>
      <c r="I168" s="48" t="s">
        <v>19</v>
      </c>
      <c r="J168" s="132">
        <v>43236</v>
      </c>
      <c r="K168" s="58"/>
      <c r="L168" s="51"/>
      <c r="M168" s="51"/>
    </row>
    <row r="169" spans="1:13" x14ac:dyDescent="0.3">
      <c r="A169" s="237">
        <v>43227</v>
      </c>
      <c r="B169" s="128">
        <v>10</v>
      </c>
      <c r="C169" s="53">
        <v>121511</v>
      </c>
      <c r="D169" s="241">
        <v>60381</v>
      </c>
      <c r="E169" s="101">
        <v>1</v>
      </c>
      <c r="F169" s="93"/>
      <c r="G169" s="48"/>
      <c r="H169" s="48" t="s">
        <v>18</v>
      </c>
      <c r="I169" s="48" t="s">
        <v>19</v>
      </c>
      <c r="J169" s="132">
        <v>43236</v>
      </c>
      <c r="K169" s="58"/>
      <c r="L169" s="51" t="s">
        <v>35</v>
      </c>
      <c r="M169" s="51"/>
    </row>
    <row r="170" spans="1:13" x14ac:dyDescent="0.3">
      <c r="A170" s="237">
        <v>43227</v>
      </c>
      <c r="B170" s="128">
        <v>11</v>
      </c>
      <c r="C170" s="53">
        <v>121592</v>
      </c>
      <c r="D170" s="241">
        <v>60443</v>
      </c>
      <c r="E170" s="101">
        <v>2</v>
      </c>
      <c r="F170" s="93"/>
      <c r="G170" s="48"/>
      <c r="H170" s="48" t="s">
        <v>18</v>
      </c>
      <c r="I170" s="48" t="s">
        <v>19</v>
      </c>
      <c r="J170" s="132">
        <v>43235</v>
      </c>
      <c r="K170" s="58"/>
      <c r="L170" s="51"/>
      <c r="M170" s="51"/>
    </row>
    <row r="171" spans="1:13" x14ac:dyDescent="0.3">
      <c r="A171" s="237">
        <v>43227</v>
      </c>
      <c r="B171" s="128">
        <v>12</v>
      </c>
      <c r="C171" s="53">
        <v>121590</v>
      </c>
      <c r="D171" s="241">
        <v>60442</v>
      </c>
      <c r="E171" s="102">
        <v>4</v>
      </c>
      <c r="F171" s="93"/>
      <c r="G171" s="48"/>
      <c r="H171" s="48" t="s">
        <v>18</v>
      </c>
      <c r="I171" s="48" t="s">
        <v>19</v>
      </c>
      <c r="J171" s="132">
        <v>43236</v>
      </c>
      <c r="K171" s="58"/>
      <c r="L171" s="51"/>
      <c r="M171" s="51"/>
    </row>
    <row r="172" spans="1:13" x14ac:dyDescent="0.3">
      <c r="A172" s="237">
        <v>43227</v>
      </c>
      <c r="B172" s="128">
        <v>13</v>
      </c>
      <c r="C172" s="53">
        <v>121647</v>
      </c>
      <c r="D172" s="241">
        <v>60485</v>
      </c>
      <c r="E172" s="102">
        <v>2</v>
      </c>
      <c r="F172" s="93"/>
      <c r="G172" s="48"/>
      <c r="H172" s="48" t="s">
        <v>18</v>
      </c>
      <c r="I172" s="48" t="s">
        <v>19</v>
      </c>
      <c r="J172" s="132">
        <v>43237</v>
      </c>
      <c r="K172" s="58"/>
      <c r="L172" s="51"/>
      <c r="M172" s="51"/>
    </row>
    <row r="173" spans="1:13" x14ac:dyDescent="0.3">
      <c r="A173" s="237">
        <v>43227</v>
      </c>
      <c r="B173" s="128">
        <v>14</v>
      </c>
      <c r="C173" s="53">
        <v>121709</v>
      </c>
      <c r="D173" s="241">
        <v>60600</v>
      </c>
      <c r="E173" s="102">
        <v>6</v>
      </c>
      <c r="F173" s="93"/>
      <c r="G173" s="51"/>
      <c r="H173" s="51" t="s">
        <v>13</v>
      </c>
      <c r="I173" s="51" t="s">
        <v>26</v>
      </c>
      <c r="J173" s="132">
        <v>43230</v>
      </c>
      <c r="K173" s="58"/>
      <c r="L173" s="51"/>
      <c r="M173" s="51"/>
    </row>
    <row r="174" spans="1:13" x14ac:dyDescent="0.3">
      <c r="A174" s="237">
        <v>43228</v>
      </c>
      <c r="B174" s="129">
        <v>1</v>
      </c>
      <c r="C174" s="53">
        <v>121181</v>
      </c>
      <c r="D174" s="241">
        <v>60161</v>
      </c>
      <c r="E174" s="101">
        <v>1</v>
      </c>
      <c r="F174" s="93"/>
      <c r="G174" s="51"/>
      <c r="H174" s="51" t="s">
        <v>18</v>
      </c>
      <c r="I174" s="51" t="s">
        <v>19</v>
      </c>
      <c r="J174" s="133">
        <v>43216</v>
      </c>
      <c r="K174" s="78"/>
      <c r="L174" s="55" t="s">
        <v>82</v>
      </c>
      <c r="M174" s="55" t="s">
        <v>90</v>
      </c>
    </row>
    <row r="175" spans="1:13" x14ac:dyDescent="0.3">
      <c r="A175" s="237">
        <v>43228</v>
      </c>
      <c r="B175" s="129">
        <v>2</v>
      </c>
      <c r="C175" s="53">
        <v>121492</v>
      </c>
      <c r="D175" s="241">
        <v>60522</v>
      </c>
      <c r="E175" s="96">
        <v>1</v>
      </c>
      <c r="F175" s="93"/>
      <c r="G175" s="48"/>
      <c r="H175" s="48" t="s">
        <v>18</v>
      </c>
      <c r="I175" s="48" t="s">
        <v>47</v>
      </c>
      <c r="J175" s="132">
        <v>43237</v>
      </c>
      <c r="K175" s="58"/>
    </row>
    <row r="176" spans="1:13" x14ac:dyDescent="0.3">
      <c r="A176" s="237">
        <v>43228</v>
      </c>
      <c r="B176" s="129">
        <v>3</v>
      </c>
      <c r="C176" s="53">
        <v>121578</v>
      </c>
      <c r="D176" s="241">
        <v>60441</v>
      </c>
      <c r="E176" s="101">
        <v>8</v>
      </c>
      <c r="F176" s="93"/>
      <c r="G176" s="48"/>
      <c r="H176" s="48" t="s">
        <v>23</v>
      </c>
      <c r="I176" s="48" t="s">
        <v>15</v>
      </c>
      <c r="J176" s="132">
        <v>43236</v>
      </c>
      <c r="K176" s="58"/>
      <c r="L176" s="48" t="s">
        <v>89</v>
      </c>
    </row>
    <row r="177" spans="1:15" x14ac:dyDescent="0.3">
      <c r="A177" s="237">
        <v>43228</v>
      </c>
      <c r="B177" s="129">
        <v>4</v>
      </c>
      <c r="C177" s="53">
        <v>121655</v>
      </c>
      <c r="D177" s="241">
        <v>60492</v>
      </c>
      <c r="E177" s="101">
        <v>1</v>
      </c>
      <c r="F177" s="93"/>
      <c r="G177" s="48"/>
      <c r="H177" s="48" t="s">
        <v>23</v>
      </c>
      <c r="I177" s="48" t="s">
        <v>27</v>
      </c>
      <c r="J177" s="132">
        <v>43236</v>
      </c>
      <c r="K177" s="58"/>
    </row>
    <row r="178" spans="1:15" x14ac:dyDescent="0.3">
      <c r="A178" s="237">
        <v>43228</v>
      </c>
      <c r="B178" s="129">
        <v>5</v>
      </c>
      <c r="C178" s="53">
        <v>121656</v>
      </c>
      <c r="D178" s="241">
        <v>60499</v>
      </c>
      <c r="E178" s="101">
        <v>10</v>
      </c>
      <c r="F178" s="93"/>
      <c r="G178" s="48"/>
      <c r="H178" s="48" t="s">
        <v>23</v>
      </c>
      <c r="I178" s="48" t="s">
        <v>76</v>
      </c>
      <c r="J178" s="132">
        <v>43236</v>
      </c>
      <c r="K178" s="58"/>
      <c r="L178" s="48" t="s">
        <v>35</v>
      </c>
    </row>
    <row r="179" spans="1:15" x14ac:dyDescent="0.3">
      <c r="A179" s="237">
        <v>43228</v>
      </c>
      <c r="B179" s="129">
        <v>6</v>
      </c>
      <c r="C179" s="53">
        <v>121793</v>
      </c>
      <c r="D179" s="241">
        <v>60590</v>
      </c>
      <c r="E179" s="101">
        <v>1</v>
      </c>
      <c r="F179" s="93"/>
      <c r="G179" s="48"/>
      <c r="H179" s="48" t="s">
        <v>18</v>
      </c>
      <c r="I179" s="48" t="s">
        <v>15</v>
      </c>
      <c r="J179" s="132">
        <v>43236</v>
      </c>
      <c r="K179" s="58"/>
    </row>
    <row r="180" spans="1:15" x14ac:dyDescent="0.3">
      <c r="A180" s="237">
        <v>43228</v>
      </c>
      <c r="B180" s="129">
        <v>7</v>
      </c>
      <c r="C180" s="53">
        <v>121783</v>
      </c>
      <c r="D180" s="241">
        <v>60581</v>
      </c>
      <c r="E180" s="101">
        <v>1</v>
      </c>
      <c r="F180" s="93"/>
      <c r="G180" s="48"/>
      <c r="H180" s="48" t="s">
        <v>18</v>
      </c>
      <c r="I180" s="48" t="s">
        <v>88</v>
      </c>
      <c r="J180" s="132">
        <v>43236</v>
      </c>
      <c r="K180" s="58"/>
      <c r="L180" s="48" t="s">
        <v>52</v>
      </c>
    </row>
    <row r="181" spans="1:15" x14ac:dyDescent="0.3">
      <c r="A181" s="237">
        <v>43228</v>
      </c>
      <c r="B181" s="129">
        <v>8</v>
      </c>
      <c r="C181" s="53">
        <v>121781</v>
      </c>
      <c r="D181" s="241">
        <v>60579</v>
      </c>
      <c r="E181" s="101">
        <v>4</v>
      </c>
      <c r="F181" s="93"/>
      <c r="G181" s="48"/>
      <c r="H181" s="48" t="s">
        <v>18</v>
      </c>
      <c r="I181" s="48" t="s">
        <v>15</v>
      </c>
      <c r="J181" s="132">
        <v>43236</v>
      </c>
      <c r="K181" s="58"/>
    </row>
    <row r="182" spans="1:15" x14ac:dyDescent="0.3">
      <c r="A182" s="237">
        <v>43228</v>
      </c>
      <c r="B182" s="129">
        <v>9</v>
      </c>
      <c r="C182" s="53">
        <v>121782</v>
      </c>
      <c r="D182" s="241">
        <v>60580</v>
      </c>
      <c r="E182" s="101">
        <v>3</v>
      </c>
      <c r="F182" s="93"/>
      <c r="G182" s="48"/>
      <c r="H182" s="48" t="s">
        <v>18</v>
      </c>
      <c r="I182" s="48" t="s">
        <v>15</v>
      </c>
      <c r="J182" s="132">
        <v>43236</v>
      </c>
      <c r="K182" s="58"/>
    </row>
    <row r="183" spans="1:15" x14ac:dyDescent="0.3">
      <c r="A183" s="237">
        <v>43228</v>
      </c>
      <c r="B183" s="129">
        <v>10</v>
      </c>
      <c r="C183" s="53">
        <v>120979</v>
      </c>
      <c r="D183" s="241">
        <v>59917</v>
      </c>
      <c r="E183" s="100">
        <v>43</v>
      </c>
      <c r="F183" s="93"/>
      <c r="G183" s="48"/>
      <c r="H183" s="48" t="s">
        <v>87</v>
      </c>
      <c r="I183" s="48" t="s">
        <v>19</v>
      </c>
      <c r="J183" s="132">
        <v>43231</v>
      </c>
      <c r="K183" s="77" t="s">
        <v>83</v>
      </c>
      <c r="L183" s="51"/>
      <c r="M183" s="55" t="s">
        <v>86</v>
      </c>
      <c r="N183" s="48" t="s">
        <v>85</v>
      </c>
      <c r="O183" s="48" t="s">
        <v>84</v>
      </c>
    </row>
    <row r="184" spans="1:15" x14ac:dyDescent="0.3">
      <c r="A184" s="237">
        <v>43228</v>
      </c>
      <c r="B184" s="129">
        <v>11</v>
      </c>
      <c r="C184" s="53">
        <v>121754</v>
      </c>
      <c r="D184" s="241">
        <v>60649</v>
      </c>
      <c r="E184" s="72">
        <v>2</v>
      </c>
      <c r="F184" s="93"/>
      <c r="G184" s="51"/>
      <c r="H184" s="51" t="s">
        <v>13</v>
      </c>
      <c r="I184" s="51" t="s">
        <v>12</v>
      </c>
      <c r="J184" s="132">
        <v>43237</v>
      </c>
      <c r="K184" s="58"/>
      <c r="L184" s="51"/>
      <c r="M184" s="51"/>
    </row>
    <row r="185" spans="1:15" x14ac:dyDescent="0.3">
      <c r="A185" s="237">
        <v>43228</v>
      </c>
      <c r="B185" s="129">
        <v>12</v>
      </c>
      <c r="C185" s="53">
        <v>121860</v>
      </c>
      <c r="D185" s="241">
        <v>60654</v>
      </c>
      <c r="E185" s="101">
        <v>1</v>
      </c>
      <c r="F185" s="93"/>
      <c r="G185" s="51"/>
      <c r="H185" s="51" t="s">
        <v>18</v>
      </c>
      <c r="I185" s="51" t="s">
        <v>19</v>
      </c>
      <c r="J185" s="132">
        <v>43234</v>
      </c>
      <c r="K185" s="77" t="s">
        <v>83</v>
      </c>
      <c r="L185" s="51"/>
      <c r="M185" s="51"/>
    </row>
    <row r="186" spans="1:15" x14ac:dyDescent="0.3">
      <c r="A186" s="237">
        <v>43229</v>
      </c>
      <c r="B186" s="99">
        <v>1</v>
      </c>
      <c r="C186" s="53">
        <v>121852</v>
      </c>
      <c r="D186" s="241">
        <v>60655</v>
      </c>
      <c r="E186" s="72">
        <v>1</v>
      </c>
      <c r="F186" s="93"/>
      <c r="G186" s="48"/>
      <c r="H186" s="48" t="s">
        <v>13</v>
      </c>
      <c r="I186" s="48" t="s">
        <v>15</v>
      </c>
      <c r="J186" s="132">
        <v>43236</v>
      </c>
      <c r="K186" s="58"/>
    </row>
    <row r="187" spans="1:15" x14ac:dyDescent="0.3">
      <c r="A187" s="237">
        <v>43229</v>
      </c>
      <c r="B187" s="99">
        <v>2</v>
      </c>
      <c r="C187" s="53">
        <v>121607</v>
      </c>
      <c r="D187" s="241">
        <v>60454</v>
      </c>
      <c r="E187" s="72">
        <v>55</v>
      </c>
      <c r="F187" s="93"/>
      <c r="G187" s="48"/>
      <c r="H187" s="48" t="s">
        <v>18</v>
      </c>
      <c r="I187" s="48" t="s">
        <v>27</v>
      </c>
      <c r="J187" s="132">
        <v>43244</v>
      </c>
      <c r="K187" s="58"/>
    </row>
    <row r="188" spans="1:15" x14ac:dyDescent="0.3">
      <c r="A188" s="237">
        <v>43229</v>
      </c>
      <c r="B188" s="99">
        <v>3</v>
      </c>
      <c r="C188" s="53">
        <v>121609</v>
      </c>
      <c r="D188" s="241">
        <v>60455</v>
      </c>
      <c r="E188" s="100">
        <v>10</v>
      </c>
      <c r="F188" s="93"/>
      <c r="G188" s="48"/>
      <c r="H188" s="48" t="s">
        <v>18</v>
      </c>
      <c r="I188" s="48" t="s">
        <v>27</v>
      </c>
      <c r="J188" s="132">
        <v>43244</v>
      </c>
      <c r="K188" s="58"/>
    </row>
    <row r="189" spans="1:15" x14ac:dyDescent="0.3">
      <c r="A189" s="237">
        <v>43229</v>
      </c>
      <c r="B189" s="99">
        <v>4</v>
      </c>
      <c r="C189" s="54">
        <v>121717</v>
      </c>
      <c r="D189" s="242">
        <v>60538</v>
      </c>
      <c r="E189" s="69">
        <v>2</v>
      </c>
      <c r="F189" s="248"/>
      <c r="G189" s="60"/>
      <c r="H189" s="60" t="s">
        <v>23</v>
      </c>
      <c r="I189" s="60" t="s">
        <v>15</v>
      </c>
      <c r="J189" s="134">
        <v>43243</v>
      </c>
      <c r="K189" s="66" t="s">
        <v>79</v>
      </c>
      <c r="L189" s="59" t="s">
        <v>82</v>
      </c>
      <c r="M189" s="59"/>
    </row>
    <row r="190" spans="1:15" x14ac:dyDescent="0.3">
      <c r="A190" s="237">
        <v>43229</v>
      </c>
      <c r="B190" s="99">
        <v>5</v>
      </c>
      <c r="C190" s="54">
        <v>121787</v>
      </c>
      <c r="D190" s="242">
        <v>60587</v>
      </c>
      <c r="E190" s="69">
        <v>6</v>
      </c>
      <c r="F190" s="248"/>
      <c r="G190" s="60"/>
      <c r="H190" s="60" t="s">
        <v>18</v>
      </c>
      <c r="I190" s="60" t="s">
        <v>81</v>
      </c>
      <c r="J190" s="134">
        <v>43243</v>
      </c>
      <c r="K190" s="66"/>
      <c r="L190" s="59"/>
      <c r="M190" s="59"/>
    </row>
    <row r="191" spans="1:15" x14ac:dyDescent="0.3">
      <c r="A191" s="237">
        <v>43230</v>
      </c>
      <c r="B191" s="97">
        <v>1</v>
      </c>
      <c r="C191" s="53">
        <v>121896</v>
      </c>
      <c r="D191" s="241">
        <v>60684</v>
      </c>
      <c r="E191" s="72">
        <v>1</v>
      </c>
      <c r="F191" s="93"/>
      <c r="G191" s="48"/>
      <c r="H191" s="48" t="s">
        <v>13</v>
      </c>
      <c r="I191" s="48" t="s">
        <v>80</v>
      </c>
      <c r="J191" s="132">
        <v>43236</v>
      </c>
      <c r="K191" s="58"/>
      <c r="M191" s="55"/>
      <c r="O191" s="51"/>
    </row>
    <row r="192" spans="1:15" x14ac:dyDescent="0.3">
      <c r="A192" s="237">
        <v>43230</v>
      </c>
      <c r="B192" s="97">
        <v>2</v>
      </c>
      <c r="C192" s="54">
        <v>121676</v>
      </c>
      <c r="D192" s="242">
        <v>60514</v>
      </c>
      <c r="E192" s="69">
        <v>36</v>
      </c>
      <c r="F192" s="248"/>
      <c r="G192" s="60"/>
      <c r="H192" s="60" t="s">
        <v>18</v>
      </c>
      <c r="I192" s="60" t="s">
        <v>19</v>
      </c>
      <c r="J192" s="134">
        <v>43241</v>
      </c>
      <c r="K192" s="66"/>
      <c r="M192" s="59"/>
    </row>
    <row r="193" spans="1:15" x14ac:dyDescent="0.3">
      <c r="A193" s="237">
        <v>43230</v>
      </c>
      <c r="B193" s="97">
        <v>3</v>
      </c>
      <c r="C193" s="53">
        <v>121716</v>
      </c>
      <c r="D193" s="241">
        <v>60537</v>
      </c>
      <c r="E193" s="75">
        <v>1</v>
      </c>
      <c r="F193" s="93"/>
      <c r="G193" s="48"/>
      <c r="H193" s="48" t="s">
        <v>18</v>
      </c>
      <c r="I193" s="48" t="s">
        <v>19</v>
      </c>
      <c r="J193" s="132">
        <v>43241</v>
      </c>
      <c r="K193" s="58" t="s">
        <v>79</v>
      </c>
      <c r="L193" s="48" t="s">
        <v>78</v>
      </c>
    </row>
    <row r="194" spans="1:15" x14ac:dyDescent="0.3">
      <c r="A194" s="238">
        <v>43230</v>
      </c>
      <c r="B194" s="97">
        <v>4</v>
      </c>
      <c r="C194" s="54">
        <v>121895</v>
      </c>
      <c r="D194" s="242">
        <v>60667</v>
      </c>
      <c r="E194" s="98">
        <v>3</v>
      </c>
      <c r="F194" s="248"/>
      <c r="G194" s="60"/>
      <c r="H194" s="60" t="s">
        <v>23</v>
      </c>
      <c r="I194" s="60" t="s">
        <v>19</v>
      </c>
      <c r="J194" s="134">
        <v>43248</v>
      </c>
      <c r="K194" s="66"/>
      <c r="L194" s="60"/>
      <c r="M194" s="60"/>
    </row>
    <row r="195" spans="1:15" x14ac:dyDescent="0.3">
      <c r="A195" s="238">
        <v>43230</v>
      </c>
      <c r="B195" s="97">
        <v>5</v>
      </c>
      <c r="C195" s="54">
        <v>121911</v>
      </c>
      <c r="D195" s="242">
        <v>60671</v>
      </c>
      <c r="E195" s="69">
        <v>6</v>
      </c>
      <c r="F195" s="248"/>
      <c r="G195" s="60"/>
      <c r="H195" s="48" t="s">
        <v>13</v>
      </c>
      <c r="I195" s="60" t="s">
        <v>77</v>
      </c>
      <c r="J195" s="134">
        <v>43237</v>
      </c>
      <c r="K195" s="66"/>
      <c r="L195" s="60"/>
      <c r="M195" s="60"/>
    </row>
    <row r="196" spans="1:15" x14ac:dyDescent="0.3">
      <c r="A196" s="237">
        <v>43230</v>
      </c>
      <c r="B196" s="97">
        <v>6</v>
      </c>
      <c r="C196" s="54">
        <v>121540</v>
      </c>
      <c r="D196" s="242">
        <v>60406</v>
      </c>
      <c r="E196" s="70">
        <v>2</v>
      </c>
      <c r="F196" s="248"/>
      <c r="G196" s="56"/>
      <c r="H196" s="56" t="s">
        <v>18</v>
      </c>
      <c r="I196" s="56" t="s">
        <v>76</v>
      </c>
      <c r="J196" s="134">
        <v>43248</v>
      </c>
      <c r="K196" s="95" t="s">
        <v>72</v>
      </c>
      <c r="L196" s="55" t="s">
        <v>64</v>
      </c>
      <c r="M196" s="55" t="s">
        <v>75</v>
      </c>
      <c r="N196" s="55" t="s">
        <v>74</v>
      </c>
      <c r="O196" s="56" t="s">
        <v>52</v>
      </c>
    </row>
    <row r="197" spans="1:15" x14ac:dyDescent="0.3">
      <c r="A197" s="237">
        <v>43231</v>
      </c>
      <c r="B197" s="65">
        <v>1</v>
      </c>
      <c r="C197" s="53">
        <v>121618</v>
      </c>
      <c r="D197" s="241">
        <v>60462</v>
      </c>
      <c r="E197" s="89">
        <v>50</v>
      </c>
      <c r="F197" s="93"/>
      <c r="G197" s="48"/>
      <c r="H197" s="48" t="s">
        <v>18</v>
      </c>
      <c r="I197" s="48" t="s">
        <v>19</v>
      </c>
      <c r="J197" s="132">
        <v>43243</v>
      </c>
      <c r="K197" s="58"/>
    </row>
    <row r="198" spans="1:15" x14ac:dyDescent="0.3">
      <c r="A198" s="237">
        <v>43231</v>
      </c>
      <c r="B198" s="65">
        <v>2</v>
      </c>
      <c r="C198" s="53">
        <v>121962</v>
      </c>
      <c r="D198" s="241">
        <v>60701</v>
      </c>
      <c r="E198" s="96">
        <v>2</v>
      </c>
      <c r="F198" s="93"/>
      <c r="G198" s="48"/>
      <c r="H198" s="48" t="s">
        <v>18</v>
      </c>
      <c r="I198" s="48" t="s">
        <v>15</v>
      </c>
      <c r="J198" s="132">
        <v>43243</v>
      </c>
      <c r="K198" s="58"/>
    </row>
    <row r="199" spans="1:15" x14ac:dyDescent="0.3">
      <c r="A199" s="237">
        <v>43231</v>
      </c>
      <c r="B199" s="65">
        <v>3</v>
      </c>
      <c r="C199" s="53">
        <v>121690</v>
      </c>
      <c r="D199" s="241">
        <v>60698</v>
      </c>
      <c r="E199" s="96">
        <v>1</v>
      </c>
      <c r="F199" s="93"/>
      <c r="G199" s="48"/>
      <c r="H199" s="48" t="s">
        <v>18</v>
      </c>
      <c r="I199" s="48" t="s">
        <v>15</v>
      </c>
      <c r="J199" s="132">
        <v>43243</v>
      </c>
      <c r="K199" s="58"/>
    </row>
    <row r="200" spans="1:15" x14ac:dyDescent="0.3">
      <c r="A200" s="237">
        <v>43231</v>
      </c>
      <c r="B200" s="65">
        <v>4</v>
      </c>
      <c r="C200" s="53">
        <v>121958</v>
      </c>
      <c r="D200" s="241">
        <v>60697</v>
      </c>
      <c r="E200" s="89">
        <v>1</v>
      </c>
      <c r="F200" s="93"/>
      <c r="G200" s="48"/>
      <c r="H200" s="48" t="s">
        <v>18</v>
      </c>
      <c r="I200" s="48" t="s">
        <v>17</v>
      </c>
      <c r="J200" s="132">
        <v>43243</v>
      </c>
      <c r="K200" s="58"/>
    </row>
    <row r="201" spans="1:15" x14ac:dyDescent="0.3">
      <c r="A201" s="237">
        <v>43231</v>
      </c>
      <c r="B201" s="65">
        <v>5</v>
      </c>
      <c r="C201" s="54">
        <v>121968</v>
      </c>
      <c r="D201" s="242">
        <v>60723</v>
      </c>
      <c r="E201" s="73">
        <v>2</v>
      </c>
      <c r="F201" s="248"/>
      <c r="G201" s="60"/>
      <c r="H201" s="60" t="s">
        <v>13</v>
      </c>
      <c r="I201" s="60" t="s">
        <v>15</v>
      </c>
      <c r="J201" s="134">
        <v>43243</v>
      </c>
      <c r="K201" s="66"/>
      <c r="L201" s="59"/>
      <c r="M201" s="59"/>
    </row>
    <row r="202" spans="1:15" x14ac:dyDescent="0.3">
      <c r="A202" s="237">
        <v>43231</v>
      </c>
      <c r="B202" s="65">
        <v>6</v>
      </c>
      <c r="C202" s="239">
        <v>121931</v>
      </c>
      <c r="D202" s="54">
        <v>60722</v>
      </c>
      <c r="E202" s="64">
        <v>2</v>
      </c>
      <c r="F202" s="248"/>
      <c r="G202" s="60"/>
      <c r="H202" s="60" t="s">
        <v>34</v>
      </c>
      <c r="I202" s="60" t="s">
        <v>19</v>
      </c>
      <c r="J202" s="134">
        <v>43237</v>
      </c>
      <c r="K202" s="66"/>
      <c r="L202" s="59"/>
      <c r="M202" s="59"/>
    </row>
    <row r="203" spans="1:15" x14ac:dyDescent="0.3">
      <c r="A203" s="237">
        <v>43231</v>
      </c>
      <c r="B203" s="65">
        <v>7</v>
      </c>
      <c r="C203" s="53">
        <v>121777</v>
      </c>
      <c r="D203" s="241">
        <v>60577</v>
      </c>
      <c r="E203" s="89">
        <v>5</v>
      </c>
      <c r="F203" s="93"/>
      <c r="G203" s="48"/>
      <c r="H203" s="48" t="s">
        <v>34</v>
      </c>
      <c r="I203" s="48" t="s">
        <v>17</v>
      </c>
      <c r="J203" s="132">
        <v>43243</v>
      </c>
      <c r="K203" s="58"/>
      <c r="L203" s="58" t="s">
        <v>52</v>
      </c>
    </row>
    <row r="204" spans="1:15" x14ac:dyDescent="0.3">
      <c r="A204" s="237">
        <v>43231</v>
      </c>
      <c r="B204" s="65">
        <v>8</v>
      </c>
      <c r="C204" s="53">
        <v>121776</v>
      </c>
      <c r="D204" s="241">
        <v>60576</v>
      </c>
      <c r="E204" s="89">
        <v>12</v>
      </c>
      <c r="F204" s="93"/>
      <c r="G204" s="48"/>
      <c r="H204" s="48" t="s">
        <v>34</v>
      </c>
      <c r="I204" s="48" t="s">
        <v>17</v>
      </c>
      <c r="J204" s="132">
        <v>43243</v>
      </c>
      <c r="K204" s="58"/>
      <c r="L204" s="58" t="s">
        <v>52</v>
      </c>
    </row>
    <row r="205" spans="1:15" x14ac:dyDescent="0.3">
      <c r="A205" s="237">
        <v>43231</v>
      </c>
      <c r="B205" s="65">
        <v>9</v>
      </c>
      <c r="C205" s="53">
        <v>121790</v>
      </c>
      <c r="D205" s="241">
        <v>60598</v>
      </c>
      <c r="E205" s="83">
        <v>4</v>
      </c>
      <c r="F205" s="93"/>
      <c r="G205" s="48"/>
      <c r="H205" s="48" t="s">
        <v>23</v>
      </c>
      <c r="I205" s="48" t="s">
        <v>19</v>
      </c>
      <c r="J205" s="132">
        <v>43243</v>
      </c>
      <c r="K205" s="58"/>
      <c r="L205" s="58" t="s">
        <v>73</v>
      </c>
    </row>
    <row r="206" spans="1:15" x14ac:dyDescent="0.3">
      <c r="A206" s="237">
        <v>43234</v>
      </c>
      <c r="B206" s="92">
        <v>1</v>
      </c>
      <c r="C206" s="53">
        <v>121775</v>
      </c>
      <c r="D206" s="241">
        <v>60575</v>
      </c>
      <c r="E206" s="89">
        <v>19</v>
      </c>
      <c r="F206" s="93"/>
      <c r="G206" s="48"/>
      <c r="H206" s="48" t="s">
        <v>34</v>
      </c>
      <c r="I206" s="48" t="s">
        <v>17</v>
      </c>
      <c r="J206" s="132">
        <v>43243</v>
      </c>
      <c r="K206" s="58"/>
      <c r="L206" s="58" t="s">
        <v>52</v>
      </c>
    </row>
    <row r="207" spans="1:15" x14ac:dyDescent="0.3">
      <c r="A207" s="237">
        <v>43234</v>
      </c>
      <c r="B207" s="92">
        <v>2</v>
      </c>
      <c r="C207" s="53">
        <v>121598</v>
      </c>
      <c r="D207" s="241">
        <v>60500</v>
      </c>
      <c r="E207" s="89">
        <v>2</v>
      </c>
      <c r="F207" s="93"/>
      <c r="G207" s="48"/>
      <c r="H207" s="48" t="s">
        <v>18</v>
      </c>
      <c r="I207" s="48" t="s">
        <v>19</v>
      </c>
      <c r="J207" s="132">
        <v>43241</v>
      </c>
      <c r="K207" s="58"/>
    </row>
    <row r="208" spans="1:15" x14ac:dyDescent="0.3">
      <c r="A208" s="237">
        <v>43234</v>
      </c>
      <c r="B208" s="92">
        <v>3</v>
      </c>
      <c r="C208" s="53">
        <v>121654</v>
      </c>
      <c r="D208" s="241">
        <v>60498</v>
      </c>
      <c r="E208" s="89">
        <v>1</v>
      </c>
      <c r="F208" s="93"/>
      <c r="G208" s="48"/>
      <c r="H208" s="48" t="s">
        <v>13</v>
      </c>
      <c r="I208" s="48" t="s">
        <v>17</v>
      </c>
      <c r="J208" s="132">
        <v>43241</v>
      </c>
      <c r="K208" s="58"/>
      <c r="L208" s="48" t="s">
        <v>35</v>
      </c>
    </row>
    <row r="209" spans="1:15" x14ac:dyDescent="0.3">
      <c r="A209" s="237">
        <v>43234</v>
      </c>
      <c r="B209" s="92">
        <v>4</v>
      </c>
      <c r="C209" s="53">
        <v>121662</v>
      </c>
      <c r="D209" s="241">
        <v>60502</v>
      </c>
      <c r="E209" s="90">
        <v>4</v>
      </c>
      <c r="F209" s="93"/>
      <c r="G209" s="48"/>
      <c r="H209" s="48" t="s">
        <v>18</v>
      </c>
      <c r="I209" s="48" t="s">
        <v>19</v>
      </c>
      <c r="J209" s="132">
        <v>43242</v>
      </c>
      <c r="K209" s="58"/>
    </row>
    <row r="210" spans="1:15" x14ac:dyDescent="0.3">
      <c r="A210" s="237">
        <v>43234</v>
      </c>
      <c r="B210" s="92">
        <v>5</v>
      </c>
      <c r="C210" s="54">
        <v>121925</v>
      </c>
      <c r="D210" s="242">
        <v>60686</v>
      </c>
      <c r="E210" s="64">
        <v>15</v>
      </c>
      <c r="F210" s="248"/>
      <c r="G210" s="60"/>
      <c r="H210" s="60" t="s">
        <v>23</v>
      </c>
      <c r="I210" s="60" t="s">
        <v>51</v>
      </c>
      <c r="J210" s="134">
        <v>43238</v>
      </c>
      <c r="K210" s="95" t="s">
        <v>72</v>
      </c>
      <c r="L210" s="60" t="s">
        <v>52</v>
      </c>
      <c r="M210" s="60">
        <f>E225+E227+E228+E230</f>
        <v>24</v>
      </c>
      <c r="N210" s="60"/>
    </row>
    <row r="211" spans="1:15" x14ac:dyDescent="0.3">
      <c r="A211" s="238">
        <v>43234</v>
      </c>
      <c r="B211" s="92">
        <v>6</v>
      </c>
      <c r="C211" s="54">
        <v>121924</v>
      </c>
      <c r="D211" s="242">
        <v>60685</v>
      </c>
      <c r="E211" s="64">
        <v>8</v>
      </c>
      <c r="F211" s="248"/>
      <c r="G211" s="60"/>
      <c r="H211" s="60" t="s">
        <v>23</v>
      </c>
      <c r="I211" s="60" t="s">
        <v>19</v>
      </c>
      <c r="J211" s="134">
        <v>43238</v>
      </c>
      <c r="K211" s="94" t="s">
        <v>72</v>
      </c>
      <c r="L211" s="60" t="s">
        <v>52</v>
      </c>
      <c r="M211" s="60"/>
    </row>
    <row r="212" spans="1:15" x14ac:dyDescent="0.3">
      <c r="A212" s="237">
        <v>43234</v>
      </c>
      <c r="B212" s="92">
        <v>7</v>
      </c>
      <c r="C212" s="53">
        <v>121657</v>
      </c>
      <c r="D212" s="241">
        <v>60494</v>
      </c>
      <c r="E212" s="75">
        <v>2</v>
      </c>
      <c r="F212" s="93"/>
      <c r="G212" s="48"/>
      <c r="H212" s="48" t="s">
        <v>18</v>
      </c>
      <c r="I212" s="48" t="s">
        <v>19</v>
      </c>
      <c r="J212" s="132">
        <v>43243</v>
      </c>
      <c r="K212" s="58"/>
    </row>
    <row r="213" spans="1:15" x14ac:dyDescent="0.3">
      <c r="A213" s="237">
        <v>43234</v>
      </c>
      <c r="B213" s="92">
        <v>8</v>
      </c>
      <c r="C213" s="53">
        <v>121658</v>
      </c>
      <c r="D213" s="241">
        <v>60495</v>
      </c>
      <c r="E213" s="75">
        <v>1</v>
      </c>
      <c r="F213" s="93"/>
      <c r="G213" s="48"/>
      <c r="H213" s="48" t="s">
        <v>18</v>
      </c>
      <c r="I213" s="48" t="s">
        <v>19</v>
      </c>
      <c r="J213" s="132">
        <v>43243</v>
      </c>
      <c r="K213" s="58"/>
    </row>
    <row r="214" spans="1:15" x14ac:dyDescent="0.3">
      <c r="A214" s="237">
        <v>43234</v>
      </c>
      <c r="B214" s="92">
        <v>9</v>
      </c>
      <c r="C214" s="53">
        <v>121650</v>
      </c>
      <c r="D214" s="241">
        <v>60487</v>
      </c>
      <c r="E214" s="89">
        <v>5</v>
      </c>
      <c r="F214" s="93"/>
      <c r="G214" s="48"/>
      <c r="H214" s="48" t="s">
        <v>18</v>
      </c>
      <c r="I214" s="48" t="s">
        <v>19</v>
      </c>
      <c r="J214" s="132">
        <v>43243</v>
      </c>
      <c r="K214" s="58"/>
      <c r="L214" s="48" t="s">
        <v>35</v>
      </c>
    </row>
    <row r="215" spans="1:15" x14ac:dyDescent="0.3">
      <c r="A215" s="237">
        <v>43234</v>
      </c>
      <c r="B215" s="92">
        <v>10</v>
      </c>
      <c r="C215" s="53">
        <v>121648</v>
      </c>
      <c r="D215" s="241">
        <v>60486</v>
      </c>
      <c r="E215" s="75">
        <v>1</v>
      </c>
      <c r="F215" s="93"/>
      <c r="G215" s="48"/>
      <c r="H215" s="48" t="s">
        <v>18</v>
      </c>
      <c r="I215" s="48" t="s">
        <v>19</v>
      </c>
      <c r="J215" s="132">
        <v>43243</v>
      </c>
      <c r="K215" s="58"/>
    </row>
    <row r="216" spans="1:15" x14ac:dyDescent="0.3">
      <c r="A216" s="237">
        <v>43234</v>
      </c>
      <c r="B216" s="92">
        <v>11</v>
      </c>
      <c r="C216" s="53">
        <v>121649</v>
      </c>
      <c r="D216" s="241">
        <v>60512</v>
      </c>
      <c r="E216" s="83">
        <v>2</v>
      </c>
      <c r="F216" s="93"/>
      <c r="G216" s="48"/>
      <c r="H216" s="48" t="s">
        <v>18</v>
      </c>
      <c r="I216" s="48" t="s">
        <v>19</v>
      </c>
      <c r="J216" s="132">
        <v>43243</v>
      </c>
      <c r="K216" s="58"/>
    </row>
    <row r="217" spans="1:15" x14ac:dyDescent="0.3">
      <c r="A217" s="237">
        <v>43234</v>
      </c>
      <c r="B217" s="92">
        <v>12</v>
      </c>
      <c r="C217" s="53">
        <v>121725</v>
      </c>
      <c r="D217" s="241">
        <v>60539</v>
      </c>
      <c r="E217" s="89">
        <v>1</v>
      </c>
      <c r="F217" s="93"/>
      <c r="G217" s="48"/>
      <c r="H217" s="48" t="s">
        <v>23</v>
      </c>
      <c r="I217" s="48" t="s">
        <v>19</v>
      </c>
      <c r="J217" s="132">
        <v>43243</v>
      </c>
      <c r="K217" s="58"/>
    </row>
    <row r="218" spans="1:15" x14ac:dyDescent="0.3">
      <c r="A218" s="237">
        <v>43234</v>
      </c>
      <c r="B218" s="92">
        <v>13</v>
      </c>
      <c r="C218" s="53">
        <v>121850</v>
      </c>
      <c r="D218" s="241">
        <v>60652</v>
      </c>
      <c r="E218" s="90">
        <v>2</v>
      </c>
      <c r="F218" s="93"/>
      <c r="G218" s="48"/>
      <c r="H218" s="48" t="s">
        <v>13</v>
      </c>
      <c r="I218" s="48" t="s">
        <v>19</v>
      </c>
      <c r="J218" s="132">
        <v>43243</v>
      </c>
      <c r="K218" s="58"/>
      <c r="L218" s="48" t="s">
        <v>71</v>
      </c>
    </row>
    <row r="219" spans="1:15" x14ac:dyDescent="0.3">
      <c r="A219" s="237">
        <v>43234</v>
      </c>
      <c r="B219" s="92">
        <v>14</v>
      </c>
      <c r="C219" s="53">
        <v>121851</v>
      </c>
      <c r="D219" s="241">
        <v>60645</v>
      </c>
      <c r="E219" s="90">
        <v>4</v>
      </c>
      <c r="F219" s="93"/>
      <c r="G219" s="48"/>
      <c r="H219" s="48" t="s">
        <v>23</v>
      </c>
      <c r="I219" s="48" t="s">
        <v>19</v>
      </c>
      <c r="J219" s="132">
        <v>43244</v>
      </c>
      <c r="K219" s="58"/>
    </row>
    <row r="220" spans="1:15" x14ac:dyDescent="0.3">
      <c r="A220" s="237">
        <v>43234</v>
      </c>
      <c r="B220" s="92">
        <v>15</v>
      </c>
      <c r="C220" s="53">
        <v>121634</v>
      </c>
      <c r="D220" s="241">
        <v>60476</v>
      </c>
      <c r="E220" s="75">
        <v>1</v>
      </c>
      <c r="F220" s="93"/>
      <c r="G220" s="48"/>
      <c r="H220" s="48" t="s">
        <v>18</v>
      </c>
      <c r="I220" s="48" t="s">
        <v>36</v>
      </c>
      <c r="J220" s="132">
        <v>43244</v>
      </c>
      <c r="K220" s="58"/>
    </row>
    <row r="221" spans="1:15" x14ac:dyDescent="0.3">
      <c r="A221" s="237">
        <v>43234</v>
      </c>
      <c r="B221" s="92">
        <v>16</v>
      </c>
      <c r="C221" s="53">
        <v>121635</v>
      </c>
      <c r="D221" s="241">
        <v>60477</v>
      </c>
      <c r="E221" s="89">
        <v>9</v>
      </c>
      <c r="F221" s="93"/>
      <c r="G221" s="48"/>
      <c r="H221" s="48" t="s">
        <v>18</v>
      </c>
      <c r="I221" s="48" t="s">
        <v>36</v>
      </c>
      <c r="J221" s="132">
        <v>43244</v>
      </c>
      <c r="K221" s="58"/>
    </row>
    <row r="222" spans="1:15" x14ac:dyDescent="0.3">
      <c r="A222" s="237">
        <v>43235</v>
      </c>
      <c r="B222" s="63">
        <v>1</v>
      </c>
      <c r="C222" s="53">
        <v>121666</v>
      </c>
      <c r="D222" s="241">
        <v>60574</v>
      </c>
      <c r="E222" s="76">
        <v>40</v>
      </c>
      <c r="F222" s="93"/>
      <c r="G222" s="48"/>
      <c r="H222" s="48" t="s">
        <v>13</v>
      </c>
      <c r="I222" s="48" t="s">
        <v>70</v>
      </c>
      <c r="J222" s="132">
        <v>43243</v>
      </c>
      <c r="K222" s="58"/>
      <c r="L222" s="48" t="s">
        <v>67</v>
      </c>
      <c r="M222" s="48" t="s">
        <v>69</v>
      </c>
    </row>
    <row r="223" spans="1:15" x14ac:dyDescent="0.3">
      <c r="A223" s="237">
        <v>43235</v>
      </c>
      <c r="B223" s="63">
        <v>2</v>
      </c>
      <c r="C223" s="53">
        <v>121752</v>
      </c>
      <c r="D223" s="241">
        <v>60612</v>
      </c>
      <c r="E223" s="76">
        <v>24</v>
      </c>
      <c r="F223" s="93"/>
      <c r="G223" s="48"/>
      <c r="H223" s="48" t="s">
        <v>13</v>
      </c>
      <c r="I223" s="48" t="s">
        <v>68</v>
      </c>
      <c r="J223" s="132">
        <v>43243</v>
      </c>
      <c r="K223" s="58"/>
      <c r="L223" s="48" t="s">
        <v>67</v>
      </c>
      <c r="M223" s="48" t="s">
        <v>66</v>
      </c>
      <c r="O223" s="91"/>
    </row>
    <row r="224" spans="1:15" x14ac:dyDescent="0.3">
      <c r="A224" s="237">
        <v>43235</v>
      </c>
      <c r="B224" s="63">
        <v>3</v>
      </c>
      <c r="C224" s="53"/>
      <c r="D224" s="241"/>
      <c r="E224" s="76"/>
      <c r="F224" s="93"/>
      <c r="G224" s="48"/>
      <c r="H224" s="48"/>
      <c r="I224" s="48"/>
      <c r="K224" s="58"/>
    </row>
    <row r="225" spans="1:14" x14ac:dyDescent="0.3">
      <c r="A225" s="237">
        <v>43235</v>
      </c>
      <c r="B225" s="63">
        <v>4</v>
      </c>
      <c r="C225" s="53">
        <v>121163</v>
      </c>
      <c r="D225" s="241">
        <v>60066</v>
      </c>
      <c r="E225" s="89">
        <v>8</v>
      </c>
      <c r="F225" s="93"/>
      <c r="G225" s="51"/>
      <c r="H225" s="51" t="s">
        <v>13</v>
      </c>
      <c r="I225" s="51" t="s">
        <v>14</v>
      </c>
      <c r="J225" s="133">
        <v>43247</v>
      </c>
      <c r="K225" s="78"/>
      <c r="L225" s="51"/>
      <c r="M225" s="51" t="s">
        <v>64</v>
      </c>
      <c r="N225" s="51"/>
    </row>
    <row r="226" spans="1:14" x14ac:dyDescent="0.3">
      <c r="A226" s="237">
        <v>43235</v>
      </c>
      <c r="B226" s="63">
        <v>5</v>
      </c>
      <c r="C226" s="53">
        <v>121156</v>
      </c>
      <c r="D226" s="241">
        <v>60071</v>
      </c>
      <c r="E226" s="75">
        <v>2</v>
      </c>
      <c r="F226" s="93"/>
      <c r="G226" s="51"/>
      <c r="H226" s="51" t="s">
        <v>13</v>
      </c>
      <c r="I226" s="51" t="s">
        <v>14</v>
      </c>
      <c r="J226" s="133">
        <v>43247</v>
      </c>
      <c r="K226" s="78"/>
      <c r="L226" s="51"/>
      <c r="M226" s="51" t="s">
        <v>64</v>
      </c>
      <c r="N226" s="51"/>
    </row>
    <row r="227" spans="1:14" x14ac:dyDescent="0.3">
      <c r="A227" s="237">
        <v>43235</v>
      </c>
      <c r="B227" s="63">
        <v>6</v>
      </c>
      <c r="C227" s="53">
        <v>122019</v>
      </c>
      <c r="D227" s="241">
        <v>60751</v>
      </c>
      <c r="E227" s="75">
        <v>2</v>
      </c>
      <c r="F227" s="93"/>
      <c r="G227" s="48"/>
      <c r="H227" s="48" t="s">
        <v>18</v>
      </c>
      <c r="I227" s="48" t="s">
        <v>19</v>
      </c>
      <c r="J227" s="132">
        <v>43244</v>
      </c>
      <c r="K227" s="58"/>
    </row>
    <row r="228" spans="1:14" x14ac:dyDescent="0.3">
      <c r="A228" s="237">
        <v>43235</v>
      </c>
      <c r="B228" s="63">
        <v>7</v>
      </c>
      <c r="C228" s="240">
        <v>122022</v>
      </c>
      <c r="D228" s="243">
        <v>60738</v>
      </c>
      <c r="E228" s="88">
        <v>1</v>
      </c>
      <c r="F228" s="249"/>
      <c r="G228" s="85"/>
      <c r="H228" s="85" t="s">
        <v>18</v>
      </c>
      <c r="I228" s="85" t="s">
        <v>15</v>
      </c>
      <c r="J228" s="135">
        <v>43243</v>
      </c>
      <c r="K228" s="62"/>
      <c r="M228" s="59"/>
    </row>
    <row r="229" spans="1:14" x14ac:dyDescent="0.3">
      <c r="A229" s="237">
        <v>43235</v>
      </c>
      <c r="B229" s="63">
        <v>8</v>
      </c>
      <c r="C229" s="240">
        <v>122019</v>
      </c>
      <c r="D229" s="243">
        <v>60751</v>
      </c>
      <c r="E229" s="87">
        <v>2</v>
      </c>
      <c r="F229" s="249"/>
      <c r="G229" s="85"/>
      <c r="H229" s="85" t="s">
        <v>18</v>
      </c>
      <c r="I229" s="85" t="s">
        <v>19</v>
      </c>
      <c r="J229" s="135">
        <v>43244</v>
      </c>
      <c r="K229" s="58"/>
    </row>
    <row r="230" spans="1:14" x14ac:dyDescent="0.3">
      <c r="A230" s="237">
        <v>43235</v>
      </c>
      <c r="B230" s="63">
        <v>9</v>
      </c>
      <c r="C230" s="240">
        <v>122017</v>
      </c>
      <c r="D230" s="243">
        <v>60730</v>
      </c>
      <c r="E230" s="86">
        <v>13</v>
      </c>
      <c r="F230" s="249"/>
      <c r="G230" s="85"/>
      <c r="H230" s="85" t="s">
        <v>18</v>
      </c>
      <c r="I230" s="85" t="s">
        <v>54</v>
      </c>
      <c r="J230" s="135">
        <v>43243</v>
      </c>
      <c r="K230" s="58"/>
    </row>
    <row r="231" spans="1:14" x14ac:dyDescent="0.3">
      <c r="A231" s="237">
        <v>43236</v>
      </c>
      <c r="B231" s="82">
        <v>1</v>
      </c>
      <c r="C231" s="53">
        <v>122042</v>
      </c>
      <c r="D231" s="241">
        <v>60776</v>
      </c>
      <c r="E231" s="75">
        <v>2</v>
      </c>
      <c r="F231" s="93"/>
      <c r="G231" s="48"/>
      <c r="H231" s="48" t="s">
        <v>13</v>
      </c>
      <c r="I231" s="48" t="s">
        <v>15</v>
      </c>
      <c r="J231" s="133">
        <v>43243</v>
      </c>
      <c r="K231" s="48"/>
    </row>
    <row r="232" spans="1:14" x14ac:dyDescent="0.3">
      <c r="A232" s="237">
        <v>43236</v>
      </c>
      <c r="B232" s="82">
        <v>2</v>
      </c>
      <c r="C232" s="53">
        <v>121138</v>
      </c>
      <c r="D232" s="241">
        <v>60045</v>
      </c>
      <c r="E232" s="75">
        <v>43</v>
      </c>
      <c r="F232" s="93"/>
      <c r="G232" s="51"/>
      <c r="H232" s="51" t="s">
        <v>18</v>
      </c>
      <c r="I232" s="51" t="s">
        <v>19</v>
      </c>
      <c r="J232" s="133">
        <v>43247</v>
      </c>
      <c r="K232" s="78"/>
      <c r="L232" s="51" t="s">
        <v>65</v>
      </c>
      <c r="M232" s="51" t="s">
        <v>64</v>
      </c>
      <c r="N232" s="51" t="s">
        <v>63</v>
      </c>
    </row>
    <row r="233" spans="1:14" x14ac:dyDescent="0.3">
      <c r="A233" s="237">
        <v>43236</v>
      </c>
      <c r="B233" s="82">
        <v>3</v>
      </c>
      <c r="C233" s="53">
        <v>121729</v>
      </c>
      <c r="D233" s="241">
        <v>60549</v>
      </c>
      <c r="E233" s="84">
        <v>2</v>
      </c>
      <c r="F233" s="93"/>
      <c r="G233" s="48"/>
      <c r="H233" s="48" t="s">
        <v>13</v>
      </c>
      <c r="I233" s="48" t="s">
        <v>15</v>
      </c>
      <c r="J233" s="132">
        <v>43248</v>
      </c>
      <c r="K233" s="58"/>
    </row>
    <row r="234" spans="1:14" x14ac:dyDescent="0.3">
      <c r="A234" s="238">
        <v>43236</v>
      </c>
      <c r="B234" s="82">
        <v>4</v>
      </c>
      <c r="C234" s="54">
        <v>121914</v>
      </c>
      <c r="D234" s="242">
        <v>60679</v>
      </c>
      <c r="E234" s="70">
        <v>16</v>
      </c>
      <c r="F234" s="248"/>
      <c r="G234" s="60"/>
      <c r="H234" s="60" t="s">
        <v>23</v>
      </c>
      <c r="I234" s="60" t="s">
        <v>12</v>
      </c>
      <c r="J234" s="134">
        <v>43248</v>
      </c>
      <c r="K234" s="60"/>
      <c r="L234" s="60"/>
      <c r="M234" s="60"/>
    </row>
    <row r="235" spans="1:14" x14ac:dyDescent="0.3">
      <c r="A235" s="238">
        <v>43236</v>
      </c>
      <c r="B235" s="82">
        <v>5</v>
      </c>
      <c r="C235" s="54">
        <v>121993</v>
      </c>
      <c r="D235" s="242">
        <v>60713</v>
      </c>
      <c r="E235" s="81">
        <v>1</v>
      </c>
      <c r="F235" s="248"/>
      <c r="G235" s="60"/>
      <c r="H235" s="60" t="s">
        <v>62</v>
      </c>
      <c r="I235" s="60" t="s">
        <v>19</v>
      </c>
      <c r="J235" s="134">
        <v>43248</v>
      </c>
      <c r="K235" s="60"/>
      <c r="L235" s="60" t="s">
        <v>61</v>
      </c>
      <c r="M235" s="60"/>
    </row>
    <row r="236" spans="1:14" ht="15.75" customHeight="1" x14ac:dyDescent="0.3">
      <c r="A236" s="238">
        <v>43236</v>
      </c>
      <c r="B236" s="82">
        <v>6</v>
      </c>
      <c r="C236" s="54">
        <v>121998</v>
      </c>
      <c r="D236" s="242">
        <v>60724</v>
      </c>
      <c r="E236" s="70">
        <v>4</v>
      </c>
      <c r="F236" s="248"/>
      <c r="G236" s="60"/>
      <c r="H236" s="60" t="s">
        <v>18</v>
      </c>
      <c r="I236" s="60" t="s">
        <v>19</v>
      </c>
      <c r="J236" s="134">
        <v>43248</v>
      </c>
      <c r="K236" s="60"/>
      <c r="L236" s="60"/>
      <c r="M236" s="60"/>
    </row>
    <row r="237" spans="1:14" x14ac:dyDescent="0.3">
      <c r="A237" s="237">
        <v>43236</v>
      </c>
      <c r="B237" s="82">
        <v>7</v>
      </c>
      <c r="C237" s="53">
        <v>121875</v>
      </c>
      <c r="D237" s="241">
        <v>60656</v>
      </c>
      <c r="E237" s="83">
        <v>4</v>
      </c>
      <c r="F237" s="93"/>
      <c r="G237" s="48"/>
      <c r="H237" s="48" t="s">
        <v>23</v>
      </c>
      <c r="I237" s="48" t="s">
        <v>26</v>
      </c>
      <c r="J237" s="132">
        <v>43248</v>
      </c>
      <c r="K237" s="58"/>
    </row>
    <row r="238" spans="1:14" x14ac:dyDescent="0.3">
      <c r="A238" s="237">
        <v>43236</v>
      </c>
      <c r="B238" s="82">
        <v>8</v>
      </c>
      <c r="C238" s="54">
        <v>122089</v>
      </c>
      <c r="D238" s="242">
        <v>60785</v>
      </c>
      <c r="E238" s="81">
        <v>5</v>
      </c>
      <c r="F238" s="93"/>
      <c r="G238" s="60"/>
      <c r="H238" s="60" t="s">
        <v>18</v>
      </c>
      <c r="I238" s="60" t="s">
        <v>54</v>
      </c>
      <c r="J238" s="132">
        <v>43243</v>
      </c>
      <c r="K238" s="48"/>
    </row>
    <row r="239" spans="1:14" ht="13.5" customHeight="1" x14ac:dyDescent="0.3">
      <c r="A239" s="237">
        <v>43237</v>
      </c>
      <c r="B239" s="74">
        <v>1</v>
      </c>
      <c r="C239" s="54">
        <v>122075</v>
      </c>
      <c r="D239" s="242">
        <v>60769</v>
      </c>
      <c r="E239" s="70">
        <v>1</v>
      </c>
      <c r="F239" s="93"/>
      <c r="H239" s="60" t="s">
        <v>18</v>
      </c>
      <c r="I239" s="60" t="s">
        <v>51</v>
      </c>
      <c r="J239" s="134">
        <v>43255</v>
      </c>
      <c r="K239" s="58"/>
    </row>
    <row r="240" spans="1:14" ht="13.5" customHeight="1" x14ac:dyDescent="0.3">
      <c r="A240" s="237">
        <v>43237</v>
      </c>
      <c r="B240" s="74">
        <v>2</v>
      </c>
      <c r="C240" s="53">
        <v>121688</v>
      </c>
      <c r="D240" s="241">
        <v>60520</v>
      </c>
      <c r="E240" s="75">
        <v>7</v>
      </c>
      <c r="F240" s="93"/>
      <c r="G240" s="48"/>
      <c r="H240" s="48" t="s">
        <v>18</v>
      </c>
      <c r="I240" s="48" t="s">
        <v>17</v>
      </c>
      <c r="J240" s="132">
        <v>43250</v>
      </c>
      <c r="K240" s="58"/>
      <c r="L240" s="48" t="s">
        <v>35</v>
      </c>
    </row>
    <row r="241" spans="1:13" ht="13.5" customHeight="1" x14ac:dyDescent="0.3">
      <c r="A241" s="237">
        <v>43237</v>
      </c>
      <c r="B241" s="74">
        <v>3</v>
      </c>
      <c r="C241" s="53">
        <v>121832</v>
      </c>
      <c r="D241" s="241">
        <v>60651</v>
      </c>
      <c r="E241" s="75">
        <v>8</v>
      </c>
      <c r="F241" s="93"/>
      <c r="G241" s="48"/>
      <c r="H241" s="48" t="s">
        <v>13</v>
      </c>
      <c r="I241" s="48" t="s">
        <v>14</v>
      </c>
      <c r="J241" s="132">
        <v>43250</v>
      </c>
      <c r="K241" s="58"/>
    </row>
    <row r="242" spans="1:13" ht="13.5" customHeight="1" x14ac:dyDescent="0.3">
      <c r="A242" s="237">
        <v>43237</v>
      </c>
      <c r="B242" s="74">
        <v>4</v>
      </c>
      <c r="C242" s="54">
        <v>121881</v>
      </c>
      <c r="D242" s="242">
        <v>60658</v>
      </c>
      <c r="E242" s="73">
        <v>1</v>
      </c>
      <c r="F242" s="248"/>
      <c r="G242" s="60"/>
      <c r="H242" s="60" t="s">
        <v>18</v>
      </c>
      <c r="I242" s="60" t="s">
        <v>19</v>
      </c>
      <c r="J242" s="134">
        <v>43250</v>
      </c>
      <c r="K242" s="58"/>
    </row>
    <row r="243" spans="1:13" ht="13.5" customHeight="1" x14ac:dyDescent="0.3">
      <c r="A243" s="237">
        <v>43237</v>
      </c>
      <c r="B243" s="74">
        <v>5</v>
      </c>
      <c r="C243" s="54">
        <v>121955</v>
      </c>
      <c r="D243" s="242">
        <v>60696</v>
      </c>
      <c r="E243" s="73">
        <v>2</v>
      </c>
      <c r="F243" s="248"/>
      <c r="G243" s="60"/>
      <c r="H243" s="60" t="s">
        <v>18</v>
      </c>
      <c r="I243" s="60" t="s">
        <v>54</v>
      </c>
      <c r="J243" s="134">
        <v>43250</v>
      </c>
      <c r="K243" s="58"/>
    </row>
    <row r="244" spans="1:13" ht="13.5" customHeight="1" x14ac:dyDescent="0.3">
      <c r="A244" s="237">
        <v>43237</v>
      </c>
      <c r="B244" s="74">
        <v>6</v>
      </c>
      <c r="C244" s="53">
        <v>122058</v>
      </c>
      <c r="D244" s="241">
        <v>60773</v>
      </c>
      <c r="E244" s="75">
        <v>1</v>
      </c>
      <c r="F244" s="93"/>
      <c r="G244" s="48"/>
      <c r="H244" s="48" t="s">
        <v>18</v>
      </c>
      <c r="I244" s="48" t="s">
        <v>60</v>
      </c>
      <c r="J244" s="134">
        <v>43250</v>
      </c>
      <c r="K244" s="58"/>
    </row>
    <row r="245" spans="1:13" ht="13.5" customHeight="1" x14ac:dyDescent="0.3">
      <c r="A245" s="237">
        <v>43237</v>
      </c>
      <c r="B245" s="74">
        <v>7</v>
      </c>
      <c r="C245" s="54">
        <v>122093</v>
      </c>
      <c r="D245" s="242">
        <v>60824</v>
      </c>
      <c r="E245" s="70">
        <v>1</v>
      </c>
      <c r="F245" s="93"/>
      <c r="G245" s="60"/>
      <c r="H245" s="60" t="s">
        <v>13</v>
      </c>
      <c r="I245" s="60" t="s">
        <v>36</v>
      </c>
      <c r="J245" s="134">
        <v>43257</v>
      </c>
      <c r="K245" s="58"/>
    </row>
    <row r="246" spans="1:13" ht="13.5" customHeight="1" x14ac:dyDescent="0.3">
      <c r="A246" s="237">
        <v>43237</v>
      </c>
      <c r="B246" s="74">
        <v>8</v>
      </c>
      <c r="C246" s="54">
        <v>122085</v>
      </c>
      <c r="D246" s="242">
        <v>60825</v>
      </c>
      <c r="E246" s="70">
        <v>1</v>
      </c>
      <c r="F246" s="93"/>
      <c r="G246" s="60"/>
      <c r="H246" s="60" t="s">
        <v>13</v>
      </c>
      <c r="I246" s="60" t="s">
        <v>59</v>
      </c>
      <c r="J246" s="134">
        <v>43257</v>
      </c>
      <c r="K246" s="58"/>
    </row>
    <row r="247" spans="1:13" ht="13.5" customHeight="1" x14ac:dyDescent="0.3">
      <c r="A247" s="237">
        <v>43237</v>
      </c>
      <c r="B247" s="74">
        <v>9</v>
      </c>
      <c r="C247" s="54">
        <v>122087</v>
      </c>
      <c r="D247" s="242">
        <v>60826</v>
      </c>
      <c r="E247" s="70">
        <v>3</v>
      </c>
      <c r="F247" s="93"/>
      <c r="G247" s="60"/>
      <c r="H247" s="60" t="s">
        <v>13</v>
      </c>
      <c r="I247" s="60" t="s">
        <v>36</v>
      </c>
      <c r="J247" s="134">
        <v>43257</v>
      </c>
      <c r="K247" s="58"/>
    </row>
    <row r="248" spans="1:13" ht="13.5" customHeight="1" x14ac:dyDescent="0.3">
      <c r="A248" s="237">
        <v>43237</v>
      </c>
      <c r="B248" s="74">
        <v>10</v>
      </c>
      <c r="C248" s="54">
        <v>122098</v>
      </c>
      <c r="D248" s="242">
        <v>60827</v>
      </c>
      <c r="E248" s="70">
        <v>6</v>
      </c>
      <c r="F248" s="93"/>
      <c r="G248" s="60"/>
      <c r="H248" s="60" t="s">
        <v>13</v>
      </c>
      <c r="I248" s="60" t="s">
        <v>12</v>
      </c>
      <c r="J248" s="134">
        <v>43248</v>
      </c>
      <c r="K248" s="58"/>
    </row>
    <row r="249" spans="1:13" ht="13.5" customHeight="1" x14ac:dyDescent="0.3">
      <c r="A249" s="237">
        <v>43237</v>
      </c>
      <c r="B249" s="74">
        <v>11</v>
      </c>
      <c r="C249" s="54">
        <v>122090</v>
      </c>
      <c r="D249" s="242">
        <v>60786</v>
      </c>
      <c r="E249" s="70">
        <v>1</v>
      </c>
      <c r="F249" s="93"/>
      <c r="G249" s="60"/>
      <c r="H249" s="60" t="s">
        <v>18</v>
      </c>
      <c r="I249" s="60" t="s">
        <v>15</v>
      </c>
      <c r="J249" s="134">
        <v>43255</v>
      </c>
      <c r="K249" s="58"/>
    </row>
    <row r="250" spans="1:13" ht="17.25" customHeight="1" x14ac:dyDescent="0.3">
      <c r="A250" s="237">
        <v>43237</v>
      </c>
      <c r="B250" s="74">
        <v>12</v>
      </c>
      <c r="C250" s="54">
        <v>121929</v>
      </c>
      <c r="D250" s="242">
        <v>60817</v>
      </c>
      <c r="E250" s="73">
        <v>11</v>
      </c>
      <c r="F250" s="93"/>
      <c r="H250" s="60" t="s">
        <v>13</v>
      </c>
      <c r="I250" s="60" t="s">
        <v>15</v>
      </c>
      <c r="J250" s="134">
        <v>43250</v>
      </c>
      <c r="K250" s="58"/>
    </row>
    <row r="251" spans="1:13" x14ac:dyDescent="0.3">
      <c r="A251" s="237">
        <v>43237</v>
      </c>
      <c r="B251" s="74">
        <v>13</v>
      </c>
      <c r="C251" s="54">
        <v>121932</v>
      </c>
      <c r="D251" s="242">
        <v>60815</v>
      </c>
      <c r="E251" s="73">
        <v>1</v>
      </c>
      <c r="F251" s="93"/>
      <c r="H251" s="60" t="s">
        <v>13</v>
      </c>
      <c r="I251" s="60" t="s">
        <v>15</v>
      </c>
      <c r="J251" s="134">
        <v>43250</v>
      </c>
      <c r="K251" s="58"/>
    </row>
    <row r="252" spans="1:13" x14ac:dyDescent="0.3">
      <c r="A252" s="237">
        <v>43237</v>
      </c>
      <c r="B252" s="74">
        <v>14</v>
      </c>
      <c r="C252" s="54">
        <v>121933</v>
      </c>
      <c r="D252" s="242">
        <v>60814</v>
      </c>
      <c r="E252" s="70">
        <v>14</v>
      </c>
      <c r="F252" s="93"/>
      <c r="H252" s="60" t="s">
        <v>13</v>
      </c>
      <c r="I252" s="60" t="s">
        <v>15</v>
      </c>
      <c r="J252" s="134">
        <v>43250</v>
      </c>
      <c r="K252" s="58"/>
    </row>
    <row r="253" spans="1:13" x14ac:dyDescent="0.3">
      <c r="A253" s="237">
        <v>43237</v>
      </c>
      <c r="B253" s="74">
        <v>15</v>
      </c>
      <c r="C253" s="54">
        <v>121936</v>
      </c>
      <c r="D253" s="242">
        <v>60813</v>
      </c>
      <c r="E253" s="70">
        <v>9</v>
      </c>
      <c r="F253" s="93"/>
      <c r="H253" s="60" t="s">
        <v>13</v>
      </c>
      <c r="I253" s="60" t="s">
        <v>15</v>
      </c>
      <c r="J253" s="134">
        <v>43250</v>
      </c>
      <c r="K253" s="58"/>
    </row>
    <row r="254" spans="1:13" x14ac:dyDescent="0.3">
      <c r="A254" s="237">
        <v>43237</v>
      </c>
      <c r="B254" s="74">
        <v>16</v>
      </c>
      <c r="C254" s="54">
        <v>121946</v>
      </c>
      <c r="D254" s="242">
        <v>60812</v>
      </c>
      <c r="E254" s="70">
        <v>7</v>
      </c>
      <c r="F254" s="93"/>
      <c r="H254" s="60" t="s">
        <v>13</v>
      </c>
      <c r="I254" s="60" t="s">
        <v>15</v>
      </c>
      <c r="J254" s="134">
        <v>43250</v>
      </c>
      <c r="K254" s="58"/>
    </row>
    <row r="255" spans="1:13" x14ac:dyDescent="0.3">
      <c r="A255" s="237">
        <v>43237</v>
      </c>
      <c r="B255" s="74">
        <v>17</v>
      </c>
      <c r="C255" s="54">
        <v>121948</v>
      </c>
      <c r="D255" s="242">
        <v>60811</v>
      </c>
      <c r="E255" s="70">
        <v>8</v>
      </c>
      <c r="F255" s="93"/>
      <c r="H255" s="60" t="s">
        <v>13</v>
      </c>
      <c r="I255" s="60" t="s">
        <v>15</v>
      </c>
      <c r="J255" s="134">
        <v>43250</v>
      </c>
      <c r="K255" s="58"/>
    </row>
    <row r="256" spans="1:13" x14ac:dyDescent="0.3">
      <c r="A256" s="237">
        <v>43237</v>
      </c>
      <c r="B256" s="74">
        <v>18</v>
      </c>
      <c r="C256" s="53">
        <v>121712</v>
      </c>
      <c r="D256" s="241">
        <v>60536</v>
      </c>
      <c r="E256" s="75">
        <v>2</v>
      </c>
      <c r="F256" s="93"/>
      <c r="G256" s="48"/>
      <c r="H256" s="48" t="s">
        <v>18</v>
      </c>
      <c r="I256" s="48" t="s">
        <v>50</v>
      </c>
      <c r="J256" s="132">
        <v>43243</v>
      </c>
      <c r="K256" s="58" t="s">
        <v>58</v>
      </c>
      <c r="L256" s="48" t="s">
        <v>57</v>
      </c>
      <c r="M256" s="48" t="s">
        <v>35</v>
      </c>
    </row>
    <row r="257" spans="1:13" x14ac:dyDescent="0.3">
      <c r="A257" s="237">
        <v>43237</v>
      </c>
      <c r="B257" s="74">
        <v>19</v>
      </c>
      <c r="C257" s="54">
        <v>122047</v>
      </c>
      <c r="D257" s="242">
        <v>60754</v>
      </c>
      <c r="E257" s="70">
        <v>1</v>
      </c>
      <c r="F257" s="248"/>
      <c r="G257" s="60"/>
      <c r="H257" s="60" t="s">
        <v>23</v>
      </c>
      <c r="I257" s="60" t="s">
        <v>15</v>
      </c>
      <c r="J257" s="134">
        <v>43250</v>
      </c>
      <c r="K257" s="58" t="s">
        <v>29</v>
      </c>
    </row>
    <row r="258" spans="1:13" x14ac:dyDescent="0.3">
      <c r="A258" s="237">
        <v>43237</v>
      </c>
      <c r="B258" s="74">
        <v>20</v>
      </c>
      <c r="C258" s="54">
        <v>121513</v>
      </c>
      <c r="D258" s="242">
        <v>60382</v>
      </c>
      <c r="E258" s="70">
        <v>2</v>
      </c>
      <c r="F258" s="248"/>
      <c r="G258" s="60"/>
      <c r="H258" s="60" t="s">
        <v>23</v>
      </c>
      <c r="I258" s="60" t="s">
        <v>14</v>
      </c>
      <c r="J258" s="134">
        <v>43234</v>
      </c>
      <c r="K258" s="58"/>
    </row>
    <row r="259" spans="1:13" x14ac:dyDescent="0.3">
      <c r="A259" s="237">
        <v>43238</v>
      </c>
      <c r="B259" s="128">
        <v>1</v>
      </c>
      <c r="C259" s="54"/>
      <c r="D259" s="242">
        <v>60854</v>
      </c>
      <c r="E259" s="69">
        <v>7</v>
      </c>
      <c r="F259" s="248"/>
      <c r="G259" s="60"/>
      <c r="H259" s="60" t="s">
        <v>13</v>
      </c>
      <c r="I259" s="60" t="s">
        <v>15</v>
      </c>
      <c r="J259" s="134">
        <v>43238</v>
      </c>
      <c r="K259" s="58"/>
    </row>
    <row r="260" spans="1:13" x14ac:dyDescent="0.3">
      <c r="A260" s="237">
        <v>43238</v>
      </c>
      <c r="B260" s="128">
        <v>2</v>
      </c>
      <c r="C260" s="54">
        <v>122140</v>
      </c>
      <c r="D260" s="242">
        <v>60853</v>
      </c>
      <c r="E260" s="70">
        <v>4</v>
      </c>
      <c r="F260" s="248"/>
      <c r="G260" s="60"/>
      <c r="H260" s="60" t="s">
        <v>13</v>
      </c>
      <c r="I260" s="60" t="s">
        <v>56</v>
      </c>
      <c r="J260" s="134">
        <v>43244</v>
      </c>
      <c r="K260" s="58"/>
    </row>
    <row r="261" spans="1:13" x14ac:dyDescent="0.3">
      <c r="A261" s="237">
        <v>43238</v>
      </c>
      <c r="B261" s="128">
        <v>3</v>
      </c>
      <c r="C261" s="53"/>
      <c r="D261" s="242">
        <v>60858</v>
      </c>
      <c r="E261" s="70">
        <v>9</v>
      </c>
      <c r="F261" s="93"/>
      <c r="G261" s="60"/>
      <c r="H261" s="60" t="s">
        <v>18</v>
      </c>
      <c r="I261" s="60" t="s">
        <v>36</v>
      </c>
      <c r="J261" s="132">
        <v>43243</v>
      </c>
      <c r="K261" s="58"/>
    </row>
    <row r="262" spans="1:13" x14ac:dyDescent="0.3">
      <c r="A262" s="237">
        <v>43242</v>
      </c>
      <c r="B262" s="130">
        <v>1</v>
      </c>
      <c r="C262" s="54">
        <v>122141</v>
      </c>
      <c r="D262" s="242">
        <v>60850</v>
      </c>
      <c r="E262" s="73">
        <v>4</v>
      </c>
      <c r="F262" s="248"/>
      <c r="G262" s="60"/>
      <c r="H262" s="60" t="s">
        <v>13</v>
      </c>
      <c r="I262" s="60" t="s">
        <v>55</v>
      </c>
      <c r="J262" s="134">
        <v>43248</v>
      </c>
      <c r="K262" s="58"/>
    </row>
    <row r="263" spans="1:13" x14ac:dyDescent="0.3">
      <c r="A263" s="237">
        <v>43242</v>
      </c>
      <c r="B263" s="130">
        <v>2</v>
      </c>
      <c r="C263" s="53">
        <v>121879</v>
      </c>
      <c r="D263" s="241">
        <v>60657</v>
      </c>
      <c r="E263" s="75">
        <v>27</v>
      </c>
      <c r="F263" s="93"/>
      <c r="G263" s="48"/>
      <c r="H263" s="48" t="s">
        <v>18</v>
      </c>
      <c r="I263" s="48" t="s">
        <v>19</v>
      </c>
      <c r="J263" s="132">
        <v>43249</v>
      </c>
      <c r="K263" s="58" t="s">
        <v>29</v>
      </c>
    </row>
    <row r="264" spans="1:13" x14ac:dyDescent="0.3">
      <c r="A264" s="237">
        <v>43242</v>
      </c>
      <c r="B264" s="130">
        <v>3</v>
      </c>
      <c r="C264" s="54">
        <v>122119</v>
      </c>
      <c r="D264" s="242">
        <v>60851</v>
      </c>
      <c r="E264" s="70">
        <v>4</v>
      </c>
      <c r="F264" s="248"/>
      <c r="G264" s="60"/>
      <c r="H264" s="60" t="s">
        <v>18</v>
      </c>
      <c r="I264" s="60" t="s">
        <v>15</v>
      </c>
      <c r="J264" s="134">
        <v>43250</v>
      </c>
      <c r="K264" s="58"/>
    </row>
    <row r="265" spans="1:13" x14ac:dyDescent="0.3">
      <c r="A265" s="237">
        <v>43242</v>
      </c>
      <c r="B265" s="130">
        <v>4</v>
      </c>
      <c r="C265" s="54">
        <v>121969</v>
      </c>
      <c r="D265" s="242">
        <v>60707</v>
      </c>
      <c r="E265" s="70">
        <v>26</v>
      </c>
      <c r="F265" s="248"/>
      <c r="G265" s="60"/>
      <c r="H265" s="60" t="s">
        <v>18</v>
      </c>
      <c r="I265" s="60" t="s">
        <v>54</v>
      </c>
      <c r="J265" s="134">
        <v>43251</v>
      </c>
      <c r="K265" s="58" t="s">
        <v>29</v>
      </c>
    </row>
    <row r="266" spans="1:13" x14ac:dyDescent="0.3">
      <c r="A266" s="237">
        <v>43242</v>
      </c>
      <c r="B266" s="130">
        <v>5</v>
      </c>
      <c r="C266" s="54">
        <v>122118</v>
      </c>
      <c r="D266" s="242">
        <v>60852</v>
      </c>
      <c r="E266" s="70">
        <v>18</v>
      </c>
      <c r="F266" s="248"/>
      <c r="G266" s="60"/>
      <c r="H266" s="60" t="s">
        <v>18</v>
      </c>
      <c r="I266" s="60" t="s">
        <v>15</v>
      </c>
      <c r="J266" s="134">
        <v>43250</v>
      </c>
      <c r="K266" s="58"/>
    </row>
    <row r="267" spans="1:13" x14ac:dyDescent="0.3">
      <c r="A267" s="237">
        <v>43241</v>
      </c>
      <c r="B267" s="80">
        <v>1</v>
      </c>
      <c r="C267" s="53">
        <v>121779</v>
      </c>
      <c r="D267" s="241">
        <v>60578</v>
      </c>
      <c r="E267" s="75">
        <v>12</v>
      </c>
      <c r="F267" s="93"/>
      <c r="G267" s="48"/>
      <c r="H267" s="48" t="s">
        <v>34</v>
      </c>
      <c r="I267" s="48" t="s">
        <v>17</v>
      </c>
      <c r="J267" s="132">
        <v>43243</v>
      </c>
      <c r="K267" s="58" t="s">
        <v>53</v>
      </c>
      <c r="L267" s="58" t="s">
        <v>52</v>
      </c>
    </row>
    <row r="268" spans="1:13" x14ac:dyDescent="0.3">
      <c r="A268" s="237">
        <v>43241</v>
      </c>
      <c r="B268" s="80">
        <v>2</v>
      </c>
      <c r="C268" s="54">
        <v>121983</v>
      </c>
      <c r="D268" s="242">
        <v>60712</v>
      </c>
      <c r="E268" s="70">
        <v>4</v>
      </c>
      <c r="F268" s="248"/>
      <c r="G268" s="60"/>
      <c r="H268" s="60" t="s">
        <v>18</v>
      </c>
      <c r="I268" s="60" t="s">
        <v>19</v>
      </c>
      <c r="J268" s="134">
        <v>43250</v>
      </c>
      <c r="K268" s="48"/>
    </row>
    <row r="269" spans="1:13" x14ac:dyDescent="0.3">
      <c r="A269" s="237">
        <v>43241</v>
      </c>
      <c r="B269" s="80">
        <v>3</v>
      </c>
      <c r="C269" s="53">
        <v>122086</v>
      </c>
      <c r="D269" s="241">
        <v>60777</v>
      </c>
      <c r="E269" s="72">
        <v>2</v>
      </c>
      <c r="F269" s="93"/>
      <c r="H269" s="48" t="s">
        <v>18</v>
      </c>
      <c r="I269" s="48" t="s">
        <v>51</v>
      </c>
      <c r="J269" s="134">
        <v>43262</v>
      </c>
      <c r="K269" s="48"/>
    </row>
    <row r="270" spans="1:13" x14ac:dyDescent="0.3">
      <c r="A270" s="237">
        <v>43241</v>
      </c>
      <c r="B270" s="80">
        <v>4</v>
      </c>
      <c r="C270" s="53">
        <v>121842</v>
      </c>
      <c r="D270" s="241">
        <v>60641</v>
      </c>
      <c r="E270" s="75">
        <v>1</v>
      </c>
      <c r="F270" s="93"/>
      <c r="G270" s="48"/>
      <c r="H270" s="48" t="s">
        <v>18</v>
      </c>
      <c r="I270" s="48" t="s">
        <v>50</v>
      </c>
      <c r="J270" s="132">
        <v>43251</v>
      </c>
      <c r="K270" s="58" t="s">
        <v>20</v>
      </c>
    </row>
    <row r="271" spans="1:13" x14ac:dyDescent="0.3">
      <c r="A271" s="237">
        <v>43241</v>
      </c>
      <c r="B271" s="80">
        <v>5</v>
      </c>
      <c r="C271" s="54">
        <v>121982</v>
      </c>
      <c r="D271" s="242">
        <v>60829</v>
      </c>
      <c r="E271" s="61">
        <v>4</v>
      </c>
      <c r="F271" s="248"/>
      <c r="G271" s="60"/>
      <c r="H271" s="60" t="s">
        <v>18</v>
      </c>
      <c r="I271" s="60" t="s">
        <v>49</v>
      </c>
      <c r="J271" s="134">
        <v>43251</v>
      </c>
      <c r="K271" s="58" t="s">
        <v>32</v>
      </c>
      <c r="L271" s="60" t="s">
        <v>48</v>
      </c>
      <c r="M271" s="60"/>
    </row>
    <row r="272" spans="1:13" x14ac:dyDescent="0.3">
      <c r="A272" s="237">
        <v>43243</v>
      </c>
      <c r="B272" s="127">
        <v>1</v>
      </c>
      <c r="C272" s="53">
        <v>121838</v>
      </c>
      <c r="D272" s="241">
        <v>60642</v>
      </c>
      <c r="E272" s="79">
        <v>57</v>
      </c>
      <c r="F272" s="93"/>
      <c r="G272" s="48"/>
      <c r="H272" s="48" t="s">
        <v>13</v>
      </c>
      <c r="I272" s="48" t="s">
        <v>19</v>
      </c>
      <c r="J272" s="132">
        <v>43248</v>
      </c>
      <c r="K272" s="58"/>
    </row>
    <row r="273" spans="1:14" x14ac:dyDescent="0.3">
      <c r="A273" s="237">
        <v>43243</v>
      </c>
      <c r="B273" s="127">
        <v>2</v>
      </c>
      <c r="C273" s="54">
        <v>122154</v>
      </c>
      <c r="D273" s="242">
        <v>60889</v>
      </c>
      <c r="E273" s="70">
        <v>10</v>
      </c>
      <c r="F273" s="248"/>
      <c r="G273" s="60"/>
      <c r="H273" s="48" t="s">
        <v>13</v>
      </c>
      <c r="I273" s="48" t="s">
        <v>19</v>
      </c>
      <c r="J273" s="132">
        <v>43248</v>
      </c>
      <c r="K273" s="58"/>
    </row>
    <row r="274" spans="1:14" x14ac:dyDescent="0.3">
      <c r="A274" s="237">
        <v>43243</v>
      </c>
      <c r="B274" s="127">
        <v>3</v>
      </c>
      <c r="C274" s="54">
        <v>121892</v>
      </c>
      <c r="D274" s="242">
        <v>60683</v>
      </c>
      <c r="E274" s="70">
        <v>12</v>
      </c>
      <c r="F274" s="248"/>
      <c r="G274" s="60"/>
      <c r="H274" s="60" t="s">
        <v>18</v>
      </c>
      <c r="I274" s="60" t="s">
        <v>19</v>
      </c>
      <c r="J274" s="134">
        <v>43255</v>
      </c>
      <c r="K274" s="58"/>
    </row>
    <row r="275" spans="1:14" x14ac:dyDescent="0.3">
      <c r="A275" s="237">
        <v>43243</v>
      </c>
      <c r="B275" s="127">
        <v>4</v>
      </c>
      <c r="C275" s="54">
        <v>122177</v>
      </c>
      <c r="D275" s="242">
        <v>60926</v>
      </c>
      <c r="E275" s="70">
        <v>4</v>
      </c>
      <c r="F275" s="93"/>
      <c r="H275" s="48" t="s">
        <v>13</v>
      </c>
      <c r="I275" s="48" t="s">
        <v>15</v>
      </c>
      <c r="J275" s="134">
        <v>43250</v>
      </c>
      <c r="K275" s="58"/>
    </row>
    <row r="276" spans="1:14" x14ac:dyDescent="0.3">
      <c r="A276" s="237">
        <v>43243</v>
      </c>
      <c r="B276" s="127">
        <v>5</v>
      </c>
      <c r="C276" s="53">
        <v>122038</v>
      </c>
      <c r="D276" s="241">
        <v>60752</v>
      </c>
      <c r="E276" s="75">
        <v>1</v>
      </c>
      <c r="F276" s="93"/>
      <c r="H276" s="48" t="s">
        <v>18</v>
      </c>
      <c r="I276" s="48" t="s">
        <v>19</v>
      </c>
      <c r="J276" s="134">
        <v>43255</v>
      </c>
      <c r="K276" s="58"/>
    </row>
    <row r="277" spans="1:14" x14ac:dyDescent="0.3">
      <c r="A277" s="237">
        <v>43243</v>
      </c>
      <c r="B277" s="127">
        <v>6</v>
      </c>
      <c r="C277" s="54">
        <v>122165</v>
      </c>
      <c r="D277" s="242">
        <v>60884</v>
      </c>
      <c r="E277" s="70">
        <v>1</v>
      </c>
      <c r="F277" s="93"/>
      <c r="H277" s="48" t="s">
        <v>18</v>
      </c>
      <c r="I277" s="48" t="s">
        <v>19</v>
      </c>
      <c r="J277" s="134">
        <v>43255</v>
      </c>
      <c r="K277" s="58"/>
    </row>
    <row r="278" spans="1:14" x14ac:dyDescent="0.3">
      <c r="A278" s="237">
        <v>43243</v>
      </c>
      <c r="B278" s="127">
        <v>7</v>
      </c>
      <c r="C278" s="54">
        <v>122217</v>
      </c>
      <c r="D278" s="242">
        <v>60930</v>
      </c>
      <c r="E278" s="70">
        <v>1</v>
      </c>
      <c r="F278" s="248"/>
      <c r="G278" s="60"/>
      <c r="H278" s="60" t="s">
        <v>13</v>
      </c>
      <c r="I278" s="60" t="s">
        <v>47</v>
      </c>
      <c r="J278" s="134">
        <v>43250</v>
      </c>
      <c r="K278" s="58"/>
    </row>
    <row r="279" spans="1:14" x14ac:dyDescent="0.3">
      <c r="A279" s="237">
        <v>43243</v>
      </c>
      <c r="B279" s="127">
        <v>8</v>
      </c>
      <c r="C279" s="54">
        <v>121886</v>
      </c>
      <c r="D279" s="242">
        <v>60929</v>
      </c>
      <c r="E279" s="70">
        <v>1</v>
      </c>
      <c r="F279" s="248"/>
      <c r="G279" s="60"/>
      <c r="H279" s="60" t="s">
        <v>13</v>
      </c>
      <c r="I279" s="60" t="s">
        <v>47</v>
      </c>
      <c r="J279" s="134">
        <v>43244</v>
      </c>
      <c r="K279" s="58"/>
    </row>
    <row r="280" spans="1:14" x14ac:dyDescent="0.3">
      <c r="A280" s="237">
        <v>43243</v>
      </c>
      <c r="B280" s="127">
        <v>9</v>
      </c>
      <c r="C280" s="54">
        <v>121607</v>
      </c>
      <c r="D280" s="242">
        <v>60944</v>
      </c>
      <c r="E280" s="70">
        <v>1</v>
      </c>
      <c r="F280" s="248"/>
      <c r="G280" s="60"/>
      <c r="H280" s="60" t="s">
        <v>18</v>
      </c>
      <c r="I280" s="60" t="s">
        <v>27</v>
      </c>
      <c r="J280" s="134">
        <v>43244</v>
      </c>
      <c r="K280" s="58"/>
    </row>
    <row r="281" spans="1:14" x14ac:dyDescent="0.3">
      <c r="A281" s="237">
        <v>43244</v>
      </c>
      <c r="B281" s="65">
        <v>1</v>
      </c>
      <c r="C281" s="54">
        <v>122189</v>
      </c>
      <c r="D281" s="242">
        <v>60913</v>
      </c>
      <c r="E281" s="70">
        <v>31</v>
      </c>
      <c r="F281" s="93"/>
      <c r="H281" s="48" t="s">
        <v>34</v>
      </c>
      <c r="I281" s="48" t="s">
        <v>19</v>
      </c>
      <c r="J281" s="134">
        <v>43251</v>
      </c>
      <c r="K281" s="58"/>
    </row>
    <row r="282" spans="1:14" x14ac:dyDescent="0.3">
      <c r="A282" s="237">
        <v>43244</v>
      </c>
      <c r="B282" s="65">
        <v>2</v>
      </c>
      <c r="C282" s="54">
        <v>122238</v>
      </c>
      <c r="D282" s="242">
        <v>60959</v>
      </c>
      <c r="E282" s="70">
        <v>8</v>
      </c>
      <c r="F282" s="248"/>
      <c r="G282" s="60"/>
      <c r="H282" s="60" t="s">
        <v>13</v>
      </c>
      <c r="I282" s="60" t="s">
        <v>21</v>
      </c>
      <c r="J282" s="134">
        <v>43250</v>
      </c>
      <c r="K282" s="58" t="s">
        <v>40</v>
      </c>
    </row>
    <row r="283" spans="1:14" x14ac:dyDescent="0.3">
      <c r="A283" s="237">
        <v>43244</v>
      </c>
      <c r="B283" s="65">
        <v>3</v>
      </c>
      <c r="C283" s="54">
        <v>122218</v>
      </c>
      <c r="D283" s="242">
        <v>60951</v>
      </c>
      <c r="E283" s="70">
        <v>1</v>
      </c>
      <c r="F283" s="248"/>
      <c r="G283" s="60"/>
      <c r="H283" s="60" t="s">
        <v>13</v>
      </c>
      <c r="I283" s="60" t="s">
        <v>14</v>
      </c>
      <c r="J283" s="134">
        <v>43250</v>
      </c>
      <c r="K283" s="58"/>
    </row>
    <row r="284" spans="1:14" x14ac:dyDescent="0.3">
      <c r="A284" s="237">
        <v>43244</v>
      </c>
      <c r="B284" s="65">
        <v>4</v>
      </c>
      <c r="C284" s="54">
        <v>122225</v>
      </c>
      <c r="D284" s="242">
        <v>60956</v>
      </c>
      <c r="E284" s="70">
        <v>11</v>
      </c>
      <c r="F284" s="248"/>
      <c r="G284" s="60"/>
      <c r="H284" s="60" t="s">
        <v>13</v>
      </c>
      <c r="I284" s="60" t="s">
        <v>36</v>
      </c>
      <c r="J284" s="134">
        <v>43251</v>
      </c>
      <c r="K284" s="58"/>
    </row>
    <row r="285" spans="1:14" x14ac:dyDescent="0.3">
      <c r="A285" s="237">
        <v>43244</v>
      </c>
      <c r="B285" s="65">
        <v>5</v>
      </c>
      <c r="C285" s="53">
        <v>120833</v>
      </c>
      <c r="D285" s="241">
        <v>59806</v>
      </c>
      <c r="E285" s="75">
        <v>1</v>
      </c>
      <c r="F285" s="93"/>
      <c r="G285" s="51"/>
      <c r="H285" s="51" t="s">
        <v>18</v>
      </c>
      <c r="I285" s="51" t="s">
        <v>19</v>
      </c>
      <c r="J285" s="133">
        <v>43209</v>
      </c>
      <c r="K285" s="78"/>
      <c r="L285" s="51" t="s">
        <v>46</v>
      </c>
      <c r="M285" s="51"/>
      <c r="N285" s="51"/>
    </row>
    <row r="286" spans="1:14" x14ac:dyDescent="0.3">
      <c r="A286" s="237">
        <v>43244</v>
      </c>
      <c r="B286" s="65">
        <v>6</v>
      </c>
      <c r="C286" s="54">
        <v>121883</v>
      </c>
      <c r="D286" s="242">
        <v>60660</v>
      </c>
      <c r="E286" s="70">
        <v>1</v>
      </c>
      <c r="F286" s="248"/>
      <c r="G286" s="60"/>
      <c r="H286" s="60" t="s">
        <v>18</v>
      </c>
      <c r="I286" s="60" t="s">
        <v>19</v>
      </c>
      <c r="J286" s="134">
        <v>43257</v>
      </c>
      <c r="K286" s="58"/>
    </row>
    <row r="287" spans="1:14" x14ac:dyDescent="0.3">
      <c r="A287" s="237">
        <v>43244</v>
      </c>
      <c r="B287" s="65">
        <v>7</v>
      </c>
      <c r="C287" s="54">
        <v>121882</v>
      </c>
      <c r="D287" s="242">
        <v>60659</v>
      </c>
      <c r="E287" s="70">
        <v>1</v>
      </c>
      <c r="F287" s="248"/>
      <c r="G287" s="60"/>
      <c r="H287" s="60" t="s">
        <v>18</v>
      </c>
      <c r="I287" s="60" t="s">
        <v>30</v>
      </c>
      <c r="J287" s="134">
        <v>43257</v>
      </c>
      <c r="K287" s="66" t="s">
        <v>45</v>
      </c>
    </row>
    <row r="288" spans="1:14" x14ac:dyDescent="0.3">
      <c r="A288" s="237">
        <v>43244</v>
      </c>
      <c r="B288" s="65">
        <v>8</v>
      </c>
      <c r="C288" s="54">
        <v>122149</v>
      </c>
      <c r="D288" s="242">
        <v>60857</v>
      </c>
      <c r="E288" s="70">
        <v>1</v>
      </c>
      <c r="F288" s="248"/>
      <c r="G288" s="60"/>
      <c r="H288" s="60" t="s">
        <v>18</v>
      </c>
      <c r="I288" s="60" t="s">
        <v>19</v>
      </c>
      <c r="J288" s="134">
        <v>43265</v>
      </c>
      <c r="K288" s="66" t="s">
        <v>44</v>
      </c>
    </row>
    <row r="289" spans="1:11" x14ac:dyDescent="0.3">
      <c r="A289" s="237">
        <v>43244</v>
      </c>
      <c r="B289" s="65">
        <v>9</v>
      </c>
      <c r="C289" s="54">
        <v>121947</v>
      </c>
      <c r="D289" s="242">
        <v>60695</v>
      </c>
      <c r="E289" s="70">
        <v>2</v>
      </c>
      <c r="F289" s="248"/>
      <c r="G289" s="60"/>
      <c r="H289" s="60" t="s">
        <v>18</v>
      </c>
      <c r="I289" s="60" t="s">
        <v>43</v>
      </c>
      <c r="J289" s="134">
        <v>43257</v>
      </c>
      <c r="K289" s="66"/>
    </row>
    <row r="290" spans="1:11" x14ac:dyDescent="0.3">
      <c r="A290" s="237">
        <v>43244</v>
      </c>
      <c r="B290" s="65">
        <v>10</v>
      </c>
      <c r="C290" s="54">
        <v>121940</v>
      </c>
      <c r="D290" s="242">
        <v>60694</v>
      </c>
      <c r="E290" s="70">
        <v>6</v>
      </c>
      <c r="F290" s="248"/>
      <c r="G290" s="60"/>
      <c r="H290" s="60" t="s">
        <v>18</v>
      </c>
      <c r="I290" s="60" t="s">
        <v>43</v>
      </c>
      <c r="J290" s="134">
        <v>43257</v>
      </c>
      <c r="K290" s="66"/>
    </row>
    <row r="291" spans="1:11" x14ac:dyDescent="0.3">
      <c r="A291" s="237">
        <v>43244</v>
      </c>
      <c r="B291" s="65">
        <v>11</v>
      </c>
      <c r="C291" s="54">
        <v>121995</v>
      </c>
      <c r="D291" s="242">
        <v>60715</v>
      </c>
      <c r="E291" s="70">
        <v>8</v>
      </c>
      <c r="F291" s="248"/>
      <c r="G291" s="60"/>
      <c r="H291" s="60" t="s">
        <v>18</v>
      </c>
      <c r="I291" s="60" t="s">
        <v>19</v>
      </c>
      <c r="J291" s="134">
        <v>43257</v>
      </c>
      <c r="K291" s="66"/>
    </row>
    <row r="292" spans="1:11" x14ac:dyDescent="0.3">
      <c r="A292" s="237">
        <v>43244</v>
      </c>
      <c r="B292" s="65">
        <v>12</v>
      </c>
      <c r="C292" s="54">
        <v>122233</v>
      </c>
      <c r="D292" s="242">
        <v>60957</v>
      </c>
      <c r="E292" s="68">
        <v>1</v>
      </c>
      <c r="F292" s="93"/>
      <c r="H292" s="60" t="s">
        <v>23</v>
      </c>
      <c r="I292" s="60" t="s">
        <v>25</v>
      </c>
      <c r="J292" s="134">
        <v>43257</v>
      </c>
      <c r="K292" s="66"/>
    </row>
    <row r="293" spans="1:11" x14ac:dyDescent="0.3">
      <c r="A293" s="237">
        <v>43244</v>
      </c>
      <c r="B293" s="65">
        <v>13</v>
      </c>
      <c r="C293" s="54">
        <v>122180</v>
      </c>
      <c r="D293" s="242">
        <v>60901</v>
      </c>
      <c r="E293" s="70">
        <v>9</v>
      </c>
      <c r="F293" s="93"/>
      <c r="H293" s="60" t="s">
        <v>23</v>
      </c>
      <c r="I293" s="60" t="s">
        <v>42</v>
      </c>
      <c r="J293" s="134">
        <v>43257</v>
      </c>
      <c r="K293" s="58" t="s">
        <v>40</v>
      </c>
    </row>
    <row r="294" spans="1:11" x14ac:dyDescent="0.3">
      <c r="A294" s="237">
        <v>43244</v>
      </c>
      <c r="B294" s="65">
        <v>14</v>
      </c>
      <c r="C294" s="54">
        <v>121996</v>
      </c>
      <c r="D294" s="242">
        <v>60714</v>
      </c>
      <c r="E294" s="70">
        <v>2</v>
      </c>
      <c r="F294" s="248"/>
      <c r="G294" s="60"/>
      <c r="H294" s="60" t="s">
        <v>18</v>
      </c>
      <c r="I294" s="60" t="s">
        <v>19</v>
      </c>
      <c r="J294" s="134">
        <v>43257</v>
      </c>
      <c r="K294" s="58"/>
    </row>
    <row r="295" spans="1:11" x14ac:dyDescent="0.3">
      <c r="A295" s="237">
        <v>43244</v>
      </c>
      <c r="B295" s="65">
        <v>15</v>
      </c>
      <c r="C295" s="54">
        <v>121691</v>
      </c>
      <c r="D295" s="242">
        <v>61026</v>
      </c>
      <c r="E295" s="70">
        <v>2</v>
      </c>
      <c r="F295" s="248"/>
      <c r="G295" s="60"/>
      <c r="H295" s="60" t="s">
        <v>18</v>
      </c>
      <c r="I295" s="60" t="s">
        <v>30</v>
      </c>
      <c r="J295" s="134">
        <v>43243</v>
      </c>
      <c r="K295" s="66"/>
    </row>
    <row r="296" spans="1:11" x14ac:dyDescent="0.3">
      <c r="A296" s="237">
        <v>43245</v>
      </c>
      <c r="B296" s="74">
        <v>1</v>
      </c>
      <c r="C296" s="54">
        <v>122227</v>
      </c>
      <c r="D296" s="242">
        <v>60931</v>
      </c>
      <c r="E296" s="70">
        <v>17</v>
      </c>
      <c r="F296" s="248"/>
      <c r="G296" s="60"/>
      <c r="H296" s="60" t="s">
        <v>23</v>
      </c>
      <c r="I296" s="60" t="s">
        <v>19</v>
      </c>
      <c r="J296" s="134">
        <v>43256</v>
      </c>
      <c r="K296" s="58"/>
    </row>
    <row r="297" spans="1:11" x14ac:dyDescent="0.3">
      <c r="A297" s="237">
        <v>43245</v>
      </c>
      <c r="B297" s="74">
        <v>2</v>
      </c>
      <c r="C297" s="54">
        <v>122221</v>
      </c>
      <c r="D297" s="242">
        <v>60952</v>
      </c>
      <c r="E297" s="69">
        <v>4</v>
      </c>
      <c r="F297" s="248"/>
      <c r="G297" s="60"/>
      <c r="H297" s="60" t="s">
        <v>13</v>
      </c>
      <c r="I297" s="60" t="s">
        <v>19</v>
      </c>
      <c r="J297" s="134">
        <v>43258</v>
      </c>
      <c r="K297" s="58" t="s">
        <v>35</v>
      </c>
    </row>
    <row r="298" spans="1:11" x14ac:dyDescent="0.3">
      <c r="A298" s="237">
        <v>43245</v>
      </c>
      <c r="B298" s="74">
        <v>3</v>
      </c>
      <c r="C298" s="53">
        <v>121451</v>
      </c>
      <c r="D298" s="241">
        <v>60924</v>
      </c>
      <c r="E298" s="75">
        <v>70</v>
      </c>
      <c r="F298" s="93"/>
      <c r="H298" s="48" t="s">
        <v>18</v>
      </c>
      <c r="I298" s="48" t="s">
        <v>41</v>
      </c>
      <c r="J298" s="134">
        <v>43252</v>
      </c>
      <c r="K298" s="58" t="s">
        <v>40</v>
      </c>
    </row>
    <row r="299" spans="1:11" x14ac:dyDescent="0.3">
      <c r="A299" s="237">
        <v>43245</v>
      </c>
      <c r="B299" s="74">
        <v>4</v>
      </c>
      <c r="C299" s="53">
        <v>121453</v>
      </c>
      <c r="D299" s="241">
        <v>60925</v>
      </c>
      <c r="E299" s="75">
        <v>2</v>
      </c>
      <c r="F299" s="93"/>
      <c r="H299" s="48" t="s">
        <v>18</v>
      </c>
      <c r="I299" s="48" t="s">
        <v>41</v>
      </c>
      <c r="J299" s="134">
        <v>43252</v>
      </c>
      <c r="K299" s="58" t="s">
        <v>40</v>
      </c>
    </row>
    <row r="300" spans="1:11" x14ac:dyDescent="0.3">
      <c r="A300" s="237">
        <v>43245</v>
      </c>
      <c r="B300" s="74">
        <v>5</v>
      </c>
      <c r="C300" s="53" t="s">
        <v>39</v>
      </c>
      <c r="D300" s="242">
        <v>60962</v>
      </c>
      <c r="E300" s="70">
        <v>1</v>
      </c>
      <c r="F300" s="93"/>
      <c r="H300" s="60" t="s">
        <v>13</v>
      </c>
      <c r="I300" s="60" t="s">
        <v>36</v>
      </c>
      <c r="J300" s="134">
        <v>43243</v>
      </c>
      <c r="K300" s="58"/>
    </row>
    <row r="301" spans="1:11" x14ac:dyDescent="0.3">
      <c r="A301" s="237">
        <v>43248</v>
      </c>
      <c r="B301" s="129">
        <v>1</v>
      </c>
      <c r="C301" s="54">
        <v>121823</v>
      </c>
      <c r="D301" s="242">
        <v>60624</v>
      </c>
      <c r="E301" s="73">
        <v>2</v>
      </c>
      <c r="F301" s="248"/>
      <c r="G301" s="60"/>
      <c r="H301" s="60" t="s">
        <v>18</v>
      </c>
      <c r="I301" s="60" t="s">
        <v>19</v>
      </c>
      <c r="J301" s="134">
        <v>43257</v>
      </c>
      <c r="K301" s="58"/>
    </row>
    <row r="302" spans="1:11" x14ac:dyDescent="0.3">
      <c r="A302" s="237">
        <v>43248</v>
      </c>
      <c r="B302" s="129">
        <v>2</v>
      </c>
      <c r="C302" s="54">
        <v>121822</v>
      </c>
      <c r="D302" s="242">
        <v>60625</v>
      </c>
      <c r="E302" s="73">
        <v>12</v>
      </c>
      <c r="F302" s="248"/>
      <c r="G302" s="60"/>
      <c r="H302" s="60" t="s">
        <v>23</v>
      </c>
      <c r="I302" s="60" t="s">
        <v>19</v>
      </c>
      <c r="J302" s="134">
        <v>43257</v>
      </c>
      <c r="K302" s="58"/>
    </row>
    <row r="303" spans="1:11" x14ac:dyDescent="0.3">
      <c r="A303" s="237">
        <v>43248</v>
      </c>
      <c r="B303" s="129">
        <v>3</v>
      </c>
      <c r="C303" s="54">
        <v>121821</v>
      </c>
      <c r="D303" s="242">
        <v>60623</v>
      </c>
      <c r="E303" s="73">
        <v>10</v>
      </c>
      <c r="F303" s="248"/>
      <c r="G303" s="60"/>
      <c r="H303" s="60" t="s">
        <v>18</v>
      </c>
      <c r="I303" s="60" t="s">
        <v>19</v>
      </c>
      <c r="J303" s="134">
        <v>43257</v>
      </c>
      <c r="K303" s="58"/>
    </row>
    <row r="304" spans="1:11" x14ac:dyDescent="0.3">
      <c r="A304" s="237">
        <v>43248</v>
      </c>
      <c r="B304" s="129">
        <v>4</v>
      </c>
      <c r="C304" s="54">
        <v>121820</v>
      </c>
      <c r="D304" s="242">
        <v>60622</v>
      </c>
      <c r="E304" s="70">
        <v>15</v>
      </c>
      <c r="F304" s="248"/>
      <c r="G304" s="60"/>
      <c r="H304" s="60" t="s">
        <v>18</v>
      </c>
      <c r="I304" s="60" t="s">
        <v>19</v>
      </c>
      <c r="J304" s="134">
        <v>43257</v>
      </c>
      <c r="K304" s="58" t="s">
        <v>37</v>
      </c>
    </row>
    <row r="305" spans="1:11" x14ac:dyDescent="0.3">
      <c r="A305" s="237">
        <v>43248</v>
      </c>
      <c r="B305" s="129">
        <v>5</v>
      </c>
      <c r="C305" s="54">
        <v>121819</v>
      </c>
      <c r="D305" s="242">
        <v>60620</v>
      </c>
      <c r="E305" s="73">
        <v>2</v>
      </c>
      <c r="F305" s="248"/>
      <c r="G305" s="60"/>
      <c r="H305" s="60" t="s">
        <v>18</v>
      </c>
      <c r="I305" s="60" t="s">
        <v>19</v>
      </c>
      <c r="J305" s="134">
        <v>43257</v>
      </c>
      <c r="K305" s="58"/>
    </row>
    <row r="306" spans="1:11" x14ac:dyDescent="0.3">
      <c r="A306" s="237">
        <v>43248</v>
      </c>
      <c r="B306" s="129">
        <v>6</v>
      </c>
      <c r="C306" s="54">
        <v>121818</v>
      </c>
      <c r="D306" s="242">
        <v>60621</v>
      </c>
      <c r="E306" s="70">
        <v>15</v>
      </c>
      <c r="F306" s="248"/>
      <c r="G306" s="60"/>
      <c r="H306" s="60" t="s">
        <v>18</v>
      </c>
      <c r="I306" s="60" t="s">
        <v>19</v>
      </c>
      <c r="J306" s="134">
        <v>43257</v>
      </c>
      <c r="K306" s="58" t="s">
        <v>37</v>
      </c>
    </row>
    <row r="307" spans="1:11" x14ac:dyDescent="0.3">
      <c r="A307" s="237">
        <v>43248</v>
      </c>
      <c r="B307" s="129">
        <v>7</v>
      </c>
      <c r="C307" s="54">
        <v>121817</v>
      </c>
      <c r="D307" s="242">
        <v>60619</v>
      </c>
      <c r="E307" s="73">
        <v>4</v>
      </c>
      <c r="F307" s="248"/>
      <c r="G307" s="60"/>
      <c r="H307" s="60" t="s">
        <v>18</v>
      </c>
      <c r="I307" s="60" t="s">
        <v>19</v>
      </c>
      <c r="J307" s="134">
        <v>43257</v>
      </c>
      <c r="K307" s="58"/>
    </row>
    <row r="308" spans="1:11" x14ac:dyDescent="0.3">
      <c r="A308" s="237">
        <v>43248</v>
      </c>
      <c r="B308" s="129">
        <v>8</v>
      </c>
      <c r="C308" s="54">
        <v>121816</v>
      </c>
      <c r="D308" s="242">
        <v>60618</v>
      </c>
      <c r="E308" s="73">
        <v>6</v>
      </c>
      <c r="F308" s="248"/>
      <c r="G308" s="60"/>
      <c r="H308" s="60" t="s">
        <v>18</v>
      </c>
      <c r="I308" s="60" t="s">
        <v>19</v>
      </c>
      <c r="J308" s="134">
        <v>43257</v>
      </c>
      <c r="K308" s="58"/>
    </row>
    <row r="309" spans="1:11" x14ac:dyDescent="0.3">
      <c r="A309" s="237">
        <v>43248</v>
      </c>
      <c r="B309" s="129">
        <v>9</v>
      </c>
      <c r="C309" s="54">
        <v>121813</v>
      </c>
      <c r="D309" s="242">
        <v>60617</v>
      </c>
      <c r="E309" s="64">
        <v>12</v>
      </c>
      <c r="F309" s="248"/>
      <c r="G309" s="60"/>
      <c r="H309" s="60" t="s">
        <v>23</v>
      </c>
      <c r="I309" s="60" t="s">
        <v>19</v>
      </c>
      <c r="J309" s="134">
        <v>43257</v>
      </c>
      <c r="K309" s="58"/>
    </row>
    <row r="310" spans="1:11" x14ac:dyDescent="0.3">
      <c r="A310" s="237">
        <v>43248</v>
      </c>
      <c r="B310" s="129">
        <v>10</v>
      </c>
      <c r="C310" s="54">
        <v>121824</v>
      </c>
      <c r="D310" s="242">
        <v>60626</v>
      </c>
      <c r="E310" s="73">
        <v>2</v>
      </c>
      <c r="F310" s="248"/>
      <c r="G310" s="60"/>
      <c r="H310" s="60" t="s">
        <v>18</v>
      </c>
      <c r="I310" s="60" t="s">
        <v>19</v>
      </c>
      <c r="J310" s="134">
        <v>43257</v>
      </c>
      <c r="K310" s="58"/>
    </row>
    <row r="311" spans="1:11" x14ac:dyDescent="0.3">
      <c r="A311" s="237">
        <v>43248</v>
      </c>
      <c r="B311" s="129">
        <v>11</v>
      </c>
      <c r="C311" s="54">
        <v>121807</v>
      </c>
      <c r="D311" s="242">
        <v>60615</v>
      </c>
      <c r="E311" s="73">
        <v>2</v>
      </c>
      <c r="F311" s="248"/>
      <c r="G311" s="60"/>
      <c r="H311" s="60" t="s">
        <v>18</v>
      </c>
      <c r="I311" s="60" t="s">
        <v>19</v>
      </c>
      <c r="J311" s="134">
        <v>43257</v>
      </c>
      <c r="K311" s="58"/>
    </row>
    <row r="312" spans="1:11" x14ac:dyDescent="0.3">
      <c r="A312" s="237">
        <v>43248</v>
      </c>
      <c r="B312" s="129">
        <v>12</v>
      </c>
      <c r="C312" s="54">
        <v>121806</v>
      </c>
      <c r="D312" s="242">
        <v>60616</v>
      </c>
      <c r="E312" s="70">
        <v>15</v>
      </c>
      <c r="F312" s="248"/>
      <c r="G312" s="60"/>
      <c r="H312" s="60" t="s">
        <v>18</v>
      </c>
      <c r="I312" s="60" t="s">
        <v>19</v>
      </c>
      <c r="J312" s="134">
        <v>43257</v>
      </c>
      <c r="K312" s="58" t="s">
        <v>38</v>
      </c>
    </row>
    <row r="313" spans="1:11" x14ac:dyDescent="0.3">
      <c r="A313" s="237">
        <v>43248</v>
      </c>
      <c r="B313" s="129">
        <v>13</v>
      </c>
      <c r="C313" s="54">
        <v>121805</v>
      </c>
      <c r="D313" s="242">
        <v>60614</v>
      </c>
      <c r="E313" s="67">
        <v>12</v>
      </c>
      <c r="F313" s="248"/>
      <c r="G313" s="60"/>
      <c r="H313" s="60" t="s">
        <v>23</v>
      </c>
      <c r="I313" s="60" t="s">
        <v>19</v>
      </c>
      <c r="J313" s="134">
        <v>43257</v>
      </c>
      <c r="K313" s="58"/>
    </row>
    <row r="314" spans="1:11" x14ac:dyDescent="0.3">
      <c r="A314" s="237">
        <v>43248</v>
      </c>
      <c r="B314" s="129">
        <v>14</v>
      </c>
      <c r="C314" s="54">
        <v>121804</v>
      </c>
      <c r="D314" s="242">
        <v>60613</v>
      </c>
      <c r="E314" s="73">
        <v>10</v>
      </c>
      <c r="F314" s="248"/>
      <c r="G314" s="60"/>
      <c r="H314" s="60" t="s">
        <v>18</v>
      </c>
      <c r="I314" s="60" t="s">
        <v>19</v>
      </c>
      <c r="J314" s="134">
        <v>43257</v>
      </c>
      <c r="K314" s="58"/>
    </row>
    <row r="315" spans="1:11" x14ac:dyDescent="0.3">
      <c r="A315" s="237">
        <v>43248</v>
      </c>
      <c r="B315" s="129">
        <v>15</v>
      </c>
      <c r="C315" s="54">
        <v>121803</v>
      </c>
      <c r="D315" s="242">
        <v>60611</v>
      </c>
      <c r="E315" s="73">
        <v>2</v>
      </c>
      <c r="F315" s="248"/>
      <c r="G315" s="60"/>
      <c r="H315" s="60" t="s">
        <v>18</v>
      </c>
      <c r="I315" s="60" t="s">
        <v>19</v>
      </c>
      <c r="J315" s="134">
        <v>43257</v>
      </c>
      <c r="K315" s="58"/>
    </row>
    <row r="316" spans="1:11" x14ac:dyDescent="0.3">
      <c r="A316" s="237">
        <v>43248</v>
      </c>
      <c r="B316" s="129">
        <v>16</v>
      </c>
      <c r="C316" s="54">
        <v>121802</v>
      </c>
      <c r="D316" s="242">
        <v>60610</v>
      </c>
      <c r="E316" s="70">
        <v>15</v>
      </c>
      <c r="F316" s="248"/>
      <c r="G316" s="60"/>
      <c r="H316" s="60" t="s">
        <v>18</v>
      </c>
      <c r="I316" s="60" t="s">
        <v>19</v>
      </c>
      <c r="J316" s="134">
        <v>43257</v>
      </c>
      <c r="K316" s="58" t="s">
        <v>37</v>
      </c>
    </row>
    <row r="317" spans="1:11" x14ac:dyDescent="0.3">
      <c r="A317" s="237">
        <v>43248</v>
      </c>
      <c r="B317" s="129">
        <v>17</v>
      </c>
      <c r="C317" s="54">
        <v>121801</v>
      </c>
      <c r="D317" s="242">
        <v>60609</v>
      </c>
      <c r="E317" s="64">
        <v>12</v>
      </c>
      <c r="F317" s="248"/>
      <c r="G317" s="60"/>
      <c r="H317" s="60" t="s">
        <v>23</v>
      </c>
      <c r="I317" s="60" t="s">
        <v>19</v>
      </c>
      <c r="J317" s="134">
        <v>43257</v>
      </c>
      <c r="K317" s="58"/>
    </row>
    <row r="318" spans="1:11" x14ac:dyDescent="0.3">
      <c r="A318" s="237">
        <v>43248</v>
      </c>
      <c r="B318" s="129">
        <v>18</v>
      </c>
      <c r="C318" s="54">
        <v>121800</v>
      </c>
      <c r="D318" s="242">
        <v>60608</v>
      </c>
      <c r="E318" s="73">
        <v>10</v>
      </c>
      <c r="F318" s="248"/>
      <c r="G318" s="60"/>
      <c r="H318" s="60" t="s">
        <v>18</v>
      </c>
      <c r="I318" s="60" t="s">
        <v>19</v>
      </c>
      <c r="J318" s="134">
        <v>43257</v>
      </c>
      <c r="K318" s="58"/>
    </row>
    <row r="319" spans="1:11" x14ac:dyDescent="0.3">
      <c r="A319" s="237">
        <v>43248</v>
      </c>
      <c r="B319" s="129">
        <v>19</v>
      </c>
      <c r="C319" s="54">
        <v>121799</v>
      </c>
      <c r="D319" s="242">
        <v>60607</v>
      </c>
      <c r="E319" s="70">
        <v>26</v>
      </c>
      <c r="F319" s="248"/>
      <c r="G319" s="60"/>
      <c r="H319" s="60" t="s">
        <v>23</v>
      </c>
      <c r="I319" s="60" t="s">
        <v>19</v>
      </c>
      <c r="J319" s="134">
        <v>43257</v>
      </c>
      <c r="K319" s="58"/>
    </row>
    <row r="320" spans="1:11" x14ac:dyDescent="0.3">
      <c r="A320" s="237">
        <v>43249</v>
      </c>
      <c r="B320" s="130">
        <v>1</v>
      </c>
      <c r="C320" s="54">
        <v>122240</v>
      </c>
      <c r="D320" s="242">
        <v>61001</v>
      </c>
      <c r="E320" s="68">
        <v>1</v>
      </c>
      <c r="F320" s="248"/>
      <c r="G320" s="60"/>
      <c r="H320" s="60" t="s">
        <v>13</v>
      </c>
      <c r="I320" s="60" t="s">
        <v>21</v>
      </c>
      <c r="J320" s="134">
        <v>43257</v>
      </c>
      <c r="K320" s="58"/>
    </row>
    <row r="321" spans="1:12" x14ac:dyDescent="0.3">
      <c r="A321" s="237">
        <v>43249</v>
      </c>
      <c r="B321" s="130">
        <v>2</v>
      </c>
      <c r="C321" s="54">
        <v>121984</v>
      </c>
      <c r="D321" s="242">
        <v>60822</v>
      </c>
      <c r="E321" s="67">
        <v>11</v>
      </c>
      <c r="F321" s="93"/>
      <c r="H321" s="60" t="s">
        <v>13</v>
      </c>
      <c r="I321" s="60" t="s">
        <v>15</v>
      </c>
      <c r="J321" s="134">
        <v>43257</v>
      </c>
      <c r="K321" s="58"/>
    </row>
    <row r="322" spans="1:12" x14ac:dyDescent="0.3">
      <c r="A322" s="237">
        <v>43249</v>
      </c>
      <c r="B322" s="130">
        <v>3</v>
      </c>
      <c r="C322" s="54">
        <v>121987</v>
      </c>
      <c r="D322" s="242">
        <v>60820</v>
      </c>
      <c r="E322" s="68">
        <v>1</v>
      </c>
      <c r="F322" s="93"/>
      <c r="H322" s="60" t="s">
        <v>13</v>
      </c>
      <c r="I322" s="60" t="s">
        <v>15</v>
      </c>
      <c r="J322" s="134">
        <v>43257</v>
      </c>
      <c r="K322" s="58"/>
    </row>
    <row r="323" spans="1:12" x14ac:dyDescent="0.3">
      <c r="A323" s="237">
        <v>43249</v>
      </c>
      <c r="B323" s="130">
        <v>4</v>
      </c>
      <c r="C323" s="54">
        <v>121988</v>
      </c>
      <c r="D323" s="242">
        <v>60819</v>
      </c>
      <c r="E323" s="70">
        <v>14</v>
      </c>
      <c r="F323" s="93"/>
      <c r="H323" s="60" t="s">
        <v>13</v>
      </c>
      <c r="I323" s="60" t="s">
        <v>15</v>
      </c>
      <c r="J323" s="134">
        <v>43257</v>
      </c>
      <c r="K323" s="58"/>
    </row>
    <row r="324" spans="1:12" x14ac:dyDescent="0.3">
      <c r="A324" s="237">
        <v>43249</v>
      </c>
      <c r="B324" s="130">
        <v>5</v>
      </c>
      <c r="C324" s="54">
        <v>121989</v>
      </c>
      <c r="D324" s="242">
        <v>60818</v>
      </c>
      <c r="E324" s="68">
        <v>9</v>
      </c>
      <c r="F324" s="93"/>
      <c r="H324" s="60" t="s">
        <v>13</v>
      </c>
      <c r="I324" s="60" t="s">
        <v>15</v>
      </c>
      <c r="J324" s="134">
        <v>43257</v>
      </c>
      <c r="K324" s="58"/>
    </row>
    <row r="325" spans="1:12" x14ac:dyDescent="0.3">
      <c r="A325" s="237">
        <v>43249</v>
      </c>
      <c r="B325" s="130">
        <v>6</v>
      </c>
      <c r="C325" s="54">
        <v>121990</v>
      </c>
      <c r="D325" s="242">
        <v>60823</v>
      </c>
      <c r="E325" s="70">
        <v>7</v>
      </c>
      <c r="F325" s="93"/>
      <c r="H325" s="60" t="s">
        <v>13</v>
      </c>
      <c r="I325" s="60" t="s">
        <v>15</v>
      </c>
      <c r="J325" s="134">
        <v>43257</v>
      </c>
      <c r="K325" s="58"/>
    </row>
    <row r="326" spans="1:12" x14ac:dyDescent="0.3">
      <c r="A326" s="237">
        <v>43249</v>
      </c>
      <c r="B326" s="130">
        <v>7</v>
      </c>
      <c r="C326" s="54">
        <v>121992</v>
      </c>
      <c r="D326" s="242">
        <v>60821</v>
      </c>
      <c r="E326" s="70">
        <v>8</v>
      </c>
      <c r="F326" s="93"/>
      <c r="H326" s="60" t="s">
        <v>13</v>
      </c>
      <c r="I326" s="60" t="s">
        <v>15</v>
      </c>
      <c r="J326" s="134">
        <v>43257</v>
      </c>
      <c r="K326" s="58"/>
    </row>
    <row r="327" spans="1:12" x14ac:dyDescent="0.3">
      <c r="A327" s="237">
        <v>43249</v>
      </c>
      <c r="B327" s="130">
        <v>8</v>
      </c>
      <c r="C327" s="54">
        <v>122203</v>
      </c>
      <c r="D327" s="242">
        <v>61000</v>
      </c>
      <c r="E327" s="70">
        <v>1</v>
      </c>
      <c r="F327" s="93"/>
      <c r="H327" s="60" t="s">
        <v>13</v>
      </c>
      <c r="I327" s="60" t="s">
        <v>21</v>
      </c>
      <c r="J327" s="134">
        <v>43257</v>
      </c>
      <c r="K327" s="58"/>
    </row>
    <row r="328" spans="1:12" x14ac:dyDescent="0.3">
      <c r="A328" s="237">
        <v>43249</v>
      </c>
      <c r="B328" s="130">
        <v>9</v>
      </c>
      <c r="C328" s="54">
        <v>122206</v>
      </c>
      <c r="D328" s="242">
        <v>60999</v>
      </c>
      <c r="E328" s="70">
        <v>2</v>
      </c>
      <c r="F328" s="93"/>
      <c r="H328" s="60" t="s">
        <v>13</v>
      </c>
      <c r="I328" s="60" t="s">
        <v>21</v>
      </c>
      <c r="J328" s="134">
        <v>43257</v>
      </c>
      <c r="K328" s="58"/>
    </row>
    <row r="329" spans="1:12" x14ac:dyDescent="0.3">
      <c r="A329" s="237">
        <v>43249</v>
      </c>
      <c r="B329" s="130">
        <v>10</v>
      </c>
      <c r="C329" s="54">
        <v>122204</v>
      </c>
      <c r="D329" s="242">
        <v>60998</v>
      </c>
      <c r="E329" s="70">
        <v>1</v>
      </c>
      <c r="F329" s="93"/>
      <c r="H329" s="60" t="s">
        <v>13</v>
      </c>
      <c r="I329" s="60" t="s">
        <v>21</v>
      </c>
      <c r="J329" s="134">
        <v>43257</v>
      </c>
      <c r="K329" s="58"/>
    </row>
    <row r="330" spans="1:12" x14ac:dyDescent="0.3">
      <c r="A330" s="237">
        <v>43249</v>
      </c>
      <c r="B330" s="130">
        <v>11</v>
      </c>
      <c r="C330" s="54">
        <v>122155</v>
      </c>
      <c r="D330" s="242">
        <v>60891</v>
      </c>
      <c r="E330" s="68">
        <v>2</v>
      </c>
      <c r="F330" s="93"/>
      <c r="H330" s="60" t="s">
        <v>13</v>
      </c>
      <c r="I330" s="60" t="s">
        <v>36</v>
      </c>
      <c r="J330" s="134">
        <v>43257</v>
      </c>
      <c r="K330" s="58"/>
    </row>
    <row r="331" spans="1:12" x14ac:dyDescent="0.3">
      <c r="A331" s="237">
        <v>43250</v>
      </c>
      <c r="B331" s="127">
        <v>1</v>
      </c>
      <c r="C331" s="54">
        <v>122275</v>
      </c>
      <c r="D331" s="242">
        <v>60965</v>
      </c>
      <c r="E331" s="64">
        <v>2</v>
      </c>
      <c r="F331" s="248"/>
      <c r="G331" s="60"/>
      <c r="H331" s="60" t="s">
        <v>18</v>
      </c>
      <c r="I331" s="60" t="s">
        <v>19</v>
      </c>
      <c r="J331" s="134">
        <v>43255</v>
      </c>
      <c r="K331" s="58"/>
    </row>
    <row r="332" spans="1:12" x14ac:dyDescent="0.3">
      <c r="A332" s="237">
        <v>43250</v>
      </c>
      <c r="B332" s="127">
        <v>2</v>
      </c>
      <c r="C332" s="54">
        <v>122329</v>
      </c>
      <c r="D332" s="242">
        <v>61075</v>
      </c>
      <c r="E332" s="67">
        <v>5</v>
      </c>
      <c r="F332" s="93"/>
      <c r="H332" s="60" t="s">
        <v>18</v>
      </c>
      <c r="I332" s="60" t="s">
        <v>19</v>
      </c>
      <c r="J332" s="134">
        <v>43255</v>
      </c>
      <c r="K332" s="58"/>
    </row>
    <row r="333" spans="1:12" x14ac:dyDescent="0.3">
      <c r="A333" s="237">
        <v>43250</v>
      </c>
      <c r="B333" s="127">
        <v>3</v>
      </c>
      <c r="C333" s="53">
        <v>121972</v>
      </c>
      <c r="D333" s="241">
        <v>60708</v>
      </c>
      <c r="E333" s="72">
        <v>1</v>
      </c>
      <c r="F333" s="93"/>
      <c r="G333" s="48"/>
      <c r="H333" s="48" t="s">
        <v>18</v>
      </c>
      <c r="I333" s="48" t="s">
        <v>26</v>
      </c>
      <c r="J333" s="132">
        <v>43257</v>
      </c>
      <c r="K333" s="62" t="s">
        <v>35</v>
      </c>
    </row>
    <row r="334" spans="1:12" x14ac:dyDescent="0.3">
      <c r="A334" s="237">
        <v>43250</v>
      </c>
      <c r="B334" s="127">
        <v>4</v>
      </c>
      <c r="C334" s="54">
        <v>122024</v>
      </c>
      <c r="D334" s="242">
        <v>60740</v>
      </c>
      <c r="E334" s="67">
        <v>11</v>
      </c>
      <c r="F334" s="248"/>
      <c r="G334" s="60"/>
      <c r="H334" s="60" t="s">
        <v>18</v>
      </c>
      <c r="I334" s="60" t="s">
        <v>28</v>
      </c>
      <c r="J334" s="134">
        <v>43257</v>
      </c>
      <c r="K334" s="66" t="s">
        <v>33</v>
      </c>
      <c r="L334" s="59" t="s">
        <v>29</v>
      </c>
    </row>
    <row r="335" spans="1:12" x14ac:dyDescent="0.3">
      <c r="A335" s="237">
        <v>43250</v>
      </c>
      <c r="B335" s="127">
        <v>5</v>
      </c>
      <c r="C335" s="54">
        <v>122021</v>
      </c>
      <c r="D335" s="242">
        <v>60737</v>
      </c>
      <c r="E335" s="64">
        <v>46</v>
      </c>
      <c r="F335" s="248"/>
      <c r="G335" s="60"/>
      <c r="H335" s="60" t="s">
        <v>34</v>
      </c>
      <c r="I335" s="60" t="s">
        <v>19</v>
      </c>
      <c r="J335" s="134">
        <v>43257</v>
      </c>
      <c r="K335" s="66" t="s">
        <v>33</v>
      </c>
      <c r="L335" s="59" t="s">
        <v>32</v>
      </c>
    </row>
    <row r="336" spans="1:12" x14ac:dyDescent="0.3">
      <c r="A336" s="237">
        <v>43250</v>
      </c>
      <c r="B336" s="127">
        <v>6</v>
      </c>
      <c r="C336" s="54">
        <v>122020</v>
      </c>
      <c r="D336" s="242">
        <v>60778</v>
      </c>
      <c r="E336" s="71">
        <v>46</v>
      </c>
      <c r="F336" s="93"/>
      <c r="H336" s="60" t="s">
        <v>13</v>
      </c>
      <c r="I336" s="60" t="s">
        <v>19</v>
      </c>
      <c r="J336" s="134">
        <v>43257</v>
      </c>
      <c r="K336" s="62" t="s">
        <v>32</v>
      </c>
      <c r="L336" s="48" t="s">
        <v>31</v>
      </c>
    </row>
    <row r="337" spans="1:11" x14ac:dyDescent="0.3">
      <c r="A337" s="237">
        <v>43250</v>
      </c>
      <c r="B337" s="127">
        <v>7</v>
      </c>
      <c r="C337" s="54">
        <v>122262</v>
      </c>
      <c r="D337" s="242">
        <v>60989</v>
      </c>
      <c r="E337" s="70">
        <v>3</v>
      </c>
      <c r="F337" s="93"/>
      <c r="H337" s="60" t="s">
        <v>13</v>
      </c>
      <c r="I337" s="60" t="s">
        <v>21</v>
      </c>
      <c r="J337" s="134">
        <v>43257</v>
      </c>
      <c r="K337" s="62"/>
    </row>
    <row r="338" spans="1:11" x14ac:dyDescent="0.3">
      <c r="A338" s="237">
        <v>43250</v>
      </c>
      <c r="B338" s="127">
        <v>8</v>
      </c>
      <c r="C338" s="54">
        <v>122261</v>
      </c>
      <c r="D338" s="242">
        <v>60961</v>
      </c>
      <c r="E338" s="70">
        <v>1</v>
      </c>
      <c r="F338" s="93"/>
      <c r="G338" s="60"/>
      <c r="H338" s="60" t="s">
        <v>23</v>
      </c>
      <c r="I338" s="60" t="s">
        <v>21</v>
      </c>
      <c r="J338" s="134">
        <v>43257</v>
      </c>
      <c r="K338" s="66"/>
    </row>
    <row r="339" spans="1:11" x14ac:dyDescent="0.3">
      <c r="A339" s="237">
        <v>43250</v>
      </c>
      <c r="B339" s="127">
        <v>9</v>
      </c>
      <c r="C339" s="54">
        <v>122260</v>
      </c>
      <c r="D339" s="242">
        <v>60992</v>
      </c>
      <c r="E339" s="70">
        <v>2</v>
      </c>
      <c r="F339" s="93"/>
      <c r="H339" s="60" t="s">
        <v>13</v>
      </c>
      <c r="I339" s="60" t="s">
        <v>21</v>
      </c>
      <c r="J339" s="134">
        <v>43257</v>
      </c>
      <c r="K339" s="66"/>
    </row>
    <row r="340" spans="1:11" x14ac:dyDescent="0.3">
      <c r="A340" s="237">
        <v>43250</v>
      </c>
      <c r="B340" s="127">
        <v>10</v>
      </c>
      <c r="C340" s="54">
        <v>122253</v>
      </c>
      <c r="D340" s="242">
        <v>60960</v>
      </c>
      <c r="E340" s="67">
        <v>5</v>
      </c>
      <c r="F340" s="93"/>
      <c r="H340" s="60" t="s">
        <v>23</v>
      </c>
      <c r="I340" s="60" t="s">
        <v>21</v>
      </c>
      <c r="J340" s="134">
        <v>43257</v>
      </c>
      <c r="K340" s="66"/>
    </row>
    <row r="341" spans="1:11" x14ac:dyDescent="0.3">
      <c r="A341" s="237">
        <v>43251</v>
      </c>
      <c r="B341" s="65">
        <v>1</v>
      </c>
      <c r="C341" s="54">
        <v>121963</v>
      </c>
      <c r="D341" s="242">
        <v>60725</v>
      </c>
      <c r="E341" s="70">
        <v>16</v>
      </c>
      <c r="F341" s="248"/>
      <c r="G341" s="60"/>
      <c r="H341" s="60" t="s">
        <v>18</v>
      </c>
      <c r="I341" s="60" t="s">
        <v>21</v>
      </c>
      <c r="J341" s="134">
        <v>43257</v>
      </c>
      <c r="K341" s="66"/>
    </row>
    <row r="342" spans="1:11" x14ac:dyDescent="0.3">
      <c r="A342" s="237">
        <v>43251</v>
      </c>
      <c r="B342" s="65">
        <v>2</v>
      </c>
      <c r="C342" s="54">
        <v>122273</v>
      </c>
      <c r="D342" s="242">
        <v>60964</v>
      </c>
      <c r="E342" s="69">
        <v>1</v>
      </c>
      <c r="F342" s="93"/>
      <c r="G342" s="60"/>
      <c r="H342" s="60" t="s">
        <v>23</v>
      </c>
      <c r="I342" s="60" t="s">
        <v>21</v>
      </c>
      <c r="J342" s="134">
        <v>43257</v>
      </c>
      <c r="K342" s="66"/>
    </row>
    <row r="343" spans="1:11" x14ac:dyDescent="0.3">
      <c r="A343" s="237">
        <v>43251</v>
      </c>
      <c r="B343" s="65">
        <v>3</v>
      </c>
      <c r="C343" s="54">
        <v>122274</v>
      </c>
      <c r="D343" s="242">
        <v>60997</v>
      </c>
      <c r="E343" s="69">
        <v>10</v>
      </c>
      <c r="F343" s="93"/>
      <c r="G343" s="60"/>
      <c r="H343" s="60" t="s">
        <v>13</v>
      </c>
      <c r="I343" s="60" t="s">
        <v>21</v>
      </c>
      <c r="J343" s="134">
        <v>43257</v>
      </c>
      <c r="K343" s="66"/>
    </row>
    <row r="344" spans="1:11" x14ac:dyDescent="0.3">
      <c r="A344" s="237">
        <v>43251</v>
      </c>
      <c r="B344" s="65">
        <v>4</v>
      </c>
      <c r="C344" s="54">
        <v>122308</v>
      </c>
      <c r="D344" s="242">
        <v>61028</v>
      </c>
      <c r="E344" s="69">
        <v>2</v>
      </c>
      <c r="F344" s="248"/>
      <c r="G344" s="60"/>
      <c r="H344" s="60" t="s">
        <v>13</v>
      </c>
      <c r="I344" s="60" t="s">
        <v>12</v>
      </c>
      <c r="J344" s="134">
        <v>43257</v>
      </c>
      <c r="K344" s="66"/>
    </row>
    <row r="345" spans="1:11" x14ac:dyDescent="0.3">
      <c r="A345" s="237">
        <v>43251</v>
      </c>
      <c r="B345" s="65">
        <v>5</v>
      </c>
      <c r="C345" s="54">
        <v>122272</v>
      </c>
      <c r="D345" s="242">
        <v>60995</v>
      </c>
      <c r="E345" s="69">
        <v>4</v>
      </c>
      <c r="F345" s="248"/>
      <c r="G345" s="60"/>
      <c r="H345" s="60" t="s">
        <v>13</v>
      </c>
      <c r="I345" s="60" t="s">
        <v>26</v>
      </c>
      <c r="J345" s="134">
        <v>43257</v>
      </c>
      <c r="K345" s="58"/>
    </row>
    <row r="346" spans="1:11" x14ac:dyDescent="0.3">
      <c r="A346" s="237">
        <v>43251</v>
      </c>
      <c r="B346" s="65">
        <v>6</v>
      </c>
      <c r="C346" s="54">
        <v>122268</v>
      </c>
      <c r="D346" s="242">
        <v>60996</v>
      </c>
      <c r="E346" s="69">
        <v>12</v>
      </c>
      <c r="F346" s="248"/>
      <c r="G346" s="60"/>
      <c r="H346" s="60" t="s">
        <v>13</v>
      </c>
      <c r="I346" s="60" t="s">
        <v>26</v>
      </c>
      <c r="J346" s="134">
        <v>43257</v>
      </c>
      <c r="K346" s="58"/>
    </row>
    <row r="347" spans="1:11" x14ac:dyDescent="0.3">
      <c r="A347" s="237">
        <v>43251</v>
      </c>
      <c r="B347" s="65">
        <v>7</v>
      </c>
      <c r="C347" s="54">
        <v>122146</v>
      </c>
      <c r="D347" s="242">
        <v>60890</v>
      </c>
      <c r="E347" s="69">
        <v>3</v>
      </c>
      <c r="F347" s="93"/>
      <c r="H347" s="60" t="s">
        <v>13</v>
      </c>
      <c r="I347" s="60" t="s">
        <v>30</v>
      </c>
      <c r="J347" s="134">
        <v>43257</v>
      </c>
      <c r="K347" s="62" t="s">
        <v>29</v>
      </c>
    </row>
    <row r="348" spans="1:11" x14ac:dyDescent="0.3">
      <c r="A348" s="237">
        <v>43251</v>
      </c>
      <c r="B348" s="65">
        <v>8</v>
      </c>
      <c r="C348" s="54">
        <v>122265</v>
      </c>
      <c r="D348" s="242">
        <v>60988</v>
      </c>
      <c r="E348" s="245">
        <v>2</v>
      </c>
      <c r="F348" s="93"/>
      <c r="H348" s="60" t="s">
        <v>13</v>
      </c>
      <c r="I348" s="60" t="s">
        <v>28</v>
      </c>
      <c r="J348" s="134">
        <v>43257</v>
      </c>
      <c r="K348" s="66"/>
    </row>
    <row r="349" spans="1:11" x14ac:dyDescent="0.3">
      <c r="A349" s="237">
        <v>43251</v>
      </c>
      <c r="B349" s="65">
        <v>9</v>
      </c>
      <c r="C349" s="54">
        <v>122253</v>
      </c>
      <c r="D349" s="242">
        <v>60960</v>
      </c>
      <c r="E349" s="245">
        <v>5</v>
      </c>
      <c r="F349" s="93"/>
      <c r="H349" s="60" t="s">
        <v>23</v>
      </c>
      <c r="I349" s="60" t="s">
        <v>27</v>
      </c>
      <c r="J349" s="134">
        <v>43257</v>
      </c>
      <c r="K349" s="66"/>
    </row>
    <row r="350" spans="1:11" x14ac:dyDescent="0.3">
      <c r="A350" s="237">
        <v>43251</v>
      </c>
      <c r="B350" s="65">
        <v>10</v>
      </c>
      <c r="C350" s="54">
        <v>122209</v>
      </c>
      <c r="D350" s="242">
        <v>60994</v>
      </c>
      <c r="E350" s="245">
        <v>3</v>
      </c>
      <c r="F350" s="248"/>
      <c r="G350" s="60"/>
      <c r="H350" s="60" t="s">
        <v>13</v>
      </c>
      <c r="I350" s="60" t="s">
        <v>19</v>
      </c>
      <c r="J350" s="134">
        <v>43257</v>
      </c>
      <c r="K350" s="62" t="s">
        <v>20</v>
      </c>
    </row>
    <row r="351" spans="1:11" x14ac:dyDescent="0.3">
      <c r="A351" s="237">
        <v>43251</v>
      </c>
      <c r="B351" s="65">
        <v>11</v>
      </c>
      <c r="C351" s="54">
        <v>122219</v>
      </c>
      <c r="D351" s="242">
        <v>60928</v>
      </c>
      <c r="E351" s="245">
        <v>1</v>
      </c>
      <c r="F351" s="248"/>
      <c r="G351" s="60"/>
      <c r="H351" s="60" t="s">
        <v>23</v>
      </c>
      <c r="I351" s="60" t="s">
        <v>14</v>
      </c>
      <c r="J351" s="134">
        <v>43257</v>
      </c>
      <c r="K351" s="66"/>
    </row>
    <row r="352" spans="1:11" x14ac:dyDescent="0.3">
      <c r="A352" s="237">
        <v>43251</v>
      </c>
      <c r="B352" s="65">
        <v>12</v>
      </c>
      <c r="C352" s="54">
        <v>122061</v>
      </c>
      <c r="D352" s="242">
        <v>60766</v>
      </c>
      <c r="E352" s="245">
        <v>4</v>
      </c>
      <c r="F352" s="248"/>
      <c r="G352" s="60"/>
      <c r="H352" s="60" t="s">
        <v>18</v>
      </c>
      <c r="I352" s="60" t="s">
        <v>26</v>
      </c>
      <c r="J352" s="134">
        <v>43257</v>
      </c>
      <c r="K352" s="66"/>
    </row>
    <row r="353" spans="1:11" x14ac:dyDescent="0.3">
      <c r="A353" s="237">
        <v>43251</v>
      </c>
      <c r="B353" s="65">
        <v>13</v>
      </c>
      <c r="C353" s="54">
        <v>122111</v>
      </c>
      <c r="D353" s="242">
        <v>60804</v>
      </c>
      <c r="E353" s="245">
        <v>15</v>
      </c>
      <c r="F353" s="93"/>
      <c r="H353" s="60" t="s">
        <v>23</v>
      </c>
      <c r="I353" s="60" t="s">
        <v>26</v>
      </c>
      <c r="J353" s="134">
        <v>43257</v>
      </c>
      <c r="K353" s="66"/>
    </row>
    <row r="354" spans="1:11" x14ac:dyDescent="0.3">
      <c r="A354" s="237">
        <v>43251</v>
      </c>
      <c r="B354" s="65">
        <v>14</v>
      </c>
      <c r="C354" s="54">
        <v>122201</v>
      </c>
      <c r="D354" s="242">
        <v>60915</v>
      </c>
      <c r="E354" s="245">
        <v>4</v>
      </c>
      <c r="F354" s="93"/>
      <c r="H354" s="60" t="s">
        <v>23</v>
      </c>
      <c r="I354" s="60" t="s">
        <v>26</v>
      </c>
      <c r="J354" s="134">
        <v>43257</v>
      </c>
      <c r="K354" s="66"/>
    </row>
    <row r="355" spans="1:11" x14ac:dyDescent="0.3">
      <c r="A355" s="237">
        <v>43251</v>
      </c>
      <c r="B355" s="65">
        <v>15</v>
      </c>
      <c r="C355" s="54">
        <v>122200</v>
      </c>
      <c r="D355" s="242">
        <v>60914</v>
      </c>
      <c r="E355" s="245">
        <v>3</v>
      </c>
      <c r="F355" s="93"/>
      <c r="H355" s="60" t="s">
        <v>23</v>
      </c>
      <c r="I355" s="60" t="s">
        <v>26</v>
      </c>
      <c r="J355" s="134">
        <v>43257</v>
      </c>
      <c r="K355" s="66"/>
    </row>
    <row r="356" spans="1:11" x14ac:dyDescent="0.3">
      <c r="A356" s="237">
        <v>43251</v>
      </c>
      <c r="B356" s="65">
        <v>16</v>
      </c>
      <c r="C356" s="54">
        <v>122248</v>
      </c>
      <c r="D356" s="242">
        <v>60945</v>
      </c>
      <c r="E356" s="245">
        <v>4</v>
      </c>
      <c r="F356" s="93"/>
      <c r="G356" s="60"/>
      <c r="H356" s="60" t="s">
        <v>18</v>
      </c>
      <c r="I356" s="60" t="s">
        <v>26</v>
      </c>
      <c r="J356" s="134">
        <v>43257</v>
      </c>
      <c r="K356" s="66"/>
    </row>
    <row r="357" spans="1:11" x14ac:dyDescent="0.3">
      <c r="A357" s="237">
        <v>43251</v>
      </c>
      <c r="B357" s="65">
        <v>17</v>
      </c>
      <c r="C357" s="54">
        <v>122354</v>
      </c>
      <c r="D357" s="242">
        <v>61050</v>
      </c>
      <c r="E357" s="245">
        <v>2</v>
      </c>
      <c r="F357" s="93"/>
      <c r="H357" s="60" t="s">
        <v>18</v>
      </c>
      <c r="I357" s="60" t="s">
        <v>14</v>
      </c>
      <c r="J357" s="134">
        <v>43257</v>
      </c>
      <c r="K357" s="66"/>
    </row>
    <row r="358" spans="1:11" x14ac:dyDescent="0.3">
      <c r="A358" s="237">
        <v>43251</v>
      </c>
      <c r="B358" s="65">
        <v>18</v>
      </c>
      <c r="C358" s="53">
        <v>122318</v>
      </c>
      <c r="D358" s="242">
        <v>61027</v>
      </c>
      <c r="E358" s="245">
        <v>1</v>
      </c>
      <c r="F358" s="93"/>
      <c r="H358" s="60" t="s">
        <v>18</v>
      </c>
      <c r="I358" s="60" t="s">
        <v>25</v>
      </c>
      <c r="J358" s="134">
        <v>43265</v>
      </c>
      <c r="K358" s="62" t="s">
        <v>24</v>
      </c>
    </row>
    <row r="359" spans="1:11" x14ac:dyDescent="0.3">
      <c r="A359" s="237">
        <v>43252</v>
      </c>
      <c r="B359" s="63">
        <v>1</v>
      </c>
      <c r="C359" s="53">
        <v>122396</v>
      </c>
      <c r="D359" s="241">
        <v>61092</v>
      </c>
      <c r="E359" s="231">
        <v>65</v>
      </c>
      <c r="F359" s="93"/>
      <c r="H359" s="48" t="s">
        <v>18</v>
      </c>
      <c r="I359" s="48" t="s">
        <v>19</v>
      </c>
      <c r="J359" s="134">
        <v>43262</v>
      </c>
      <c r="K359" s="62"/>
    </row>
    <row r="360" spans="1:11" x14ac:dyDescent="0.3">
      <c r="A360" s="237">
        <v>43252</v>
      </c>
      <c r="B360" s="63">
        <v>2</v>
      </c>
      <c r="C360" s="53">
        <v>122412</v>
      </c>
      <c r="D360" s="241">
        <v>61093</v>
      </c>
      <c r="E360" s="231">
        <v>65</v>
      </c>
      <c r="F360" s="93"/>
      <c r="G360" s="48"/>
      <c r="H360" s="48" t="s">
        <v>18</v>
      </c>
      <c r="I360" s="48" t="s">
        <v>19</v>
      </c>
      <c r="J360" s="132">
        <v>43272</v>
      </c>
      <c r="K360" s="62"/>
    </row>
    <row r="361" spans="1:11" x14ac:dyDescent="0.3">
      <c r="A361" s="237">
        <v>43255</v>
      </c>
      <c r="B361" s="129">
        <v>1</v>
      </c>
      <c r="C361" s="53">
        <v>121954</v>
      </c>
      <c r="D361" s="241">
        <v>60726</v>
      </c>
      <c r="E361" s="231">
        <v>16</v>
      </c>
      <c r="F361" s="93"/>
      <c r="G361" s="48"/>
      <c r="H361" s="48" t="s">
        <v>18</v>
      </c>
      <c r="I361" s="59" t="s">
        <v>21</v>
      </c>
      <c r="J361" s="132">
        <v>43264</v>
      </c>
      <c r="K361" s="62"/>
    </row>
    <row r="362" spans="1:11" x14ac:dyDescent="0.3">
      <c r="A362" s="237">
        <v>43255</v>
      </c>
      <c r="B362" s="129">
        <v>2</v>
      </c>
      <c r="C362" s="53">
        <v>122276</v>
      </c>
      <c r="D362" s="241">
        <v>61029</v>
      </c>
      <c r="E362" s="231">
        <v>3</v>
      </c>
      <c r="F362" s="93"/>
      <c r="G362" s="48"/>
      <c r="H362" s="48" t="s">
        <v>13</v>
      </c>
      <c r="I362" s="59" t="s">
        <v>21</v>
      </c>
      <c r="J362" s="132">
        <v>43264</v>
      </c>
      <c r="K362" s="62"/>
    </row>
    <row r="363" spans="1:11" x14ac:dyDescent="0.3">
      <c r="A363" s="237">
        <v>43255</v>
      </c>
      <c r="B363" s="129">
        <v>3</v>
      </c>
      <c r="C363" s="53">
        <v>122300</v>
      </c>
      <c r="D363" s="242">
        <v>61009</v>
      </c>
      <c r="E363" s="245">
        <v>18</v>
      </c>
      <c r="F363" s="93"/>
      <c r="H363" s="60" t="s">
        <v>23</v>
      </c>
      <c r="I363" s="59" t="s">
        <v>21</v>
      </c>
      <c r="J363" s="134">
        <v>43264</v>
      </c>
      <c r="K363" s="58"/>
    </row>
    <row r="364" spans="1:11" x14ac:dyDescent="0.3">
      <c r="A364" s="237">
        <v>43255</v>
      </c>
      <c r="B364" s="129">
        <v>4</v>
      </c>
      <c r="C364" s="53">
        <v>122358</v>
      </c>
      <c r="D364" s="242">
        <v>61053</v>
      </c>
      <c r="E364" s="245">
        <v>2</v>
      </c>
      <c r="F364" s="93"/>
      <c r="H364" s="60" t="s">
        <v>22</v>
      </c>
      <c r="I364" s="59" t="s">
        <v>21</v>
      </c>
      <c r="J364" s="134">
        <v>43264</v>
      </c>
      <c r="K364" s="58"/>
    </row>
    <row r="365" spans="1:11" x14ac:dyDescent="0.3">
      <c r="A365" s="237">
        <v>43255</v>
      </c>
      <c r="B365" s="129">
        <v>5</v>
      </c>
      <c r="C365" s="53">
        <v>122117</v>
      </c>
      <c r="D365" s="241">
        <v>60828</v>
      </c>
      <c r="E365" s="231">
        <v>1</v>
      </c>
      <c r="F365" s="93"/>
      <c r="H365" s="48" t="s">
        <v>18</v>
      </c>
      <c r="I365" s="48" t="s">
        <v>19</v>
      </c>
      <c r="J365" s="134">
        <v>43264</v>
      </c>
      <c r="K365" s="62" t="s">
        <v>20</v>
      </c>
    </row>
    <row r="366" spans="1:11" x14ac:dyDescent="0.3">
      <c r="A366" s="237">
        <v>43255</v>
      </c>
      <c r="B366" s="129">
        <v>6</v>
      </c>
      <c r="C366" s="54">
        <v>122153</v>
      </c>
      <c r="D366" s="242">
        <v>60859</v>
      </c>
      <c r="E366" s="245">
        <v>1</v>
      </c>
      <c r="F366" s="248"/>
      <c r="G366" s="60"/>
      <c r="H366" s="60" t="s">
        <v>18</v>
      </c>
      <c r="I366" s="60" t="s">
        <v>19</v>
      </c>
      <c r="J366" s="134">
        <v>43264</v>
      </c>
      <c r="K366" s="62" t="s">
        <v>16</v>
      </c>
    </row>
    <row r="367" spans="1:11" x14ac:dyDescent="0.3">
      <c r="A367" s="237">
        <v>43255</v>
      </c>
      <c r="B367" s="129">
        <v>7</v>
      </c>
      <c r="C367" s="53">
        <v>122054</v>
      </c>
      <c r="D367" s="241">
        <v>60756</v>
      </c>
      <c r="E367" s="231">
        <v>1</v>
      </c>
      <c r="F367" s="93"/>
      <c r="H367" s="48" t="s">
        <v>18</v>
      </c>
      <c r="I367" s="48" t="s">
        <v>17</v>
      </c>
      <c r="J367" s="134">
        <v>43264</v>
      </c>
      <c r="K367" s="62" t="s">
        <v>16</v>
      </c>
    </row>
    <row r="368" spans="1:11" x14ac:dyDescent="0.3">
      <c r="A368" s="237">
        <v>43255</v>
      </c>
      <c r="B368" s="129">
        <v>8</v>
      </c>
      <c r="C368" s="53">
        <v>122363</v>
      </c>
      <c r="D368" s="242">
        <v>61133</v>
      </c>
      <c r="E368" s="245">
        <v>8</v>
      </c>
      <c r="F368" s="93"/>
      <c r="H368" s="60" t="s">
        <v>13</v>
      </c>
      <c r="I368" s="48" t="s">
        <v>15</v>
      </c>
      <c r="J368" s="134">
        <v>43264</v>
      </c>
      <c r="K368" s="58"/>
    </row>
    <row r="369" spans="1:13" x14ac:dyDescent="0.3">
      <c r="A369" s="237">
        <v>43255</v>
      </c>
      <c r="B369" s="129">
        <v>9</v>
      </c>
      <c r="C369" s="53">
        <v>122445</v>
      </c>
      <c r="D369" s="242">
        <v>61134</v>
      </c>
      <c r="E369" s="245">
        <v>2</v>
      </c>
      <c r="F369" s="93"/>
      <c r="H369" s="60" t="s">
        <v>13</v>
      </c>
      <c r="I369" s="48" t="s">
        <v>15</v>
      </c>
      <c r="J369" s="134">
        <v>43264</v>
      </c>
      <c r="K369" s="58"/>
    </row>
    <row r="370" spans="1:13" x14ac:dyDescent="0.3">
      <c r="A370" s="237">
        <v>43255</v>
      </c>
      <c r="B370" s="129">
        <v>10</v>
      </c>
      <c r="C370" s="53">
        <v>12152</v>
      </c>
      <c r="D370" s="242">
        <v>64542</v>
      </c>
      <c r="E370" s="245">
        <v>500</v>
      </c>
      <c r="F370" s="93"/>
      <c r="H370" s="60"/>
      <c r="I370" s="48"/>
      <c r="J370" s="134"/>
      <c r="K370" s="58"/>
    </row>
    <row r="371" spans="1:13" x14ac:dyDescent="0.3">
      <c r="A371" s="237">
        <v>43256</v>
      </c>
      <c r="B371" s="129">
        <v>1</v>
      </c>
      <c r="C371" s="53"/>
      <c r="D371" s="242"/>
      <c r="E371" s="245">
        <v>1000</v>
      </c>
      <c r="F371" s="93"/>
      <c r="H371" s="60"/>
      <c r="I371" s="48"/>
      <c r="J371" s="134"/>
      <c r="K371" s="58"/>
    </row>
    <row r="372" spans="1:13" x14ac:dyDescent="0.3">
      <c r="A372" s="237">
        <v>43263</v>
      </c>
      <c r="B372" s="129">
        <v>1</v>
      </c>
      <c r="C372" s="53">
        <v>122464</v>
      </c>
      <c r="D372" s="242">
        <v>61163</v>
      </c>
      <c r="E372" s="245">
        <v>2</v>
      </c>
      <c r="F372" s="93"/>
      <c r="H372" s="60" t="s">
        <v>13</v>
      </c>
      <c r="I372" s="48" t="s">
        <v>14</v>
      </c>
      <c r="J372" s="134">
        <v>43259</v>
      </c>
      <c r="K372" s="58"/>
    </row>
    <row r="373" spans="1:13" x14ac:dyDescent="0.3">
      <c r="A373" s="237">
        <v>43271</v>
      </c>
      <c r="B373" s="50">
        <v>1</v>
      </c>
      <c r="C373" s="53">
        <v>25</v>
      </c>
      <c r="D373" s="53">
        <v>25</v>
      </c>
      <c r="E373" s="231">
        <v>500</v>
      </c>
      <c r="F373" s="231"/>
      <c r="H373" s="49" t="s">
        <v>144</v>
      </c>
      <c r="I373" s="49" t="s">
        <v>215</v>
      </c>
      <c r="J373" s="132">
        <v>43276</v>
      </c>
      <c r="K373" s="49" t="s">
        <v>78</v>
      </c>
      <c r="M373" s="48" t="s">
        <v>78</v>
      </c>
    </row>
    <row r="374" spans="1:13" x14ac:dyDescent="0.3">
      <c r="A374" s="237">
        <v>43271</v>
      </c>
      <c r="B374" s="50">
        <v>2</v>
      </c>
      <c r="C374" s="53">
        <v>158958</v>
      </c>
      <c r="D374" s="53">
        <v>1258956</v>
      </c>
      <c r="E374" s="231">
        <v>500</v>
      </c>
      <c r="F374" s="231"/>
      <c r="H374" s="49" t="s">
        <v>235</v>
      </c>
      <c r="I374" s="49" t="s">
        <v>234</v>
      </c>
      <c r="J374" s="132">
        <v>43255</v>
      </c>
    </row>
    <row r="375" spans="1:13" x14ac:dyDescent="0.3">
      <c r="A375" s="237">
        <v>43273</v>
      </c>
      <c r="B375" s="53">
        <v>1</v>
      </c>
      <c r="C375" s="53">
        <v>121585</v>
      </c>
      <c r="D375" s="244">
        <v>122598</v>
      </c>
      <c r="E375" s="231">
        <v>888</v>
      </c>
      <c r="F375" s="231"/>
      <c r="G375" s="52"/>
      <c r="H375" s="52" t="s">
        <v>141</v>
      </c>
      <c r="I375" s="52" t="s">
        <v>236</v>
      </c>
      <c r="J375" s="133">
        <v>43276</v>
      </c>
      <c r="K375" s="52"/>
      <c r="L375" s="51"/>
    </row>
    <row r="376" spans="1:13" x14ac:dyDescent="0.3">
      <c r="A376" s="237">
        <v>43273</v>
      </c>
      <c r="B376" s="53">
        <v>2</v>
      </c>
      <c r="C376" s="53">
        <v>121585</v>
      </c>
      <c r="D376" s="53">
        <v>122598</v>
      </c>
      <c r="E376" s="231">
        <v>888</v>
      </c>
      <c r="F376" s="231"/>
      <c r="G376" s="52"/>
      <c r="H376" s="52" t="s">
        <v>141</v>
      </c>
      <c r="I376" s="52" t="s">
        <v>236</v>
      </c>
      <c r="J376" s="133">
        <v>43276</v>
      </c>
      <c r="K376" s="52"/>
      <c r="L376" s="51"/>
    </row>
    <row r="377" spans="1:13" x14ac:dyDescent="0.3">
      <c r="A377" s="237">
        <v>43272</v>
      </c>
      <c r="B377" s="53">
        <v>1</v>
      </c>
      <c r="C377" s="53">
        <v>12589</v>
      </c>
      <c r="D377" s="53">
        <v>123658</v>
      </c>
      <c r="E377" s="231">
        <v>60</v>
      </c>
      <c r="F377" s="231"/>
      <c r="G377" s="52"/>
      <c r="H377" s="52" t="s">
        <v>143</v>
      </c>
      <c r="I377" s="52" t="s">
        <v>236</v>
      </c>
      <c r="J377" s="133">
        <v>43306</v>
      </c>
      <c r="K377" s="52"/>
      <c r="L377" s="51"/>
    </row>
    <row r="378" spans="1:13" x14ac:dyDescent="0.3">
      <c r="A378" s="237">
        <v>43272</v>
      </c>
      <c r="B378" s="53">
        <v>2</v>
      </c>
      <c r="C378" s="53">
        <v>1215252</v>
      </c>
      <c r="D378" s="53">
        <v>123589</v>
      </c>
      <c r="E378" s="231">
        <v>25</v>
      </c>
      <c r="F378" s="231"/>
      <c r="G378" s="52"/>
      <c r="H378" s="52" t="s">
        <v>141</v>
      </c>
      <c r="I378" s="52" t="s">
        <v>234</v>
      </c>
      <c r="J378" s="133">
        <v>43306</v>
      </c>
      <c r="K378" s="52"/>
      <c r="L378" s="51"/>
    </row>
    <row r="379" spans="1:13" x14ac:dyDescent="0.3">
      <c r="A379" s="237">
        <v>43279</v>
      </c>
      <c r="B379" s="53">
        <v>1</v>
      </c>
      <c r="C379" s="53">
        <v>121275</v>
      </c>
      <c r="D379" s="53">
        <v>61875</v>
      </c>
      <c r="E379" s="231">
        <v>25</v>
      </c>
      <c r="F379" s="231"/>
      <c r="G379" s="52"/>
      <c r="H379" s="52" t="s">
        <v>141</v>
      </c>
      <c r="I379" s="52" t="s">
        <v>237</v>
      </c>
      <c r="J379" s="133">
        <v>43306</v>
      </c>
      <c r="K379" s="52"/>
      <c r="L379" s="51"/>
    </row>
    <row r="380" spans="1:13" x14ac:dyDescent="0.3">
      <c r="A380" s="136">
        <v>43278</v>
      </c>
      <c r="B380" s="50">
        <v>1</v>
      </c>
      <c r="C380" s="50">
        <v>25</v>
      </c>
      <c r="D380" s="231">
        <v>25</v>
      </c>
      <c r="E380" s="231">
        <v>25</v>
      </c>
      <c r="F380" s="50">
        <v>25</v>
      </c>
      <c r="G380" s="49">
        <v>25</v>
      </c>
      <c r="H380" s="49" t="s">
        <v>143</v>
      </c>
      <c r="I380" s="49" t="s">
        <v>215</v>
      </c>
      <c r="J380" s="132">
        <v>43291</v>
      </c>
    </row>
    <row r="381" spans="1:13" x14ac:dyDescent="0.3">
      <c r="A381" s="136">
        <v>43278</v>
      </c>
      <c r="D381" s="231"/>
      <c r="E381" s="231">
        <v>1118</v>
      </c>
    </row>
    <row r="382" spans="1:13" x14ac:dyDescent="0.3">
      <c r="A382" s="136">
        <v>43278</v>
      </c>
      <c r="D382" s="231"/>
      <c r="E382" s="79">
        <v>25</v>
      </c>
    </row>
    <row r="383" spans="1:13" x14ac:dyDescent="0.3">
      <c r="D383" s="231"/>
      <c r="E383" s="231"/>
    </row>
    <row r="384" spans="1:13" x14ac:dyDescent="0.3">
      <c r="D384" s="231"/>
      <c r="E384" s="231"/>
    </row>
    <row r="385" spans="4:5" x14ac:dyDescent="0.3">
      <c r="D385" s="231"/>
      <c r="E385" s="231"/>
    </row>
    <row r="386" spans="4:5" x14ac:dyDescent="0.3">
      <c r="D386" s="231"/>
      <c r="E386" s="231"/>
    </row>
    <row r="387" spans="4:5" x14ac:dyDescent="0.3">
      <c r="D387" s="231"/>
      <c r="E387" s="231"/>
    </row>
    <row r="388" spans="4:5" x14ac:dyDescent="0.3">
      <c r="D388" s="231"/>
      <c r="E388" s="231"/>
    </row>
    <row r="389" spans="4:5" x14ac:dyDescent="0.3">
      <c r="D389" s="231"/>
      <c r="E389" s="231"/>
    </row>
    <row r="390" spans="4:5" x14ac:dyDescent="0.3">
      <c r="D390" s="231"/>
      <c r="E390" s="231"/>
    </row>
    <row r="391" spans="4:5" x14ac:dyDescent="0.3">
      <c r="D391" s="231"/>
      <c r="E391" s="231"/>
    </row>
    <row r="392" spans="4:5" x14ac:dyDescent="0.3">
      <c r="D392" s="231"/>
      <c r="E392" s="231"/>
    </row>
    <row r="393" spans="4:5" x14ac:dyDescent="0.3">
      <c r="D393" s="231"/>
      <c r="E393" s="231"/>
    </row>
    <row r="394" spans="4:5" x14ac:dyDescent="0.3">
      <c r="D394" s="231"/>
      <c r="E394" s="231"/>
    </row>
    <row r="395" spans="4:5" x14ac:dyDescent="0.3">
      <c r="D395" s="231"/>
      <c r="E395" s="231"/>
    </row>
    <row r="396" spans="4:5" x14ac:dyDescent="0.3">
      <c r="D396" s="231"/>
      <c r="E396" s="231"/>
    </row>
    <row r="397" spans="4:5" x14ac:dyDescent="0.3">
      <c r="D397" s="231"/>
      <c r="E397" s="231"/>
    </row>
    <row r="398" spans="4:5" x14ac:dyDescent="0.3">
      <c r="D398" s="231"/>
      <c r="E398" s="231"/>
    </row>
    <row r="399" spans="4:5" x14ac:dyDescent="0.3">
      <c r="D399" s="231"/>
      <c r="E399" s="231"/>
    </row>
    <row r="400" spans="4:5" x14ac:dyDescent="0.3">
      <c r="D400" s="231"/>
      <c r="E400" s="231"/>
    </row>
    <row r="401" spans="4:5" x14ac:dyDescent="0.3">
      <c r="D401" s="231"/>
      <c r="E401" s="231"/>
    </row>
    <row r="402" spans="4:5" x14ac:dyDescent="0.3">
      <c r="D402" s="231"/>
      <c r="E402" s="231"/>
    </row>
    <row r="403" spans="4:5" x14ac:dyDescent="0.3">
      <c r="D403" s="231"/>
      <c r="E403" s="231"/>
    </row>
    <row r="404" spans="4:5" x14ac:dyDescent="0.3">
      <c r="D404" s="231"/>
      <c r="E404" s="231"/>
    </row>
    <row r="405" spans="4:5" x14ac:dyDescent="0.3">
      <c r="D405" s="231"/>
      <c r="E405" s="231"/>
    </row>
    <row r="406" spans="4:5" x14ac:dyDescent="0.3">
      <c r="D406" s="231"/>
      <c r="E406" s="231"/>
    </row>
    <row r="407" spans="4:5" x14ac:dyDescent="0.3">
      <c r="D407" s="231"/>
      <c r="E407" s="231"/>
    </row>
    <row r="408" spans="4:5" x14ac:dyDescent="0.3">
      <c r="D408" s="231"/>
      <c r="E408" s="231"/>
    </row>
    <row r="409" spans="4:5" x14ac:dyDescent="0.3">
      <c r="D409" s="231"/>
      <c r="E409" s="231"/>
    </row>
    <row r="410" spans="4:5" x14ac:dyDescent="0.3">
      <c r="D410" s="231"/>
      <c r="E410" s="231"/>
    </row>
    <row r="411" spans="4:5" x14ac:dyDescent="0.3">
      <c r="D411" s="231"/>
      <c r="E411" s="231"/>
    </row>
    <row r="412" spans="4:5" x14ac:dyDescent="0.3">
      <c r="D412" s="231"/>
      <c r="E412" s="231"/>
    </row>
    <row r="413" spans="4:5" x14ac:dyDescent="0.3">
      <c r="D413" s="231"/>
      <c r="E413" s="231"/>
    </row>
    <row r="414" spans="4:5" x14ac:dyDescent="0.3">
      <c r="D414" s="231"/>
      <c r="E414" s="231"/>
    </row>
    <row r="415" spans="4:5" x14ac:dyDescent="0.3">
      <c r="D415" s="231"/>
      <c r="E415" s="231"/>
    </row>
    <row r="416" spans="4:5" x14ac:dyDescent="0.3">
      <c r="D416" s="231"/>
      <c r="E416" s="231"/>
    </row>
    <row r="417" spans="4:5" x14ac:dyDescent="0.3">
      <c r="D417" s="231"/>
      <c r="E417" s="231"/>
    </row>
    <row r="418" spans="4:5" x14ac:dyDescent="0.3">
      <c r="D418" s="231"/>
      <c r="E418" s="231"/>
    </row>
    <row r="419" spans="4:5" x14ac:dyDescent="0.3">
      <c r="D419" s="231"/>
      <c r="E419" s="231"/>
    </row>
    <row r="420" spans="4:5" x14ac:dyDescent="0.3">
      <c r="D420" s="231"/>
      <c r="E420" s="231"/>
    </row>
    <row r="421" spans="4:5" x14ac:dyDescent="0.3">
      <c r="D421" s="231"/>
      <c r="E421" s="231"/>
    </row>
    <row r="422" spans="4:5" x14ac:dyDescent="0.3">
      <c r="D422" s="231"/>
      <c r="E422" s="231"/>
    </row>
    <row r="423" spans="4:5" x14ac:dyDescent="0.3">
      <c r="D423" s="231"/>
      <c r="E423" s="231"/>
    </row>
    <row r="424" spans="4:5" x14ac:dyDescent="0.3">
      <c r="D424" s="231"/>
      <c r="E424" s="231"/>
    </row>
    <row r="425" spans="4:5" x14ac:dyDescent="0.3">
      <c r="D425" s="231"/>
      <c r="E425" s="231"/>
    </row>
    <row r="426" spans="4:5" x14ac:dyDescent="0.3">
      <c r="D426" s="231"/>
      <c r="E426" s="231"/>
    </row>
    <row r="427" spans="4:5" x14ac:dyDescent="0.3">
      <c r="D427" s="231"/>
      <c r="E427" s="231"/>
    </row>
    <row r="428" spans="4:5" x14ac:dyDescent="0.3">
      <c r="D428" s="231"/>
      <c r="E428" s="231"/>
    </row>
    <row r="429" spans="4:5" x14ac:dyDescent="0.3">
      <c r="D429" s="231"/>
      <c r="E429" s="231"/>
    </row>
    <row r="430" spans="4:5" x14ac:dyDescent="0.3">
      <c r="D430" s="231"/>
      <c r="E430" s="231"/>
    </row>
    <row r="431" spans="4:5" x14ac:dyDescent="0.3">
      <c r="D431" s="231"/>
      <c r="E431" s="231"/>
    </row>
    <row r="432" spans="4:5" x14ac:dyDescent="0.3">
      <c r="D432" s="231"/>
      <c r="E432" s="231"/>
    </row>
    <row r="433" spans="4:5" x14ac:dyDescent="0.3">
      <c r="D433" s="231"/>
      <c r="E433" s="231"/>
    </row>
    <row r="434" spans="4:5" x14ac:dyDescent="0.3">
      <c r="D434" s="231"/>
      <c r="E434" s="231"/>
    </row>
    <row r="435" spans="4:5" x14ac:dyDescent="0.3">
      <c r="D435" s="231"/>
      <c r="E435" s="231"/>
    </row>
    <row r="436" spans="4:5" x14ac:dyDescent="0.3">
      <c r="D436" s="231"/>
      <c r="E436" s="231"/>
    </row>
    <row r="437" spans="4:5" x14ac:dyDescent="0.3">
      <c r="D437" s="231"/>
      <c r="E437" s="231"/>
    </row>
    <row r="438" spans="4:5" x14ac:dyDescent="0.3">
      <c r="D438" s="231"/>
      <c r="E438" s="231"/>
    </row>
    <row r="439" spans="4:5" x14ac:dyDescent="0.3">
      <c r="D439" s="231"/>
      <c r="E439" s="231"/>
    </row>
    <row r="440" spans="4:5" x14ac:dyDescent="0.3">
      <c r="D440" s="231"/>
      <c r="E440" s="231"/>
    </row>
    <row r="441" spans="4:5" x14ac:dyDescent="0.3">
      <c r="D441" s="231"/>
      <c r="E441" s="231"/>
    </row>
    <row r="442" spans="4:5" x14ac:dyDescent="0.3">
      <c r="D442" s="231"/>
      <c r="E442" s="231"/>
    </row>
    <row r="443" spans="4:5" x14ac:dyDescent="0.3">
      <c r="D443" s="231"/>
      <c r="E443" s="231"/>
    </row>
    <row r="444" spans="4:5" x14ac:dyDescent="0.3">
      <c r="D444" s="231"/>
      <c r="E444" s="231"/>
    </row>
    <row r="445" spans="4:5" x14ac:dyDescent="0.3">
      <c r="D445" s="231"/>
      <c r="E445" s="231"/>
    </row>
    <row r="446" spans="4:5" x14ac:dyDescent="0.3">
      <c r="D446" s="231"/>
      <c r="E446" s="231"/>
    </row>
    <row r="447" spans="4:5" x14ac:dyDescent="0.3">
      <c r="D447" s="231"/>
      <c r="E447" s="231"/>
    </row>
    <row r="448" spans="4:5" x14ac:dyDescent="0.3">
      <c r="D448" s="231"/>
      <c r="E448" s="231"/>
    </row>
    <row r="449" spans="4:5" x14ac:dyDescent="0.3">
      <c r="D449" s="231"/>
      <c r="E449" s="231"/>
    </row>
    <row r="450" spans="4:5" x14ac:dyDescent="0.3">
      <c r="D450" s="231"/>
      <c r="E450" s="231"/>
    </row>
    <row r="451" spans="4:5" x14ac:dyDescent="0.3">
      <c r="D451" s="231"/>
      <c r="E451" s="231"/>
    </row>
    <row r="452" spans="4:5" x14ac:dyDescent="0.3">
      <c r="D452" s="231"/>
      <c r="E452" s="231"/>
    </row>
    <row r="453" spans="4:5" x14ac:dyDescent="0.3">
      <c r="D453" s="231"/>
      <c r="E453" s="231"/>
    </row>
    <row r="454" spans="4:5" x14ac:dyDescent="0.3">
      <c r="D454" s="231"/>
      <c r="E454" s="231"/>
    </row>
    <row r="455" spans="4:5" x14ac:dyDescent="0.3">
      <c r="D455" s="231"/>
      <c r="E455" s="231"/>
    </row>
    <row r="456" spans="4:5" x14ac:dyDescent="0.3">
      <c r="D456" s="231"/>
      <c r="E456" s="231"/>
    </row>
    <row r="457" spans="4:5" x14ac:dyDescent="0.3">
      <c r="D457" s="231"/>
      <c r="E457" s="231"/>
    </row>
    <row r="458" spans="4:5" x14ac:dyDescent="0.3">
      <c r="D458" s="231"/>
      <c r="E458" s="231"/>
    </row>
    <row r="459" spans="4:5" x14ac:dyDescent="0.3">
      <c r="D459" s="231"/>
      <c r="E459" s="231"/>
    </row>
    <row r="460" spans="4:5" x14ac:dyDescent="0.3">
      <c r="D460" s="231"/>
      <c r="E460" s="231"/>
    </row>
    <row r="461" spans="4:5" x14ac:dyDescent="0.3">
      <c r="D461" s="231"/>
      <c r="E461" s="231"/>
    </row>
    <row r="462" spans="4:5" x14ac:dyDescent="0.3">
      <c r="D462" s="231"/>
      <c r="E462" s="231"/>
    </row>
    <row r="463" spans="4:5" x14ac:dyDescent="0.3">
      <c r="D463" s="231"/>
      <c r="E463" s="231"/>
    </row>
    <row r="464" spans="4:5" x14ac:dyDescent="0.3">
      <c r="D464" s="231"/>
      <c r="E464" s="231"/>
    </row>
    <row r="465" spans="4:5" x14ac:dyDescent="0.3">
      <c r="D465" s="231"/>
      <c r="E465" s="231"/>
    </row>
    <row r="466" spans="4:5" x14ac:dyDescent="0.3">
      <c r="D466" s="231"/>
      <c r="E466" s="231"/>
    </row>
    <row r="467" spans="4:5" x14ac:dyDescent="0.3">
      <c r="D467" s="231"/>
      <c r="E467" s="231"/>
    </row>
    <row r="468" spans="4:5" x14ac:dyDescent="0.3">
      <c r="D468" s="231"/>
      <c r="E468" s="231"/>
    </row>
    <row r="469" spans="4:5" x14ac:dyDescent="0.3">
      <c r="D469" s="231"/>
      <c r="E469" s="231"/>
    </row>
    <row r="470" spans="4:5" x14ac:dyDescent="0.3">
      <c r="D470" s="231"/>
      <c r="E470" s="231"/>
    </row>
    <row r="471" spans="4:5" x14ac:dyDescent="0.3">
      <c r="D471" s="231"/>
      <c r="E471" s="231"/>
    </row>
    <row r="472" spans="4:5" x14ac:dyDescent="0.3">
      <c r="D472" s="231"/>
      <c r="E472" s="231"/>
    </row>
    <row r="473" spans="4:5" x14ac:dyDescent="0.3">
      <c r="D473" s="231"/>
      <c r="E473" s="231"/>
    </row>
    <row r="474" spans="4:5" x14ac:dyDescent="0.3">
      <c r="D474" s="231"/>
      <c r="E474" s="231"/>
    </row>
    <row r="475" spans="4:5" x14ac:dyDescent="0.3">
      <c r="D475" s="231"/>
      <c r="E475" s="231"/>
    </row>
    <row r="476" spans="4:5" x14ac:dyDescent="0.3">
      <c r="D476" s="231"/>
      <c r="E476" s="231"/>
    </row>
    <row r="477" spans="4:5" x14ac:dyDescent="0.3">
      <c r="D477" s="231"/>
      <c r="E477" s="231"/>
    </row>
    <row r="478" spans="4:5" x14ac:dyDescent="0.3">
      <c r="D478" s="231"/>
      <c r="E478" s="231"/>
    </row>
    <row r="479" spans="4:5" x14ac:dyDescent="0.3">
      <c r="D479" s="231"/>
      <c r="E479" s="231"/>
    </row>
    <row r="480" spans="4:5" x14ac:dyDescent="0.3">
      <c r="D480" s="231"/>
      <c r="E480" s="231"/>
    </row>
    <row r="481" spans="4:5" x14ac:dyDescent="0.3">
      <c r="D481" s="231"/>
      <c r="E481" s="231"/>
    </row>
    <row r="482" spans="4:5" x14ac:dyDescent="0.3">
      <c r="D482" s="231"/>
      <c r="E482" s="231"/>
    </row>
    <row r="483" spans="4:5" x14ac:dyDescent="0.3">
      <c r="D483" s="231"/>
      <c r="E483" s="231"/>
    </row>
    <row r="484" spans="4:5" x14ac:dyDescent="0.3">
      <c r="D484" s="231"/>
      <c r="E484" s="231"/>
    </row>
    <row r="485" spans="4:5" x14ac:dyDescent="0.3">
      <c r="D485" s="231"/>
      <c r="E485" s="231"/>
    </row>
    <row r="486" spans="4:5" x14ac:dyDescent="0.3">
      <c r="D486" s="231"/>
      <c r="E486" s="231"/>
    </row>
    <row r="487" spans="4:5" x14ac:dyDescent="0.3">
      <c r="D487" s="231"/>
      <c r="E487" s="231"/>
    </row>
    <row r="488" spans="4:5" x14ac:dyDescent="0.3">
      <c r="D488" s="231"/>
      <c r="E488" s="231"/>
    </row>
    <row r="489" spans="4:5" x14ac:dyDescent="0.3">
      <c r="D489" s="231"/>
      <c r="E489" s="231"/>
    </row>
    <row r="490" spans="4:5" x14ac:dyDescent="0.3">
      <c r="D490" s="231"/>
      <c r="E490" s="231"/>
    </row>
    <row r="491" spans="4:5" x14ac:dyDescent="0.3">
      <c r="D491" s="231"/>
      <c r="E491" s="231"/>
    </row>
    <row r="492" spans="4:5" x14ac:dyDescent="0.3">
      <c r="D492" s="231"/>
      <c r="E492" s="231"/>
    </row>
    <row r="493" spans="4:5" x14ac:dyDescent="0.3">
      <c r="D493" s="231"/>
      <c r="E493" s="231"/>
    </row>
    <row r="494" spans="4:5" x14ac:dyDescent="0.3">
      <c r="D494" s="231"/>
      <c r="E494" s="231"/>
    </row>
    <row r="495" spans="4:5" x14ac:dyDescent="0.3">
      <c r="D495" s="231"/>
      <c r="E495" s="231"/>
    </row>
    <row r="496" spans="4:5" x14ac:dyDescent="0.3">
      <c r="D496" s="231"/>
      <c r="E496" s="231"/>
    </row>
    <row r="497" spans="4:5" x14ac:dyDescent="0.3">
      <c r="D497" s="231"/>
      <c r="E497" s="231"/>
    </row>
    <row r="498" spans="4:5" x14ac:dyDescent="0.3">
      <c r="D498" s="231"/>
      <c r="E498" s="231"/>
    </row>
    <row r="499" spans="4:5" x14ac:dyDescent="0.3">
      <c r="D499" s="231"/>
      <c r="E499" s="231"/>
    </row>
    <row r="500" spans="4:5" x14ac:dyDescent="0.3">
      <c r="D500" s="231"/>
      <c r="E500" s="231"/>
    </row>
    <row r="501" spans="4:5" x14ac:dyDescent="0.3">
      <c r="D501" s="231"/>
      <c r="E501" s="231"/>
    </row>
    <row r="502" spans="4:5" x14ac:dyDescent="0.3">
      <c r="D502" s="231"/>
      <c r="E502" s="231"/>
    </row>
    <row r="503" spans="4:5" x14ac:dyDescent="0.3">
      <c r="D503" s="231"/>
      <c r="E503" s="231"/>
    </row>
    <row r="504" spans="4:5" x14ac:dyDescent="0.3">
      <c r="D504" s="231"/>
      <c r="E504" s="231"/>
    </row>
    <row r="505" spans="4:5" x14ac:dyDescent="0.3">
      <c r="D505" s="231"/>
      <c r="E505" s="231"/>
    </row>
    <row r="506" spans="4:5" x14ac:dyDescent="0.3">
      <c r="D506" s="231"/>
      <c r="E506" s="231"/>
    </row>
    <row r="507" spans="4:5" x14ac:dyDescent="0.3">
      <c r="D507" s="231"/>
      <c r="E507" s="231"/>
    </row>
    <row r="508" spans="4:5" x14ac:dyDescent="0.3">
      <c r="D508" s="231"/>
      <c r="E508" s="231"/>
    </row>
    <row r="509" spans="4:5" x14ac:dyDescent="0.3">
      <c r="D509" s="231"/>
      <c r="E509" s="231"/>
    </row>
    <row r="510" spans="4:5" x14ac:dyDescent="0.3">
      <c r="D510" s="231"/>
      <c r="E510" s="231"/>
    </row>
    <row r="511" spans="4:5" x14ac:dyDescent="0.3">
      <c r="D511" s="231"/>
      <c r="E511" s="231"/>
    </row>
    <row r="512" spans="4:5" x14ac:dyDescent="0.3">
      <c r="D512" s="231"/>
      <c r="E512" s="231"/>
    </row>
    <row r="513" spans="4:5" x14ac:dyDescent="0.3">
      <c r="D513" s="231"/>
      <c r="E513" s="231"/>
    </row>
    <row r="514" spans="4:5" x14ac:dyDescent="0.3">
      <c r="D514" s="231"/>
      <c r="E514" s="231"/>
    </row>
    <row r="515" spans="4:5" x14ac:dyDescent="0.3">
      <c r="D515" s="231"/>
      <c r="E515" s="231"/>
    </row>
    <row r="516" spans="4:5" x14ac:dyDescent="0.3">
      <c r="D516" s="231"/>
      <c r="E516" s="231"/>
    </row>
    <row r="517" spans="4:5" x14ac:dyDescent="0.3">
      <c r="D517" s="231"/>
      <c r="E517" s="231"/>
    </row>
    <row r="518" spans="4:5" x14ac:dyDescent="0.3">
      <c r="D518" s="231"/>
      <c r="E518" s="231"/>
    </row>
    <row r="519" spans="4:5" x14ac:dyDescent="0.3">
      <c r="D519" s="231"/>
      <c r="E519" s="231"/>
    </row>
    <row r="520" spans="4:5" x14ac:dyDescent="0.3">
      <c r="D520" s="231"/>
      <c r="E520" s="231"/>
    </row>
    <row r="521" spans="4:5" x14ac:dyDescent="0.3">
      <c r="D521" s="231"/>
      <c r="E521" s="231"/>
    </row>
    <row r="522" spans="4:5" x14ac:dyDescent="0.3">
      <c r="D522" s="231"/>
      <c r="E522" s="231"/>
    </row>
    <row r="523" spans="4:5" x14ac:dyDescent="0.3">
      <c r="D523" s="231"/>
      <c r="E523" s="231"/>
    </row>
    <row r="524" spans="4:5" x14ac:dyDescent="0.3">
      <c r="D524" s="231"/>
      <c r="E524" s="231"/>
    </row>
    <row r="525" spans="4:5" x14ac:dyDescent="0.3">
      <c r="D525" s="231"/>
      <c r="E525" s="231"/>
    </row>
    <row r="526" spans="4:5" x14ac:dyDescent="0.3">
      <c r="D526" s="231"/>
      <c r="E526" s="231"/>
    </row>
    <row r="527" spans="4:5" x14ac:dyDescent="0.3">
      <c r="D527" s="231"/>
      <c r="E527" s="231"/>
    </row>
    <row r="528" spans="4:5" x14ac:dyDescent="0.3">
      <c r="D528" s="231"/>
      <c r="E528" s="231"/>
    </row>
    <row r="529" spans="4:5" x14ac:dyDescent="0.3">
      <c r="D529" s="231"/>
      <c r="E529" s="231"/>
    </row>
    <row r="530" spans="4:5" x14ac:dyDescent="0.3">
      <c r="D530" s="231"/>
      <c r="E530" s="231"/>
    </row>
    <row r="531" spans="4:5" x14ac:dyDescent="0.3">
      <c r="D531" s="231"/>
      <c r="E531" s="231"/>
    </row>
    <row r="532" spans="4:5" x14ac:dyDescent="0.3">
      <c r="D532" s="231"/>
      <c r="E532" s="231"/>
    </row>
    <row r="533" spans="4:5" x14ac:dyDescent="0.3">
      <c r="D533" s="231"/>
      <c r="E533" s="231"/>
    </row>
    <row r="534" spans="4:5" x14ac:dyDescent="0.3">
      <c r="D534" s="231"/>
      <c r="E534" s="231"/>
    </row>
    <row r="535" spans="4:5" x14ac:dyDescent="0.3">
      <c r="D535" s="231"/>
      <c r="E535" s="231"/>
    </row>
    <row r="536" spans="4:5" x14ac:dyDescent="0.3">
      <c r="D536" s="231"/>
      <c r="E536" s="231"/>
    </row>
    <row r="537" spans="4:5" x14ac:dyDescent="0.3">
      <c r="D537" s="231"/>
      <c r="E537" s="231"/>
    </row>
    <row r="538" spans="4:5" x14ac:dyDescent="0.3">
      <c r="D538" s="231"/>
      <c r="E538" s="231"/>
    </row>
    <row r="539" spans="4:5" x14ac:dyDescent="0.3">
      <c r="D539" s="231"/>
      <c r="E539" s="231"/>
    </row>
    <row r="540" spans="4:5" x14ac:dyDescent="0.3">
      <c r="D540" s="231"/>
      <c r="E540" s="231"/>
    </row>
    <row r="541" spans="4:5" x14ac:dyDescent="0.3">
      <c r="D541" s="231"/>
      <c r="E541" s="231"/>
    </row>
    <row r="542" spans="4:5" x14ac:dyDescent="0.3">
      <c r="D542" s="231"/>
      <c r="E542" s="231"/>
    </row>
    <row r="543" spans="4:5" x14ac:dyDescent="0.3">
      <c r="D543" s="231"/>
      <c r="E543" s="231"/>
    </row>
    <row r="544" spans="4:5" x14ac:dyDescent="0.3">
      <c r="D544" s="231"/>
      <c r="E544" s="231"/>
    </row>
    <row r="545" spans="4:5" x14ac:dyDescent="0.3">
      <c r="D545" s="231"/>
      <c r="E545" s="231"/>
    </row>
    <row r="546" spans="4:5" x14ac:dyDescent="0.3">
      <c r="D546" s="231"/>
      <c r="E546" s="231"/>
    </row>
    <row r="547" spans="4:5" x14ac:dyDescent="0.3">
      <c r="D547" s="231"/>
      <c r="E547" s="231"/>
    </row>
    <row r="548" spans="4:5" x14ac:dyDescent="0.3">
      <c r="D548" s="231"/>
      <c r="E548" s="231"/>
    </row>
    <row r="549" spans="4:5" x14ac:dyDescent="0.3">
      <c r="D549" s="231"/>
      <c r="E549" s="231"/>
    </row>
    <row r="550" spans="4:5" x14ac:dyDescent="0.3">
      <c r="D550" s="231"/>
      <c r="E550" s="231"/>
    </row>
    <row r="551" spans="4:5" x14ac:dyDescent="0.3">
      <c r="D551" s="231"/>
      <c r="E551" s="231"/>
    </row>
    <row r="552" spans="4:5" x14ac:dyDescent="0.3">
      <c r="D552" s="231"/>
      <c r="E552" s="231"/>
    </row>
    <row r="553" spans="4:5" x14ac:dyDescent="0.3">
      <c r="D553" s="231"/>
      <c r="E553" s="231"/>
    </row>
    <row r="554" spans="4:5" x14ac:dyDescent="0.3">
      <c r="D554" s="231"/>
      <c r="E554" s="231"/>
    </row>
    <row r="555" spans="4:5" x14ac:dyDescent="0.3">
      <c r="D555" s="231"/>
      <c r="E555" s="231"/>
    </row>
    <row r="556" spans="4:5" x14ac:dyDescent="0.3">
      <c r="D556" s="231"/>
      <c r="E556" s="231"/>
    </row>
    <row r="557" spans="4:5" x14ac:dyDescent="0.3">
      <c r="D557" s="231"/>
      <c r="E557" s="231"/>
    </row>
    <row r="558" spans="4:5" x14ac:dyDescent="0.3">
      <c r="D558" s="231"/>
      <c r="E558" s="231"/>
    </row>
    <row r="559" spans="4:5" x14ac:dyDescent="0.3">
      <c r="D559" s="231"/>
      <c r="E559" s="231"/>
    </row>
    <row r="560" spans="4:5" x14ac:dyDescent="0.3">
      <c r="D560" s="231"/>
      <c r="E560" s="231"/>
    </row>
    <row r="561" spans="4:5" x14ac:dyDescent="0.3">
      <c r="D561" s="231"/>
      <c r="E561" s="231"/>
    </row>
    <row r="562" spans="4:5" x14ac:dyDescent="0.3">
      <c r="D562" s="231"/>
      <c r="E562" s="231"/>
    </row>
    <row r="563" spans="4:5" x14ac:dyDescent="0.3">
      <c r="D563" s="231"/>
      <c r="E563" s="231"/>
    </row>
    <row r="564" spans="4:5" x14ac:dyDescent="0.3">
      <c r="D564" s="231"/>
      <c r="E564" s="231"/>
    </row>
    <row r="565" spans="4:5" x14ac:dyDescent="0.3">
      <c r="D565" s="231"/>
      <c r="E565" s="231"/>
    </row>
    <row r="566" spans="4:5" x14ac:dyDescent="0.3">
      <c r="D566" s="231"/>
      <c r="E566" s="231"/>
    </row>
    <row r="567" spans="4:5" x14ac:dyDescent="0.3">
      <c r="D567" s="231"/>
      <c r="E567" s="231"/>
    </row>
    <row r="568" spans="4:5" x14ac:dyDescent="0.3">
      <c r="D568" s="231"/>
      <c r="E568" s="231"/>
    </row>
    <row r="569" spans="4:5" x14ac:dyDescent="0.3">
      <c r="D569" s="231"/>
      <c r="E569" s="231"/>
    </row>
    <row r="570" spans="4:5" x14ac:dyDescent="0.3">
      <c r="D570" s="231"/>
      <c r="E570" s="231"/>
    </row>
    <row r="571" spans="4:5" x14ac:dyDescent="0.3">
      <c r="D571" s="231"/>
      <c r="E571" s="231"/>
    </row>
    <row r="572" spans="4:5" x14ac:dyDescent="0.3">
      <c r="D572" s="231"/>
      <c r="E572" s="231"/>
    </row>
    <row r="573" spans="4:5" x14ac:dyDescent="0.3">
      <c r="D573" s="231"/>
      <c r="E573" s="231"/>
    </row>
    <row r="574" spans="4:5" x14ac:dyDescent="0.3">
      <c r="D574" s="231"/>
      <c r="E574" s="231"/>
    </row>
    <row r="575" spans="4:5" x14ac:dyDescent="0.3">
      <c r="D575" s="231"/>
      <c r="E575" s="231"/>
    </row>
    <row r="576" spans="4:5" x14ac:dyDescent="0.3">
      <c r="D576" s="231"/>
      <c r="E576" s="231"/>
    </row>
    <row r="577" spans="4:5" x14ac:dyDescent="0.3">
      <c r="D577" s="231"/>
      <c r="E577" s="231"/>
    </row>
    <row r="578" spans="4:5" x14ac:dyDescent="0.3">
      <c r="D578" s="231"/>
      <c r="E578" s="231"/>
    </row>
    <row r="579" spans="4:5" x14ac:dyDescent="0.3">
      <c r="D579" s="231"/>
      <c r="E579" s="231"/>
    </row>
    <row r="580" spans="4:5" x14ac:dyDescent="0.3">
      <c r="D580" s="231"/>
      <c r="E580" s="231"/>
    </row>
    <row r="581" spans="4:5" x14ac:dyDescent="0.3">
      <c r="D581" s="231"/>
      <c r="E581" s="231"/>
    </row>
    <row r="582" spans="4:5" x14ac:dyDescent="0.3">
      <c r="D582" s="231"/>
      <c r="E582" s="231"/>
    </row>
    <row r="583" spans="4:5" x14ac:dyDescent="0.3">
      <c r="D583" s="231"/>
      <c r="E583" s="231"/>
    </row>
    <row r="584" spans="4:5" x14ac:dyDescent="0.3">
      <c r="D584" s="231"/>
      <c r="E584" s="231"/>
    </row>
    <row r="585" spans="4:5" x14ac:dyDescent="0.3">
      <c r="D585" s="231"/>
      <c r="E585" s="231"/>
    </row>
    <row r="586" spans="4:5" x14ac:dyDescent="0.3">
      <c r="D586" s="231"/>
      <c r="E586" s="231"/>
    </row>
    <row r="587" spans="4:5" x14ac:dyDescent="0.3">
      <c r="D587" s="231"/>
      <c r="E587" s="231"/>
    </row>
    <row r="588" spans="4:5" x14ac:dyDescent="0.3">
      <c r="D588" s="231"/>
      <c r="E588" s="231"/>
    </row>
    <row r="589" spans="4:5" x14ac:dyDescent="0.3">
      <c r="D589" s="231"/>
      <c r="E589" s="231"/>
    </row>
    <row r="590" spans="4:5" x14ac:dyDescent="0.3">
      <c r="D590" s="231"/>
      <c r="E590" s="231"/>
    </row>
    <row r="591" spans="4:5" x14ac:dyDescent="0.3">
      <c r="D591" s="231"/>
      <c r="E591" s="231"/>
    </row>
    <row r="592" spans="4:5" x14ac:dyDescent="0.3">
      <c r="D592" s="231"/>
      <c r="E592" s="231"/>
    </row>
    <row r="593" spans="4:5" x14ac:dyDescent="0.3">
      <c r="D593" s="231"/>
      <c r="E593" s="231"/>
    </row>
    <row r="594" spans="4:5" x14ac:dyDescent="0.3">
      <c r="D594" s="231"/>
      <c r="E594" s="231"/>
    </row>
    <row r="595" spans="4:5" x14ac:dyDescent="0.3">
      <c r="D595" s="231"/>
      <c r="E595" s="231"/>
    </row>
    <row r="596" spans="4:5" x14ac:dyDescent="0.3">
      <c r="D596" s="231"/>
      <c r="E596" s="231"/>
    </row>
    <row r="597" spans="4:5" x14ac:dyDescent="0.3">
      <c r="D597" s="231"/>
      <c r="E597" s="231"/>
    </row>
    <row r="598" spans="4:5" x14ac:dyDescent="0.3">
      <c r="D598" s="231"/>
      <c r="E598" s="231"/>
    </row>
    <row r="599" spans="4:5" x14ac:dyDescent="0.3">
      <c r="D599" s="231"/>
      <c r="E599" s="231"/>
    </row>
    <row r="600" spans="4:5" x14ac:dyDescent="0.3">
      <c r="D600" s="231"/>
      <c r="E600" s="231"/>
    </row>
    <row r="601" spans="4:5" x14ac:dyDescent="0.3">
      <c r="D601" s="231"/>
      <c r="E601" s="231"/>
    </row>
    <row r="602" spans="4:5" x14ac:dyDescent="0.3">
      <c r="D602" s="231"/>
      <c r="E602" s="231"/>
    </row>
    <row r="603" spans="4:5" x14ac:dyDescent="0.3">
      <c r="D603" s="231"/>
      <c r="E603" s="231"/>
    </row>
    <row r="604" spans="4:5" x14ac:dyDescent="0.3">
      <c r="D604" s="231"/>
      <c r="E604" s="231"/>
    </row>
    <row r="605" spans="4:5" x14ac:dyDescent="0.3">
      <c r="D605" s="231"/>
      <c r="E605" s="231"/>
    </row>
    <row r="606" spans="4:5" x14ac:dyDescent="0.3">
      <c r="D606" s="231"/>
      <c r="E606" s="231"/>
    </row>
    <row r="607" spans="4:5" x14ac:dyDescent="0.3">
      <c r="D607" s="231"/>
      <c r="E607" s="231"/>
    </row>
    <row r="608" spans="4:5" x14ac:dyDescent="0.3">
      <c r="D608" s="231"/>
      <c r="E608" s="231"/>
    </row>
    <row r="609" spans="4:5" x14ac:dyDescent="0.3">
      <c r="D609" s="231"/>
      <c r="E609" s="231"/>
    </row>
    <row r="610" spans="4:5" x14ac:dyDescent="0.3">
      <c r="D610" s="231"/>
      <c r="E610" s="231"/>
    </row>
    <row r="611" spans="4:5" x14ac:dyDescent="0.3">
      <c r="D611" s="231"/>
      <c r="E611" s="231"/>
    </row>
    <row r="612" spans="4:5" x14ac:dyDescent="0.3">
      <c r="D612" s="231"/>
      <c r="E612" s="231"/>
    </row>
    <row r="613" spans="4:5" x14ac:dyDescent="0.3">
      <c r="D613" s="231"/>
      <c r="E613" s="231"/>
    </row>
    <row r="614" spans="4:5" x14ac:dyDescent="0.3">
      <c r="D614" s="231"/>
      <c r="E614" s="231"/>
    </row>
    <row r="615" spans="4:5" x14ac:dyDescent="0.3">
      <c r="D615" s="231"/>
      <c r="E615" s="231"/>
    </row>
    <row r="616" spans="4:5" x14ac:dyDescent="0.3">
      <c r="D616" s="231"/>
      <c r="E616" s="231"/>
    </row>
    <row r="617" spans="4:5" x14ac:dyDescent="0.3">
      <c r="D617" s="231"/>
      <c r="E617" s="231"/>
    </row>
    <row r="618" spans="4:5" x14ac:dyDescent="0.3">
      <c r="D618" s="231"/>
      <c r="E618" s="231"/>
    </row>
    <row r="619" spans="4:5" x14ac:dyDescent="0.3">
      <c r="D619" s="231"/>
      <c r="E619" s="231"/>
    </row>
    <row r="620" spans="4:5" x14ac:dyDescent="0.3">
      <c r="D620" s="231"/>
      <c r="E620" s="231"/>
    </row>
    <row r="621" spans="4:5" x14ac:dyDescent="0.3">
      <c r="D621" s="231"/>
      <c r="E621" s="231"/>
    </row>
    <row r="622" spans="4:5" x14ac:dyDescent="0.3">
      <c r="D622" s="231"/>
      <c r="E622" s="231"/>
    </row>
    <row r="623" spans="4:5" x14ac:dyDescent="0.3">
      <c r="D623" s="231"/>
      <c r="E623" s="231"/>
    </row>
    <row r="624" spans="4:5" x14ac:dyDescent="0.3">
      <c r="D624" s="231"/>
      <c r="E624" s="231"/>
    </row>
    <row r="625" spans="4:5" x14ac:dyDescent="0.3">
      <c r="D625" s="231"/>
      <c r="E625" s="231"/>
    </row>
    <row r="626" spans="4:5" x14ac:dyDescent="0.3">
      <c r="D626" s="231"/>
      <c r="E626" s="231"/>
    </row>
    <row r="627" spans="4:5" x14ac:dyDescent="0.3">
      <c r="D627" s="231"/>
      <c r="E627" s="231"/>
    </row>
    <row r="628" spans="4:5" x14ac:dyDescent="0.3">
      <c r="D628" s="231"/>
      <c r="E628" s="231"/>
    </row>
    <row r="629" spans="4:5" x14ac:dyDescent="0.3">
      <c r="D629" s="231"/>
      <c r="E629" s="231"/>
    </row>
    <row r="630" spans="4:5" x14ac:dyDescent="0.3">
      <c r="D630" s="231"/>
      <c r="E630" s="231"/>
    </row>
    <row r="631" spans="4:5" x14ac:dyDescent="0.3">
      <c r="D631" s="231"/>
      <c r="E631" s="231"/>
    </row>
    <row r="632" spans="4:5" x14ac:dyDescent="0.3">
      <c r="D632" s="231"/>
      <c r="E632" s="231"/>
    </row>
    <row r="633" spans="4:5" x14ac:dyDescent="0.3">
      <c r="D633" s="231"/>
      <c r="E633" s="231"/>
    </row>
    <row r="634" spans="4:5" x14ac:dyDescent="0.3">
      <c r="D634" s="231"/>
      <c r="E634" s="231"/>
    </row>
    <row r="635" spans="4:5" x14ac:dyDescent="0.3">
      <c r="D635" s="231"/>
      <c r="E635" s="231"/>
    </row>
    <row r="636" spans="4:5" x14ac:dyDescent="0.3">
      <c r="D636" s="231"/>
      <c r="E636" s="231"/>
    </row>
    <row r="637" spans="4:5" x14ac:dyDescent="0.3">
      <c r="D637" s="231"/>
      <c r="E637" s="231"/>
    </row>
    <row r="638" spans="4:5" x14ac:dyDescent="0.3">
      <c r="D638" s="231"/>
      <c r="E638" s="231"/>
    </row>
    <row r="639" spans="4:5" x14ac:dyDescent="0.3">
      <c r="D639" s="231"/>
      <c r="E639" s="231"/>
    </row>
    <row r="640" spans="4:5" x14ac:dyDescent="0.3">
      <c r="D640" s="231"/>
      <c r="E640" s="231"/>
    </row>
    <row r="641" spans="4:5" x14ac:dyDescent="0.3">
      <c r="D641" s="231"/>
      <c r="E641" s="231"/>
    </row>
    <row r="642" spans="4:5" x14ac:dyDescent="0.3">
      <c r="D642" s="231"/>
      <c r="E642" s="231"/>
    </row>
    <row r="643" spans="4:5" x14ac:dyDescent="0.3">
      <c r="D643" s="231"/>
      <c r="E643" s="231"/>
    </row>
    <row r="644" spans="4:5" x14ac:dyDescent="0.3">
      <c r="D644" s="231"/>
      <c r="E644" s="231"/>
    </row>
    <row r="645" spans="4:5" x14ac:dyDescent="0.3">
      <c r="D645" s="231"/>
      <c r="E645" s="231"/>
    </row>
    <row r="646" spans="4:5" x14ac:dyDescent="0.3">
      <c r="D646" s="231"/>
      <c r="E646" s="231"/>
    </row>
    <row r="647" spans="4:5" x14ac:dyDescent="0.3">
      <c r="D647" s="231"/>
      <c r="E647" s="231"/>
    </row>
    <row r="648" spans="4:5" x14ac:dyDescent="0.3">
      <c r="D648" s="231"/>
      <c r="E648" s="231"/>
    </row>
    <row r="649" spans="4:5" x14ac:dyDescent="0.3">
      <c r="D649" s="231"/>
      <c r="E649" s="231"/>
    </row>
    <row r="650" spans="4:5" x14ac:dyDescent="0.3">
      <c r="D650" s="231"/>
      <c r="E650" s="231"/>
    </row>
    <row r="651" spans="4:5" x14ac:dyDescent="0.3">
      <c r="D651" s="231"/>
      <c r="E651" s="231"/>
    </row>
    <row r="652" spans="4:5" x14ac:dyDescent="0.3">
      <c r="D652" s="231"/>
      <c r="E652" s="231"/>
    </row>
    <row r="653" spans="4:5" x14ac:dyDescent="0.3">
      <c r="D653" s="231"/>
      <c r="E653" s="231"/>
    </row>
    <row r="654" spans="4:5" x14ac:dyDescent="0.3">
      <c r="D654" s="231"/>
      <c r="E654" s="231"/>
    </row>
    <row r="655" spans="4:5" x14ac:dyDescent="0.3">
      <c r="D655" s="231"/>
      <c r="E655" s="231"/>
    </row>
    <row r="656" spans="4:5" x14ac:dyDescent="0.3">
      <c r="D656" s="231"/>
      <c r="E656" s="231"/>
    </row>
    <row r="657" spans="4:5" x14ac:dyDescent="0.3">
      <c r="D657" s="231"/>
      <c r="E657" s="231"/>
    </row>
    <row r="658" spans="4:5" x14ac:dyDescent="0.3">
      <c r="D658" s="231"/>
      <c r="E658" s="231"/>
    </row>
    <row r="659" spans="4:5" x14ac:dyDescent="0.3">
      <c r="D659" s="231"/>
      <c r="E659" s="231"/>
    </row>
    <row r="660" spans="4:5" x14ac:dyDescent="0.3">
      <c r="D660" s="231"/>
      <c r="E660" s="231"/>
    </row>
    <row r="661" spans="4:5" x14ac:dyDescent="0.3">
      <c r="D661" s="231"/>
      <c r="E661" s="231"/>
    </row>
    <row r="662" spans="4:5" x14ac:dyDescent="0.3">
      <c r="D662" s="231"/>
      <c r="E662" s="231"/>
    </row>
    <row r="663" spans="4:5" x14ac:dyDescent="0.3">
      <c r="D663" s="231"/>
      <c r="E663" s="231"/>
    </row>
    <row r="664" spans="4:5" x14ac:dyDescent="0.3">
      <c r="D664" s="231"/>
      <c r="E664" s="231"/>
    </row>
    <row r="665" spans="4:5" x14ac:dyDescent="0.3">
      <c r="D665" s="231"/>
      <c r="E665" s="231"/>
    </row>
    <row r="666" spans="4:5" x14ac:dyDescent="0.3">
      <c r="D666" s="231"/>
      <c r="E666" s="231"/>
    </row>
    <row r="667" spans="4:5" x14ac:dyDescent="0.3">
      <c r="D667" s="231"/>
      <c r="E667" s="231"/>
    </row>
    <row r="668" spans="4:5" x14ac:dyDescent="0.3">
      <c r="D668" s="231"/>
      <c r="E668" s="231"/>
    </row>
    <row r="669" spans="4:5" x14ac:dyDescent="0.3">
      <c r="D669" s="231"/>
      <c r="E669" s="231"/>
    </row>
    <row r="670" spans="4:5" x14ac:dyDescent="0.3">
      <c r="D670" s="231"/>
      <c r="E670" s="231"/>
    </row>
    <row r="671" spans="4:5" x14ac:dyDescent="0.3">
      <c r="D671" s="231"/>
      <c r="E671" s="231"/>
    </row>
    <row r="672" spans="4:5" x14ac:dyDescent="0.3">
      <c r="D672" s="231"/>
      <c r="E672" s="231"/>
    </row>
    <row r="673" spans="4:5" x14ac:dyDescent="0.3">
      <c r="D673" s="231"/>
      <c r="E673" s="231"/>
    </row>
    <row r="674" spans="4:5" x14ac:dyDescent="0.3">
      <c r="D674" s="231"/>
      <c r="E674" s="231"/>
    </row>
    <row r="675" spans="4:5" x14ac:dyDescent="0.3">
      <c r="D675" s="231"/>
      <c r="E675" s="231"/>
    </row>
    <row r="676" spans="4:5" x14ac:dyDescent="0.3">
      <c r="D676" s="231"/>
      <c r="E676" s="231"/>
    </row>
    <row r="677" spans="4:5" x14ac:dyDescent="0.3">
      <c r="D677" s="231"/>
      <c r="E677" s="231"/>
    </row>
    <row r="678" spans="4:5" x14ac:dyDescent="0.3">
      <c r="D678" s="231"/>
      <c r="E678" s="231"/>
    </row>
    <row r="679" spans="4:5" x14ac:dyDescent="0.3">
      <c r="D679" s="231"/>
      <c r="E679" s="231"/>
    </row>
    <row r="680" spans="4:5" x14ac:dyDescent="0.3">
      <c r="D680" s="231"/>
      <c r="E680" s="231"/>
    </row>
    <row r="681" spans="4:5" x14ac:dyDescent="0.3">
      <c r="D681" s="231"/>
      <c r="E681" s="231"/>
    </row>
    <row r="682" spans="4:5" x14ac:dyDescent="0.3">
      <c r="D682" s="231"/>
      <c r="E682" s="231"/>
    </row>
    <row r="683" spans="4:5" x14ac:dyDescent="0.3">
      <c r="D683" s="231"/>
      <c r="E683" s="231"/>
    </row>
    <row r="684" spans="4:5" x14ac:dyDescent="0.3">
      <c r="D684" s="231"/>
      <c r="E684" s="231"/>
    </row>
    <row r="685" spans="4:5" x14ac:dyDescent="0.3">
      <c r="D685" s="231"/>
      <c r="E685" s="231"/>
    </row>
    <row r="686" spans="4:5" x14ac:dyDescent="0.3">
      <c r="D686" s="231"/>
      <c r="E686" s="231"/>
    </row>
    <row r="687" spans="4:5" x14ac:dyDescent="0.3">
      <c r="D687" s="231"/>
      <c r="E687" s="231"/>
    </row>
    <row r="688" spans="4:5" x14ac:dyDescent="0.3">
      <c r="D688" s="231"/>
      <c r="E688" s="231"/>
    </row>
    <row r="689" spans="4:5" x14ac:dyDescent="0.3">
      <c r="D689" s="231"/>
      <c r="E689" s="231"/>
    </row>
    <row r="690" spans="4:5" x14ac:dyDescent="0.3">
      <c r="D690" s="231"/>
      <c r="E690" s="231"/>
    </row>
    <row r="691" spans="4:5" x14ac:dyDescent="0.3">
      <c r="D691" s="231"/>
      <c r="E691" s="231"/>
    </row>
    <row r="692" spans="4:5" x14ac:dyDescent="0.3">
      <c r="D692" s="231"/>
      <c r="E692" s="231"/>
    </row>
    <row r="693" spans="4:5" x14ac:dyDescent="0.3">
      <c r="D693" s="231"/>
      <c r="E693" s="231"/>
    </row>
    <row r="694" spans="4:5" x14ac:dyDescent="0.3">
      <c r="D694" s="231"/>
      <c r="E694" s="231"/>
    </row>
    <row r="695" spans="4:5" x14ac:dyDescent="0.3">
      <c r="D695" s="231"/>
      <c r="E695" s="231"/>
    </row>
    <row r="696" spans="4:5" x14ac:dyDescent="0.3">
      <c r="D696" s="231"/>
      <c r="E696" s="231"/>
    </row>
    <row r="697" spans="4:5" x14ac:dyDescent="0.3">
      <c r="D697" s="231"/>
      <c r="E697" s="231"/>
    </row>
    <row r="698" spans="4:5" x14ac:dyDescent="0.3">
      <c r="D698" s="231"/>
      <c r="E698" s="231"/>
    </row>
    <row r="699" spans="4:5" x14ac:dyDescent="0.3">
      <c r="D699" s="231"/>
      <c r="E699" s="231"/>
    </row>
    <row r="700" spans="4:5" x14ac:dyDescent="0.3">
      <c r="D700" s="231"/>
      <c r="E700" s="231"/>
    </row>
    <row r="701" spans="4:5" x14ac:dyDescent="0.3">
      <c r="D701" s="231"/>
      <c r="E701" s="231"/>
    </row>
    <row r="702" spans="4:5" x14ac:dyDescent="0.3">
      <c r="D702" s="231"/>
      <c r="E702" s="231"/>
    </row>
    <row r="703" spans="4:5" x14ac:dyDescent="0.3">
      <c r="D703" s="231"/>
      <c r="E703" s="231"/>
    </row>
    <row r="704" spans="4:5" x14ac:dyDescent="0.3">
      <c r="D704" s="231"/>
      <c r="E704" s="231"/>
    </row>
    <row r="705" spans="4:5" x14ac:dyDescent="0.3">
      <c r="D705" s="231"/>
      <c r="E705" s="231"/>
    </row>
    <row r="706" spans="4:5" x14ac:dyDescent="0.3">
      <c r="D706" s="231"/>
      <c r="E706" s="231"/>
    </row>
    <row r="707" spans="4:5" x14ac:dyDescent="0.3">
      <c r="D707" s="231"/>
      <c r="E707" s="231"/>
    </row>
    <row r="708" spans="4:5" x14ac:dyDescent="0.3">
      <c r="D708" s="231"/>
      <c r="E708" s="231"/>
    </row>
    <row r="709" spans="4:5" x14ac:dyDescent="0.3">
      <c r="D709" s="231"/>
      <c r="E709" s="231"/>
    </row>
    <row r="710" spans="4:5" x14ac:dyDescent="0.3">
      <c r="D710" s="231"/>
      <c r="E710" s="231"/>
    </row>
    <row r="711" spans="4:5" x14ac:dyDescent="0.3">
      <c r="D711" s="231"/>
      <c r="E711" s="231"/>
    </row>
    <row r="712" spans="4:5" x14ac:dyDescent="0.3">
      <c r="D712" s="231"/>
      <c r="E712" s="231"/>
    </row>
    <row r="713" spans="4:5" x14ac:dyDescent="0.3">
      <c r="D713" s="231"/>
      <c r="E713" s="231"/>
    </row>
    <row r="714" spans="4:5" x14ac:dyDescent="0.3">
      <c r="D714" s="231"/>
      <c r="E714" s="231"/>
    </row>
    <row r="715" spans="4:5" x14ac:dyDescent="0.3">
      <c r="D715" s="231"/>
      <c r="E715" s="231"/>
    </row>
    <row r="716" spans="4:5" x14ac:dyDescent="0.3">
      <c r="D716" s="231"/>
      <c r="E716" s="231"/>
    </row>
    <row r="717" spans="4:5" x14ac:dyDescent="0.3">
      <c r="D717" s="231"/>
      <c r="E717" s="231"/>
    </row>
    <row r="718" spans="4:5" x14ac:dyDescent="0.3">
      <c r="D718" s="231"/>
      <c r="E718" s="231"/>
    </row>
    <row r="719" spans="4:5" x14ac:dyDescent="0.3">
      <c r="D719" s="231"/>
      <c r="E719" s="231"/>
    </row>
    <row r="720" spans="4:5" x14ac:dyDescent="0.3">
      <c r="D720" s="231"/>
      <c r="E720" s="231"/>
    </row>
    <row r="721" spans="4:5" x14ac:dyDescent="0.3">
      <c r="D721" s="231"/>
      <c r="E721" s="231"/>
    </row>
    <row r="722" spans="4:5" x14ac:dyDescent="0.3">
      <c r="D722" s="231"/>
      <c r="E722" s="231"/>
    </row>
    <row r="723" spans="4:5" x14ac:dyDescent="0.3">
      <c r="D723" s="231"/>
      <c r="E723" s="231"/>
    </row>
    <row r="724" spans="4:5" x14ac:dyDescent="0.3">
      <c r="D724" s="231"/>
      <c r="E724" s="231"/>
    </row>
    <row r="725" spans="4:5" x14ac:dyDescent="0.3">
      <c r="D725" s="231"/>
      <c r="E725" s="231"/>
    </row>
    <row r="726" spans="4:5" x14ac:dyDescent="0.3">
      <c r="D726" s="231"/>
      <c r="E726" s="231"/>
    </row>
    <row r="727" spans="4:5" x14ac:dyDescent="0.3">
      <c r="D727" s="231"/>
      <c r="E727" s="231"/>
    </row>
    <row r="728" spans="4:5" x14ac:dyDescent="0.3">
      <c r="D728" s="231"/>
      <c r="E728" s="231"/>
    </row>
    <row r="729" spans="4:5" x14ac:dyDescent="0.3">
      <c r="D729" s="231"/>
      <c r="E729" s="231"/>
    </row>
    <row r="730" spans="4:5" x14ac:dyDescent="0.3">
      <c r="D730" s="231"/>
      <c r="E730" s="231"/>
    </row>
    <row r="731" spans="4:5" x14ac:dyDescent="0.3">
      <c r="D731" s="231"/>
      <c r="E731" s="231"/>
    </row>
    <row r="732" spans="4:5" x14ac:dyDescent="0.3">
      <c r="D732" s="231"/>
      <c r="E732" s="231"/>
    </row>
    <row r="733" spans="4:5" x14ac:dyDescent="0.3">
      <c r="D733" s="231"/>
      <c r="E733" s="231"/>
    </row>
    <row r="734" spans="4:5" x14ac:dyDescent="0.3">
      <c r="D734" s="231"/>
      <c r="E734" s="231"/>
    </row>
    <row r="735" spans="4:5" x14ac:dyDescent="0.3">
      <c r="D735" s="231"/>
      <c r="E735" s="231"/>
    </row>
    <row r="736" spans="4:5" x14ac:dyDescent="0.3">
      <c r="D736" s="231"/>
      <c r="E736" s="231"/>
    </row>
    <row r="737" spans="4:5" x14ac:dyDescent="0.3">
      <c r="D737" s="231"/>
      <c r="E737" s="231"/>
    </row>
    <row r="738" spans="4:5" x14ac:dyDescent="0.3">
      <c r="D738" s="231"/>
      <c r="E738" s="231"/>
    </row>
    <row r="739" spans="4:5" x14ac:dyDescent="0.3">
      <c r="D739" s="231"/>
      <c r="E739" s="231"/>
    </row>
    <row r="740" spans="4:5" x14ac:dyDescent="0.3">
      <c r="D740" s="231"/>
      <c r="E740" s="231"/>
    </row>
    <row r="741" spans="4:5" x14ac:dyDescent="0.3">
      <c r="D741" s="231"/>
      <c r="E741" s="231"/>
    </row>
    <row r="742" spans="4:5" x14ac:dyDescent="0.3">
      <c r="D742" s="231"/>
      <c r="E742" s="231"/>
    </row>
    <row r="743" spans="4:5" x14ac:dyDescent="0.3">
      <c r="D743" s="231"/>
      <c r="E743" s="231"/>
    </row>
    <row r="744" spans="4:5" x14ac:dyDescent="0.3">
      <c r="D744" s="231"/>
      <c r="E744" s="231"/>
    </row>
    <row r="745" spans="4:5" x14ac:dyDescent="0.3">
      <c r="D745" s="231"/>
      <c r="E745" s="231"/>
    </row>
    <row r="746" spans="4:5" x14ac:dyDescent="0.3">
      <c r="D746" s="231"/>
      <c r="E746" s="231"/>
    </row>
    <row r="747" spans="4:5" x14ac:dyDescent="0.3">
      <c r="D747" s="231"/>
      <c r="E747" s="231"/>
    </row>
    <row r="748" spans="4:5" x14ac:dyDescent="0.3">
      <c r="D748" s="231"/>
      <c r="E748" s="231"/>
    </row>
    <row r="749" spans="4:5" x14ac:dyDescent="0.3">
      <c r="D749" s="231"/>
      <c r="E749" s="231"/>
    </row>
    <row r="750" spans="4:5" x14ac:dyDescent="0.3">
      <c r="D750" s="231"/>
      <c r="E750" s="231"/>
    </row>
    <row r="751" spans="4:5" x14ac:dyDescent="0.3">
      <c r="D751" s="231"/>
      <c r="E751" s="231"/>
    </row>
    <row r="752" spans="4:5" x14ac:dyDescent="0.3">
      <c r="D752" s="231"/>
      <c r="E752" s="231"/>
    </row>
    <row r="753" spans="4:5" x14ac:dyDescent="0.3">
      <c r="D753" s="231"/>
      <c r="E753" s="231"/>
    </row>
    <row r="754" spans="4:5" x14ac:dyDescent="0.3">
      <c r="D754" s="231"/>
      <c r="E754" s="231"/>
    </row>
    <row r="755" spans="4:5" x14ac:dyDescent="0.3">
      <c r="D755" s="231"/>
      <c r="E755" s="231"/>
    </row>
    <row r="756" spans="4:5" x14ac:dyDescent="0.3">
      <c r="D756" s="231"/>
      <c r="E756" s="231"/>
    </row>
    <row r="757" spans="4:5" x14ac:dyDescent="0.3">
      <c r="D757" s="231"/>
      <c r="E757" s="231"/>
    </row>
    <row r="758" spans="4:5" x14ac:dyDescent="0.3">
      <c r="D758" s="231"/>
      <c r="E758" s="231"/>
    </row>
    <row r="759" spans="4:5" x14ac:dyDescent="0.3">
      <c r="D759" s="231"/>
      <c r="E759" s="231"/>
    </row>
    <row r="760" spans="4:5" x14ac:dyDescent="0.3">
      <c r="D760" s="231"/>
      <c r="E760" s="231"/>
    </row>
    <row r="761" spans="4:5" x14ac:dyDescent="0.3">
      <c r="D761" s="231"/>
      <c r="E761" s="231"/>
    </row>
    <row r="762" spans="4:5" x14ac:dyDescent="0.3">
      <c r="D762" s="231"/>
      <c r="E762" s="231"/>
    </row>
    <row r="763" spans="4:5" x14ac:dyDescent="0.3">
      <c r="D763" s="231"/>
      <c r="E763" s="231"/>
    </row>
    <row r="764" spans="4:5" x14ac:dyDescent="0.3">
      <c r="D764" s="231"/>
      <c r="E764" s="231"/>
    </row>
    <row r="765" spans="4:5" x14ac:dyDescent="0.3">
      <c r="D765" s="231"/>
      <c r="E765" s="231"/>
    </row>
    <row r="766" spans="4:5" x14ac:dyDescent="0.3">
      <c r="D766" s="231"/>
      <c r="E766" s="231"/>
    </row>
    <row r="767" spans="4:5" x14ac:dyDescent="0.3">
      <c r="D767" s="231"/>
      <c r="E767" s="231"/>
    </row>
    <row r="768" spans="4:5" x14ac:dyDescent="0.3">
      <c r="D768" s="231"/>
      <c r="E768" s="231"/>
    </row>
    <row r="769" spans="4:5" x14ac:dyDescent="0.3">
      <c r="D769" s="231"/>
      <c r="E769" s="231"/>
    </row>
    <row r="770" spans="4:5" x14ac:dyDescent="0.3">
      <c r="D770" s="231"/>
      <c r="E770" s="231"/>
    </row>
    <row r="771" spans="4:5" x14ac:dyDescent="0.3">
      <c r="D771" s="231"/>
      <c r="E771" s="231"/>
    </row>
    <row r="772" spans="4:5" x14ac:dyDescent="0.3">
      <c r="D772" s="231"/>
      <c r="E772" s="231"/>
    </row>
    <row r="773" spans="4:5" x14ac:dyDescent="0.3">
      <c r="D773" s="231"/>
      <c r="E773" s="231"/>
    </row>
    <row r="774" spans="4:5" x14ac:dyDescent="0.3">
      <c r="D774" s="231"/>
      <c r="E774" s="231"/>
    </row>
    <row r="775" spans="4:5" x14ac:dyDescent="0.3">
      <c r="D775" s="231"/>
      <c r="E775" s="231"/>
    </row>
    <row r="776" spans="4:5" x14ac:dyDescent="0.3">
      <c r="D776" s="231"/>
      <c r="E776" s="231"/>
    </row>
    <row r="777" spans="4:5" x14ac:dyDescent="0.3">
      <c r="D777" s="231"/>
      <c r="E777" s="231"/>
    </row>
    <row r="778" spans="4:5" x14ac:dyDescent="0.3">
      <c r="D778" s="231"/>
      <c r="E778" s="231"/>
    </row>
    <row r="779" spans="4:5" x14ac:dyDescent="0.3">
      <c r="D779" s="231"/>
      <c r="E779" s="231"/>
    </row>
    <row r="780" spans="4:5" x14ac:dyDescent="0.3">
      <c r="D780" s="231"/>
      <c r="E780" s="231"/>
    </row>
    <row r="781" spans="4:5" x14ac:dyDescent="0.3">
      <c r="D781" s="231"/>
      <c r="E781" s="231"/>
    </row>
    <row r="782" spans="4:5" x14ac:dyDescent="0.3">
      <c r="D782" s="231"/>
      <c r="E782" s="231"/>
    </row>
    <row r="783" spans="4:5" x14ac:dyDescent="0.3">
      <c r="D783" s="231"/>
      <c r="E783" s="231"/>
    </row>
    <row r="784" spans="4:5" x14ac:dyDescent="0.3">
      <c r="D784" s="231"/>
      <c r="E784" s="231"/>
    </row>
    <row r="785" spans="4:5" x14ac:dyDescent="0.3">
      <c r="D785" s="231"/>
      <c r="E785" s="231"/>
    </row>
    <row r="786" spans="4:5" x14ac:dyDescent="0.3">
      <c r="D786" s="231"/>
      <c r="E786" s="231"/>
    </row>
    <row r="787" spans="4:5" x14ac:dyDescent="0.3">
      <c r="D787" s="231"/>
      <c r="E787" s="231"/>
    </row>
    <row r="788" spans="4:5" x14ac:dyDescent="0.3">
      <c r="D788" s="231"/>
      <c r="E788" s="231"/>
    </row>
    <row r="789" spans="4:5" x14ac:dyDescent="0.3">
      <c r="D789" s="231"/>
      <c r="E789" s="231"/>
    </row>
    <row r="790" spans="4:5" x14ac:dyDescent="0.3">
      <c r="D790" s="231"/>
      <c r="E790" s="231"/>
    </row>
    <row r="791" spans="4:5" x14ac:dyDescent="0.3">
      <c r="D791" s="231"/>
      <c r="E791" s="231"/>
    </row>
    <row r="792" spans="4:5" x14ac:dyDescent="0.3">
      <c r="D792" s="231"/>
      <c r="E792" s="231"/>
    </row>
    <row r="793" spans="4:5" x14ac:dyDescent="0.3">
      <c r="D793" s="231"/>
      <c r="E793" s="231"/>
    </row>
    <row r="794" spans="4:5" x14ac:dyDescent="0.3">
      <c r="D794" s="231"/>
      <c r="E794" s="231"/>
    </row>
    <row r="795" spans="4:5" x14ac:dyDescent="0.3">
      <c r="D795" s="231"/>
      <c r="E795" s="231"/>
    </row>
    <row r="796" spans="4:5" x14ac:dyDescent="0.3">
      <c r="D796" s="231"/>
      <c r="E796" s="231"/>
    </row>
    <row r="797" spans="4:5" x14ac:dyDescent="0.3">
      <c r="D797" s="231"/>
      <c r="E797" s="231"/>
    </row>
    <row r="798" spans="4:5" x14ac:dyDescent="0.3">
      <c r="D798" s="231"/>
      <c r="E798" s="231"/>
    </row>
    <row r="799" spans="4:5" x14ac:dyDescent="0.3">
      <c r="D799" s="231"/>
      <c r="E799" s="231"/>
    </row>
    <row r="800" spans="4:5" x14ac:dyDescent="0.3">
      <c r="D800" s="231"/>
      <c r="E800" s="231"/>
    </row>
    <row r="801" spans="4:5" x14ac:dyDescent="0.3">
      <c r="D801" s="231"/>
      <c r="E801" s="231"/>
    </row>
    <row r="802" spans="4:5" x14ac:dyDescent="0.3">
      <c r="D802" s="231"/>
      <c r="E802" s="231"/>
    </row>
    <row r="803" spans="4:5" x14ac:dyDescent="0.3">
      <c r="D803" s="231"/>
      <c r="E803" s="231"/>
    </row>
    <row r="804" spans="4:5" x14ac:dyDescent="0.3">
      <c r="D804" s="231"/>
      <c r="E804" s="231"/>
    </row>
    <row r="805" spans="4:5" x14ac:dyDescent="0.3">
      <c r="D805" s="231"/>
      <c r="E805" s="231"/>
    </row>
    <row r="806" spans="4:5" x14ac:dyDescent="0.3">
      <c r="D806" s="231"/>
      <c r="E806" s="231"/>
    </row>
    <row r="807" spans="4:5" x14ac:dyDescent="0.3">
      <c r="D807" s="231"/>
      <c r="E807" s="231"/>
    </row>
    <row r="808" spans="4:5" x14ac:dyDescent="0.3">
      <c r="D808" s="231"/>
      <c r="E808" s="231"/>
    </row>
    <row r="809" spans="4:5" x14ac:dyDescent="0.3">
      <c r="D809" s="231"/>
      <c r="E809" s="231"/>
    </row>
    <row r="810" spans="4:5" x14ac:dyDescent="0.3">
      <c r="D810" s="231"/>
      <c r="E810" s="231"/>
    </row>
    <row r="811" spans="4:5" x14ac:dyDescent="0.3">
      <c r="D811" s="231"/>
      <c r="E811" s="231"/>
    </row>
    <row r="812" spans="4:5" x14ac:dyDescent="0.3">
      <c r="D812" s="231"/>
      <c r="E812" s="231"/>
    </row>
    <row r="813" spans="4:5" x14ac:dyDescent="0.3">
      <c r="D813" s="231"/>
      <c r="E813" s="231"/>
    </row>
    <row r="814" spans="4:5" x14ac:dyDescent="0.3">
      <c r="D814" s="231"/>
      <c r="E814" s="231"/>
    </row>
    <row r="815" spans="4:5" x14ac:dyDescent="0.3">
      <c r="D815" s="231"/>
      <c r="E815" s="231"/>
    </row>
    <row r="816" spans="4:5" x14ac:dyDescent="0.3">
      <c r="D816" s="231"/>
      <c r="E816" s="231"/>
    </row>
    <row r="817" spans="4:5" x14ac:dyDescent="0.3">
      <c r="D817" s="231"/>
      <c r="E817" s="231"/>
    </row>
    <row r="818" spans="4:5" x14ac:dyDescent="0.3">
      <c r="D818" s="231"/>
      <c r="E818" s="231"/>
    </row>
    <row r="819" spans="4:5" x14ac:dyDescent="0.3">
      <c r="D819" s="231"/>
      <c r="E819" s="231"/>
    </row>
    <row r="820" spans="4:5" x14ac:dyDescent="0.3">
      <c r="D820" s="231"/>
      <c r="E820" s="231"/>
    </row>
    <row r="821" spans="4:5" x14ac:dyDescent="0.3">
      <c r="D821" s="231"/>
      <c r="E821" s="231"/>
    </row>
    <row r="822" spans="4:5" x14ac:dyDescent="0.3">
      <c r="D822" s="231"/>
      <c r="E822" s="231"/>
    </row>
    <row r="823" spans="4:5" x14ac:dyDescent="0.3">
      <c r="D823" s="231"/>
      <c r="E823" s="231"/>
    </row>
    <row r="824" spans="4:5" x14ac:dyDescent="0.3">
      <c r="D824" s="231"/>
      <c r="E824" s="231"/>
    </row>
    <row r="825" spans="4:5" x14ac:dyDescent="0.3">
      <c r="D825" s="231"/>
      <c r="E825" s="231"/>
    </row>
    <row r="826" spans="4:5" x14ac:dyDescent="0.3">
      <c r="D826" s="231"/>
      <c r="E826" s="231"/>
    </row>
    <row r="827" spans="4:5" x14ac:dyDescent="0.3">
      <c r="D827" s="231"/>
      <c r="E827" s="231"/>
    </row>
    <row r="828" spans="4:5" x14ac:dyDescent="0.3">
      <c r="D828" s="231"/>
      <c r="E828" s="231"/>
    </row>
    <row r="829" spans="4:5" x14ac:dyDescent="0.3">
      <c r="D829" s="231"/>
      <c r="E829" s="231"/>
    </row>
    <row r="830" spans="4:5" x14ac:dyDescent="0.3">
      <c r="D830" s="231"/>
      <c r="E830" s="231"/>
    </row>
    <row r="831" spans="4:5" x14ac:dyDescent="0.3">
      <c r="D831" s="231"/>
      <c r="E831" s="231"/>
    </row>
    <row r="832" spans="4:5" x14ac:dyDescent="0.3">
      <c r="D832" s="231"/>
      <c r="E832" s="231"/>
    </row>
    <row r="833" spans="4:5" x14ac:dyDescent="0.3">
      <c r="D833" s="231"/>
      <c r="E833" s="231"/>
    </row>
    <row r="834" spans="4:5" x14ac:dyDescent="0.3">
      <c r="D834" s="231"/>
      <c r="E834" s="231"/>
    </row>
    <row r="835" spans="4:5" x14ac:dyDescent="0.3">
      <c r="D835" s="231"/>
      <c r="E835" s="231"/>
    </row>
    <row r="836" spans="4:5" x14ac:dyDescent="0.3">
      <c r="D836" s="231"/>
      <c r="E836" s="231"/>
    </row>
    <row r="837" spans="4:5" x14ac:dyDescent="0.3">
      <c r="D837" s="231"/>
      <c r="E837" s="231"/>
    </row>
    <row r="838" spans="4:5" x14ac:dyDescent="0.3">
      <c r="D838" s="231"/>
      <c r="E838" s="231"/>
    </row>
    <row r="839" spans="4:5" x14ac:dyDescent="0.3">
      <c r="D839" s="231"/>
      <c r="E839" s="231"/>
    </row>
    <row r="840" spans="4:5" x14ac:dyDescent="0.3">
      <c r="D840" s="231"/>
      <c r="E840" s="231"/>
    </row>
    <row r="841" spans="4:5" x14ac:dyDescent="0.3">
      <c r="D841" s="231"/>
      <c r="E841" s="231"/>
    </row>
    <row r="842" spans="4:5" x14ac:dyDescent="0.3">
      <c r="D842" s="231"/>
      <c r="E842" s="231"/>
    </row>
    <row r="843" spans="4:5" x14ac:dyDescent="0.3">
      <c r="D843" s="231"/>
      <c r="E843" s="231"/>
    </row>
    <row r="844" spans="4:5" x14ac:dyDescent="0.3">
      <c r="D844" s="231"/>
      <c r="E844" s="231"/>
    </row>
    <row r="845" spans="4:5" x14ac:dyDescent="0.3">
      <c r="D845" s="231"/>
      <c r="E845" s="231"/>
    </row>
    <row r="846" spans="4:5" x14ac:dyDescent="0.3">
      <c r="D846" s="231"/>
      <c r="E846" s="231"/>
    </row>
    <row r="847" spans="4:5" x14ac:dyDescent="0.3">
      <c r="D847" s="231"/>
      <c r="E847" s="231"/>
    </row>
    <row r="848" spans="4:5" x14ac:dyDescent="0.3">
      <c r="D848" s="231"/>
      <c r="E848" s="231"/>
    </row>
    <row r="849" spans="4:5" x14ac:dyDescent="0.3">
      <c r="D849" s="231"/>
      <c r="E849" s="231"/>
    </row>
    <row r="850" spans="4:5" x14ac:dyDescent="0.3">
      <c r="D850" s="231"/>
      <c r="E850" s="231"/>
    </row>
    <row r="851" spans="4:5" x14ac:dyDescent="0.3">
      <c r="D851" s="231"/>
      <c r="E851" s="231"/>
    </row>
    <row r="852" spans="4:5" x14ac:dyDescent="0.3">
      <c r="D852" s="231"/>
      <c r="E852" s="231"/>
    </row>
    <row r="853" spans="4:5" x14ac:dyDescent="0.3">
      <c r="D853" s="231"/>
      <c r="E853" s="231"/>
    </row>
    <row r="854" spans="4:5" x14ac:dyDescent="0.3">
      <c r="D854" s="231"/>
      <c r="E854" s="231"/>
    </row>
    <row r="855" spans="4:5" x14ac:dyDescent="0.3">
      <c r="D855" s="231"/>
      <c r="E855" s="231"/>
    </row>
    <row r="856" spans="4:5" x14ac:dyDescent="0.3">
      <c r="D856" s="231"/>
      <c r="E856" s="231"/>
    </row>
    <row r="857" spans="4:5" x14ac:dyDescent="0.3">
      <c r="D857" s="231"/>
      <c r="E857" s="231"/>
    </row>
    <row r="858" spans="4:5" x14ac:dyDescent="0.3">
      <c r="D858" s="231"/>
      <c r="E858" s="231"/>
    </row>
    <row r="859" spans="4:5" x14ac:dyDescent="0.3">
      <c r="D859" s="231"/>
      <c r="E859" s="231"/>
    </row>
    <row r="860" spans="4:5" x14ac:dyDescent="0.3">
      <c r="D860" s="231"/>
      <c r="E860" s="231"/>
    </row>
    <row r="861" spans="4:5" x14ac:dyDescent="0.3">
      <c r="D861" s="231"/>
      <c r="E861" s="231"/>
    </row>
    <row r="862" spans="4:5" x14ac:dyDescent="0.3">
      <c r="D862" s="231"/>
      <c r="E862" s="231"/>
    </row>
    <row r="863" spans="4:5" x14ac:dyDescent="0.3">
      <c r="D863" s="231"/>
      <c r="E863" s="231"/>
    </row>
    <row r="864" spans="4:5" x14ac:dyDescent="0.3">
      <c r="D864" s="231"/>
      <c r="E864" s="231"/>
    </row>
    <row r="865" spans="4:5" x14ac:dyDescent="0.3">
      <c r="D865" s="231"/>
      <c r="E865" s="231"/>
    </row>
    <row r="866" spans="4:5" x14ac:dyDescent="0.3">
      <c r="D866" s="231"/>
      <c r="E866" s="231"/>
    </row>
    <row r="867" spans="4:5" x14ac:dyDescent="0.3">
      <c r="D867" s="231"/>
      <c r="E867" s="231"/>
    </row>
    <row r="868" spans="4:5" x14ac:dyDescent="0.3">
      <c r="D868" s="231"/>
      <c r="E868" s="231"/>
    </row>
    <row r="869" spans="4:5" x14ac:dyDescent="0.3">
      <c r="D869" s="231"/>
      <c r="E869" s="231"/>
    </row>
    <row r="870" spans="4:5" x14ac:dyDescent="0.3">
      <c r="D870" s="231"/>
      <c r="E870" s="231"/>
    </row>
    <row r="871" spans="4:5" x14ac:dyDescent="0.3">
      <c r="D871" s="231"/>
      <c r="E871" s="231"/>
    </row>
    <row r="872" spans="4:5" x14ac:dyDescent="0.3">
      <c r="D872" s="231"/>
      <c r="E872" s="231"/>
    </row>
    <row r="873" spans="4:5" x14ac:dyDescent="0.3">
      <c r="D873" s="231"/>
      <c r="E873" s="231"/>
    </row>
    <row r="874" spans="4:5" x14ac:dyDescent="0.3">
      <c r="D874" s="231"/>
      <c r="E874" s="231"/>
    </row>
    <row r="875" spans="4:5" x14ac:dyDescent="0.3">
      <c r="D875" s="231"/>
      <c r="E875" s="231"/>
    </row>
    <row r="876" spans="4:5" x14ac:dyDescent="0.3">
      <c r="D876" s="231"/>
      <c r="E876" s="231"/>
    </row>
    <row r="877" spans="4:5" x14ac:dyDescent="0.3">
      <c r="D877" s="231"/>
      <c r="E877" s="231"/>
    </row>
    <row r="878" spans="4:5" x14ac:dyDescent="0.3">
      <c r="D878" s="231"/>
      <c r="E878" s="231"/>
    </row>
    <row r="879" spans="4:5" x14ac:dyDescent="0.3">
      <c r="D879" s="231"/>
      <c r="E879" s="231"/>
    </row>
    <row r="880" spans="4:5" x14ac:dyDescent="0.3">
      <c r="D880" s="231"/>
      <c r="E880" s="231"/>
    </row>
    <row r="881" spans="4:5" x14ac:dyDescent="0.3">
      <c r="D881" s="231"/>
      <c r="E881" s="231"/>
    </row>
    <row r="882" spans="4:5" x14ac:dyDescent="0.3">
      <c r="D882" s="231"/>
      <c r="E882" s="231"/>
    </row>
    <row r="883" spans="4:5" x14ac:dyDescent="0.3">
      <c r="D883" s="231"/>
      <c r="E883" s="231"/>
    </row>
    <row r="884" spans="4:5" x14ac:dyDescent="0.3">
      <c r="D884" s="231"/>
      <c r="E884" s="231"/>
    </row>
    <row r="885" spans="4:5" x14ac:dyDescent="0.3">
      <c r="D885" s="231"/>
      <c r="E885" s="231"/>
    </row>
    <row r="886" spans="4:5" x14ac:dyDescent="0.3">
      <c r="D886" s="231"/>
      <c r="E886" s="231"/>
    </row>
    <row r="887" spans="4:5" x14ac:dyDescent="0.3">
      <c r="D887" s="231"/>
      <c r="E887" s="231"/>
    </row>
    <row r="888" spans="4:5" x14ac:dyDescent="0.3">
      <c r="D888" s="231"/>
      <c r="E888" s="231"/>
    </row>
    <row r="889" spans="4:5" x14ac:dyDescent="0.3">
      <c r="D889" s="231"/>
      <c r="E889" s="231"/>
    </row>
    <row r="890" spans="4:5" x14ac:dyDescent="0.3">
      <c r="D890" s="231"/>
      <c r="E890" s="231"/>
    </row>
    <row r="891" spans="4:5" x14ac:dyDescent="0.3">
      <c r="D891" s="231"/>
      <c r="E891" s="231"/>
    </row>
    <row r="892" spans="4:5" x14ac:dyDescent="0.3">
      <c r="D892" s="231"/>
      <c r="E892" s="231"/>
    </row>
    <row r="893" spans="4:5" x14ac:dyDescent="0.3">
      <c r="D893" s="231"/>
      <c r="E893" s="231"/>
    </row>
    <row r="894" spans="4:5" x14ac:dyDescent="0.3">
      <c r="D894" s="231"/>
      <c r="E894" s="231"/>
    </row>
    <row r="895" spans="4:5" x14ac:dyDescent="0.3">
      <c r="D895" s="231"/>
      <c r="E895" s="231"/>
    </row>
    <row r="896" spans="4:5" x14ac:dyDescent="0.3">
      <c r="D896" s="231"/>
      <c r="E896" s="231"/>
    </row>
    <row r="897" spans="4:5" x14ac:dyDescent="0.3">
      <c r="D897" s="231"/>
      <c r="E897" s="231"/>
    </row>
    <row r="898" spans="4:5" x14ac:dyDescent="0.3">
      <c r="D898" s="231"/>
      <c r="E898" s="231"/>
    </row>
    <row r="899" spans="4:5" x14ac:dyDescent="0.3">
      <c r="D899" s="231"/>
      <c r="E899" s="231"/>
    </row>
    <row r="900" spans="4:5" x14ac:dyDescent="0.3">
      <c r="D900" s="231"/>
      <c r="E900" s="231"/>
    </row>
    <row r="901" spans="4:5" x14ac:dyDescent="0.3">
      <c r="D901" s="231"/>
      <c r="E901" s="231"/>
    </row>
    <row r="902" spans="4:5" x14ac:dyDescent="0.3">
      <c r="D902" s="231"/>
      <c r="E902" s="231"/>
    </row>
    <row r="903" spans="4:5" x14ac:dyDescent="0.3">
      <c r="D903" s="231"/>
      <c r="E903" s="231"/>
    </row>
    <row r="904" spans="4:5" x14ac:dyDescent="0.3">
      <c r="D904" s="231"/>
      <c r="E904" s="231"/>
    </row>
    <row r="905" spans="4:5" x14ac:dyDescent="0.3">
      <c r="D905" s="231"/>
      <c r="E905" s="231"/>
    </row>
    <row r="906" spans="4:5" x14ac:dyDescent="0.3">
      <c r="D906" s="231"/>
      <c r="E906" s="231"/>
    </row>
    <row r="907" spans="4:5" x14ac:dyDescent="0.3">
      <c r="D907" s="231"/>
      <c r="E907" s="231"/>
    </row>
    <row r="908" spans="4:5" x14ac:dyDescent="0.3">
      <c r="D908" s="231"/>
      <c r="E908" s="231"/>
    </row>
    <row r="909" spans="4:5" x14ac:dyDescent="0.3">
      <c r="D909" s="231"/>
      <c r="E909" s="231"/>
    </row>
    <row r="910" spans="4:5" x14ac:dyDescent="0.3">
      <c r="D910" s="231"/>
      <c r="E910" s="231"/>
    </row>
    <row r="911" spans="4:5" x14ac:dyDescent="0.3">
      <c r="D911" s="231"/>
      <c r="E911" s="231"/>
    </row>
    <row r="912" spans="4:5" x14ac:dyDescent="0.3">
      <c r="D912" s="231"/>
      <c r="E912" s="231"/>
    </row>
    <row r="913" spans="4:5" x14ac:dyDescent="0.3">
      <c r="D913" s="231"/>
      <c r="E913" s="231"/>
    </row>
    <row r="914" spans="4:5" x14ac:dyDescent="0.3">
      <c r="D914" s="231"/>
      <c r="E914" s="231"/>
    </row>
    <row r="915" spans="4:5" x14ac:dyDescent="0.3">
      <c r="D915" s="231"/>
      <c r="E915" s="231"/>
    </row>
    <row r="916" spans="4:5" x14ac:dyDescent="0.3">
      <c r="D916" s="231"/>
      <c r="E916" s="231"/>
    </row>
    <row r="917" spans="4:5" x14ac:dyDescent="0.3">
      <c r="D917" s="231"/>
      <c r="E917" s="231"/>
    </row>
    <row r="918" spans="4:5" x14ac:dyDescent="0.3">
      <c r="D918" s="231"/>
      <c r="E918" s="231"/>
    </row>
    <row r="919" spans="4:5" x14ac:dyDescent="0.3">
      <c r="D919" s="231"/>
      <c r="E919" s="231"/>
    </row>
    <row r="920" spans="4:5" x14ac:dyDescent="0.3">
      <c r="D920" s="231"/>
      <c r="E920" s="231"/>
    </row>
    <row r="921" spans="4:5" x14ac:dyDescent="0.3">
      <c r="D921" s="231"/>
      <c r="E921" s="231"/>
    </row>
    <row r="922" spans="4:5" x14ac:dyDescent="0.3">
      <c r="D922" s="231"/>
      <c r="E922" s="231"/>
    </row>
    <row r="923" spans="4:5" x14ac:dyDescent="0.3">
      <c r="D923" s="231"/>
      <c r="E923" s="231"/>
    </row>
    <row r="924" spans="4:5" x14ac:dyDescent="0.3">
      <c r="D924" s="231"/>
      <c r="E924" s="231"/>
    </row>
    <row r="925" spans="4:5" x14ac:dyDescent="0.3">
      <c r="D925" s="231"/>
      <c r="E925" s="231"/>
    </row>
    <row r="926" spans="4:5" x14ac:dyDescent="0.3">
      <c r="D926" s="231"/>
      <c r="E926" s="231"/>
    </row>
    <row r="927" spans="4:5" x14ac:dyDescent="0.3">
      <c r="D927" s="231"/>
      <c r="E927" s="231"/>
    </row>
    <row r="928" spans="4:5" x14ac:dyDescent="0.3">
      <c r="D928" s="231"/>
      <c r="E928" s="231"/>
    </row>
    <row r="929" spans="4:5" x14ac:dyDescent="0.3">
      <c r="D929" s="231"/>
      <c r="E929" s="231"/>
    </row>
    <row r="930" spans="4:5" x14ac:dyDescent="0.3">
      <c r="D930" s="231"/>
      <c r="E930" s="231"/>
    </row>
    <row r="931" spans="4:5" x14ac:dyDescent="0.3">
      <c r="D931" s="231"/>
      <c r="E931" s="231"/>
    </row>
    <row r="932" spans="4:5" x14ac:dyDescent="0.3">
      <c r="D932" s="231"/>
      <c r="E932" s="231"/>
    </row>
    <row r="933" spans="4:5" x14ac:dyDescent="0.3">
      <c r="D933" s="231"/>
      <c r="E933" s="231"/>
    </row>
    <row r="934" spans="4:5" x14ac:dyDescent="0.3">
      <c r="D934" s="231"/>
      <c r="E934" s="231"/>
    </row>
    <row r="935" spans="4:5" x14ac:dyDescent="0.3">
      <c r="D935" s="231"/>
      <c r="E935" s="231"/>
    </row>
    <row r="936" spans="4:5" x14ac:dyDescent="0.3">
      <c r="D936" s="231"/>
      <c r="E936" s="231"/>
    </row>
    <row r="937" spans="4:5" x14ac:dyDescent="0.3">
      <c r="D937" s="231"/>
      <c r="E937" s="231"/>
    </row>
    <row r="938" spans="4:5" x14ac:dyDescent="0.3">
      <c r="D938" s="231"/>
      <c r="E938" s="231"/>
    </row>
    <row r="939" spans="4:5" x14ac:dyDescent="0.3">
      <c r="D939" s="231"/>
      <c r="E939" s="231"/>
    </row>
    <row r="940" spans="4:5" x14ac:dyDescent="0.3">
      <c r="D940" s="231"/>
      <c r="E940" s="231"/>
    </row>
    <row r="941" spans="4:5" x14ac:dyDescent="0.3">
      <c r="D941" s="231"/>
      <c r="E941" s="231"/>
    </row>
    <row r="942" spans="4:5" x14ac:dyDescent="0.3">
      <c r="D942" s="231"/>
      <c r="E942" s="231"/>
    </row>
    <row r="943" spans="4:5" x14ac:dyDescent="0.3">
      <c r="D943" s="231"/>
      <c r="E943" s="231"/>
    </row>
    <row r="944" spans="4:5" x14ac:dyDescent="0.3">
      <c r="D944" s="231"/>
      <c r="E944" s="231"/>
    </row>
    <row r="945" spans="4:5" x14ac:dyDescent="0.3">
      <c r="D945" s="231"/>
      <c r="E945" s="231"/>
    </row>
    <row r="946" spans="4:5" x14ac:dyDescent="0.3">
      <c r="D946" s="231"/>
      <c r="E946" s="231"/>
    </row>
    <row r="947" spans="4:5" x14ac:dyDescent="0.3">
      <c r="D947" s="231"/>
      <c r="E947" s="231"/>
    </row>
    <row r="948" spans="4:5" x14ac:dyDescent="0.3">
      <c r="D948" s="231"/>
      <c r="E948" s="231"/>
    </row>
    <row r="949" spans="4:5" x14ac:dyDescent="0.3">
      <c r="D949" s="231"/>
      <c r="E949" s="231"/>
    </row>
    <row r="950" spans="4:5" x14ac:dyDescent="0.3">
      <c r="D950" s="231"/>
      <c r="E950" s="231"/>
    </row>
    <row r="951" spans="4:5" x14ac:dyDescent="0.3">
      <c r="D951" s="231"/>
      <c r="E951" s="231"/>
    </row>
    <row r="952" spans="4:5" x14ac:dyDescent="0.3">
      <c r="D952" s="231"/>
      <c r="E952" s="231"/>
    </row>
    <row r="953" spans="4:5" x14ac:dyDescent="0.3">
      <c r="D953" s="231"/>
      <c r="E953" s="231"/>
    </row>
    <row r="954" spans="4:5" x14ac:dyDescent="0.3">
      <c r="D954" s="231"/>
      <c r="E954" s="231"/>
    </row>
    <row r="955" spans="4:5" x14ac:dyDescent="0.3">
      <c r="D955" s="231"/>
      <c r="E955" s="231"/>
    </row>
    <row r="956" spans="4:5" x14ac:dyDescent="0.3">
      <c r="D956" s="231"/>
      <c r="E956" s="231"/>
    </row>
    <row r="957" spans="4:5" x14ac:dyDescent="0.3">
      <c r="D957" s="231"/>
      <c r="E957" s="231"/>
    </row>
    <row r="958" spans="4:5" x14ac:dyDescent="0.3">
      <c r="D958" s="231"/>
      <c r="E958" s="231"/>
    </row>
    <row r="959" spans="4:5" x14ac:dyDescent="0.3">
      <c r="D959" s="231"/>
      <c r="E959" s="231"/>
    </row>
    <row r="960" spans="4:5" x14ac:dyDescent="0.3">
      <c r="D960" s="231"/>
      <c r="E960" s="231"/>
    </row>
    <row r="961" spans="4:5" x14ac:dyDescent="0.3">
      <c r="D961" s="231"/>
      <c r="E961" s="231"/>
    </row>
    <row r="962" spans="4:5" x14ac:dyDescent="0.3">
      <c r="D962" s="231"/>
      <c r="E962" s="231"/>
    </row>
    <row r="963" spans="4:5" x14ac:dyDescent="0.3">
      <c r="D963" s="231"/>
      <c r="E963" s="231"/>
    </row>
    <row r="964" spans="4:5" x14ac:dyDescent="0.3">
      <c r="D964" s="231"/>
      <c r="E964" s="231"/>
    </row>
    <row r="965" spans="4:5" x14ac:dyDescent="0.3">
      <c r="D965" s="231"/>
      <c r="E965" s="231"/>
    </row>
    <row r="966" spans="4:5" x14ac:dyDescent="0.3">
      <c r="D966" s="231"/>
      <c r="E966" s="231"/>
    </row>
    <row r="967" spans="4:5" x14ac:dyDescent="0.3">
      <c r="D967" s="231"/>
      <c r="E967" s="231"/>
    </row>
    <row r="968" spans="4:5" x14ac:dyDescent="0.3">
      <c r="D968" s="231"/>
      <c r="E968" s="231"/>
    </row>
    <row r="969" spans="4:5" x14ac:dyDescent="0.3">
      <c r="D969" s="231"/>
      <c r="E969" s="231"/>
    </row>
    <row r="970" spans="4:5" x14ac:dyDescent="0.3">
      <c r="D970" s="231"/>
      <c r="E970" s="231"/>
    </row>
    <row r="971" spans="4:5" x14ac:dyDescent="0.3">
      <c r="D971" s="231"/>
      <c r="E971" s="231"/>
    </row>
    <row r="972" spans="4:5" x14ac:dyDescent="0.3">
      <c r="D972" s="231"/>
      <c r="E972" s="231"/>
    </row>
    <row r="973" spans="4:5" x14ac:dyDescent="0.3">
      <c r="D973" s="231"/>
      <c r="E973" s="231"/>
    </row>
    <row r="974" spans="4:5" x14ac:dyDescent="0.3">
      <c r="D974" s="231"/>
      <c r="E974" s="231"/>
    </row>
    <row r="975" spans="4:5" x14ac:dyDescent="0.3">
      <c r="D975" s="231"/>
      <c r="E975" s="231"/>
    </row>
    <row r="976" spans="4:5" x14ac:dyDescent="0.3">
      <c r="D976" s="231"/>
      <c r="E976" s="231"/>
    </row>
    <row r="977" spans="4:5" x14ac:dyDescent="0.3">
      <c r="D977" s="231"/>
      <c r="E977" s="231"/>
    </row>
    <row r="978" spans="4:5" x14ac:dyDescent="0.3">
      <c r="D978" s="231"/>
      <c r="E978" s="231"/>
    </row>
    <row r="979" spans="4:5" x14ac:dyDescent="0.3">
      <c r="D979" s="231"/>
      <c r="E979" s="231"/>
    </row>
    <row r="980" spans="4:5" x14ac:dyDescent="0.3">
      <c r="D980" s="231"/>
      <c r="E980" s="231"/>
    </row>
    <row r="981" spans="4:5" x14ac:dyDescent="0.3">
      <c r="D981" s="231"/>
      <c r="E981" s="231"/>
    </row>
    <row r="982" spans="4:5" x14ac:dyDescent="0.3">
      <c r="D982" s="231"/>
      <c r="E982" s="231"/>
    </row>
    <row r="983" spans="4:5" x14ac:dyDescent="0.3">
      <c r="D983" s="231"/>
      <c r="E983" s="231"/>
    </row>
    <row r="984" spans="4:5" x14ac:dyDescent="0.3">
      <c r="D984" s="231"/>
      <c r="E984" s="231"/>
    </row>
    <row r="985" spans="4:5" x14ac:dyDescent="0.3">
      <c r="D985" s="231"/>
      <c r="E985" s="231"/>
    </row>
    <row r="986" spans="4:5" x14ac:dyDescent="0.3">
      <c r="D986" s="231"/>
      <c r="E986" s="231"/>
    </row>
    <row r="987" spans="4:5" x14ac:dyDescent="0.3">
      <c r="D987" s="231"/>
      <c r="E987" s="231"/>
    </row>
    <row r="988" spans="4:5" x14ac:dyDescent="0.3">
      <c r="D988" s="231"/>
      <c r="E988" s="231"/>
    </row>
    <row r="989" spans="4:5" x14ac:dyDescent="0.3">
      <c r="D989" s="231"/>
      <c r="E989" s="231"/>
    </row>
    <row r="990" spans="4:5" x14ac:dyDescent="0.3">
      <c r="D990" s="231"/>
      <c r="E990" s="231"/>
    </row>
    <row r="991" spans="4:5" x14ac:dyDescent="0.3">
      <c r="D991" s="231"/>
      <c r="E991" s="231"/>
    </row>
    <row r="992" spans="4:5" x14ac:dyDescent="0.3">
      <c r="D992" s="231"/>
      <c r="E992" s="231"/>
    </row>
    <row r="993" spans="4:5" x14ac:dyDescent="0.3">
      <c r="D993" s="231"/>
      <c r="E993" s="231"/>
    </row>
    <row r="994" spans="4:5" x14ac:dyDescent="0.3">
      <c r="D994" s="231"/>
      <c r="E994" s="231"/>
    </row>
    <row r="995" spans="4:5" x14ac:dyDescent="0.3">
      <c r="D995" s="231"/>
      <c r="E995" s="231"/>
    </row>
    <row r="996" spans="4:5" x14ac:dyDescent="0.3">
      <c r="D996" s="231"/>
      <c r="E996" s="231"/>
    </row>
    <row r="997" spans="4:5" x14ac:dyDescent="0.3">
      <c r="D997" s="231"/>
      <c r="E997" s="231"/>
    </row>
    <row r="998" spans="4:5" x14ac:dyDescent="0.3">
      <c r="D998" s="231"/>
      <c r="E998" s="231"/>
    </row>
    <row r="999" spans="4:5" x14ac:dyDescent="0.3">
      <c r="D999" s="231"/>
      <c r="E999" s="231"/>
    </row>
    <row r="1000" spans="4:5" x14ac:dyDescent="0.3">
      <c r="D1000" s="231"/>
      <c r="E1000" s="231"/>
    </row>
    <row r="1001" spans="4:5" x14ac:dyDescent="0.3">
      <c r="D1001" s="231"/>
      <c r="E1001" s="231"/>
    </row>
    <row r="1002" spans="4:5" x14ac:dyDescent="0.3">
      <c r="D1002" s="231"/>
      <c r="E1002" s="231"/>
    </row>
    <row r="1003" spans="4:5" x14ac:dyDescent="0.3">
      <c r="D1003" s="231"/>
      <c r="E1003" s="231"/>
    </row>
    <row r="1004" spans="4:5" x14ac:dyDescent="0.3">
      <c r="D1004" s="231"/>
      <c r="E1004" s="231"/>
    </row>
    <row r="1005" spans="4:5" x14ac:dyDescent="0.3">
      <c r="D1005" s="231"/>
      <c r="E1005" s="231"/>
    </row>
    <row r="1006" spans="4:5" x14ac:dyDescent="0.3">
      <c r="D1006" s="231"/>
      <c r="E1006" s="231"/>
    </row>
    <row r="1007" spans="4:5" x14ac:dyDescent="0.3">
      <c r="D1007" s="231"/>
      <c r="E1007" s="231"/>
    </row>
    <row r="1008" spans="4:5" x14ac:dyDescent="0.3">
      <c r="D1008" s="231"/>
      <c r="E1008" s="231"/>
    </row>
    <row r="1009" spans="4:5" x14ac:dyDescent="0.3">
      <c r="D1009" s="231"/>
      <c r="E1009" s="231"/>
    </row>
    <row r="1010" spans="4:5" x14ac:dyDescent="0.3">
      <c r="D1010" s="231"/>
      <c r="E1010" s="231"/>
    </row>
    <row r="1011" spans="4:5" x14ac:dyDescent="0.3">
      <c r="D1011" s="231"/>
      <c r="E1011" s="231"/>
    </row>
    <row r="1012" spans="4:5" x14ac:dyDescent="0.3">
      <c r="D1012" s="231"/>
      <c r="E1012" s="231"/>
    </row>
    <row r="1013" spans="4:5" x14ac:dyDescent="0.3">
      <c r="D1013" s="231"/>
      <c r="E1013" s="231"/>
    </row>
    <row r="1014" spans="4:5" x14ac:dyDescent="0.3">
      <c r="D1014" s="231"/>
      <c r="E1014" s="231"/>
    </row>
    <row r="1015" spans="4:5" x14ac:dyDescent="0.3">
      <c r="D1015" s="231"/>
      <c r="E1015" s="231"/>
    </row>
    <row r="1016" spans="4:5" x14ac:dyDescent="0.3">
      <c r="D1016" s="231"/>
      <c r="E1016" s="231"/>
    </row>
    <row r="1017" spans="4:5" x14ac:dyDescent="0.3">
      <c r="D1017" s="231"/>
      <c r="E1017" s="231"/>
    </row>
    <row r="1018" spans="4:5" x14ac:dyDescent="0.3">
      <c r="D1018" s="231"/>
      <c r="E1018" s="231"/>
    </row>
    <row r="1019" spans="4:5" x14ac:dyDescent="0.3">
      <c r="D1019" s="231"/>
      <c r="E1019" s="231"/>
    </row>
    <row r="1020" spans="4:5" x14ac:dyDescent="0.3">
      <c r="D1020" s="231"/>
      <c r="E1020" s="231"/>
    </row>
    <row r="1021" spans="4:5" x14ac:dyDescent="0.3">
      <c r="D1021" s="231"/>
      <c r="E1021" s="231"/>
    </row>
    <row r="1022" spans="4:5" x14ac:dyDescent="0.3">
      <c r="D1022" s="231"/>
      <c r="E1022" s="231"/>
    </row>
    <row r="1023" spans="4:5" x14ac:dyDescent="0.3">
      <c r="D1023" s="231"/>
      <c r="E1023" s="231"/>
    </row>
    <row r="1024" spans="4:5" x14ac:dyDescent="0.3">
      <c r="D1024" s="231"/>
      <c r="E1024" s="231"/>
    </row>
    <row r="1025" spans="4:5" x14ac:dyDescent="0.3">
      <c r="D1025" s="231"/>
      <c r="E1025" s="231"/>
    </row>
    <row r="1026" spans="4:5" x14ac:dyDescent="0.3">
      <c r="D1026" s="231"/>
      <c r="E1026" s="231"/>
    </row>
    <row r="1027" spans="4:5" x14ac:dyDescent="0.3">
      <c r="D1027" s="231"/>
      <c r="E1027" s="231"/>
    </row>
    <row r="1028" spans="4:5" x14ac:dyDescent="0.3">
      <c r="D1028" s="231"/>
      <c r="E1028" s="231"/>
    </row>
    <row r="1029" spans="4:5" x14ac:dyDescent="0.3">
      <c r="D1029" s="231"/>
      <c r="E1029" s="231"/>
    </row>
    <row r="1030" spans="4:5" x14ac:dyDescent="0.3">
      <c r="D1030" s="231"/>
      <c r="E1030" s="231"/>
    </row>
    <row r="1031" spans="4:5" x14ac:dyDescent="0.3">
      <c r="D1031" s="231"/>
      <c r="E1031" s="231"/>
    </row>
    <row r="1032" spans="4:5" x14ac:dyDescent="0.3">
      <c r="D1032" s="231"/>
      <c r="E1032" s="231"/>
    </row>
    <row r="1033" spans="4:5" x14ac:dyDescent="0.3">
      <c r="D1033" s="231"/>
      <c r="E1033" s="231"/>
    </row>
    <row r="1034" spans="4:5" x14ac:dyDescent="0.3">
      <c r="D1034" s="231"/>
      <c r="E1034" s="231"/>
    </row>
    <row r="1035" spans="4:5" x14ac:dyDescent="0.3">
      <c r="D1035" s="231"/>
      <c r="E1035" s="231"/>
    </row>
    <row r="1036" spans="4:5" x14ac:dyDescent="0.3">
      <c r="D1036" s="231"/>
      <c r="E1036" s="231"/>
    </row>
    <row r="1037" spans="4:5" x14ac:dyDescent="0.3">
      <c r="D1037" s="231"/>
      <c r="E1037" s="231"/>
    </row>
    <row r="1038" spans="4:5" x14ac:dyDescent="0.3">
      <c r="D1038" s="231"/>
      <c r="E1038" s="231"/>
    </row>
    <row r="1039" spans="4:5" x14ac:dyDescent="0.3">
      <c r="D1039" s="231"/>
      <c r="E1039" s="231"/>
    </row>
    <row r="1040" spans="4:5" x14ac:dyDescent="0.3">
      <c r="D1040" s="231"/>
      <c r="E1040" s="231"/>
    </row>
    <row r="1041" spans="4:5" x14ac:dyDescent="0.3">
      <c r="D1041" s="231"/>
      <c r="E1041" s="231"/>
    </row>
    <row r="1042" spans="4:5" x14ac:dyDescent="0.3">
      <c r="D1042" s="231"/>
      <c r="E1042" s="231"/>
    </row>
    <row r="1043" spans="4:5" x14ac:dyDescent="0.3">
      <c r="D1043" s="231"/>
      <c r="E1043" s="231"/>
    </row>
    <row r="1044" spans="4:5" x14ac:dyDescent="0.3">
      <c r="D1044" s="231"/>
      <c r="E1044" s="231"/>
    </row>
    <row r="1045" spans="4:5" x14ac:dyDescent="0.3">
      <c r="D1045" s="231"/>
      <c r="E1045" s="231"/>
    </row>
    <row r="1046" spans="4:5" x14ac:dyDescent="0.3">
      <c r="D1046" s="231"/>
      <c r="E1046" s="231"/>
    </row>
    <row r="1047" spans="4:5" x14ac:dyDescent="0.3">
      <c r="D1047" s="231"/>
      <c r="E1047" s="231"/>
    </row>
    <row r="1048" spans="4:5" x14ac:dyDescent="0.3">
      <c r="D1048" s="231"/>
      <c r="E1048" s="231"/>
    </row>
    <row r="1049" spans="4:5" x14ac:dyDescent="0.3">
      <c r="D1049" s="231"/>
      <c r="E1049" s="231"/>
    </row>
    <row r="1050" spans="4:5" x14ac:dyDescent="0.3">
      <c r="D1050" s="231"/>
      <c r="E1050" s="231"/>
    </row>
    <row r="1051" spans="4:5" x14ac:dyDescent="0.3">
      <c r="D1051" s="231"/>
      <c r="E1051" s="231"/>
    </row>
    <row r="1052" spans="4:5" x14ac:dyDescent="0.3">
      <c r="D1052" s="231"/>
      <c r="E1052" s="231"/>
    </row>
    <row r="1053" spans="4:5" x14ac:dyDescent="0.3">
      <c r="D1053" s="231"/>
      <c r="E1053" s="231"/>
    </row>
    <row r="1054" spans="4:5" x14ac:dyDescent="0.3">
      <c r="D1054" s="231"/>
      <c r="E1054" s="231"/>
    </row>
    <row r="1055" spans="4:5" x14ac:dyDescent="0.3">
      <c r="D1055" s="231"/>
      <c r="E1055" s="231"/>
    </row>
    <row r="1056" spans="4:5" x14ac:dyDescent="0.3">
      <c r="D1056" s="231"/>
      <c r="E1056" s="231"/>
    </row>
    <row r="1057" spans="4:5" x14ac:dyDescent="0.3">
      <c r="D1057" s="231"/>
      <c r="E1057" s="231"/>
    </row>
    <row r="1058" spans="4:5" x14ac:dyDescent="0.3">
      <c r="D1058" s="231"/>
      <c r="E1058" s="231"/>
    </row>
    <row r="1059" spans="4:5" x14ac:dyDescent="0.3">
      <c r="D1059" s="231"/>
      <c r="E1059" s="231"/>
    </row>
    <row r="1060" spans="4:5" x14ac:dyDescent="0.3">
      <c r="D1060" s="231"/>
      <c r="E1060" s="231"/>
    </row>
    <row r="1061" spans="4:5" x14ac:dyDescent="0.3">
      <c r="D1061" s="231"/>
      <c r="E1061" s="231"/>
    </row>
    <row r="1062" spans="4:5" x14ac:dyDescent="0.3">
      <c r="D1062" s="231"/>
      <c r="E1062" s="231"/>
    </row>
    <row r="1063" spans="4:5" x14ac:dyDescent="0.3">
      <c r="D1063" s="231"/>
      <c r="E1063" s="231"/>
    </row>
    <row r="1064" spans="4:5" x14ac:dyDescent="0.3">
      <c r="D1064" s="231"/>
      <c r="E1064" s="231"/>
    </row>
    <row r="1065" spans="4:5" x14ac:dyDescent="0.3">
      <c r="D1065" s="231"/>
      <c r="E1065" s="231"/>
    </row>
    <row r="1066" spans="4:5" x14ac:dyDescent="0.3">
      <c r="D1066" s="231"/>
      <c r="E1066" s="231"/>
    </row>
    <row r="1067" spans="4:5" x14ac:dyDescent="0.3">
      <c r="D1067" s="231"/>
      <c r="E1067" s="231"/>
    </row>
    <row r="1068" spans="4:5" x14ac:dyDescent="0.3">
      <c r="D1068" s="231"/>
      <c r="E1068" s="231"/>
    </row>
    <row r="1069" spans="4:5" x14ac:dyDescent="0.3">
      <c r="D1069" s="231"/>
      <c r="E1069" s="231"/>
    </row>
    <row r="1070" spans="4:5" x14ac:dyDescent="0.3">
      <c r="D1070" s="231"/>
      <c r="E1070" s="231"/>
    </row>
    <row r="1071" spans="4:5" x14ac:dyDescent="0.3">
      <c r="D1071" s="231"/>
      <c r="E1071" s="231"/>
    </row>
    <row r="1072" spans="4:5" x14ac:dyDescent="0.3">
      <c r="D1072" s="231"/>
      <c r="E1072" s="231"/>
    </row>
    <row r="1073" spans="4:5" x14ac:dyDescent="0.3">
      <c r="D1073" s="231"/>
      <c r="E1073" s="231"/>
    </row>
    <row r="1074" spans="4:5" x14ac:dyDescent="0.3">
      <c r="D1074" s="231"/>
      <c r="E1074" s="231"/>
    </row>
    <row r="1075" spans="4:5" x14ac:dyDescent="0.3">
      <c r="D1075" s="231"/>
      <c r="E1075" s="231"/>
    </row>
    <row r="1076" spans="4:5" x14ac:dyDescent="0.3">
      <c r="D1076" s="231"/>
      <c r="E1076" s="231"/>
    </row>
    <row r="1077" spans="4:5" x14ac:dyDescent="0.3">
      <c r="D1077" s="231"/>
      <c r="E1077" s="231"/>
    </row>
    <row r="1078" spans="4:5" x14ac:dyDescent="0.3">
      <c r="D1078" s="231"/>
      <c r="E1078" s="231"/>
    </row>
    <row r="1079" spans="4:5" x14ac:dyDescent="0.3">
      <c r="D1079" s="231"/>
      <c r="E1079" s="231"/>
    </row>
    <row r="1080" spans="4:5" x14ac:dyDescent="0.3">
      <c r="D1080" s="231"/>
      <c r="E1080" s="231"/>
    </row>
    <row r="1081" spans="4:5" x14ac:dyDescent="0.3">
      <c r="D1081" s="231"/>
      <c r="E1081" s="231"/>
    </row>
    <row r="1082" spans="4:5" x14ac:dyDescent="0.3">
      <c r="D1082" s="231"/>
      <c r="E1082" s="231"/>
    </row>
    <row r="1083" spans="4:5" x14ac:dyDescent="0.3">
      <c r="D1083" s="231"/>
      <c r="E1083" s="231"/>
    </row>
    <row r="1084" spans="4:5" x14ac:dyDescent="0.3">
      <c r="D1084" s="231"/>
      <c r="E1084" s="231"/>
    </row>
    <row r="1085" spans="4:5" x14ac:dyDescent="0.3">
      <c r="D1085" s="231"/>
      <c r="E1085" s="231"/>
    </row>
    <row r="1086" spans="4:5" x14ac:dyDescent="0.3">
      <c r="D1086" s="231"/>
      <c r="E1086" s="231"/>
    </row>
    <row r="1087" spans="4:5" x14ac:dyDescent="0.3">
      <c r="D1087" s="231"/>
      <c r="E1087" s="231"/>
    </row>
    <row r="1088" spans="4:5" x14ac:dyDescent="0.3">
      <c r="D1088" s="231"/>
      <c r="E1088" s="231"/>
    </row>
    <row r="1089" spans="4:5" x14ac:dyDescent="0.3">
      <c r="D1089" s="231"/>
      <c r="E1089" s="231"/>
    </row>
    <row r="1090" spans="4:5" x14ac:dyDescent="0.3">
      <c r="D1090" s="231"/>
      <c r="E1090" s="231"/>
    </row>
    <row r="1091" spans="4:5" x14ac:dyDescent="0.3">
      <c r="D1091" s="231"/>
      <c r="E1091" s="231"/>
    </row>
    <row r="1092" spans="4:5" x14ac:dyDescent="0.3">
      <c r="D1092" s="231"/>
      <c r="E1092" s="231"/>
    </row>
    <row r="1093" spans="4:5" x14ac:dyDescent="0.3">
      <c r="D1093" s="231"/>
      <c r="E1093" s="231"/>
    </row>
    <row r="1094" spans="4:5" x14ac:dyDescent="0.3">
      <c r="D1094" s="231"/>
      <c r="E1094" s="231"/>
    </row>
    <row r="1095" spans="4:5" x14ac:dyDescent="0.3">
      <c r="D1095" s="231"/>
      <c r="E1095" s="231"/>
    </row>
    <row r="1096" spans="4:5" x14ac:dyDescent="0.3">
      <c r="D1096" s="231"/>
      <c r="E1096" s="231"/>
    </row>
    <row r="1097" spans="4:5" x14ac:dyDescent="0.3">
      <c r="D1097" s="231"/>
      <c r="E1097" s="231"/>
    </row>
    <row r="1098" spans="4:5" x14ac:dyDescent="0.3">
      <c r="D1098" s="231"/>
      <c r="E1098" s="231"/>
    </row>
    <row r="1099" spans="4:5" x14ac:dyDescent="0.3">
      <c r="D1099" s="231"/>
      <c r="E1099" s="231"/>
    </row>
    <row r="1100" spans="4:5" x14ac:dyDescent="0.3">
      <c r="D1100" s="231"/>
      <c r="E1100" s="231"/>
    </row>
    <row r="1101" spans="4:5" x14ac:dyDescent="0.3">
      <c r="D1101" s="231"/>
      <c r="E1101" s="231"/>
    </row>
    <row r="1102" spans="4:5" x14ac:dyDescent="0.3">
      <c r="D1102" s="231"/>
      <c r="E1102" s="231"/>
    </row>
    <row r="1103" spans="4:5" x14ac:dyDescent="0.3">
      <c r="D1103" s="231"/>
      <c r="E1103" s="231"/>
    </row>
    <row r="1104" spans="4:5" x14ac:dyDescent="0.3">
      <c r="D1104" s="231"/>
      <c r="E1104" s="231"/>
    </row>
    <row r="1105" spans="4:5" x14ac:dyDescent="0.3">
      <c r="D1105" s="231"/>
      <c r="E1105" s="231"/>
    </row>
    <row r="1106" spans="4:5" x14ac:dyDescent="0.3">
      <c r="D1106" s="231"/>
      <c r="E1106" s="231"/>
    </row>
    <row r="1107" spans="4:5" x14ac:dyDescent="0.3">
      <c r="D1107" s="231"/>
      <c r="E1107" s="231"/>
    </row>
    <row r="1108" spans="4:5" x14ac:dyDescent="0.3">
      <c r="D1108" s="231"/>
      <c r="E1108" s="231"/>
    </row>
    <row r="1109" spans="4:5" x14ac:dyDescent="0.3">
      <c r="D1109" s="231"/>
      <c r="E1109" s="231"/>
    </row>
    <row r="1110" spans="4:5" x14ac:dyDescent="0.3">
      <c r="D1110" s="231"/>
      <c r="E1110" s="231"/>
    </row>
    <row r="1111" spans="4:5" x14ac:dyDescent="0.3">
      <c r="D1111" s="231"/>
      <c r="E1111" s="231"/>
    </row>
    <row r="1112" spans="4:5" x14ac:dyDescent="0.3">
      <c r="D1112" s="231"/>
      <c r="E1112" s="231"/>
    </row>
    <row r="1113" spans="4:5" x14ac:dyDescent="0.3">
      <c r="D1113" s="231"/>
      <c r="E1113" s="231"/>
    </row>
    <row r="1114" spans="4:5" x14ac:dyDescent="0.3">
      <c r="D1114" s="231"/>
      <c r="E1114" s="231"/>
    </row>
    <row r="1115" spans="4:5" x14ac:dyDescent="0.3">
      <c r="D1115" s="231"/>
      <c r="E1115" s="231"/>
    </row>
    <row r="1116" spans="4:5" x14ac:dyDescent="0.3">
      <c r="D1116" s="231"/>
      <c r="E1116" s="231"/>
    </row>
    <row r="1117" spans="4:5" x14ac:dyDescent="0.3">
      <c r="D1117" s="231"/>
      <c r="E1117" s="231"/>
    </row>
    <row r="1118" spans="4:5" x14ac:dyDescent="0.3">
      <c r="D1118" s="231"/>
      <c r="E1118" s="231"/>
    </row>
    <row r="1119" spans="4:5" x14ac:dyDescent="0.3">
      <c r="D1119" s="231"/>
      <c r="E1119" s="231"/>
    </row>
    <row r="1120" spans="4:5" x14ac:dyDescent="0.3">
      <c r="D1120" s="231"/>
      <c r="E1120" s="231"/>
    </row>
    <row r="1121" spans="4:5" x14ac:dyDescent="0.3">
      <c r="D1121" s="231"/>
      <c r="E1121" s="231"/>
    </row>
    <row r="1122" spans="4:5" x14ac:dyDescent="0.3">
      <c r="D1122" s="231"/>
      <c r="E1122" s="231"/>
    </row>
    <row r="1123" spans="4:5" x14ac:dyDescent="0.3">
      <c r="D1123" s="231"/>
      <c r="E1123" s="231"/>
    </row>
    <row r="1124" spans="4:5" x14ac:dyDescent="0.3">
      <c r="D1124" s="231"/>
      <c r="E1124" s="231"/>
    </row>
    <row r="1125" spans="4:5" x14ac:dyDescent="0.3">
      <c r="D1125" s="231"/>
      <c r="E1125" s="231"/>
    </row>
    <row r="1126" spans="4:5" x14ac:dyDescent="0.3">
      <c r="D1126" s="231"/>
      <c r="E1126" s="231"/>
    </row>
    <row r="1127" spans="4:5" x14ac:dyDescent="0.3">
      <c r="D1127" s="231"/>
      <c r="E1127" s="231"/>
    </row>
    <row r="1128" spans="4:5" x14ac:dyDescent="0.3">
      <c r="D1128" s="231"/>
      <c r="E1128" s="231"/>
    </row>
    <row r="1129" spans="4:5" x14ac:dyDescent="0.3">
      <c r="D1129" s="231"/>
      <c r="E1129" s="231"/>
    </row>
    <row r="1130" spans="4:5" x14ac:dyDescent="0.3">
      <c r="D1130" s="231"/>
      <c r="E1130" s="231"/>
    </row>
    <row r="1131" spans="4:5" x14ac:dyDescent="0.3">
      <c r="D1131" s="231"/>
      <c r="E1131" s="231"/>
    </row>
    <row r="1132" spans="4:5" x14ac:dyDescent="0.3">
      <c r="D1132" s="231"/>
      <c r="E1132" s="231"/>
    </row>
    <row r="1133" spans="4:5" x14ac:dyDescent="0.3">
      <c r="D1133" s="231"/>
      <c r="E1133" s="231"/>
    </row>
    <row r="1134" spans="4:5" x14ac:dyDescent="0.3">
      <c r="D1134" s="231"/>
      <c r="E1134" s="231"/>
    </row>
    <row r="1135" spans="4:5" x14ac:dyDescent="0.3">
      <c r="D1135" s="231"/>
      <c r="E1135" s="231"/>
    </row>
    <row r="1136" spans="4:5" x14ac:dyDescent="0.3">
      <c r="D1136" s="231"/>
      <c r="E1136" s="231"/>
    </row>
    <row r="1137" spans="4:5" x14ac:dyDescent="0.3">
      <c r="D1137" s="231"/>
      <c r="E1137" s="231"/>
    </row>
    <row r="1138" spans="4:5" x14ac:dyDescent="0.3">
      <c r="D1138" s="231"/>
      <c r="E1138" s="231"/>
    </row>
    <row r="1139" spans="4:5" x14ac:dyDescent="0.3">
      <c r="D1139" s="231"/>
      <c r="E1139" s="231"/>
    </row>
    <row r="1140" spans="4:5" x14ac:dyDescent="0.3">
      <c r="D1140" s="231"/>
      <c r="E1140" s="231"/>
    </row>
    <row r="1141" spans="4:5" x14ac:dyDescent="0.3">
      <c r="D1141" s="231"/>
      <c r="E1141" s="231"/>
    </row>
    <row r="1142" spans="4:5" x14ac:dyDescent="0.3">
      <c r="D1142" s="231"/>
      <c r="E1142" s="231"/>
    </row>
    <row r="1143" spans="4:5" x14ac:dyDescent="0.3">
      <c r="D1143" s="231"/>
      <c r="E1143" s="231"/>
    </row>
    <row r="1144" spans="4:5" x14ac:dyDescent="0.3">
      <c r="D1144" s="231"/>
      <c r="E1144" s="231"/>
    </row>
    <row r="1145" spans="4:5" x14ac:dyDescent="0.3">
      <c r="D1145" s="231"/>
      <c r="E1145" s="231"/>
    </row>
    <row r="1146" spans="4:5" x14ac:dyDescent="0.3">
      <c r="D1146" s="231"/>
      <c r="E1146" s="231"/>
    </row>
    <row r="1147" spans="4:5" x14ac:dyDescent="0.3">
      <c r="D1147" s="231"/>
      <c r="E1147" s="231"/>
    </row>
    <row r="1148" spans="4:5" x14ac:dyDescent="0.3">
      <c r="D1148" s="231"/>
      <c r="E1148" s="231"/>
    </row>
    <row r="1149" spans="4:5" x14ac:dyDescent="0.3">
      <c r="D1149" s="231"/>
      <c r="E1149" s="231"/>
    </row>
    <row r="1150" spans="4:5" x14ac:dyDescent="0.3">
      <c r="D1150" s="231"/>
      <c r="E1150" s="231"/>
    </row>
    <row r="1151" spans="4:5" x14ac:dyDescent="0.3">
      <c r="D1151" s="231"/>
      <c r="E1151" s="231"/>
    </row>
    <row r="1152" spans="4:5" x14ac:dyDescent="0.3">
      <c r="D1152" s="231"/>
      <c r="E1152" s="231"/>
    </row>
    <row r="1153" spans="4:5" x14ac:dyDescent="0.3">
      <c r="D1153" s="231"/>
      <c r="E1153" s="231"/>
    </row>
    <row r="1154" spans="4:5" x14ac:dyDescent="0.3">
      <c r="D1154" s="231"/>
      <c r="E1154" s="231"/>
    </row>
    <row r="1155" spans="4:5" x14ac:dyDescent="0.3">
      <c r="D1155" s="231"/>
      <c r="E1155" s="231"/>
    </row>
    <row r="1156" spans="4:5" x14ac:dyDescent="0.3">
      <c r="D1156" s="231"/>
      <c r="E1156" s="231"/>
    </row>
    <row r="1157" spans="4:5" x14ac:dyDescent="0.3">
      <c r="D1157" s="231"/>
      <c r="E1157" s="231"/>
    </row>
    <row r="1158" spans="4:5" x14ac:dyDescent="0.3">
      <c r="D1158" s="231"/>
      <c r="E1158" s="231"/>
    </row>
    <row r="1159" spans="4:5" x14ac:dyDescent="0.3">
      <c r="D1159" s="231"/>
      <c r="E1159" s="231"/>
    </row>
    <row r="1160" spans="4:5" x14ac:dyDescent="0.3">
      <c r="D1160" s="231"/>
      <c r="E1160" s="231"/>
    </row>
    <row r="1161" spans="4:5" x14ac:dyDescent="0.3">
      <c r="D1161" s="231"/>
      <c r="E1161" s="231"/>
    </row>
    <row r="1162" spans="4:5" x14ac:dyDescent="0.3">
      <c r="D1162" s="231"/>
      <c r="E1162" s="231"/>
    </row>
    <row r="1163" spans="4:5" x14ac:dyDescent="0.3">
      <c r="D1163" s="231"/>
      <c r="E1163" s="231"/>
    </row>
    <row r="1164" spans="4:5" x14ac:dyDescent="0.3">
      <c r="D1164" s="231"/>
      <c r="E1164" s="231"/>
    </row>
    <row r="1165" spans="4:5" x14ac:dyDescent="0.3">
      <c r="D1165" s="231"/>
      <c r="E1165" s="231"/>
    </row>
    <row r="1166" spans="4:5" x14ac:dyDescent="0.3">
      <c r="D1166" s="231"/>
      <c r="E1166" s="231"/>
    </row>
    <row r="1167" spans="4:5" x14ac:dyDescent="0.3">
      <c r="D1167" s="231"/>
      <c r="E1167" s="231"/>
    </row>
    <row r="1168" spans="4:5" x14ac:dyDescent="0.3">
      <c r="D1168" s="231"/>
      <c r="E1168" s="231"/>
    </row>
    <row r="1169" spans="4:5" x14ac:dyDescent="0.3">
      <c r="D1169" s="231"/>
      <c r="E1169" s="231"/>
    </row>
    <row r="1170" spans="4:5" x14ac:dyDescent="0.3">
      <c r="D1170" s="231"/>
      <c r="E1170" s="231"/>
    </row>
    <row r="1171" spans="4:5" x14ac:dyDescent="0.3">
      <c r="D1171" s="231"/>
      <c r="E1171" s="231"/>
    </row>
    <row r="1172" spans="4:5" x14ac:dyDescent="0.3">
      <c r="D1172" s="231"/>
      <c r="E1172" s="231"/>
    </row>
    <row r="1173" spans="4:5" x14ac:dyDescent="0.3">
      <c r="D1173" s="231"/>
      <c r="E1173" s="231"/>
    </row>
    <row r="1174" spans="4:5" x14ac:dyDescent="0.3">
      <c r="D1174" s="231"/>
      <c r="E1174" s="231"/>
    </row>
    <row r="1175" spans="4:5" x14ac:dyDescent="0.3">
      <c r="D1175" s="231"/>
      <c r="E1175" s="231"/>
    </row>
    <row r="1176" spans="4:5" x14ac:dyDescent="0.3">
      <c r="D1176" s="231"/>
      <c r="E1176" s="231"/>
    </row>
    <row r="1177" spans="4:5" x14ac:dyDescent="0.3">
      <c r="D1177" s="231"/>
      <c r="E1177" s="231"/>
    </row>
    <row r="1178" spans="4:5" x14ac:dyDescent="0.3">
      <c r="D1178" s="231"/>
      <c r="E1178" s="231"/>
    </row>
    <row r="1179" spans="4:5" x14ac:dyDescent="0.3">
      <c r="D1179" s="231"/>
      <c r="E1179" s="231"/>
    </row>
    <row r="1180" spans="4:5" x14ac:dyDescent="0.3">
      <c r="D1180" s="231"/>
      <c r="E1180" s="231"/>
    </row>
    <row r="1181" spans="4:5" x14ac:dyDescent="0.3">
      <c r="D1181" s="231"/>
      <c r="E1181" s="231"/>
    </row>
    <row r="1182" spans="4:5" x14ac:dyDescent="0.3">
      <c r="D1182" s="231"/>
      <c r="E1182" s="231"/>
    </row>
    <row r="1183" spans="4:5" x14ac:dyDescent="0.3">
      <c r="D1183" s="231"/>
      <c r="E1183" s="231"/>
    </row>
    <row r="1184" spans="4:5" x14ac:dyDescent="0.3">
      <c r="D1184" s="231"/>
      <c r="E1184" s="231"/>
    </row>
    <row r="1185" spans="4:5" x14ac:dyDescent="0.3">
      <c r="D1185" s="231"/>
      <c r="E1185" s="231"/>
    </row>
    <row r="1186" spans="4:5" x14ac:dyDescent="0.3">
      <c r="D1186" s="231"/>
      <c r="E1186" s="231"/>
    </row>
    <row r="1187" spans="4:5" x14ac:dyDescent="0.3">
      <c r="D1187" s="231"/>
      <c r="E1187" s="231"/>
    </row>
    <row r="1188" spans="4:5" x14ac:dyDescent="0.3">
      <c r="D1188" s="231"/>
      <c r="E1188" s="231"/>
    </row>
    <row r="1189" spans="4:5" x14ac:dyDescent="0.3">
      <c r="D1189" s="231"/>
      <c r="E1189" s="231"/>
    </row>
    <row r="1190" spans="4:5" x14ac:dyDescent="0.3">
      <c r="D1190" s="231"/>
      <c r="E1190" s="231"/>
    </row>
    <row r="1191" spans="4:5" x14ac:dyDescent="0.3">
      <c r="D1191" s="231"/>
      <c r="E1191" s="231"/>
    </row>
    <row r="1192" spans="4:5" x14ac:dyDescent="0.3">
      <c r="D1192" s="231"/>
      <c r="E1192" s="231"/>
    </row>
    <row r="1193" spans="4:5" x14ac:dyDescent="0.3">
      <c r="D1193" s="231"/>
      <c r="E1193" s="231"/>
    </row>
    <row r="1194" spans="4:5" x14ac:dyDescent="0.3">
      <c r="D1194" s="231"/>
      <c r="E1194" s="231"/>
    </row>
    <row r="1195" spans="4:5" x14ac:dyDescent="0.3">
      <c r="D1195" s="231"/>
      <c r="E1195" s="231"/>
    </row>
    <row r="1196" spans="4:5" x14ac:dyDescent="0.3">
      <c r="D1196" s="231"/>
      <c r="E1196" s="231"/>
    </row>
    <row r="1197" spans="4:5" x14ac:dyDescent="0.3">
      <c r="D1197" s="231"/>
      <c r="E1197" s="231"/>
    </row>
    <row r="1198" spans="4:5" x14ac:dyDescent="0.3">
      <c r="D1198" s="231"/>
      <c r="E1198" s="231"/>
    </row>
    <row r="1199" spans="4:5" x14ac:dyDescent="0.3">
      <c r="D1199" s="231"/>
      <c r="E1199" s="231"/>
    </row>
    <row r="1200" spans="4:5" x14ac:dyDescent="0.3">
      <c r="D1200" s="231"/>
      <c r="E1200" s="231"/>
    </row>
    <row r="1201" spans="4:5" x14ac:dyDescent="0.3">
      <c r="D1201" s="231"/>
      <c r="E1201" s="231"/>
    </row>
    <row r="1202" spans="4:5" x14ac:dyDescent="0.3">
      <c r="D1202" s="231"/>
      <c r="E1202" s="231"/>
    </row>
    <row r="1203" spans="4:5" x14ac:dyDescent="0.3">
      <c r="D1203" s="231"/>
      <c r="E1203" s="231"/>
    </row>
    <row r="1204" spans="4:5" x14ac:dyDescent="0.3">
      <c r="D1204" s="231"/>
      <c r="E1204" s="231"/>
    </row>
    <row r="1205" spans="4:5" x14ac:dyDescent="0.3">
      <c r="D1205" s="231"/>
      <c r="E1205" s="231"/>
    </row>
    <row r="1206" spans="4:5" x14ac:dyDescent="0.3">
      <c r="D1206" s="231"/>
      <c r="E1206" s="231"/>
    </row>
    <row r="1207" spans="4:5" x14ac:dyDescent="0.3">
      <c r="D1207" s="231"/>
      <c r="E1207" s="231"/>
    </row>
    <row r="1208" spans="4:5" x14ac:dyDescent="0.3">
      <c r="D1208" s="231"/>
      <c r="E1208" s="231"/>
    </row>
    <row r="1209" spans="4:5" x14ac:dyDescent="0.3">
      <c r="D1209" s="231"/>
      <c r="E1209" s="231"/>
    </row>
    <row r="1210" spans="4:5" x14ac:dyDescent="0.3">
      <c r="D1210" s="231"/>
      <c r="E1210" s="231"/>
    </row>
    <row r="1211" spans="4:5" x14ac:dyDescent="0.3">
      <c r="D1211" s="231"/>
      <c r="E1211" s="231"/>
    </row>
    <row r="1212" spans="4:5" x14ac:dyDescent="0.3">
      <c r="D1212" s="231"/>
      <c r="E1212" s="231"/>
    </row>
    <row r="1213" spans="4:5" x14ac:dyDescent="0.3">
      <c r="D1213" s="231"/>
      <c r="E1213" s="231"/>
    </row>
    <row r="1214" spans="4:5" x14ac:dyDescent="0.3">
      <c r="D1214" s="231"/>
      <c r="E1214" s="231"/>
    </row>
    <row r="1215" spans="4:5" x14ac:dyDescent="0.3">
      <c r="D1215" s="231"/>
      <c r="E1215" s="231"/>
    </row>
    <row r="1216" spans="4:5" x14ac:dyDescent="0.3">
      <c r="D1216" s="231"/>
      <c r="E1216" s="231"/>
    </row>
    <row r="1217" spans="4:5" x14ac:dyDescent="0.3">
      <c r="D1217" s="231"/>
      <c r="E1217" s="231"/>
    </row>
    <row r="1218" spans="4:5" x14ac:dyDescent="0.3">
      <c r="D1218" s="231"/>
      <c r="E1218" s="231"/>
    </row>
    <row r="1219" spans="4:5" x14ac:dyDescent="0.3">
      <c r="D1219" s="231"/>
      <c r="E1219" s="231"/>
    </row>
    <row r="1220" spans="4:5" x14ac:dyDescent="0.3">
      <c r="D1220" s="231"/>
      <c r="E1220" s="231"/>
    </row>
    <row r="1221" spans="4:5" x14ac:dyDescent="0.3">
      <c r="D1221" s="231"/>
      <c r="E1221" s="231"/>
    </row>
    <row r="1222" spans="4:5" x14ac:dyDescent="0.3">
      <c r="D1222" s="231"/>
      <c r="E1222" s="231"/>
    </row>
    <row r="1223" spans="4:5" x14ac:dyDescent="0.3">
      <c r="D1223" s="231"/>
      <c r="E1223" s="231"/>
    </row>
    <row r="1224" spans="4:5" x14ac:dyDescent="0.3">
      <c r="D1224" s="231"/>
      <c r="E1224" s="231"/>
    </row>
    <row r="1225" spans="4:5" x14ac:dyDescent="0.3">
      <c r="D1225" s="231"/>
      <c r="E1225" s="231"/>
    </row>
    <row r="1226" spans="4:5" x14ac:dyDescent="0.3">
      <c r="D1226" s="231"/>
      <c r="E1226" s="231"/>
    </row>
    <row r="1227" spans="4:5" x14ac:dyDescent="0.3">
      <c r="D1227" s="231"/>
      <c r="E1227" s="231"/>
    </row>
    <row r="1228" spans="4:5" x14ac:dyDescent="0.3">
      <c r="D1228" s="231"/>
      <c r="E1228" s="231"/>
    </row>
    <row r="1229" spans="4:5" x14ac:dyDescent="0.3">
      <c r="D1229" s="231"/>
      <c r="E1229" s="231"/>
    </row>
    <row r="1230" spans="4:5" x14ac:dyDescent="0.3">
      <c r="D1230" s="231"/>
      <c r="E1230" s="231"/>
    </row>
    <row r="1231" spans="4:5" x14ac:dyDescent="0.3">
      <c r="D1231" s="231"/>
      <c r="E1231" s="231"/>
    </row>
    <row r="1232" spans="4:5" x14ac:dyDescent="0.3">
      <c r="D1232" s="231"/>
      <c r="E1232" s="231"/>
    </row>
    <row r="1233" spans="4:5" x14ac:dyDescent="0.3">
      <c r="D1233" s="231"/>
      <c r="E1233" s="231"/>
    </row>
    <row r="1234" spans="4:5" x14ac:dyDescent="0.3">
      <c r="D1234" s="231"/>
      <c r="E1234" s="231"/>
    </row>
    <row r="1235" spans="4:5" x14ac:dyDescent="0.3">
      <c r="D1235" s="231"/>
      <c r="E1235" s="231"/>
    </row>
    <row r="1236" spans="4:5" x14ac:dyDescent="0.3">
      <c r="D1236" s="231"/>
      <c r="E1236" s="231"/>
    </row>
    <row r="1237" spans="4:5" x14ac:dyDescent="0.3">
      <c r="D1237" s="231"/>
      <c r="E1237" s="231"/>
    </row>
    <row r="1238" spans="4:5" x14ac:dyDescent="0.3">
      <c r="D1238" s="231"/>
      <c r="E1238" s="231"/>
    </row>
    <row r="1239" spans="4:5" x14ac:dyDescent="0.3">
      <c r="D1239" s="231"/>
      <c r="E1239" s="231"/>
    </row>
    <row r="1240" spans="4:5" x14ac:dyDescent="0.3">
      <c r="D1240" s="231"/>
      <c r="E1240" s="231"/>
    </row>
    <row r="1241" spans="4:5" x14ac:dyDescent="0.3">
      <c r="D1241" s="231"/>
      <c r="E1241" s="231"/>
    </row>
    <row r="1242" spans="4:5" x14ac:dyDescent="0.3">
      <c r="D1242" s="231"/>
      <c r="E1242" s="231"/>
    </row>
    <row r="1243" spans="4:5" x14ac:dyDescent="0.3">
      <c r="D1243" s="231"/>
      <c r="E1243" s="231"/>
    </row>
    <row r="1244" spans="4:5" x14ac:dyDescent="0.3">
      <c r="D1244" s="231"/>
      <c r="E1244" s="231"/>
    </row>
    <row r="1245" spans="4:5" x14ac:dyDescent="0.3">
      <c r="D1245" s="231"/>
      <c r="E1245" s="231"/>
    </row>
    <row r="1246" spans="4:5" x14ac:dyDescent="0.3">
      <c r="D1246" s="231"/>
      <c r="E1246" s="231"/>
    </row>
    <row r="1247" spans="4:5" x14ac:dyDescent="0.3">
      <c r="D1247" s="231"/>
      <c r="E1247" s="231"/>
    </row>
    <row r="1248" spans="4:5" x14ac:dyDescent="0.3">
      <c r="D1248" s="231"/>
      <c r="E1248" s="231"/>
    </row>
    <row r="1249" spans="4:5" x14ac:dyDescent="0.3">
      <c r="D1249" s="231"/>
      <c r="E1249" s="231"/>
    </row>
    <row r="1250" spans="4:5" x14ac:dyDescent="0.3">
      <c r="D1250" s="231"/>
      <c r="E1250" s="231"/>
    </row>
    <row r="1251" spans="4:5" x14ac:dyDescent="0.3">
      <c r="D1251" s="231"/>
      <c r="E1251" s="231"/>
    </row>
    <row r="1252" spans="4:5" x14ac:dyDescent="0.3">
      <c r="D1252" s="231"/>
      <c r="E1252" s="231"/>
    </row>
    <row r="1253" spans="4:5" x14ac:dyDescent="0.3">
      <c r="D1253" s="231"/>
      <c r="E1253" s="231"/>
    </row>
    <row r="1254" spans="4:5" x14ac:dyDescent="0.3">
      <c r="D1254" s="231"/>
      <c r="E1254" s="231"/>
    </row>
    <row r="1255" spans="4:5" x14ac:dyDescent="0.3">
      <c r="D1255" s="231"/>
      <c r="E1255" s="231"/>
    </row>
    <row r="1256" spans="4:5" x14ac:dyDescent="0.3">
      <c r="D1256" s="231"/>
      <c r="E1256" s="231"/>
    </row>
    <row r="1257" spans="4:5" x14ac:dyDescent="0.3">
      <c r="D1257" s="231"/>
      <c r="E1257" s="231"/>
    </row>
    <row r="1258" spans="4:5" x14ac:dyDescent="0.3">
      <c r="D1258" s="231"/>
      <c r="E1258" s="231"/>
    </row>
    <row r="1259" spans="4:5" x14ac:dyDescent="0.3">
      <c r="D1259" s="231"/>
      <c r="E1259" s="231"/>
    </row>
    <row r="1260" spans="4:5" x14ac:dyDescent="0.3">
      <c r="D1260" s="231"/>
      <c r="E1260" s="231"/>
    </row>
    <row r="1261" spans="4:5" x14ac:dyDescent="0.3">
      <c r="D1261" s="231"/>
      <c r="E1261" s="231"/>
    </row>
    <row r="1262" spans="4:5" x14ac:dyDescent="0.3">
      <c r="D1262" s="231"/>
      <c r="E1262" s="231"/>
    </row>
    <row r="1263" spans="4:5" x14ac:dyDescent="0.3">
      <c r="D1263" s="231"/>
      <c r="E1263" s="231"/>
    </row>
    <row r="1264" spans="4:5" x14ac:dyDescent="0.3">
      <c r="D1264" s="231"/>
      <c r="E1264" s="231"/>
    </row>
    <row r="1265" spans="4:5" x14ac:dyDescent="0.3">
      <c r="D1265" s="231"/>
      <c r="E1265" s="231"/>
    </row>
    <row r="1266" spans="4:5" x14ac:dyDescent="0.3">
      <c r="D1266" s="231"/>
      <c r="E1266" s="231"/>
    </row>
    <row r="1267" spans="4:5" x14ac:dyDescent="0.3">
      <c r="D1267" s="231"/>
      <c r="E1267" s="231"/>
    </row>
    <row r="1268" spans="4:5" x14ac:dyDescent="0.3">
      <c r="D1268" s="231"/>
      <c r="E1268" s="231"/>
    </row>
    <row r="1269" spans="4:5" x14ac:dyDescent="0.3">
      <c r="D1269" s="231"/>
      <c r="E1269" s="231"/>
    </row>
    <row r="1270" spans="4:5" x14ac:dyDescent="0.3">
      <c r="D1270" s="231"/>
      <c r="E1270" s="231"/>
    </row>
    <row r="1271" spans="4:5" x14ac:dyDescent="0.3">
      <c r="D1271" s="231"/>
      <c r="E1271" s="231"/>
    </row>
    <row r="1272" spans="4:5" x14ac:dyDescent="0.3">
      <c r="D1272" s="231"/>
      <c r="E1272" s="231"/>
    </row>
    <row r="1273" spans="4:5" x14ac:dyDescent="0.3">
      <c r="D1273" s="231"/>
      <c r="E1273" s="231"/>
    </row>
    <row r="1274" spans="4:5" x14ac:dyDescent="0.3">
      <c r="D1274" s="231"/>
      <c r="E1274" s="231"/>
    </row>
    <row r="1275" spans="4:5" x14ac:dyDescent="0.3">
      <c r="D1275" s="231"/>
      <c r="E1275" s="231"/>
    </row>
    <row r="1276" spans="4:5" x14ac:dyDescent="0.3">
      <c r="D1276" s="231"/>
      <c r="E1276" s="231"/>
    </row>
    <row r="1277" spans="4:5" x14ac:dyDescent="0.3">
      <c r="D1277" s="231"/>
      <c r="E1277" s="231"/>
    </row>
    <row r="1278" spans="4:5" x14ac:dyDescent="0.3">
      <c r="D1278" s="231"/>
      <c r="E1278" s="231"/>
    </row>
    <row r="1279" spans="4:5" x14ac:dyDescent="0.3">
      <c r="D1279" s="231"/>
      <c r="E1279" s="231"/>
    </row>
    <row r="1280" spans="4:5" x14ac:dyDescent="0.3">
      <c r="D1280" s="231"/>
      <c r="E1280" s="231"/>
    </row>
    <row r="1281" spans="4:5" x14ac:dyDescent="0.3">
      <c r="D1281" s="231"/>
      <c r="E1281" s="231"/>
    </row>
    <row r="1282" spans="4:5" x14ac:dyDescent="0.3">
      <c r="D1282" s="231"/>
      <c r="E1282" s="231"/>
    </row>
    <row r="1283" spans="4:5" x14ac:dyDescent="0.3">
      <c r="D1283" s="231"/>
      <c r="E1283" s="231"/>
    </row>
    <row r="1284" spans="4:5" x14ac:dyDescent="0.3">
      <c r="D1284" s="231"/>
      <c r="E1284" s="231"/>
    </row>
    <row r="1285" spans="4:5" x14ac:dyDescent="0.3">
      <c r="D1285" s="231"/>
      <c r="E1285" s="231"/>
    </row>
    <row r="1286" spans="4:5" x14ac:dyDescent="0.3">
      <c r="D1286" s="231"/>
      <c r="E1286" s="231"/>
    </row>
    <row r="1287" spans="4:5" x14ac:dyDescent="0.3">
      <c r="D1287" s="231"/>
      <c r="E1287" s="231"/>
    </row>
    <row r="1288" spans="4:5" x14ac:dyDescent="0.3">
      <c r="D1288" s="231"/>
      <c r="E1288" s="231"/>
    </row>
    <row r="1289" spans="4:5" x14ac:dyDescent="0.3">
      <c r="D1289" s="231"/>
      <c r="E1289" s="231"/>
    </row>
    <row r="1290" spans="4:5" x14ac:dyDescent="0.3">
      <c r="D1290" s="231"/>
      <c r="E1290" s="231"/>
    </row>
    <row r="1291" spans="4:5" x14ac:dyDescent="0.3">
      <c r="D1291" s="231"/>
      <c r="E1291" s="231"/>
    </row>
    <row r="1292" spans="4:5" x14ac:dyDescent="0.3">
      <c r="D1292" s="231"/>
      <c r="E1292" s="231"/>
    </row>
    <row r="1293" spans="4:5" x14ac:dyDescent="0.3">
      <c r="D1293" s="231"/>
      <c r="E1293" s="231"/>
    </row>
    <row r="1294" spans="4:5" x14ac:dyDescent="0.3">
      <c r="D1294" s="231"/>
      <c r="E1294" s="231"/>
    </row>
    <row r="1295" spans="4:5" x14ac:dyDescent="0.3">
      <c r="D1295" s="231"/>
      <c r="E1295" s="231"/>
    </row>
    <row r="1296" spans="4:5" x14ac:dyDescent="0.3">
      <c r="D1296" s="231"/>
      <c r="E1296" s="231"/>
    </row>
    <row r="1297" spans="4:5" x14ac:dyDescent="0.3">
      <c r="D1297" s="231"/>
      <c r="E1297" s="231"/>
    </row>
    <row r="1298" spans="4:5" x14ac:dyDescent="0.3">
      <c r="D1298" s="231"/>
      <c r="E1298" s="231"/>
    </row>
    <row r="1299" spans="4:5" x14ac:dyDescent="0.3">
      <c r="D1299" s="231"/>
      <c r="E1299" s="231"/>
    </row>
    <row r="1300" spans="4:5" x14ac:dyDescent="0.3">
      <c r="D1300" s="231"/>
      <c r="E1300" s="231"/>
    </row>
    <row r="1301" spans="4:5" x14ac:dyDescent="0.3">
      <c r="D1301" s="231"/>
      <c r="E1301" s="231"/>
    </row>
    <row r="1302" spans="4:5" x14ac:dyDescent="0.3">
      <c r="D1302" s="231"/>
      <c r="E1302" s="231"/>
    </row>
    <row r="1303" spans="4:5" x14ac:dyDescent="0.3">
      <c r="D1303" s="231"/>
      <c r="E1303" s="231"/>
    </row>
    <row r="1304" spans="4:5" x14ac:dyDescent="0.3">
      <c r="D1304" s="231"/>
      <c r="E1304" s="231"/>
    </row>
    <row r="1305" spans="4:5" x14ac:dyDescent="0.3">
      <c r="D1305" s="231"/>
      <c r="E1305" s="231"/>
    </row>
    <row r="1306" spans="4:5" x14ac:dyDescent="0.3">
      <c r="D1306" s="231"/>
      <c r="E1306" s="231"/>
    </row>
    <row r="1307" spans="4:5" x14ac:dyDescent="0.3">
      <c r="D1307" s="231"/>
      <c r="E1307" s="231"/>
    </row>
    <row r="1308" spans="4:5" x14ac:dyDescent="0.3">
      <c r="D1308" s="231"/>
      <c r="E1308" s="231"/>
    </row>
    <row r="1309" spans="4:5" x14ac:dyDescent="0.3">
      <c r="D1309" s="231"/>
      <c r="E1309" s="231"/>
    </row>
    <row r="1310" spans="4:5" x14ac:dyDescent="0.3">
      <c r="D1310" s="231"/>
      <c r="E1310" s="231"/>
    </row>
    <row r="1311" spans="4:5" x14ac:dyDescent="0.3">
      <c r="D1311" s="231"/>
      <c r="E1311" s="231"/>
    </row>
    <row r="1312" spans="4:5" x14ac:dyDescent="0.3">
      <c r="D1312" s="231"/>
      <c r="E1312" s="231"/>
    </row>
    <row r="1313" spans="4:5" x14ac:dyDescent="0.3">
      <c r="D1313" s="231"/>
      <c r="E1313" s="231"/>
    </row>
    <row r="1314" spans="4:5" x14ac:dyDescent="0.3">
      <c r="D1314" s="231"/>
      <c r="E1314" s="231"/>
    </row>
    <row r="1315" spans="4:5" x14ac:dyDescent="0.3">
      <c r="D1315" s="231"/>
      <c r="E1315" s="231"/>
    </row>
    <row r="1316" spans="4:5" x14ac:dyDescent="0.3">
      <c r="D1316" s="231"/>
      <c r="E1316" s="231"/>
    </row>
    <row r="1317" spans="4:5" x14ac:dyDescent="0.3">
      <c r="D1317" s="231"/>
      <c r="E1317" s="231"/>
    </row>
    <row r="1318" spans="4:5" x14ac:dyDescent="0.3">
      <c r="D1318" s="231"/>
      <c r="E1318" s="231"/>
    </row>
    <row r="1319" spans="4:5" x14ac:dyDescent="0.3">
      <c r="D1319" s="231"/>
      <c r="E1319" s="231"/>
    </row>
    <row r="1320" spans="4:5" x14ac:dyDescent="0.3">
      <c r="D1320" s="231"/>
      <c r="E1320" s="231"/>
    </row>
    <row r="1321" spans="4:5" x14ac:dyDescent="0.3">
      <c r="D1321" s="231"/>
      <c r="E1321" s="231"/>
    </row>
    <row r="1322" spans="4:5" x14ac:dyDescent="0.3">
      <c r="D1322" s="231"/>
      <c r="E1322" s="231"/>
    </row>
    <row r="1323" spans="4:5" x14ac:dyDescent="0.3">
      <c r="D1323" s="231"/>
      <c r="E1323" s="231"/>
    </row>
    <row r="1324" spans="4:5" x14ac:dyDescent="0.3">
      <c r="D1324" s="231"/>
      <c r="E1324" s="231"/>
    </row>
    <row r="1325" spans="4:5" x14ac:dyDescent="0.3">
      <c r="D1325" s="231"/>
      <c r="E1325" s="231"/>
    </row>
    <row r="1326" spans="4:5" x14ac:dyDescent="0.3">
      <c r="D1326" s="231"/>
      <c r="E1326" s="231"/>
    </row>
    <row r="1327" spans="4:5" x14ac:dyDescent="0.3">
      <c r="D1327" s="231"/>
      <c r="E1327" s="231"/>
    </row>
    <row r="1328" spans="4:5" x14ac:dyDescent="0.3">
      <c r="D1328" s="231"/>
      <c r="E1328" s="231"/>
    </row>
    <row r="1329" spans="4:5" x14ac:dyDescent="0.3">
      <c r="D1329" s="231"/>
      <c r="E1329" s="231"/>
    </row>
    <row r="1330" spans="4:5" x14ac:dyDescent="0.3">
      <c r="D1330" s="231"/>
      <c r="E1330" s="231"/>
    </row>
    <row r="1331" spans="4:5" x14ac:dyDescent="0.3">
      <c r="D1331" s="231"/>
      <c r="E1331" s="231"/>
    </row>
    <row r="1332" spans="4:5" x14ac:dyDescent="0.3">
      <c r="D1332" s="231"/>
      <c r="E1332" s="231"/>
    </row>
    <row r="1333" spans="4:5" x14ac:dyDescent="0.3">
      <c r="D1333" s="231"/>
      <c r="E1333" s="231"/>
    </row>
    <row r="1334" spans="4:5" x14ac:dyDescent="0.3">
      <c r="D1334" s="231"/>
      <c r="E1334" s="231"/>
    </row>
    <row r="1335" spans="4:5" x14ac:dyDescent="0.3">
      <c r="D1335" s="231"/>
      <c r="E1335" s="231"/>
    </row>
    <row r="1336" spans="4:5" x14ac:dyDescent="0.3">
      <c r="D1336" s="231"/>
      <c r="E1336" s="231"/>
    </row>
    <row r="1337" spans="4:5" x14ac:dyDescent="0.3">
      <c r="D1337" s="231"/>
      <c r="E1337" s="231"/>
    </row>
    <row r="1338" spans="4:5" x14ac:dyDescent="0.3">
      <c r="D1338" s="231"/>
      <c r="E1338" s="231"/>
    </row>
    <row r="1339" spans="4:5" x14ac:dyDescent="0.3">
      <c r="D1339" s="231"/>
      <c r="E1339" s="231"/>
    </row>
    <row r="1340" spans="4:5" x14ac:dyDescent="0.3">
      <c r="D1340" s="231"/>
      <c r="E1340" s="231"/>
    </row>
    <row r="1341" spans="4:5" x14ac:dyDescent="0.3">
      <c r="D1341" s="231"/>
      <c r="E1341" s="231"/>
    </row>
    <row r="1342" spans="4:5" x14ac:dyDescent="0.3">
      <c r="D1342" s="231"/>
      <c r="E1342" s="231"/>
    </row>
    <row r="1343" spans="4:5" x14ac:dyDescent="0.3">
      <c r="D1343" s="231"/>
      <c r="E1343" s="231"/>
    </row>
    <row r="1344" spans="4:5" x14ac:dyDescent="0.3">
      <c r="D1344" s="231"/>
      <c r="E1344" s="231"/>
    </row>
    <row r="1345" spans="4:5" x14ac:dyDescent="0.3">
      <c r="D1345" s="231"/>
      <c r="E1345" s="231"/>
    </row>
    <row r="1346" spans="4:5" x14ac:dyDescent="0.3">
      <c r="D1346" s="231"/>
      <c r="E1346" s="231"/>
    </row>
    <row r="1347" spans="4:5" x14ac:dyDescent="0.3">
      <c r="D1347" s="231"/>
      <c r="E1347" s="231"/>
    </row>
    <row r="1348" spans="4:5" x14ac:dyDescent="0.3">
      <c r="D1348" s="231"/>
      <c r="E1348" s="231"/>
    </row>
    <row r="1349" spans="4:5" x14ac:dyDescent="0.3">
      <c r="D1349" s="231"/>
      <c r="E1349" s="231"/>
    </row>
    <row r="1350" spans="4:5" x14ac:dyDescent="0.3">
      <c r="D1350" s="231"/>
      <c r="E1350" s="231"/>
    </row>
    <row r="1351" spans="4:5" x14ac:dyDescent="0.3">
      <c r="D1351" s="231"/>
      <c r="E1351" s="231"/>
    </row>
    <row r="1352" spans="4:5" x14ac:dyDescent="0.3">
      <c r="D1352" s="231"/>
      <c r="E1352" s="231"/>
    </row>
    <row r="1353" spans="4:5" x14ac:dyDescent="0.3">
      <c r="D1353" s="231"/>
      <c r="E1353" s="231"/>
    </row>
    <row r="1354" spans="4:5" x14ac:dyDescent="0.3">
      <c r="D1354" s="231"/>
      <c r="E1354" s="231"/>
    </row>
    <row r="1355" spans="4:5" x14ac:dyDescent="0.3">
      <c r="D1355" s="231"/>
      <c r="E1355" s="231"/>
    </row>
    <row r="1356" spans="4:5" x14ac:dyDescent="0.3">
      <c r="D1356" s="231"/>
      <c r="E1356" s="231"/>
    </row>
    <row r="1357" spans="4:5" x14ac:dyDescent="0.3">
      <c r="D1357" s="231"/>
      <c r="E1357" s="231"/>
    </row>
    <row r="1358" spans="4:5" x14ac:dyDescent="0.3">
      <c r="D1358" s="231"/>
      <c r="E1358" s="231"/>
    </row>
    <row r="1359" spans="4:5" x14ac:dyDescent="0.3">
      <c r="D1359" s="231"/>
      <c r="E1359" s="231"/>
    </row>
    <row r="1360" spans="4:5" x14ac:dyDescent="0.3">
      <c r="D1360" s="231"/>
      <c r="E1360" s="231"/>
    </row>
    <row r="1361" spans="4:5" x14ac:dyDescent="0.3">
      <c r="D1361" s="231"/>
      <c r="E1361" s="231"/>
    </row>
    <row r="1362" spans="4:5" x14ac:dyDescent="0.3">
      <c r="D1362" s="231"/>
      <c r="E1362" s="231"/>
    </row>
    <row r="1363" spans="4:5" x14ac:dyDescent="0.3">
      <c r="D1363" s="231"/>
      <c r="E1363" s="231"/>
    </row>
    <row r="1364" spans="4:5" x14ac:dyDescent="0.3">
      <c r="D1364" s="231"/>
      <c r="E1364" s="231"/>
    </row>
    <row r="1365" spans="4:5" x14ac:dyDescent="0.3">
      <c r="D1365" s="231"/>
      <c r="E1365" s="231"/>
    </row>
    <row r="1366" spans="4:5" x14ac:dyDescent="0.3">
      <c r="D1366" s="231"/>
      <c r="E1366" s="231"/>
    </row>
    <row r="1367" spans="4:5" x14ac:dyDescent="0.3">
      <c r="D1367" s="231"/>
      <c r="E1367" s="231"/>
    </row>
    <row r="1368" spans="4:5" x14ac:dyDescent="0.3">
      <c r="D1368" s="231"/>
      <c r="E1368" s="231"/>
    </row>
    <row r="1369" spans="4:5" x14ac:dyDescent="0.3">
      <c r="D1369" s="231"/>
      <c r="E1369" s="231"/>
    </row>
    <row r="1370" spans="4:5" x14ac:dyDescent="0.3">
      <c r="D1370" s="231"/>
      <c r="E1370" s="231"/>
    </row>
    <row r="1371" spans="4:5" x14ac:dyDescent="0.3">
      <c r="D1371" s="231"/>
      <c r="E1371" s="231"/>
    </row>
    <row r="1372" spans="4:5" x14ac:dyDescent="0.3">
      <c r="D1372" s="231"/>
      <c r="E1372" s="231"/>
    </row>
    <row r="1373" spans="4:5" x14ac:dyDescent="0.3">
      <c r="D1373" s="231"/>
      <c r="E1373" s="231"/>
    </row>
    <row r="1374" spans="4:5" x14ac:dyDescent="0.3">
      <c r="D1374" s="231"/>
      <c r="E1374" s="231"/>
    </row>
    <row r="1375" spans="4:5" x14ac:dyDescent="0.3">
      <c r="D1375" s="231"/>
      <c r="E1375" s="231"/>
    </row>
    <row r="1376" spans="4:5" x14ac:dyDescent="0.3">
      <c r="D1376" s="231"/>
      <c r="E1376" s="231"/>
    </row>
    <row r="1377" spans="4:5" x14ac:dyDescent="0.3">
      <c r="D1377" s="231"/>
      <c r="E1377" s="231"/>
    </row>
    <row r="1378" spans="4:5" x14ac:dyDescent="0.3">
      <c r="D1378" s="231"/>
      <c r="E1378" s="231"/>
    </row>
    <row r="1379" spans="4:5" x14ac:dyDescent="0.3">
      <c r="D1379" s="231"/>
      <c r="E1379" s="231"/>
    </row>
    <row r="1380" spans="4:5" x14ac:dyDescent="0.3">
      <c r="D1380" s="231"/>
      <c r="E1380" s="231"/>
    </row>
    <row r="1381" spans="4:5" x14ac:dyDescent="0.3">
      <c r="D1381" s="231"/>
      <c r="E1381" s="231"/>
    </row>
    <row r="1382" spans="4:5" x14ac:dyDescent="0.3">
      <c r="D1382" s="231"/>
      <c r="E1382" s="231"/>
    </row>
    <row r="1383" spans="4:5" x14ac:dyDescent="0.3">
      <c r="D1383" s="231"/>
      <c r="E1383" s="231"/>
    </row>
    <row r="1384" spans="4:5" x14ac:dyDescent="0.3">
      <c r="D1384" s="231"/>
      <c r="E1384" s="231"/>
    </row>
    <row r="1385" spans="4:5" x14ac:dyDescent="0.3">
      <c r="D1385" s="231"/>
      <c r="E1385" s="231"/>
    </row>
    <row r="1386" spans="4:5" x14ac:dyDescent="0.3">
      <c r="D1386" s="231"/>
      <c r="E1386" s="231"/>
    </row>
    <row r="1387" spans="4:5" x14ac:dyDescent="0.3">
      <c r="D1387" s="231"/>
      <c r="E1387" s="231"/>
    </row>
    <row r="1388" spans="4:5" x14ac:dyDescent="0.3">
      <c r="D1388" s="231"/>
      <c r="E1388" s="231"/>
    </row>
    <row r="1389" spans="4:5" x14ac:dyDescent="0.3">
      <c r="D1389" s="231"/>
      <c r="E1389" s="231"/>
    </row>
    <row r="1390" spans="4:5" x14ac:dyDescent="0.3">
      <c r="D1390" s="231"/>
      <c r="E1390" s="231"/>
    </row>
    <row r="1391" spans="4:5" x14ac:dyDescent="0.3">
      <c r="D1391" s="231"/>
      <c r="E1391" s="231"/>
    </row>
    <row r="1392" spans="4:5" x14ac:dyDescent="0.3">
      <c r="D1392" s="231"/>
      <c r="E1392" s="231"/>
    </row>
    <row r="1393" spans="4:5" x14ac:dyDescent="0.3">
      <c r="D1393" s="231"/>
      <c r="E1393" s="231"/>
    </row>
    <row r="1394" spans="4:5" x14ac:dyDescent="0.3">
      <c r="D1394" s="231"/>
      <c r="E1394" s="231"/>
    </row>
    <row r="1395" spans="4:5" x14ac:dyDescent="0.3">
      <c r="D1395" s="231"/>
      <c r="E1395" s="231"/>
    </row>
    <row r="1396" spans="4:5" x14ac:dyDescent="0.3">
      <c r="D1396" s="231"/>
      <c r="E1396" s="231"/>
    </row>
    <row r="1397" spans="4:5" x14ac:dyDescent="0.3">
      <c r="D1397" s="231"/>
      <c r="E1397" s="231"/>
    </row>
    <row r="1398" spans="4:5" x14ac:dyDescent="0.3">
      <c r="D1398" s="231"/>
      <c r="E1398" s="231"/>
    </row>
    <row r="1399" spans="4:5" x14ac:dyDescent="0.3">
      <c r="D1399" s="231"/>
      <c r="E1399" s="231"/>
    </row>
    <row r="1400" spans="4:5" x14ac:dyDescent="0.3">
      <c r="D1400" s="231"/>
      <c r="E1400" s="231"/>
    </row>
    <row r="1401" spans="4:5" x14ac:dyDescent="0.3">
      <c r="D1401" s="231"/>
      <c r="E1401" s="231"/>
    </row>
    <row r="1402" spans="4:5" x14ac:dyDescent="0.3">
      <c r="D1402" s="231"/>
      <c r="E1402" s="231"/>
    </row>
    <row r="1403" spans="4:5" x14ac:dyDescent="0.3">
      <c r="D1403" s="231"/>
      <c r="E1403" s="231"/>
    </row>
    <row r="1404" spans="4:5" x14ac:dyDescent="0.3">
      <c r="D1404" s="231"/>
      <c r="E1404" s="231"/>
    </row>
    <row r="1405" spans="4:5" x14ac:dyDescent="0.3">
      <c r="D1405" s="231"/>
      <c r="E1405" s="231"/>
    </row>
    <row r="1406" spans="4:5" x14ac:dyDescent="0.3">
      <c r="D1406" s="231"/>
      <c r="E1406" s="231"/>
    </row>
    <row r="1407" spans="4:5" x14ac:dyDescent="0.3">
      <c r="D1407" s="231"/>
      <c r="E1407" s="231"/>
    </row>
    <row r="1408" spans="4:5" x14ac:dyDescent="0.3">
      <c r="D1408" s="231"/>
      <c r="E1408" s="231"/>
    </row>
    <row r="1409" spans="4:5" x14ac:dyDescent="0.3">
      <c r="D1409" s="231"/>
      <c r="E1409" s="231"/>
    </row>
    <row r="1410" spans="4:5" x14ac:dyDescent="0.3">
      <c r="D1410" s="231"/>
      <c r="E1410" s="231"/>
    </row>
    <row r="1411" spans="4:5" x14ac:dyDescent="0.3">
      <c r="D1411" s="231"/>
      <c r="E1411" s="231"/>
    </row>
    <row r="1412" spans="4:5" x14ac:dyDescent="0.3">
      <c r="D1412" s="231"/>
      <c r="E1412" s="231"/>
    </row>
    <row r="1413" spans="4:5" x14ac:dyDescent="0.3">
      <c r="D1413" s="231"/>
      <c r="E1413" s="231"/>
    </row>
    <row r="1414" spans="4:5" x14ac:dyDescent="0.3">
      <c r="D1414" s="231"/>
      <c r="E1414" s="231"/>
    </row>
    <row r="1415" spans="4:5" x14ac:dyDescent="0.3">
      <c r="D1415" s="231"/>
      <c r="E1415" s="231"/>
    </row>
    <row r="1416" spans="4:5" x14ac:dyDescent="0.3">
      <c r="D1416" s="231"/>
      <c r="E1416" s="231"/>
    </row>
    <row r="1417" spans="4:5" x14ac:dyDescent="0.3">
      <c r="D1417" s="231"/>
      <c r="E1417" s="231"/>
    </row>
    <row r="1418" spans="4:5" x14ac:dyDescent="0.3">
      <c r="D1418" s="231"/>
      <c r="E1418" s="231"/>
    </row>
    <row r="1419" spans="4:5" x14ac:dyDescent="0.3">
      <c r="D1419" s="231"/>
      <c r="E1419" s="231"/>
    </row>
    <row r="1420" spans="4:5" x14ac:dyDescent="0.3">
      <c r="D1420" s="231"/>
      <c r="E1420" s="231"/>
    </row>
    <row r="1421" spans="4:5" x14ac:dyDescent="0.3">
      <c r="D1421" s="231"/>
      <c r="E1421" s="231"/>
    </row>
    <row r="1422" spans="4:5" x14ac:dyDescent="0.3">
      <c r="D1422" s="231"/>
      <c r="E1422" s="231"/>
    </row>
    <row r="1423" spans="4:5" x14ac:dyDescent="0.3">
      <c r="D1423" s="231"/>
      <c r="E1423" s="231"/>
    </row>
    <row r="1424" spans="4:5" x14ac:dyDescent="0.3">
      <c r="D1424" s="231"/>
      <c r="E1424" s="231"/>
    </row>
    <row r="1425" spans="4:5" x14ac:dyDescent="0.3">
      <c r="D1425" s="231"/>
      <c r="E1425" s="231"/>
    </row>
    <row r="1426" spans="4:5" x14ac:dyDescent="0.3">
      <c r="D1426" s="231"/>
      <c r="E1426" s="231"/>
    </row>
    <row r="1427" spans="4:5" x14ac:dyDescent="0.3">
      <c r="D1427" s="231"/>
      <c r="E1427" s="231"/>
    </row>
    <row r="1428" spans="4:5" x14ac:dyDescent="0.3">
      <c r="D1428" s="231"/>
      <c r="E1428" s="231"/>
    </row>
    <row r="1429" spans="4:5" x14ac:dyDescent="0.3">
      <c r="D1429" s="231"/>
      <c r="E1429" s="231"/>
    </row>
    <row r="1430" spans="4:5" x14ac:dyDescent="0.3">
      <c r="D1430" s="231"/>
      <c r="E1430" s="231"/>
    </row>
    <row r="1431" spans="4:5" x14ac:dyDescent="0.3">
      <c r="D1431" s="231"/>
      <c r="E1431" s="231"/>
    </row>
    <row r="1432" spans="4:5" x14ac:dyDescent="0.3">
      <c r="D1432" s="231"/>
      <c r="E1432" s="231"/>
    </row>
    <row r="1433" spans="4:5" x14ac:dyDescent="0.3">
      <c r="D1433" s="231"/>
      <c r="E1433" s="231"/>
    </row>
    <row r="1434" spans="4:5" x14ac:dyDescent="0.3">
      <c r="D1434" s="231"/>
      <c r="E1434" s="231"/>
    </row>
    <row r="1435" spans="4:5" x14ac:dyDescent="0.3">
      <c r="D1435" s="231"/>
      <c r="E1435" s="231"/>
    </row>
    <row r="1436" spans="4:5" x14ac:dyDescent="0.3">
      <c r="D1436" s="231"/>
      <c r="E1436" s="231"/>
    </row>
    <row r="1437" spans="4:5" x14ac:dyDescent="0.3">
      <c r="D1437" s="231"/>
      <c r="E1437" s="231"/>
    </row>
    <row r="1438" spans="4:5" x14ac:dyDescent="0.3">
      <c r="D1438" s="231"/>
      <c r="E1438" s="231"/>
    </row>
    <row r="1439" spans="4:5" x14ac:dyDescent="0.3">
      <c r="D1439" s="231"/>
      <c r="E1439" s="231"/>
    </row>
    <row r="1440" spans="4:5" x14ac:dyDescent="0.3">
      <c r="D1440" s="231"/>
      <c r="E1440" s="231"/>
    </row>
    <row r="1441" spans="4:5" x14ac:dyDescent="0.3">
      <c r="D1441" s="231"/>
      <c r="E1441" s="231"/>
    </row>
    <row r="1442" spans="4:5" x14ac:dyDescent="0.3">
      <c r="D1442" s="231"/>
      <c r="E1442" s="231"/>
    </row>
    <row r="1443" spans="4:5" x14ac:dyDescent="0.3">
      <c r="D1443" s="231"/>
      <c r="E1443" s="231"/>
    </row>
    <row r="1444" spans="4:5" x14ac:dyDescent="0.3">
      <c r="D1444" s="231"/>
      <c r="E1444" s="231"/>
    </row>
    <row r="1445" spans="4:5" x14ac:dyDescent="0.3">
      <c r="D1445" s="231"/>
      <c r="E1445" s="231"/>
    </row>
    <row r="1446" spans="4:5" x14ac:dyDescent="0.3">
      <c r="D1446" s="231"/>
      <c r="E1446" s="231"/>
    </row>
    <row r="1447" spans="4:5" x14ac:dyDescent="0.3">
      <c r="D1447" s="231"/>
      <c r="E1447" s="231"/>
    </row>
    <row r="1448" spans="4:5" x14ac:dyDescent="0.3">
      <c r="D1448" s="231"/>
      <c r="E1448" s="231"/>
    </row>
    <row r="1449" spans="4:5" x14ac:dyDescent="0.3">
      <c r="D1449" s="231"/>
      <c r="E1449" s="231"/>
    </row>
    <row r="1450" spans="4:5" x14ac:dyDescent="0.3">
      <c r="D1450" s="231"/>
      <c r="E1450" s="231"/>
    </row>
    <row r="1451" spans="4:5" x14ac:dyDescent="0.3">
      <c r="D1451" s="231"/>
      <c r="E1451" s="231"/>
    </row>
    <row r="1452" spans="4:5" x14ac:dyDescent="0.3">
      <c r="D1452" s="231"/>
      <c r="E1452" s="231"/>
    </row>
    <row r="1453" spans="4:5" x14ac:dyDescent="0.3">
      <c r="D1453" s="231"/>
      <c r="E1453" s="231"/>
    </row>
    <row r="1454" spans="4:5" x14ac:dyDescent="0.3">
      <c r="D1454" s="231"/>
      <c r="E1454" s="231"/>
    </row>
    <row r="1455" spans="4:5" x14ac:dyDescent="0.3">
      <c r="D1455" s="231"/>
      <c r="E1455" s="231"/>
    </row>
    <row r="1456" spans="4:5" x14ac:dyDescent="0.3">
      <c r="D1456" s="231"/>
      <c r="E1456" s="231"/>
    </row>
    <row r="1457" spans="4:5" x14ac:dyDescent="0.3">
      <c r="D1457" s="231"/>
      <c r="E1457" s="231"/>
    </row>
    <row r="1458" spans="4:5" x14ac:dyDescent="0.3">
      <c r="D1458" s="231"/>
      <c r="E1458" s="231"/>
    </row>
    <row r="1459" spans="4:5" x14ac:dyDescent="0.3">
      <c r="D1459" s="231"/>
      <c r="E1459" s="231"/>
    </row>
    <row r="1460" spans="4:5" x14ac:dyDescent="0.3">
      <c r="D1460" s="231"/>
      <c r="E1460" s="231"/>
    </row>
    <row r="1461" spans="4:5" x14ac:dyDescent="0.3">
      <c r="D1461" s="231"/>
      <c r="E1461" s="231"/>
    </row>
    <row r="1462" spans="4:5" x14ac:dyDescent="0.3">
      <c r="D1462" s="231"/>
      <c r="E1462" s="231"/>
    </row>
    <row r="1463" spans="4:5" x14ac:dyDescent="0.3">
      <c r="D1463" s="231"/>
      <c r="E1463" s="231"/>
    </row>
    <row r="1464" spans="4:5" x14ac:dyDescent="0.3">
      <c r="D1464" s="231"/>
      <c r="E1464" s="231"/>
    </row>
    <row r="1465" spans="4:5" x14ac:dyDescent="0.3">
      <c r="D1465" s="231"/>
      <c r="E1465" s="231"/>
    </row>
    <row r="1466" spans="4:5" x14ac:dyDescent="0.3">
      <c r="D1466" s="231"/>
      <c r="E1466" s="231"/>
    </row>
    <row r="1467" spans="4:5" x14ac:dyDescent="0.3">
      <c r="D1467" s="231"/>
      <c r="E1467" s="231"/>
    </row>
    <row r="1468" spans="4:5" x14ac:dyDescent="0.3">
      <c r="D1468" s="231"/>
      <c r="E1468" s="231"/>
    </row>
    <row r="1469" spans="4:5" x14ac:dyDescent="0.3">
      <c r="D1469" s="231"/>
      <c r="E1469" s="231"/>
    </row>
    <row r="1470" spans="4:5" x14ac:dyDescent="0.3">
      <c r="D1470" s="231"/>
      <c r="E1470" s="231"/>
    </row>
    <row r="1471" spans="4:5" x14ac:dyDescent="0.3">
      <c r="D1471" s="231"/>
      <c r="E1471" s="231"/>
    </row>
    <row r="1472" spans="4:5" x14ac:dyDescent="0.3">
      <c r="D1472" s="231"/>
      <c r="E1472" s="231"/>
    </row>
    <row r="1473" spans="4:5" x14ac:dyDescent="0.3">
      <c r="D1473" s="231"/>
      <c r="E1473" s="231"/>
    </row>
    <row r="1474" spans="4:5" x14ac:dyDescent="0.3">
      <c r="D1474" s="231"/>
      <c r="E1474" s="231"/>
    </row>
    <row r="1475" spans="4:5" x14ac:dyDescent="0.3">
      <c r="D1475" s="231"/>
      <c r="E1475" s="231"/>
    </row>
    <row r="1476" spans="4:5" x14ac:dyDescent="0.3">
      <c r="D1476" s="231"/>
      <c r="E1476" s="231"/>
    </row>
    <row r="1477" spans="4:5" x14ac:dyDescent="0.3">
      <c r="D1477" s="231"/>
      <c r="E1477" s="231"/>
    </row>
    <row r="1478" spans="4:5" x14ac:dyDescent="0.3">
      <c r="D1478" s="231"/>
      <c r="E1478" s="231"/>
    </row>
    <row r="1479" spans="4:5" x14ac:dyDescent="0.3">
      <c r="D1479" s="231"/>
      <c r="E1479" s="231"/>
    </row>
    <row r="1480" spans="4:5" x14ac:dyDescent="0.3">
      <c r="D1480" s="231"/>
      <c r="E1480" s="231"/>
    </row>
    <row r="1481" spans="4:5" x14ac:dyDescent="0.3">
      <c r="D1481" s="231"/>
      <c r="E1481" s="231"/>
    </row>
    <row r="1482" spans="4:5" x14ac:dyDescent="0.3">
      <c r="D1482" s="231"/>
      <c r="E1482" s="231"/>
    </row>
    <row r="1483" spans="4:5" x14ac:dyDescent="0.3">
      <c r="D1483" s="231"/>
      <c r="E1483" s="231"/>
    </row>
    <row r="1484" spans="4:5" x14ac:dyDescent="0.3">
      <c r="D1484" s="231"/>
      <c r="E1484" s="231"/>
    </row>
    <row r="1485" spans="4:5" x14ac:dyDescent="0.3">
      <c r="D1485" s="231"/>
      <c r="E1485" s="231"/>
    </row>
    <row r="1486" spans="4:5" x14ac:dyDescent="0.3">
      <c r="D1486" s="231"/>
      <c r="E1486" s="231"/>
    </row>
    <row r="1487" spans="4:5" x14ac:dyDescent="0.3">
      <c r="D1487" s="231"/>
      <c r="E1487" s="231"/>
    </row>
    <row r="1488" spans="4:5" x14ac:dyDescent="0.3">
      <c r="D1488" s="231"/>
      <c r="E1488" s="231"/>
    </row>
    <row r="1489" spans="4:5" x14ac:dyDescent="0.3">
      <c r="D1489" s="231"/>
      <c r="E1489" s="231"/>
    </row>
    <row r="1490" spans="4:5" x14ac:dyDescent="0.3">
      <c r="D1490" s="231"/>
      <c r="E1490" s="231"/>
    </row>
    <row r="1491" spans="4:5" x14ac:dyDescent="0.3">
      <c r="D1491" s="231"/>
      <c r="E1491" s="231"/>
    </row>
    <row r="1492" spans="4:5" x14ac:dyDescent="0.3">
      <c r="D1492" s="231"/>
      <c r="E1492" s="231"/>
    </row>
    <row r="1493" spans="4:5" x14ac:dyDescent="0.3">
      <c r="D1493" s="231"/>
      <c r="E1493" s="231"/>
    </row>
    <row r="1494" spans="4:5" x14ac:dyDescent="0.3">
      <c r="D1494" s="231"/>
      <c r="E1494" s="231"/>
    </row>
    <row r="1495" spans="4:5" x14ac:dyDescent="0.3">
      <c r="D1495" s="231"/>
      <c r="E1495" s="231"/>
    </row>
    <row r="1496" spans="4:5" x14ac:dyDescent="0.3">
      <c r="D1496" s="231"/>
      <c r="E1496" s="231"/>
    </row>
    <row r="1497" spans="4:5" x14ac:dyDescent="0.3">
      <c r="D1497" s="231"/>
      <c r="E1497" s="231"/>
    </row>
    <row r="1498" spans="4:5" x14ac:dyDescent="0.3">
      <c r="D1498" s="231"/>
      <c r="E1498" s="231"/>
    </row>
    <row r="1499" spans="4:5" x14ac:dyDescent="0.3">
      <c r="D1499" s="231"/>
      <c r="E1499" s="231"/>
    </row>
    <row r="1500" spans="4:5" x14ac:dyDescent="0.3">
      <c r="D1500" s="231"/>
      <c r="E1500" s="231"/>
    </row>
    <row r="1501" spans="4:5" x14ac:dyDescent="0.3">
      <c r="D1501" s="231"/>
      <c r="E1501" s="231"/>
    </row>
    <row r="1502" spans="4:5" x14ac:dyDescent="0.3">
      <c r="D1502" s="231"/>
      <c r="E1502" s="231"/>
    </row>
    <row r="1503" spans="4:5" x14ac:dyDescent="0.3">
      <c r="D1503" s="231"/>
      <c r="E1503" s="231"/>
    </row>
    <row r="1504" spans="4:5" x14ac:dyDescent="0.3">
      <c r="D1504" s="231"/>
      <c r="E1504" s="231"/>
    </row>
    <row r="1505" spans="4:5" x14ac:dyDescent="0.3">
      <c r="D1505" s="231"/>
      <c r="E1505" s="231"/>
    </row>
    <row r="1506" spans="4:5" x14ac:dyDescent="0.3">
      <c r="D1506" s="231"/>
      <c r="E1506" s="231"/>
    </row>
    <row r="1507" spans="4:5" x14ac:dyDescent="0.3">
      <c r="D1507" s="231"/>
      <c r="E1507" s="231"/>
    </row>
    <row r="1508" spans="4:5" x14ac:dyDescent="0.3">
      <c r="D1508" s="231"/>
      <c r="E1508" s="231"/>
    </row>
    <row r="1509" spans="4:5" x14ac:dyDescent="0.3">
      <c r="D1509" s="231"/>
      <c r="E1509" s="231"/>
    </row>
    <row r="1510" spans="4:5" x14ac:dyDescent="0.3">
      <c r="D1510" s="231"/>
      <c r="E1510" s="231"/>
    </row>
    <row r="1511" spans="4:5" x14ac:dyDescent="0.3">
      <c r="D1511" s="231"/>
      <c r="E1511" s="231"/>
    </row>
    <row r="1512" spans="4:5" x14ac:dyDescent="0.3">
      <c r="D1512" s="231"/>
      <c r="E1512" s="231"/>
    </row>
    <row r="1513" spans="4:5" x14ac:dyDescent="0.3">
      <c r="D1513" s="231"/>
      <c r="E1513" s="231"/>
    </row>
    <row r="1514" spans="4:5" x14ac:dyDescent="0.3">
      <c r="D1514" s="231"/>
      <c r="E1514" s="231"/>
    </row>
    <row r="1515" spans="4:5" x14ac:dyDescent="0.3">
      <c r="D1515" s="231"/>
      <c r="E1515" s="231"/>
    </row>
    <row r="1516" spans="4:5" x14ac:dyDescent="0.3">
      <c r="D1516" s="231"/>
      <c r="E1516" s="231"/>
    </row>
    <row r="1517" spans="4:5" x14ac:dyDescent="0.3">
      <c r="D1517" s="231"/>
      <c r="E1517" s="231"/>
    </row>
    <row r="1518" spans="4:5" x14ac:dyDescent="0.3">
      <c r="D1518" s="231"/>
      <c r="E1518" s="231"/>
    </row>
    <row r="1519" spans="4:5" x14ac:dyDescent="0.3">
      <c r="D1519" s="231"/>
      <c r="E1519" s="231"/>
    </row>
    <row r="1520" spans="4:5" x14ac:dyDescent="0.3">
      <c r="D1520" s="231"/>
      <c r="E1520" s="231"/>
    </row>
    <row r="1521" spans="4:5" x14ac:dyDescent="0.3">
      <c r="D1521" s="231"/>
      <c r="E1521" s="231"/>
    </row>
    <row r="1522" spans="4:5" x14ac:dyDescent="0.3">
      <c r="D1522" s="231"/>
      <c r="E1522" s="231"/>
    </row>
    <row r="1523" spans="4:5" x14ac:dyDescent="0.3">
      <c r="D1523" s="231"/>
      <c r="E1523" s="231"/>
    </row>
    <row r="1524" spans="4:5" x14ac:dyDescent="0.3">
      <c r="D1524" s="231"/>
      <c r="E1524" s="231"/>
    </row>
    <row r="1525" spans="4:5" x14ac:dyDescent="0.3">
      <c r="D1525" s="231"/>
      <c r="E1525" s="231"/>
    </row>
    <row r="1526" spans="4:5" x14ac:dyDescent="0.3">
      <c r="D1526" s="231"/>
      <c r="E1526" s="231"/>
    </row>
    <row r="1527" spans="4:5" x14ac:dyDescent="0.3">
      <c r="D1527" s="231"/>
      <c r="E1527" s="231"/>
    </row>
    <row r="1528" spans="4:5" x14ac:dyDescent="0.3">
      <c r="D1528" s="231"/>
      <c r="E1528" s="231"/>
    </row>
    <row r="1529" spans="4:5" x14ac:dyDescent="0.3">
      <c r="D1529" s="231"/>
      <c r="E1529" s="231"/>
    </row>
    <row r="1530" spans="4:5" x14ac:dyDescent="0.3">
      <c r="D1530" s="231"/>
      <c r="E1530" s="231"/>
    </row>
    <row r="1531" spans="4:5" x14ac:dyDescent="0.3">
      <c r="D1531" s="231"/>
      <c r="E1531" s="231"/>
    </row>
    <row r="1532" spans="4:5" x14ac:dyDescent="0.3">
      <c r="D1532" s="231"/>
      <c r="E1532" s="231"/>
    </row>
    <row r="1533" spans="4:5" x14ac:dyDescent="0.3">
      <c r="D1533" s="231"/>
      <c r="E1533" s="231"/>
    </row>
    <row r="1534" spans="4:5" x14ac:dyDescent="0.3">
      <c r="D1534" s="231"/>
      <c r="E1534" s="231"/>
    </row>
    <row r="1535" spans="4:5" x14ac:dyDescent="0.3">
      <c r="D1535" s="231"/>
      <c r="E1535" s="231"/>
    </row>
    <row r="1536" spans="4:5" x14ac:dyDescent="0.3">
      <c r="D1536" s="231"/>
      <c r="E1536" s="231"/>
    </row>
    <row r="1537" spans="4:5" x14ac:dyDescent="0.3">
      <c r="D1537" s="231"/>
      <c r="E1537" s="231"/>
    </row>
    <row r="1538" spans="4:5" x14ac:dyDescent="0.3">
      <c r="D1538" s="231"/>
      <c r="E1538" s="231"/>
    </row>
    <row r="1539" spans="4:5" x14ac:dyDescent="0.3">
      <c r="D1539" s="231"/>
      <c r="E1539" s="231"/>
    </row>
    <row r="1540" spans="4:5" x14ac:dyDescent="0.3">
      <c r="D1540" s="231"/>
      <c r="E1540" s="231"/>
    </row>
    <row r="1541" spans="4:5" x14ac:dyDescent="0.3">
      <c r="D1541" s="231"/>
      <c r="E1541" s="231"/>
    </row>
    <row r="1542" spans="4:5" x14ac:dyDescent="0.3">
      <c r="D1542" s="231"/>
      <c r="E1542" s="231"/>
    </row>
    <row r="1543" spans="4:5" x14ac:dyDescent="0.3">
      <c r="D1543" s="231"/>
      <c r="E1543" s="231"/>
    </row>
    <row r="1544" spans="4:5" x14ac:dyDescent="0.3">
      <c r="D1544" s="231"/>
      <c r="E1544" s="231"/>
    </row>
    <row r="1545" spans="4:5" x14ac:dyDescent="0.3">
      <c r="D1545" s="231"/>
      <c r="E1545" s="231"/>
    </row>
    <row r="1546" spans="4:5" x14ac:dyDescent="0.3">
      <c r="D1546" s="231"/>
      <c r="E1546" s="231"/>
    </row>
    <row r="1547" spans="4:5" x14ac:dyDescent="0.3">
      <c r="D1547" s="231"/>
      <c r="E1547" s="231"/>
    </row>
    <row r="1548" spans="4:5" x14ac:dyDescent="0.3">
      <c r="D1548" s="231"/>
      <c r="E1548" s="231"/>
    </row>
    <row r="1549" spans="4:5" x14ac:dyDescent="0.3">
      <c r="D1549" s="231"/>
      <c r="E1549" s="231"/>
    </row>
    <row r="1550" spans="4:5" x14ac:dyDescent="0.3">
      <c r="D1550" s="231"/>
      <c r="E1550" s="231"/>
    </row>
    <row r="1551" spans="4:5" x14ac:dyDescent="0.3">
      <c r="D1551" s="231"/>
      <c r="E1551" s="231"/>
    </row>
    <row r="1552" spans="4:5" x14ac:dyDescent="0.3">
      <c r="D1552" s="231"/>
      <c r="E1552" s="231"/>
    </row>
    <row r="1553" spans="4:5" x14ac:dyDescent="0.3">
      <c r="D1553" s="231"/>
      <c r="E1553" s="231"/>
    </row>
    <row r="1554" spans="4:5" x14ac:dyDescent="0.3">
      <c r="D1554" s="231"/>
      <c r="E1554" s="231"/>
    </row>
    <row r="1555" spans="4:5" x14ac:dyDescent="0.3">
      <c r="D1555" s="231"/>
      <c r="E1555" s="231"/>
    </row>
    <row r="1556" spans="4:5" x14ac:dyDescent="0.3">
      <c r="D1556" s="231"/>
      <c r="E1556" s="231"/>
    </row>
    <row r="1557" spans="4:5" x14ac:dyDescent="0.3">
      <c r="D1557" s="231"/>
      <c r="E1557" s="231"/>
    </row>
    <row r="1558" spans="4:5" x14ac:dyDescent="0.3">
      <c r="D1558" s="231"/>
      <c r="E1558" s="231"/>
    </row>
    <row r="1559" spans="4:5" x14ac:dyDescent="0.3">
      <c r="D1559" s="231"/>
      <c r="E1559" s="231"/>
    </row>
    <row r="1560" spans="4:5" x14ac:dyDescent="0.3">
      <c r="D1560" s="231"/>
      <c r="E1560" s="231"/>
    </row>
    <row r="1561" spans="4:5" x14ac:dyDescent="0.3">
      <c r="D1561" s="231"/>
      <c r="E1561" s="231"/>
    </row>
    <row r="1562" spans="4:5" x14ac:dyDescent="0.3">
      <c r="D1562" s="231"/>
      <c r="E1562" s="231"/>
    </row>
    <row r="1563" spans="4:5" x14ac:dyDescent="0.3">
      <c r="D1563" s="231"/>
      <c r="E1563" s="231"/>
    </row>
    <row r="1564" spans="4:5" x14ac:dyDescent="0.3">
      <c r="D1564" s="231"/>
      <c r="E1564" s="231"/>
    </row>
    <row r="1565" spans="4:5" x14ac:dyDescent="0.3">
      <c r="D1565" s="231"/>
      <c r="E1565" s="231"/>
    </row>
    <row r="1566" spans="4:5" x14ac:dyDescent="0.3">
      <c r="D1566" s="231"/>
      <c r="E1566" s="231"/>
    </row>
    <row r="1567" spans="4:5" x14ac:dyDescent="0.3">
      <c r="D1567" s="231"/>
      <c r="E1567" s="231"/>
    </row>
    <row r="1568" spans="4:5" x14ac:dyDescent="0.3">
      <c r="D1568" s="231"/>
      <c r="E1568" s="231"/>
    </row>
    <row r="1569" spans="4:5" x14ac:dyDescent="0.3">
      <c r="D1569" s="231"/>
      <c r="E1569" s="231"/>
    </row>
    <row r="1570" spans="4:5" x14ac:dyDescent="0.3">
      <c r="D1570" s="231"/>
      <c r="E1570" s="231"/>
    </row>
    <row r="1571" spans="4:5" x14ac:dyDescent="0.3">
      <c r="D1571" s="231"/>
      <c r="E1571" s="231"/>
    </row>
    <row r="1572" spans="4:5" x14ac:dyDescent="0.3">
      <c r="D1572" s="231"/>
      <c r="E1572" s="231"/>
    </row>
    <row r="1573" spans="4:5" x14ac:dyDescent="0.3">
      <c r="D1573" s="231"/>
      <c r="E1573" s="231"/>
    </row>
    <row r="1574" spans="4:5" x14ac:dyDescent="0.3">
      <c r="D1574" s="231"/>
      <c r="E1574" s="231"/>
    </row>
    <row r="1575" spans="4:5" x14ac:dyDescent="0.3">
      <c r="D1575" s="231"/>
      <c r="E1575" s="231"/>
    </row>
    <row r="1576" spans="4:5" x14ac:dyDescent="0.3">
      <c r="D1576" s="231"/>
      <c r="E1576" s="231"/>
    </row>
    <row r="1577" spans="4:5" x14ac:dyDescent="0.3">
      <c r="D1577" s="231"/>
      <c r="E1577" s="231"/>
    </row>
    <row r="1578" spans="4:5" x14ac:dyDescent="0.3">
      <c r="D1578" s="231"/>
      <c r="E1578" s="231"/>
    </row>
    <row r="1579" spans="4:5" x14ac:dyDescent="0.3">
      <c r="D1579" s="231"/>
      <c r="E1579" s="231"/>
    </row>
    <row r="1580" spans="4:5" x14ac:dyDescent="0.3">
      <c r="D1580" s="231"/>
      <c r="E1580" s="231"/>
    </row>
    <row r="1581" spans="4:5" x14ac:dyDescent="0.3">
      <c r="D1581" s="231"/>
      <c r="E1581" s="231"/>
    </row>
    <row r="1582" spans="4:5" x14ac:dyDescent="0.3">
      <c r="D1582" s="231"/>
      <c r="E1582" s="231"/>
    </row>
    <row r="1583" spans="4:5" x14ac:dyDescent="0.3">
      <c r="D1583" s="231"/>
      <c r="E1583" s="231"/>
    </row>
    <row r="1584" spans="4:5" x14ac:dyDescent="0.3">
      <c r="D1584" s="231"/>
      <c r="E1584" s="231"/>
    </row>
    <row r="1585" spans="4:5" x14ac:dyDescent="0.3">
      <c r="D1585" s="231"/>
      <c r="E1585" s="231"/>
    </row>
    <row r="1586" spans="4:5" x14ac:dyDescent="0.3">
      <c r="D1586" s="231"/>
      <c r="E1586" s="231"/>
    </row>
    <row r="1587" spans="4:5" x14ac:dyDescent="0.3">
      <c r="D1587" s="231"/>
      <c r="E1587" s="231"/>
    </row>
    <row r="1588" spans="4:5" x14ac:dyDescent="0.3">
      <c r="D1588" s="231"/>
      <c r="E1588" s="231"/>
    </row>
    <row r="1589" spans="4:5" x14ac:dyDescent="0.3">
      <c r="D1589" s="231"/>
      <c r="E1589" s="231"/>
    </row>
    <row r="1590" spans="4:5" x14ac:dyDescent="0.3">
      <c r="D1590" s="231"/>
      <c r="E1590" s="231"/>
    </row>
    <row r="1591" spans="4:5" x14ac:dyDescent="0.3">
      <c r="D1591" s="231"/>
      <c r="E1591" s="231"/>
    </row>
    <row r="1592" spans="4:5" x14ac:dyDescent="0.3">
      <c r="D1592" s="231"/>
      <c r="E1592" s="231"/>
    </row>
    <row r="1593" spans="4:5" x14ac:dyDescent="0.3">
      <c r="D1593" s="231"/>
      <c r="E1593" s="231"/>
    </row>
    <row r="1594" spans="4:5" x14ac:dyDescent="0.3">
      <c r="D1594" s="231"/>
      <c r="E1594" s="231"/>
    </row>
    <row r="1595" spans="4:5" x14ac:dyDescent="0.3">
      <c r="D1595" s="231"/>
      <c r="E1595" s="231"/>
    </row>
    <row r="1596" spans="4:5" x14ac:dyDescent="0.3">
      <c r="D1596" s="231"/>
      <c r="E1596" s="231"/>
    </row>
    <row r="1597" spans="4:5" x14ac:dyDescent="0.3">
      <c r="D1597" s="231"/>
      <c r="E1597" s="231"/>
    </row>
    <row r="1598" spans="4:5" x14ac:dyDescent="0.3">
      <c r="D1598" s="231"/>
      <c r="E1598" s="231"/>
    </row>
    <row r="1599" spans="4:5" x14ac:dyDescent="0.3">
      <c r="D1599" s="231"/>
      <c r="E1599" s="231"/>
    </row>
    <row r="1600" spans="4:5" x14ac:dyDescent="0.3">
      <c r="D1600" s="231"/>
      <c r="E1600" s="231"/>
    </row>
    <row r="1601" spans="4:5" x14ac:dyDescent="0.3">
      <c r="D1601" s="231"/>
      <c r="E1601" s="231"/>
    </row>
    <row r="1602" spans="4:5" x14ac:dyDescent="0.3">
      <c r="D1602" s="231"/>
      <c r="E1602" s="231"/>
    </row>
    <row r="1603" spans="4:5" x14ac:dyDescent="0.3">
      <c r="D1603" s="231"/>
      <c r="E1603" s="231"/>
    </row>
    <row r="1604" spans="4:5" x14ac:dyDescent="0.3">
      <c r="D1604" s="231"/>
      <c r="E1604" s="231"/>
    </row>
    <row r="1605" spans="4:5" x14ac:dyDescent="0.3">
      <c r="D1605" s="231"/>
      <c r="E1605" s="231"/>
    </row>
    <row r="1606" spans="4:5" x14ac:dyDescent="0.3">
      <c r="D1606" s="231"/>
      <c r="E1606" s="231"/>
    </row>
    <row r="1607" spans="4:5" x14ac:dyDescent="0.3">
      <c r="D1607" s="231"/>
      <c r="E1607" s="231"/>
    </row>
    <row r="1608" spans="4:5" x14ac:dyDescent="0.3">
      <c r="D1608" s="231"/>
      <c r="E1608" s="231"/>
    </row>
    <row r="1609" spans="4:5" x14ac:dyDescent="0.3">
      <c r="D1609" s="231"/>
      <c r="E1609" s="231"/>
    </row>
    <row r="1610" spans="4:5" x14ac:dyDescent="0.3">
      <c r="D1610" s="231"/>
      <c r="E1610" s="231"/>
    </row>
    <row r="1611" spans="4:5" x14ac:dyDescent="0.3">
      <c r="D1611" s="231"/>
      <c r="E1611" s="231"/>
    </row>
    <row r="1612" spans="4:5" x14ac:dyDescent="0.3">
      <c r="D1612" s="231"/>
      <c r="E1612" s="231"/>
    </row>
    <row r="1613" spans="4:5" x14ac:dyDescent="0.3">
      <c r="D1613" s="231"/>
      <c r="E1613" s="231"/>
    </row>
    <row r="1614" spans="4:5" x14ac:dyDescent="0.3">
      <c r="D1614" s="231"/>
      <c r="E1614" s="231"/>
    </row>
    <row r="1615" spans="4:5" x14ac:dyDescent="0.3">
      <c r="D1615" s="231"/>
      <c r="E1615" s="231"/>
    </row>
    <row r="1616" spans="4:5" x14ac:dyDescent="0.3">
      <c r="D1616" s="231"/>
      <c r="E1616" s="231"/>
    </row>
    <row r="1617" spans="4:5" x14ac:dyDescent="0.3">
      <c r="D1617" s="231"/>
      <c r="E1617" s="231"/>
    </row>
    <row r="1618" spans="4:5" x14ac:dyDescent="0.3">
      <c r="D1618" s="231"/>
      <c r="E1618" s="231"/>
    </row>
    <row r="1619" spans="4:5" x14ac:dyDescent="0.3">
      <c r="D1619" s="231"/>
      <c r="E1619" s="231"/>
    </row>
    <row r="1620" spans="4:5" x14ac:dyDescent="0.3">
      <c r="D1620" s="231"/>
      <c r="E1620" s="231"/>
    </row>
    <row r="1621" spans="4:5" x14ac:dyDescent="0.3">
      <c r="D1621" s="231"/>
      <c r="E1621" s="231"/>
    </row>
    <row r="1622" spans="4:5" x14ac:dyDescent="0.3">
      <c r="D1622" s="231"/>
      <c r="E1622" s="231"/>
    </row>
    <row r="1623" spans="4:5" x14ac:dyDescent="0.3">
      <c r="D1623" s="231"/>
      <c r="E1623" s="231"/>
    </row>
    <row r="1624" spans="4:5" x14ac:dyDescent="0.3">
      <c r="D1624" s="231"/>
      <c r="E1624" s="231"/>
    </row>
    <row r="1625" spans="4:5" x14ac:dyDescent="0.3">
      <c r="D1625" s="231"/>
      <c r="E1625" s="231"/>
    </row>
    <row r="1626" spans="4:5" x14ac:dyDescent="0.3">
      <c r="D1626" s="231"/>
      <c r="E1626" s="231"/>
    </row>
    <row r="1627" spans="4:5" x14ac:dyDescent="0.3">
      <c r="D1627" s="231"/>
      <c r="E1627" s="231"/>
    </row>
    <row r="1628" spans="4:5" x14ac:dyDescent="0.3">
      <c r="D1628" s="231"/>
      <c r="E1628" s="231"/>
    </row>
    <row r="1629" spans="4:5" x14ac:dyDescent="0.3">
      <c r="D1629" s="231"/>
      <c r="E1629" s="231"/>
    </row>
    <row r="1630" spans="4:5" x14ac:dyDescent="0.3">
      <c r="D1630" s="231"/>
      <c r="E1630" s="231"/>
    </row>
    <row r="1631" spans="4:5" x14ac:dyDescent="0.3">
      <c r="D1631" s="231"/>
      <c r="E1631" s="231"/>
    </row>
    <row r="1632" spans="4:5" x14ac:dyDescent="0.3">
      <c r="D1632" s="231"/>
      <c r="E1632" s="231"/>
    </row>
    <row r="1633" spans="4:5" x14ac:dyDescent="0.3">
      <c r="D1633" s="231"/>
      <c r="E1633" s="231"/>
    </row>
    <row r="1634" spans="4:5" x14ac:dyDescent="0.3">
      <c r="D1634" s="231"/>
      <c r="E1634" s="231"/>
    </row>
    <row r="1635" spans="4:5" x14ac:dyDescent="0.3">
      <c r="D1635" s="231"/>
      <c r="E1635" s="231"/>
    </row>
    <row r="1636" spans="4:5" x14ac:dyDescent="0.3">
      <c r="D1636" s="231"/>
      <c r="E1636" s="231"/>
    </row>
    <row r="1637" spans="4:5" x14ac:dyDescent="0.3">
      <c r="D1637" s="231"/>
      <c r="E1637" s="231"/>
    </row>
    <row r="1638" spans="4:5" x14ac:dyDescent="0.3">
      <c r="D1638" s="231"/>
      <c r="E1638" s="231"/>
    </row>
    <row r="1639" spans="4:5" x14ac:dyDescent="0.3">
      <c r="D1639" s="231"/>
      <c r="E1639" s="231"/>
    </row>
    <row r="1640" spans="4:5" x14ac:dyDescent="0.3">
      <c r="D1640" s="231"/>
      <c r="E1640" s="231"/>
    </row>
    <row r="1641" spans="4:5" x14ac:dyDescent="0.3">
      <c r="D1641" s="231"/>
      <c r="E1641" s="231"/>
    </row>
    <row r="1642" spans="4:5" x14ac:dyDescent="0.3">
      <c r="D1642" s="231"/>
      <c r="E1642" s="231"/>
    </row>
    <row r="1643" spans="4:5" x14ac:dyDescent="0.3">
      <c r="D1643" s="231"/>
      <c r="E1643" s="231"/>
    </row>
    <row r="1644" spans="4:5" x14ac:dyDescent="0.3">
      <c r="D1644" s="231"/>
      <c r="E1644" s="231"/>
    </row>
    <row r="1645" spans="4:5" x14ac:dyDescent="0.3">
      <c r="D1645" s="231"/>
      <c r="E1645" s="231"/>
    </row>
    <row r="1646" spans="4:5" x14ac:dyDescent="0.3">
      <c r="D1646" s="231"/>
      <c r="E1646" s="231"/>
    </row>
    <row r="1647" spans="4:5" x14ac:dyDescent="0.3">
      <c r="D1647" s="231"/>
      <c r="E1647" s="231"/>
    </row>
    <row r="1648" spans="4:5" x14ac:dyDescent="0.3">
      <c r="D1648" s="231"/>
      <c r="E1648" s="231"/>
    </row>
    <row r="1649" spans="4:5" x14ac:dyDescent="0.3">
      <c r="D1649" s="231"/>
      <c r="E1649" s="231"/>
    </row>
    <row r="1650" spans="4:5" x14ac:dyDescent="0.3">
      <c r="D1650" s="231"/>
      <c r="E1650" s="231"/>
    </row>
    <row r="1651" spans="4:5" x14ac:dyDescent="0.3">
      <c r="D1651" s="231"/>
      <c r="E1651" s="231"/>
    </row>
    <row r="1652" spans="4:5" x14ac:dyDescent="0.3">
      <c r="D1652" s="231"/>
      <c r="E1652" s="231"/>
    </row>
    <row r="1653" spans="4:5" x14ac:dyDescent="0.3">
      <c r="D1653" s="231"/>
      <c r="E1653" s="231"/>
    </row>
    <row r="1654" spans="4:5" x14ac:dyDescent="0.3">
      <c r="D1654" s="231"/>
      <c r="E1654" s="231"/>
    </row>
    <row r="1655" spans="4:5" x14ac:dyDescent="0.3">
      <c r="D1655" s="231"/>
      <c r="E1655" s="231"/>
    </row>
    <row r="1656" spans="4:5" x14ac:dyDescent="0.3">
      <c r="D1656" s="231"/>
      <c r="E1656" s="231"/>
    </row>
    <row r="1657" spans="4:5" x14ac:dyDescent="0.3">
      <c r="D1657" s="231"/>
      <c r="E1657" s="231"/>
    </row>
    <row r="1658" spans="4:5" x14ac:dyDescent="0.3">
      <c r="D1658" s="231"/>
      <c r="E1658" s="231"/>
    </row>
    <row r="1659" spans="4:5" x14ac:dyDescent="0.3">
      <c r="D1659" s="231"/>
      <c r="E1659" s="231"/>
    </row>
    <row r="1660" spans="4:5" x14ac:dyDescent="0.3">
      <c r="D1660" s="231"/>
      <c r="E1660" s="231"/>
    </row>
    <row r="1661" spans="4:5" x14ac:dyDescent="0.3">
      <c r="D1661" s="231"/>
      <c r="E1661" s="231"/>
    </row>
    <row r="1662" spans="4:5" x14ac:dyDescent="0.3">
      <c r="D1662" s="231"/>
      <c r="E1662" s="231"/>
    </row>
    <row r="1663" spans="4:5" x14ac:dyDescent="0.3">
      <c r="D1663" s="231"/>
      <c r="E1663" s="231"/>
    </row>
    <row r="1664" spans="4:5" x14ac:dyDescent="0.3">
      <c r="D1664" s="231"/>
      <c r="E1664" s="231"/>
    </row>
    <row r="1665" spans="4:5" x14ac:dyDescent="0.3">
      <c r="D1665" s="231"/>
      <c r="E1665" s="231"/>
    </row>
    <row r="1666" spans="4:5" x14ac:dyDescent="0.3">
      <c r="D1666" s="231"/>
      <c r="E1666" s="231"/>
    </row>
    <row r="1667" spans="4:5" x14ac:dyDescent="0.3">
      <c r="D1667" s="231"/>
      <c r="E1667" s="231"/>
    </row>
    <row r="1668" spans="4:5" x14ac:dyDescent="0.3">
      <c r="D1668" s="231"/>
      <c r="E1668" s="231"/>
    </row>
    <row r="1669" spans="4:5" x14ac:dyDescent="0.3">
      <c r="D1669" s="231"/>
      <c r="E1669" s="231"/>
    </row>
    <row r="1670" spans="4:5" x14ac:dyDescent="0.3">
      <c r="D1670" s="231"/>
      <c r="E1670" s="231"/>
    </row>
    <row r="1671" spans="4:5" x14ac:dyDescent="0.3">
      <c r="D1671" s="231"/>
      <c r="E1671" s="231"/>
    </row>
    <row r="1672" spans="4:5" x14ac:dyDescent="0.3">
      <c r="D1672" s="231"/>
      <c r="E1672" s="231"/>
    </row>
    <row r="1673" spans="4:5" x14ac:dyDescent="0.3">
      <c r="D1673" s="231"/>
      <c r="E1673" s="231"/>
    </row>
    <row r="1674" spans="4:5" x14ac:dyDescent="0.3">
      <c r="D1674" s="231"/>
      <c r="E1674" s="231"/>
    </row>
    <row r="1675" spans="4:5" x14ac:dyDescent="0.3">
      <c r="D1675" s="231"/>
      <c r="E1675" s="231"/>
    </row>
    <row r="1676" spans="4:5" x14ac:dyDescent="0.3">
      <c r="D1676" s="231"/>
      <c r="E1676" s="231"/>
    </row>
    <row r="1677" spans="4:5" x14ac:dyDescent="0.3">
      <c r="D1677" s="231"/>
      <c r="E1677" s="231"/>
    </row>
    <row r="1678" spans="4:5" x14ac:dyDescent="0.3">
      <c r="D1678" s="231"/>
      <c r="E1678" s="231"/>
    </row>
    <row r="1679" spans="4:5" x14ac:dyDescent="0.3">
      <c r="D1679" s="231"/>
      <c r="E1679" s="231"/>
    </row>
    <row r="1680" spans="4:5" x14ac:dyDescent="0.3">
      <c r="D1680" s="231"/>
      <c r="E1680" s="231"/>
    </row>
    <row r="1681" spans="4:5" x14ac:dyDescent="0.3">
      <c r="D1681" s="231"/>
      <c r="E1681" s="231"/>
    </row>
    <row r="1682" spans="4:5" x14ac:dyDescent="0.3">
      <c r="D1682" s="231"/>
      <c r="E1682" s="231"/>
    </row>
    <row r="1683" spans="4:5" x14ac:dyDescent="0.3">
      <c r="D1683" s="231"/>
      <c r="E1683" s="231"/>
    </row>
    <row r="1684" spans="4:5" x14ac:dyDescent="0.3">
      <c r="D1684" s="231"/>
      <c r="E1684" s="231"/>
    </row>
    <row r="1685" spans="4:5" x14ac:dyDescent="0.3">
      <c r="D1685" s="231"/>
      <c r="E1685" s="231"/>
    </row>
    <row r="1686" spans="4:5" x14ac:dyDescent="0.3">
      <c r="D1686" s="231"/>
      <c r="E1686" s="231"/>
    </row>
    <row r="1687" spans="4:5" x14ac:dyDescent="0.3">
      <c r="D1687" s="231"/>
      <c r="E1687" s="231"/>
    </row>
    <row r="1688" spans="4:5" x14ac:dyDescent="0.3">
      <c r="D1688" s="231"/>
      <c r="E1688" s="231"/>
    </row>
    <row r="1689" spans="4:5" x14ac:dyDescent="0.3">
      <c r="D1689" s="231"/>
      <c r="E1689" s="231"/>
    </row>
    <row r="1690" spans="4:5" x14ac:dyDescent="0.3">
      <c r="D1690" s="231"/>
      <c r="E1690" s="231"/>
    </row>
    <row r="1691" spans="4:5" x14ac:dyDescent="0.3">
      <c r="D1691" s="231"/>
      <c r="E1691" s="231"/>
    </row>
    <row r="1692" spans="4:5" x14ac:dyDescent="0.3">
      <c r="D1692" s="231"/>
      <c r="E1692" s="231"/>
    </row>
    <row r="1693" spans="4:5" x14ac:dyDescent="0.3">
      <c r="D1693" s="231"/>
      <c r="E1693" s="231"/>
    </row>
    <row r="1694" spans="4:5" x14ac:dyDescent="0.3">
      <c r="D1694" s="231"/>
      <c r="E1694" s="231"/>
    </row>
    <row r="1695" spans="4:5" x14ac:dyDescent="0.3">
      <c r="D1695" s="231"/>
      <c r="E1695" s="231"/>
    </row>
    <row r="1696" spans="4:5" x14ac:dyDescent="0.3">
      <c r="D1696" s="231"/>
      <c r="E1696" s="231"/>
    </row>
    <row r="1697" spans="4:5" x14ac:dyDescent="0.3">
      <c r="D1697" s="231"/>
      <c r="E1697" s="231"/>
    </row>
    <row r="1698" spans="4:5" x14ac:dyDescent="0.3">
      <c r="D1698" s="231"/>
      <c r="E1698" s="231"/>
    </row>
    <row r="1699" spans="4:5" x14ac:dyDescent="0.3">
      <c r="D1699" s="231"/>
      <c r="E1699" s="231"/>
    </row>
    <row r="1700" spans="4:5" x14ac:dyDescent="0.3">
      <c r="D1700" s="231"/>
      <c r="E1700" s="231"/>
    </row>
    <row r="1701" spans="4:5" x14ac:dyDescent="0.3">
      <c r="D1701" s="231"/>
      <c r="E1701" s="231"/>
    </row>
    <row r="1702" spans="4:5" x14ac:dyDescent="0.3">
      <c r="D1702" s="231"/>
      <c r="E1702" s="231"/>
    </row>
    <row r="1703" spans="4:5" x14ac:dyDescent="0.3">
      <c r="D1703" s="231"/>
      <c r="E1703" s="231"/>
    </row>
    <row r="1704" spans="4:5" x14ac:dyDescent="0.3">
      <c r="D1704" s="231"/>
      <c r="E1704" s="231"/>
    </row>
    <row r="1705" spans="4:5" x14ac:dyDescent="0.3">
      <c r="D1705" s="231"/>
      <c r="E1705" s="231"/>
    </row>
    <row r="1706" spans="4:5" x14ac:dyDescent="0.3">
      <c r="D1706" s="231"/>
      <c r="E1706" s="231"/>
    </row>
    <row r="1707" spans="4:5" x14ac:dyDescent="0.3">
      <c r="D1707" s="231"/>
      <c r="E1707" s="231"/>
    </row>
    <row r="1708" spans="4:5" x14ac:dyDescent="0.3">
      <c r="D1708" s="231"/>
      <c r="E1708" s="231"/>
    </row>
    <row r="1709" spans="4:5" x14ac:dyDescent="0.3">
      <c r="D1709" s="231"/>
      <c r="E1709" s="231"/>
    </row>
    <row r="1710" spans="4:5" x14ac:dyDescent="0.3">
      <c r="D1710" s="231"/>
      <c r="E1710" s="231"/>
    </row>
    <row r="1711" spans="4:5" x14ac:dyDescent="0.3">
      <c r="D1711" s="231"/>
      <c r="E1711" s="231"/>
    </row>
    <row r="1712" spans="4:5" x14ac:dyDescent="0.3">
      <c r="D1712" s="231"/>
      <c r="E1712" s="231"/>
    </row>
    <row r="1713" spans="4:5" x14ac:dyDescent="0.3">
      <c r="D1713" s="231"/>
      <c r="E1713" s="231"/>
    </row>
    <row r="1714" spans="4:5" x14ac:dyDescent="0.3">
      <c r="D1714" s="231"/>
      <c r="E1714" s="231"/>
    </row>
    <row r="1715" spans="4:5" x14ac:dyDescent="0.3">
      <c r="D1715" s="231"/>
      <c r="E1715" s="231"/>
    </row>
    <row r="1716" spans="4:5" x14ac:dyDescent="0.3">
      <c r="D1716" s="231"/>
      <c r="E1716" s="231"/>
    </row>
    <row r="1717" spans="4:5" x14ac:dyDescent="0.3">
      <c r="D1717" s="231"/>
      <c r="E1717" s="231"/>
    </row>
    <row r="1718" spans="4:5" x14ac:dyDescent="0.3">
      <c r="D1718" s="231"/>
      <c r="E1718" s="231"/>
    </row>
    <row r="1719" spans="4:5" x14ac:dyDescent="0.3">
      <c r="D1719" s="231"/>
      <c r="E1719" s="231"/>
    </row>
    <row r="1720" spans="4:5" x14ac:dyDescent="0.3">
      <c r="D1720" s="231"/>
      <c r="E1720" s="231"/>
    </row>
    <row r="1721" spans="4:5" x14ac:dyDescent="0.3">
      <c r="D1721" s="231"/>
      <c r="E1721" s="231"/>
    </row>
    <row r="1722" spans="4:5" x14ac:dyDescent="0.3">
      <c r="D1722" s="231"/>
      <c r="E1722" s="231"/>
    </row>
    <row r="1723" spans="4:5" x14ac:dyDescent="0.3">
      <c r="D1723" s="231"/>
      <c r="E1723" s="231"/>
    </row>
    <row r="1724" spans="4:5" x14ac:dyDescent="0.3">
      <c r="D1724" s="231"/>
      <c r="E1724" s="231"/>
    </row>
    <row r="1725" spans="4:5" x14ac:dyDescent="0.3">
      <c r="D1725" s="231"/>
      <c r="E1725" s="231"/>
    </row>
    <row r="1726" spans="4:5" x14ac:dyDescent="0.3">
      <c r="D1726" s="231"/>
      <c r="E1726" s="231"/>
    </row>
    <row r="1727" spans="4:5" x14ac:dyDescent="0.3">
      <c r="D1727" s="231"/>
      <c r="E1727" s="231"/>
    </row>
    <row r="1728" spans="4:5" x14ac:dyDescent="0.3">
      <c r="D1728" s="231"/>
      <c r="E1728" s="231"/>
    </row>
    <row r="1729" spans="4:5" x14ac:dyDescent="0.3">
      <c r="D1729" s="231"/>
      <c r="E1729" s="231"/>
    </row>
    <row r="1730" spans="4:5" x14ac:dyDescent="0.3">
      <c r="D1730" s="231"/>
      <c r="E1730" s="231"/>
    </row>
    <row r="1731" spans="4:5" x14ac:dyDescent="0.3">
      <c r="D1731" s="231"/>
      <c r="E1731" s="231"/>
    </row>
    <row r="1732" spans="4:5" x14ac:dyDescent="0.3">
      <c r="D1732" s="231"/>
      <c r="E1732" s="231"/>
    </row>
    <row r="1733" spans="4:5" x14ac:dyDescent="0.3">
      <c r="D1733" s="231"/>
      <c r="E1733" s="231"/>
    </row>
    <row r="1734" spans="4:5" x14ac:dyDescent="0.3">
      <c r="D1734" s="231"/>
      <c r="E1734" s="231"/>
    </row>
    <row r="1735" spans="4:5" x14ac:dyDescent="0.3">
      <c r="D1735" s="231"/>
      <c r="E1735" s="231"/>
    </row>
    <row r="1736" spans="4:5" x14ac:dyDescent="0.3">
      <c r="D1736" s="231"/>
      <c r="E1736" s="231"/>
    </row>
    <row r="1737" spans="4:5" x14ac:dyDescent="0.3">
      <c r="D1737" s="231"/>
      <c r="E1737" s="231"/>
    </row>
    <row r="1738" spans="4:5" x14ac:dyDescent="0.3">
      <c r="D1738" s="231"/>
      <c r="E1738" s="231"/>
    </row>
    <row r="1739" spans="4:5" x14ac:dyDescent="0.3">
      <c r="D1739" s="231"/>
      <c r="E1739" s="231"/>
    </row>
    <row r="1740" spans="4:5" x14ac:dyDescent="0.3">
      <c r="D1740" s="231"/>
      <c r="E1740" s="231"/>
    </row>
    <row r="1741" spans="4:5" x14ac:dyDescent="0.3">
      <c r="D1741" s="231"/>
      <c r="E1741" s="231"/>
    </row>
    <row r="1742" spans="4:5" x14ac:dyDescent="0.3">
      <c r="D1742" s="231"/>
      <c r="E1742" s="231"/>
    </row>
    <row r="1743" spans="4:5" x14ac:dyDescent="0.3">
      <c r="D1743" s="231"/>
      <c r="E1743" s="231"/>
    </row>
    <row r="1744" spans="4:5" x14ac:dyDescent="0.3">
      <c r="D1744" s="231"/>
      <c r="E1744" s="231"/>
    </row>
    <row r="1745" spans="4:5" x14ac:dyDescent="0.3">
      <c r="D1745" s="231"/>
      <c r="E1745" s="231"/>
    </row>
    <row r="1746" spans="4:5" x14ac:dyDescent="0.3">
      <c r="D1746" s="231"/>
      <c r="E1746" s="231"/>
    </row>
    <row r="1747" spans="4:5" x14ac:dyDescent="0.3">
      <c r="D1747" s="231"/>
      <c r="E1747" s="231"/>
    </row>
    <row r="1748" spans="4:5" x14ac:dyDescent="0.3">
      <c r="D1748" s="231"/>
      <c r="E1748" s="231"/>
    </row>
    <row r="1749" spans="4:5" x14ac:dyDescent="0.3">
      <c r="D1749" s="231"/>
      <c r="E1749" s="231"/>
    </row>
    <row r="1750" spans="4:5" x14ac:dyDescent="0.3">
      <c r="D1750" s="231"/>
      <c r="E1750" s="231"/>
    </row>
    <row r="1751" spans="4:5" x14ac:dyDescent="0.3">
      <c r="D1751" s="231"/>
      <c r="E1751" s="231"/>
    </row>
    <row r="1752" spans="4:5" x14ac:dyDescent="0.3">
      <c r="D1752" s="231"/>
      <c r="E1752" s="231"/>
    </row>
    <row r="1753" spans="4:5" x14ac:dyDescent="0.3">
      <c r="D1753" s="231"/>
      <c r="E1753" s="231"/>
    </row>
    <row r="1754" spans="4:5" x14ac:dyDescent="0.3">
      <c r="D1754" s="231"/>
      <c r="E1754" s="231"/>
    </row>
    <row r="1755" spans="4:5" x14ac:dyDescent="0.3">
      <c r="D1755" s="231"/>
      <c r="E1755" s="231"/>
    </row>
    <row r="1756" spans="4:5" x14ac:dyDescent="0.3">
      <c r="D1756" s="231"/>
      <c r="E1756" s="231"/>
    </row>
    <row r="1757" spans="4:5" x14ac:dyDescent="0.3">
      <c r="D1757" s="231"/>
      <c r="E1757" s="231"/>
    </row>
    <row r="1758" spans="4:5" x14ac:dyDescent="0.3">
      <c r="D1758" s="231"/>
      <c r="E1758" s="231"/>
    </row>
    <row r="1759" spans="4:5" x14ac:dyDescent="0.3">
      <c r="D1759" s="231"/>
      <c r="E1759" s="231"/>
    </row>
    <row r="1760" spans="4:5" x14ac:dyDescent="0.3">
      <c r="D1760" s="231"/>
      <c r="E1760" s="231"/>
    </row>
    <row r="1761" spans="4:5" x14ac:dyDescent="0.3">
      <c r="D1761" s="231"/>
      <c r="E1761" s="231"/>
    </row>
    <row r="1762" spans="4:5" x14ac:dyDescent="0.3">
      <c r="D1762" s="231"/>
      <c r="E1762" s="231"/>
    </row>
    <row r="1763" spans="4:5" x14ac:dyDescent="0.3">
      <c r="D1763" s="231"/>
      <c r="E1763" s="231"/>
    </row>
    <row r="1764" spans="4:5" x14ac:dyDescent="0.3">
      <c r="D1764" s="231"/>
      <c r="E1764" s="231"/>
    </row>
    <row r="1765" spans="4:5" x14ac:dyDescent="0.3">
      <c r="D1765" s="231"/>
      <c r="E1765" s="231"/>
    </row>
    <row r="1766" spans="4:5" x14ac:dyDescent="0.3">
      <c r="D1766" s="231"/>
      <c r="E1766" s="231"/>
    </row>
    <row r="1767" spans="4:5" x14ac:dyDescent="0.3">
      <c r="D1767" s="231"/>
      <c r="E1767" s="231"/>
    </row>
    <row r="1768" spans="4:5" x14ac:dyDescent="0.3">
      <c r="D1768" s="231"/>
      <c r="E1768" s="231"/>
    </row>
    <row r="1769" spans="4:5" x14ac:dyDescent="0.3">
      <c r="D1769" s="231"/>
      <c r="E1769" s="231"/>
    </row>
    <row r="1770" spans="4:5" x14ac:dyDescent="0.3">
      <c r="D1770" s="231"/>
      <c r="E1770" s="231"/>
    </row>
    <row r="1771" spans="4:5" x14ac:dyDescent="0.3">
      <c r="D1771" s="231"/>
      <c r="E1771" s="231"/>
    </row>
    <row r="1772" spans="4:5" x14ac:dyDescent="0.3">
      <c r="D1772" s="231"/>
      <c r="E1772" s="231"/>
    </row>
    <row r="1773" spans="4:5" x14ac:dyDescent="0.3">
      <c r="D1773" s="231"/>
      <c r="E1773" s="231"/>
    </row>
    <row r="1774" spans="4:5" x14ac:dyDescent="0.3">
      <c r="D1774" s="231"/>
      <c r="E1774" s="231"/>
    </row>
    <row r="1775" spans="4:5" x14ac:dyDescent="0.3">
      <c r="D1775" s="231"/>
      <c r="E1775" s="231"/>
    </row>
    <row r="1776" spans="4:5" x14ac:dyDescent="0.3">
      <c r="D1776" s="231"/>
      <c r="E1776" s="231"/>
    </row>
    <row r="1777" spans="4:5" x14ac:dyDescent="0.3">
      <c r="D1777" s="231"/>
      <c r="E1777" s="231"/>
    </row>
    <row r="1778" spans="4:5" x14ac:dyDescent="0.3">
      <c r="D1778" s="231"/>
      <c r="E1778" s="231"/>
    </row>
    <row r="1779" spans="4:5" x14ac:dyDescent="0.3">
      <c r="D1779" s="231"/>
      <c r="E1779" s="231"/>
    </row>
    <row r="1780" spans="4:5" x14ac:dyDescent="0.3">
      <c r="D1780" s="231"/>
      <c r="E1780" s="231"/>
    </row>
    <row r="1781" spans="4:5" x14ac:dyDescent="0.3">
      <c r="D1781" s="231"/>
      <c r="E1781" s="231"/>
    </row>
    <row r="1782" spans="4:5" x14ac:dyDescent="0.3">
      <c r="D1782" s="231"/>
      <c r="E1782" s="231"/>
    </row>
    <row r="1783" spans="4:5" x14ac:dyDescent="0.3">
      <c r="D1783" s="231"/>
      <c r="E1783" s="231"/>
    </row>
    <row r="1784" spans="4:5" x14ac:dyDescent="0.3">
      <c r="D1784" s="231"/>
      <c r="E1784" s="231"/>
    </row>
    <row r="1785" spans="4:5" x14ac:dyDescent="0.3">
      <c r="D1785" s="231"/>
      <c r="E1785" s="231"/>
    </row>
    <row r="1786" spans="4:5" x14ac:dyDescent="0.3">
      <c r="D1786" s="231"/>
      <c r="E1786" s="231"/>
    </row>
    <row r="1787" spans="4:5" x14ac:dyDescent="0.3">
      <c r="D1787" s="231"/>
      <c r="E1787" s="231"/>
    </row>
    <row r="1788" spans="4:5" x14ac:dyDescent="0.3">
      <c r="D1788" s="231"/>
      <c r="E1788" s="231"/>
    </row>
    <row r="1789" spans="4:5" x14ac:dyDescent="0.3">
      <c r="D1789" s="231"/>
      <c r="E1789" s="231"/>
    </row>
    <row r="1790" spans="4:5" x14ac:dyDescent="0.3">
      <c r="D1790" s="231"/>
      <c r="E1790" s="231"/>
    </row>
    <row r="1791" spans="4:5" x14ac:dyDescent="0.3">
      <c r="D1791" s="231"/>
      <c r="E1791" s="231"/>
    </row>
    <row r="1792" spans="4:5" x14ac:dyDescent="0.3">
      <c r="D1792" s="231"/>
      <c r="E1792" s="231"/>
    </row>
    <row r="1793" spans="4:5" x14ac:dyDescent="0.3">
      <c r="D1793" s="231"/>
      <c r="E1793" s="231"/>
    </row>
    <row r="1794" spans="4:5" x14ac:dyDescent="0.3">
      <c r="D1794" s="231"/>
      <c r="E1794" s="231"/>
    </row>
    <row r="1795" spans="4:5" x14ac:dyDescent="0.3">
      <c r="D1795" s="231"/>
      <c r="E1795" s="231"/>
    </row>
    <row r="1796" spans="4:5" x14ac:dyDescent="0.3">
      <c r="D1796" s="231"/>
      <c r="E1796" s="231"/>
    </row>
    <row r="1797" spans="4:5" x14ac:dyDescent="0.3">
      <c r="D1797" s="231"/>
      <c r="E1797" s="231"/>
    </row>
    <row r="1798" spans="4:5" x14ac:dyDescent="0.3">
      <c r="D1798" s="231"/>
      <c r="E1798" s="231"/>
    </row>
    <row r="1799" spans="4:5" x14ac:dyDescent="0.3">
      <c r="D1799" s="231"/>
      <c r="E1799" s="231"/>
    </row>
    <row r="1800" spans="4:5" x14ac:dyDescent="0.3">
      <c r="D1800" s="231"/>
      <c r="E1800" s="231"/>
    </row>
    <row r="1801" spans="4:5" x14ac:dyDescent="0.3">
      <c r="D1801" s="231"/>
      <c r="E1801" s="231"/>
    </row>
    <row r="1802" spans="4:5" x14ac:dyDescent="0.3">
      <c r="D1802" s="231"/>
      <c r="E1802" s="231"/>
    </row>
    <row r="1803" spans="4:5" x14ac:dyDescent="0.3">
      <c r="D1803" s="231"/>
      <c r="E1803" s="231"/>
    </row>
    <row r="1804" spans="4:5" x14ac:dyDescent="0.3">
      <c r="D1804" s="231"/>
      <c r="E1804" s="231"/>
    </row>
    <row r="1805" spans="4:5" x14ac:dyDescent="0.3">
      <c r="D1805" s="231"/>
      <c r="E1805" s="231"/>
    </row>
    <row r="1806" spans="4:5" x14ac:dyDescent="0.3">
      <c r="D1806" s="231"/>
      <c r="E1806" s="231"/>
    </row>
    <row r="1807" spans="4:5" x14ac:dyDescent="0.3">
      <c r="D1807" s="231"/>
      <c r="E1807" s="231"/>
    </row>
    <row r="1808" spans="4:5" x14ac:dyDescent="0.3">
      <c r="D1808" s="231"/>
      <c r="E1808" s="231"/>
    </row>
    <row r="1809" spans="4:5" x14ac:dyDescent="0.3">
      <c r="D1809" s="231"/>
      <c r="E1809" s="231"/>
    </row>
    <row r="1810" spans="4:5" x14ac:dyDescent="0.3">
      <c r="D1810" s="231"/>
      <c r="E1810" s="231"/>
    </row>
    <row r="1811" spans="4:5" x14ac:dyDescent="0.3">
      <c r="D1811" s="231"/>
      <c r="E1811" s="231"/>
    </row>
    <row r="1812" spans="4:5" x14ac:dyDescent="0.3">
      <c r="D1812" s="231"/>
      <c r="E1812" s="231"/>
    </row>
    <row r="1813" spans="4:5" x14ac:dyDescent="0.3">
      <c r="D1813" s="231"/>
      <c r="E1813" s="231"/>
    </row>
    <row r="1814" spans="4:5" x14ac:dyDescent="0.3">
      <c r="D1814" s="231"/>
      <c r="E1814" s="231"/>
    </row>
    <row r="1815" spans="4:5" x14ac:dyDescent="0.3">
      <c r="D1815" s="231"/>
      <c r="E1815" s="231"/>
    </row>
    <row r="1816" spans="4:5" x14ac:dyDescent="0.3">
      <c r="D1816" s="231"/>
      <c r="E1816" s="231"/>
    </row>
    <row r="1817" spans="4:5" x14ac:dyDescent="0.3">
      <c r="D1817" s="231"/>
      <c r="E1817" s="231"/>
    </row>
    <row r="1818" spans="4:5" x14ac:dyDescent="0.3">
      <c r="D1818" s="231"/>
      <c r="E1818" s="231"/>
    </row>
    <row r="1819" spans="4:5" x14ac:dyDescent="0.3">
      <c r="D1819" s="231"/>
      <c r="E1819" s="231"/>
    </row>
    <row r="1820" spans="4:5" x14ac:dyDescent="0.3">
      <c r="D1820" s="231"/>
      <c r="E1820" s="231"/>
    </row>
    <row r="1821" spans="4:5" x14ac:dyDescent="0.3">
      <c r="D1821" s="231"/>
      <c r="E1821" s="231"/>
    </row>
    <row r="1822" spans="4:5" x14ac:dyDescent="0.3">
      <c r="D1822" s="231"/>
      <c r="E1822" s="231"/>
    </row>
    <row r="1823" spans="4:5" x14ac:dyDescent="0.3">
      <c r="D1823" s="231"/>
      <c r="E1823" s="231"/>
    </row>
    <row r="1824" spans="4:5" x14ac:dyDescent="0.3">
      <c r="D1824" s="231"/>
      <c r="E1824" s="231"/>
    </row>
    <row r="1825" spans="4:5" x14ac:dyDescent="0.3">
      <c r="D1825" s="231"/>
      <c r="E1825" s="231"/>
    </row>
    <row r="1826" spans="4:5" x14ac:dyDescent="0.3">
      <c r="D1826" s="231"/>
      <c r="E1826" s="231"/>
    </row>
    <row r="1827" spans="4:5" x14ac:dyDescent="0.3">
      <c r="D1827" s="231"/>
      <c r="E1827" s="231"/>
    </row>
    <row r="1828" spans="4:5" x14ac:dyDescent="0.3">
      <c r="D1828" s="231"/>
      <c r="E1828" s="231"/>
    </row>
    <row r="1829" spans="4:5" x14ac:dyDescent="0.3">
      <c r="D1829" s="231"/>
      <c r="E1829" s="231"/>
    </row>
    <row r="1830" spans="4:5" x14ac:dyDescent="0.3">
      <c r="D1830" s="231"/>
      <c r="E1830" s="231"/>
    </row>
    <row r="1831" spans="4:5" x14ac:dyDescent="0.3">
      <c r="D1831" s="231"/>
      <c r="E1831" s="231"/>
    </row>
    <row r="1832" spans="4:5" x14ac:dyDescent="0.3">
      <c r="D1832" s="231"/>
      <c r="E1832" s="231"/>
    </row>
    <row r="1833" spans="4:5" x14ac:dyDescent="0.3">
      <c r="D1833" s="231"/>
      <c r="E1833" s="231"/>
    </row>
    <row r="1834" spans="4:5" x14ac:dyDescent="0.3">
      <c r="D1834" s="231"/>
      <c r="E1834" s="231"/>
    </row>
    <row r="1835" spans="4:5" x14ac:dyDescent="0.3">
      <c r="D1835" s="231"/>
      <c r="E1835" s="231"/>
    </row>
    <row r="1836" spans="4:5" x14ac:dyDescent="0.3">
      <c r="D1836" s="231"/>
      <c r="E1836" s="231"/>
    </row>
    <row r="1837" spans="4:5" x14ac:dyDescent="0.3">
      <c r="D1837" s="231"/>
      <c r="E1837" s="231"/>
    </row>
    <row r="1838" spans="4:5" x14ac:dyDescent="0.3">
      <c r="D1838" s="231"/>
      <c r="E1838" s="231"/>
    </row>
    <row r="1839" spans="4:5" x14ac:dyDescent="0.3">
      <c r="D1839" s="231"/>
      <c r="E1839" s="231"/>
    </row>
    <row r="1840" spans="4:5" x14ac:dyDescent="0.3">
      <c r="D1840" s="231"/>
      <c r="E1840" s="231"/>
    </row>
    <row r="1841" spans="4:5" x14ac:dyDescent="0.3">
      <c r="D1841" s="231"/>
      <c r="E1841" s="231"/>
    </row>
    <row r="1842" spans="4:5" x14ac:dyDescent="0.3">
      <c r="D1842" s="231"/>
      <c r="E1842" s="231"/>
    </row>
    <row r="1843" spans="4:5" x14ac:dyDescent="0.3">
      <c r="D1843" s="231"/>
      <c r="E1843" s="231"/>
    </row>
    <row r="1844" spans="4:5" x14ac:dyDescent="0.3">
      <c r="D1844" s="231"/>
      <c r="E1844" s="231"/>
    </row>
    <row r="1845" spans="4:5" x14ac:dyDescent="0.3">
      <c r="D1845" s="231"/>
      <c r="E1845" s="231"/>
    </row>
    <row r="1846" spans="4:5" x14ac:dyDescent="0.3">
      <c r="D1846" s="231"/>
      <c r="E1846" s="231"/>
    </row>
    <row r="1847" spans="4:5" x14ac:dyDescent="0.3">
      <c r="D1847" s="231"/>
      <c r="E1847" s="231"/>
    </row>
    <row r="1848" spans="4:5" x14ac:dyDescent="0.3">
      <c r="D1848" s="231"/>
      <c r="E1848" s="231"/>
    </row>
    <row r="1849" spans="4:5" x14ac:dyDescent="0.3">
      <c r="D1849" s="231"/>
      <c r="E1849" s="231"/>
    </row>
    <row r="1850" spans="4:5" x14ac:dyDescent="0.3">
      <c r="D1850" s="231"/>
      <c r="E1850" s="231"/>
    </row>
    <row r="1851" spans="4:5" x14ac:dyDescent="0.3">
      <c r="D1851" s="231"/>
      <c r="E1851" s="231"/>
    </row>
    <row r="1852" spans="4:5" x14ac:dyDescent="0.3">
      <c r="D1852" s="231"/>
      <c r="E1852" s="231"/>
    </row>
    <row r="1853" spans="4:5" x14ac:dyDescent="0.3">
      <c r="D1853" s="231"/>
      <c r="E1853" s="231"/>
    </row>
    <row r="1854" spans="4:5" x14ac:dyDescent="0.3">
      <c r="D1854" s="231"/>
      <c r="E1854" s="231"/>
    </row>
    <row r="1855" spans="4:5" x14ac:dyDescent="0.3">
      <c r="D1855" s="231"/>
      <c r="E1855" s="231"/>
    </row>
    <row r="1856" spans="4:5" x14ac:dyDescent="0.3">
      <c r="D1856" s="231"/>
      <c r="E1856" s="231"/>
    </row>
    <row r="1857" spans="4:5" x14ac:dyDescent="0.3">
      <c r="D1857" s="231"/>
      <c r="E1857" s="231"/>
    </row>
    <row r="1858" spans="4:5" x14ac:dyDescent="0.3">
      <c r="D1858" s="231"/>
      <c r="E1858" s="231"/>
    </row>
    <row r="1859" spans="4:5" x14ac:dyDescent="0.3">
      <c r="D1859" s="231"/>
      <c r="E1859" s="231"/>
    </row>
    <row r="1860" spans="4:5" x14ac:dyDescent="0.3">
      <c r="D1860" s="231"/>
      <c r="E1860" s="231"/>
    </row>
    <row r="1861" spans="4:5" x14ac:dyDescent="0.3">
      <c r="D1861" s="231"/>
      <c r="E1861" s="231"/>
    </row>
    <row r="1862" spans="4:5" x14ac:dyDescent="0.3">
      <c r="D1862" s="231"/>
      <c r="E1862" s="231"/>
    </row>
    <row r="1863" spans="4:5" x14ac:dyDescent="0.3">
      <c r="D1863" s="231"/>
      <c r="E1863" s="231"/>
    </row>
    <row r="1864" spans="4:5" x14ac:dyDescent="0.3">
      <c r="D1864" s="231"/>
      <c r="E1864" s="231"/>
    </row>
    <row r="1865" spans="4:5" x14ac:dyDescent="0.3">
      <c r="D1865" s="231"/>
      <c r="E1865" s="231"/>
    </row>
    <row r="1866" spans="4:5" x14ac:dyDescent="0.3">
      <c r="D1866" s="231"/>
      <c r="E1866" s="231"/>
    </row>
    <row r="1867" spans="4:5" x14ac:dyDescent="0.3">
      <c r="D1867" s="231"/>
      <c r="E1867" s="231"/>
    </row>
    <row r="1868" spans="4:5" x14ac:dyDescent="0.3">
      <c r="D1868" s="231"/>
      <c r="E1868" s="231"/>
    </row>
    <row r="1869" spans="4:5" x14ac:dyDescent="0.3">
      <c r="D1869" s="231"/>
      <c r="E1869" s="231"/>
    </row>
    <row r="1870" spans="4:5" x14ac:dyDescent="0.3">
      <c r="D1870" s="231"/>
      <c r="E1870" s="231"/>
    </row>
    <row r="1871" spans="4:5" x14ac:dyDescent="0.3">
      <c r="D1871" s="231"/>
      <c r="E1871" s="231"/>
    </row>
    <row r="1872" spans="4:5" x14ac:dyDescent="0.3">
      <c r="D1872" s="231"/>
      <c r="E1872" s="231"/>
    </row>
    <row r="1873" spans="4:5" x14ac:dyDescent="0.3">
      <c r="D1873" s="231"/>
      <c r="E1873" s="231"/>
    </row>
    <row r="1874" spans="4:5" x14ac:dyDescent="0.3">
      <c r="D1874" s="231"/>
      <c r="E1874" s="231"/>
    </row>
    <row r="1875" spans="4:5" x14ac:dyDescent="0.3">
      <c r="D1875" s="231"/>
      <c r="E1875" s="231"/>
    </row>
    <row r="1876" spans="4:5" x14ac:dyDescent="0.3">
      <c r="D1876" s="231"/>
      <c r="E1876" s="231"/>
    </row>
    <row r="1877" spans="4:5" x14ac:dyDescent="0.3">
      <c r="D1877" s="231"/>
      <c r="E1877" s="231"/>
    </row>
    <row r="1878" spans="4:5" x14ac:dyDescent="0.3">
      <c r="D1878" s="231"/>
      <c r="E1878" s="231"/>
    </row>
    <row r="1879" spans="4:5" x14ac:dyDescent="0.3">
      <c r="D1879" s="231"/>
      <c r="E1879" s="231"/>
    </row>
    <row r="1880" spans="4:5" x14ac:dyDescent="0.3">
      <c r="D1880" s="231"/>
      <c r="E1880" s="231"/>
    </row>
    <row r="1881" spans="4:5" x14ac:dyDescent="0.3">
      <c r="D1881" s="231"/>
      <c r="E1881" s="231"/>
    </row>
    <row r="1882" spans="4:5" x14ac:dyDescent="0.3">
      <c r="D1882" s="231"/>
      <c r="E1882" s="231"/>
    </row>
    <row r="1883" spans="4:5" x14ac:dyDescent="0.3">
      <c r="D1883" s="231"/>
      <c r="E1883" s="231"/>
    </row>
    <row r="1884" spans="4:5" x14ac:dyDescent="0.3">
      <c r="D1884" s="231"/>
      <c r="E1884" s="231"/>
    </row>
    <row r="1885" spans="4:5" x14ac:dyDescent="0.3">
      <c r="D1885" s="231"/>
      <c r="E1885" s="231"/>
    </row>
    <row r="1886" spans="4:5" x14ac:dyDescent="0.3">
      <c r="D1886" s="231"/>
      <c r="E1886" s="231"/>
    </row>
    <row r="1887" spans="4:5" x14ac:dyDescent="0.3">
      <c r="D1887" s="231"/>
      <c r="E1887" s="231"/>
    </row>
    <row r="1888" spans="4:5" x14ac:dyDescent="0.3">
      <c r="D1888" s="231"/>
      <c r="E1888" s="231"/>
    </row>
    <row r="1889" spans="4:5" x14ac:dyDescent="0.3">
      <c r="D1889" s="231"/>
      <c r="E1889" s="231"/>
    </row>
    <row r="1890" spans="4:5" x14ac:dyDescent="0.3">
      <c r="D1890" s="231"/>
      <c r="E1890" s="231"/>
    </row>
    <row r="1891" spans="4:5" x14ac:dyDescent="0.3">
      <c r="D1891" s="231"/>
      <c r="E1891" s="231"/>
    </row>
    <row r="1892" spans="4:5" x14ac:dyDescent="0.3">
      <c r="D1892" s="231"/>
      <c r="E1892" s="231"/>
    </row>
    <row r="1893" spans="4:5" x14ac:dyDescent="0.3">
      <c r="D1893" s="231"/>
      <c r="E1893" s="231"/>
    </row>
    <row r="1894" spans="4:5" x14ac:dyDescent="0.3">
      <c r="D1894" s="231"/>
      <c r="E1894" s="231"/>
    </row>
    <row r="1895" spans="4:5" x14ac:dyDescent="0.3">
      <c r="D1895" s="231"/>
      <c r="E1895" s="231"/>
    </row>
    <row r="1896" spans="4:5" x14ac:dyDescent="0.3">
      <c r="D1896" s="231"/>
      <c r="E1896" s="231"/>
    </row>
    <row r="1897" spans="4:5" x14ac:dyDescent="0.3">
      <c r="D1897" s="231"/>
      <c r="E1897" s="231"/>
    </row>
    <row r="1898" spans="4:5" x14ac:dyDescent="0.3">
      <c r="D1898" s="231"/>
      <c r="E1898" s="231"/>
    </row>
    <row r="1899" spans="4:5" x14ac:dyDescent="0.3">
      <c r="D1899" s="231"/>
      <c r="E1899" s="231"/>
    </row>
    <row r="1900" spans="4:5" x14ac:dyDescent="0.3">
      <c r="D1900" s="231"/>
      <c r="E1900" s="231"/>
    </row>
    <row r="1901" spans="4:5" x14ac:dyDescent="0.3">
      <c r="D1901" s="231"/>
      <c r="E1901" s="231"/>
    </row>
    <row r="1902" spans="4:5" x14ac:dyDescent="0.3">
      <c r="D1902" s="231"/>
      <c r="E1902" s="231"/>
    </row>
    <row r="1903" spans="4:5" x14ac:dyDescent="0.3">
      <c r="D1903" s="231"/>
      <c r="E1903" s="231"/>
    </row>
    <row r="1904" spans="4:5" x14ac:dyDescent="0.3">
      <c r="D1904" s="231"/>
      <c r="E1904" s="231"/>
    </row>
    <row r="1905" spans="4:5" x14ac:dyDescent="0.3">
      <c r="D1905" s="231"/>
      <c r="E1905" s="231"/>
    </row>
    <row r="1906" spans="4:5" x14ac:dyDescent="0.3">
      <c r="D1906" s="231"/>
      <c r="E1906" s="231"/>
    </row>
    <row r="1907" spans="4:5" x14ac:dyDescent="0.3">
      <c r="D1907" s="231"/>
      <c r="E1907" s="231"/>
    </row>
    <row r="1908" spans="4:5" x14ac:dyDescent="0.3">
      <c r="D1908" s="231"/>
      <c r="E1908" s="231"/>
    </row>
    <row r="1909" spans="4:5" x14ac:dyDescent="0.3">
      <c r="D1909" s="231"/>
      <c r="E1909" s="231"/>
    </row>
    <row r="1910" spans="4:5" x14ac:dyDescent="0.3">
      <c r="D1910" s="231"/>
      <c r="E1910" s="231"/>
    </row>
    <row r="1911" spans="4:5" x14ac:dyDescent="0.3">
      <c r="D1911" s="231"/>
      <c r="E1911" s="231"/>
    </row>
    <row r="1912" spans="4:5" x14ac:dyDescent="0.3">
      <c r="D1912" s="231"/>
      <c r="E1912" s="231"/>
    </row>
    <row r="1913" spans="4:5" x14ac:dyDescent="0.3">
      <c r="D1913" s="231"/>
      <c r="E1913" s="231"/>
    </row>
    <row r="1914" spans="4:5" x14ac:dyDescent="0.3">
      <c r="D1914" s="231"/>
      <c r="E1914" s="231"/>
    </row>
    <row r="1915" spans="4:5" x14ac:dyDescent="0.3">
      <c r="D1915" s="231"/>
      <c r="E1915" s="231"/>
    </row>
    <row r="1916" spans="4:5" x14ac:dyDescent="0.3">
      <c r="D1916" s="231"/>
      <c r="E1916" s="231"/>
    </row>
    <row r="1917" spans="4:5" x14ac:dyDescent="0.3">
      <c r="D1917" s="231"/>
      <c r="E1917" s="231"/>
    </row>
    <row r="1918" spans="4:5" x14ac:dyDescent="0.3">
      <c r="D1918" s="231"/>
      <c r="E1918" s="231"/>
    </row>
    <row r="1919" spans="4:5" x14ac:dyDescent="0.3">
      <c r="D1919" s="231"/>
      <c r="E1919" s="231"/>
    </row>
    <row r="1920" spans="4:5" x14ac:dyDescent="0.3">
      <c r="D1920" s="231"/>
      <c r="E1920" s="231"/>
    </row>
    <row r="1921" spans="4:5" x14ac:dyDescent="0.3">
      <c r="D1921" s="231"/>
      <c r="E1921" s="231"/>
    </row>
    <row r="1922" spans="4:5" x14ac:dyDescent="0.3">
      <c r="D1922" s="231"/>
      <c r="E1922" s="231"/>
    </row>
    <row r="1923" spans="4:5" x14ac:dyDescent="0.3">
      <c r="D1923" s="231"/>
      <c r="E1923" s="231"/>
    </row>
    <row r="1924" spans="4:5" x14ac:dyDescent="0.3">
      <c r="D1924" s="231"/>
      <c r="E1924" s="231"/>
    </row>
    <row r="1925" spans="4:5" x14ac:dyDescent="0.3">
      <c r="D1925" s="231"/>
      <c r="E1925" s="231"/>
    </row>
    <row r="1926" spans="4:5" x14ac:dyDescent="0.3">
      <c r="D1926" s="231"/>
      <c r="E1926" s="231"/>
    </row>
    <row r="1927" spans="4:5" x14ac:dyDescent="0.3">
      <c r="D1927" s="231"/>
      <c r="E1927" s="231"/>
    </row>
    <row r="1928" spans="4:5" x14ac:dyDescent="0.3">
      <c r="D1928" s="231"/>
      <c r="E1928" s="231"/>
    </row>
    <row r="1929" spans="4:5" x14ac:dyDescent="0.3">
      <c r="D1929" s="231"/>
      <c r="E1929" s="231"/>
    </row>
    <row r="1930" spans="4:5" x14ac:dyDescent="0.3">
      <c r="D1930" s="231"/>
      <c r="E1930" s="231"/>
    </row>
    <row r="1931" spans="4:5" x14ac:dyDescent="0.3">
      <c r="D1931" s="231"/>
      <c r="E1931" s="231"/>
    </row>
    <row r="1932" spans="4:5" x14ac:dyDescent="0.3">
      <c r="D1932" s="231"/>
      <c r="E1932" s="231"/>
    </row>
    <row r="1933" spans="4:5" x14ac:dyDescent="0.3">
      <c r="D1933" s="231"/>
      <c r="E1933" s="231"/>
    </row>
    <row r="1934" spans="4:5" x14ac:dyDescent="0.3">
      <c r="D1934" s="231"/>
      <c r="E1934" s="231"/>
    </row>
    <row r="1935" spans="4:5" x14ac:dyDescent="0.3">
      <c r="D1935" s="231"/>
      <c r="E1935" s="231"/>
    </row>
    <row r="1936" spans="4:5" x14ac:dyDescent="0.3">
      <c r="D1936" s="231"/>
      <c r="E1936" s="231"/>
    </row>
    <row r="1937" spans="4:5" x14ac:dyDescent="0.3">
      <c r="D1937" s="231"/>
      <c r="E1937" s="231"/>
    </row>
    <row r="1938" spans="4:5" x14ac:dyDescent="0.3">
      <c r="D1938" s="231"/>
      <c r="E1938" s="231"/>
    </row>
    <row r="1939" spans="4:5" x14ac:dyDescent="0.3">
      <c r="D1939" s="231"/>
      <c r="E1939" s="231"/>
    </row>
    <row r="1940" spans="4:5" x14ac:dyDescent="0.3">
      <c r="D1940" s="231"/>
      <c r="E1940" s="231"/>
    </row>
    <row r="1941" spans="4:5" x14ac:dyDescent="0.3">
      <c r="D1941" s="231"/>
      <c r="E1941" s="231"/>
    </row>
    <row r="1942" spans="4:5" x14ac:dyDescent="0.3">
      <c r="D1942" s="231"/>
      <c r="E1942" s="231"/>
    </row>
    <row r="1943" spans="4:5" x14ac:dyDescent="0.3">
      <c r="D1943" s="231"/>
      <c r="E1943" s="231"/>
    </row>
    <row r="1944" spans="4:5" x14ac:dyDescent="0.3">
      <c r="D1944" s="231"/>
      <c r="E1944" s="231"/>
    </row>
    <row r="1945" spans="4:5" x14ac:dyDescent="0.3">
      <c r="D1945" s="231"/>
      <c r="E1945" s="231"/>
    </row>
    <row r="1946" spans="4:5" x14ac:dyDescent="0.3">
      <c r="D1946" s="231"/>
      <c r="E1946" s="231"/>
    </row>
    <row r="1947" spans="4:5" x14ac:dyDescent="0.3">
      <c r="D1947" s="231"/>
      <c r="E1947" s="231"/>
    </row>
    <row r="1948" spans="4:5" x14ac:dyDescent="0.3">
      <c r="D1948" s="231"/>
      <c r="E1948" s="231"/>
    </row>
    <row r="1949" spans="4:5" x14ac:dyDescent="0.3">
      <c r="D1949" s="231"/>
      <c r="E1949" s="231"/>
    </row>
    <row r="1950" spans="4:5" x14ac:dyDescent="0.3">
      <c r="D1950" s="231"/>
      <c r="E1950" s="231"/>
    </row>
    <row r="1951" spans="4:5" x14ac:dyDescent="0.3">
      <c r="D1951" s="231"/>
      <c r="E1951" s="231"/>
    </row>
    <row r="1952" spans="4:5" x14ac:dyDescent="0.3">
      <c r="D1952" s="231"/>
      <c r="E1952" s="231"/>
    </row>
    <row r="1953" spans="4:5" x14ac:dyDescent="0.3">
      <c r="D1953" s="231"/>
      <c r="E1953" s="231"/>
    </row>
    <row r="1954" spans="4:5" x14ac:dyDescent="0.3">
      <c r="D1954" s="231"/>
      <c r="E1954" s="231"/>
    </row>
    <row r="1955" spans="4:5" x14ac:dyDescent="0.3">
      <c r="D1955" s="231"/>
      <c r="E1955" s="231"/>
    </row>
    <row r="1956" spans="4:5" x14ac:dyDescent="0.3">
      <c r="D1956" s="231"/>
      <c r="E1956" s="231"/>
    </row>
    <row r="1957" spans="4:5" x14ac:dyDescent="0.3">
      <c r="D1957" s="231"/>
      <c r="E1957" s="231"/>
    </row>
    <row r="1958" spans="4:5" x14ac:dyDescent="0.3">
      <c r="D1958" s="231"/>
      <c r="E1958" s="231"/>
    </row>
    <row r="1959" spans="4:5" x14ac:dyDescent="0.3">
      <c r="D1959" s="231"/>
      <c r="E1959" s="231"/>
    </row>
    <row r="1960" spans="4:5" x14ac:dyDescent="0.3">
      <c r="D1960" s="231"/>
      <c r="E1960" s="231"/>
    </row>
    <row r="1961" spans="4:5" x14ac:dyDescent="0.3">
      <c r="D1961" s="231"/>
      <c r="E1961" s="231"/>
    </row>
    <row r="1962" spans="4:5" x14ac:dyDescent="0.3">
      <c r="D1962" s="231"/>
      <c r="E1962" s="231"/>
    </row>
    <row r="1963" spans="4:5" x14ac:dyDescent="0.3">
      <c r="D1963" s="231"/>
      <c r="E1963" s="231"/>
    </row>
    <row r="1964" spans="4:5" x14ac:dyDescent="0.3">
      <c r="D1964" s="231"/>
      <c r="E1964" s="231"/>
    </row>
    <row r="1965" spans="4:5" x14ac:dyDescent="0.3">
      <c r="D1965" s="231"/>
      <c r="E1965" s="231"/>
    </row>
    <row r="1966" spans="4:5" x14ac:dyDescent="0.3">
      <c r="D1966" s="231"/>
      <c r="E1966" s="231"/>
    </row>
    <row r="1967" spans="4:5" x14ac:dyDescent="0.3">
      <c r="D1967" s="231"/>
      <c r="E1967" s="231"/>
    </row>
    <row r="1968" spans="4:5" x14ac:dyDescent="0.3">
      <c r="D1968" s="231"/>
      <c r="E1968" s="231"/>
    </row>
    <row r="1969" spans="4:5" x14ac:dyDescent="0.3">
      <c r="D1969" s="231"/>
      <c r="E1969" s="231"/>
    </row>
    <row r="1970" spans="4:5" x14ac:dyDescent="0.3">
      <c r="D1970" s="231"/>
      <c r="E1970" s="231"/>
    </row>
    <row r="1971" spans="4:5" x14ac:dyDescent="0.3">
      <c r="D1971" s="231"/>
      <c r="E1971" s="231"/>
    </row>
    <row r="1972" spans="4:5" x14ac:dyDescent="0.3">
      <c r="D1972" s="231"/>
      <c r="E1972" s="231"/>
    </row>
    <row r="1973" spans="4:5" x14ac:dyDescent="0.3">
      <c r="D1973" s="231"/>
      <c r="E1973" s="231"/>
    </row>
    <row r="1974" spans="4:5" x14ac:dyDescent="0.3">
      <c r="D1974" s="231"/>
      <c r="E1974" s="231"/>
    </row>
    <row r="1975" spans="4:5" x14ac:dyDescent="0.3">
      <c r="D1975" s="231"/>
      <c r="E1975" s="231"/>
    </row>
    <row r="1976" spans="4:5" x14ac:dyDescent="0.3">
      <c r="D1976" s="231"/>
      <c r="E1976" s="231"/>
    </row>
    <row r="1977" spans="4:5" x14ac:dyDescent="0.3">
      <c r="D1977" s="231"/>
      <c r="E1977" s="231"/>
    </row>
    <row r="1978" spans="4:5" x14ac:dyDescent="0.3">
      <c r="D1978" s="231"/>
      <c r="E1978" s="231"/>
    </row>
    <row r="1979" spans="4:5" x14ac:dyDescent="0.3">
      <c r="D1979" s="231"/>
      <c r="E1979" s="231"/>
    </row>
    <row r="1980" spans="4:5" x14ac:dyDescent="0.3">
      <c r="D1980" s="231"/>
      <c r="E1980" s="231"/>
    </row>
    <row r="1981" spans="4:5" x14ac:dyDescent="0.3">
      <c r="D1981" s="231"/>
      <c r="E1981" s="231"/>
    </row>
    <row r="1982" spans="4:5" x14ac:dyDescent="0.3">
      <c r="D1982" s="231"/>
      <c r="E1982" s="231"/>
    </row>
    <row r="1983" spans="4:5" x14ac:dyDescent="0.3">
      <c r="D1983" s="231"/>
      <c r="E1983" s="231"/>
    </row>
    <row r="1984" spans="4:5" x14ac:dyDescent="0.3">
      <c r="D1984" s="231"/>
      <c r="E1984" s="231"/>
    </row>
    <row r="1985" spans="4:5" x14ac:dyDescent="0.3">
      <c r="D1985" s="231"/>
      <c r="E1985" s="231"/>
    </row>
    <row r="1986" spans="4:5" x14ac:dyDescent="0.3">
      <c r="D1986" s="231"/>
      <c r="E1986" s="231"/>
    </row>
    <row r="1987" spans="4:5" x14ac:dyDescent="0.3">
      <c r="D1987" s="231"/>
      <c r="E1987" s="231"/>
    </row>
    <row r="1988" spans="4:5" x14ac:dyDescent="0.3">
      <c r="D1988" s="231"/>
      <c r="E1988" s="231"/>
    </row>
    <row r="1989" spans="4:5" x14ac:dyDescent="0.3">
      <c r="D1989" s="231"/>
      <c r="E1989" s="231"/>
    </row>
    <row r="1990" spans="4:5" x14ac:dyDescent="0.3">
      <c r="D1990" s="231"/>
      <c r="E1990" s="231"/>
    </row>
    <row r="1991" spans="4:5" x14ac:dyDescent="0.3">
      <c r="D1991" s="231"/>
      <c r="E1991" s="231"/>
    </row>
    <row r="1992" spans="4:5" x14ac:dyDescent="0.3">
      <c r="D1992" s="231"/>
      <c r="E1992" s="231"/>
    </row>
    <row r="1993" spans="4:5" x14ac:dyDescent="0.3">
      <c r="D1993" s="231"/>
      <c r="E1993" s="231"/>
    </row>
    <row r="1994" spans="4:5" x14ac:dyDescent="0.3">
      <c r="D1994" s="231"/>
      <c r="E1994" s="231"/>
    </row>
    <row r="1995" spans="4:5" x14ac:dyDescent="0.3">
      <c r="D1995" s="231"/>
      <c r="E1995" s="231"/>
    </row>
    <row r="1996" spans="4:5" x14ac:dyDescent="0.3">
      <c r="D1996" s="231"/>
      <c r="E1996" s="231"/>
    </row>
    <row r="1997" spans="4:5" x14ac:dyDescent="0.3">
      <c r="D1997" s="231"/>
      <c r="E1997" s="231"/>
    </row>
    <row r="1998" spans="4:5" x14ac:dyDescent="0.3">
      <c r="D1998" s="231"/>
      <c r="E1998" s="231"/>
    </row>
    <row r="1999" spans="4:5" x14ac:dyDescent="0.3">
      <c r="D1999" s="231"/>
      <c r="E1999" s="231"/>
    </row>
    <row r="2000" spans="4:5" x14ac:dyDescent="0.3">
      <c r="D2000" s="231"/>
      <c r="E2000" s="231"/>
    </row>
    <row r="2001" spans="4:5" x14ac:dyDescent="0.3">
      <c r="D2001" s="231"/>
      <c r="E2001" s="231"/>
    </row>
    <row r="2002" spans="4:5" x14ac:dyDescent="0.3">
      <c r="D2002" s="231"/>
      <c r="E2002" s="231"/>
    </row>
    <row r="2003" spans="4:5" x14ac:dyDescent="0.3">
      <c r="D2003" s="231"/>
      <c r="E2003" s="231"/>
    </row>
    <row r="2004" spans="4:5" x14ac:dyDescent="0.3">
      <c r="D2004" s="231"/>
      <c r="E2004" s="231"/>
    </row>
    <row r="2005" spans="4:5" x14ac:dyDescent="0.3">
      <c r="D2005" s="231"/>
      <c r="E2005" s="231"/>
    </row>
    <row r="2006" spans="4:5" x14ac:dyDescent="0.3">
      <c r="D2006" s="231"/>
      <c r="E2006" s="231"/>
    </row>
    <row r="2007" spans="4:5" x14ac:dyDescent="0.3">
      <c r="D2007" s="231"/>
      <c r="E2007" s="231"/>
    </row>
    <row r="2008" spans="4:5" x14ac:dyDescent="0.3">
      <c r="D2008" s="231"/>
      <c r="E2008" s="231"/>
    </row>
    <row r="2009" spans="4:5" x14ac:dyDescent="0.3">
      <c r="D2009" s="231"/>
      <c r="E2009" s="231"/>
    </row>
    <row r="2010" spans="4:5" x14ac:dyDescent="0.3">
      <c r="D2010" s="231"/>
      <c r="E2010" s="231"/>
    </row>
    <row r="2011" spans="4:5" x14ac:dyDescent="0.3">
      <c r="D2011" s="231"/>
      <c r="E2011" s="231"/>
    </row>
    <row r="2012" spans="4:5" x14ac:dyDescent="0.3">
      <c r="D2012" s="231"/>
      <c r="E2012" s="231"/>
    </row>
    <row r="2013" spans="4:5" x14ac:dyDescent="0.3">
      <c r="D2013" s="231"/>
      <c r="E2013" s="231"/>
    </row>
    <row r="2014" spans="4:5" x14ac:dyDescent="0.3">
      <c r="D2014" s="231"/>
      <c r="E2014" s="231"/>
    </row>
    <row r="2015" spans="4:5" x14ac:dyDescent="0.3">
      <c r="D2015" s="231"/>
      <c r="E2015" s="231"/>
    </row>
    <row r="2016" spans="4:5" x14ac:dyDescent="0.3">
      <c r="D2016" s="231"/>
      <c r="E2016" s="231"/>
    </row>
    <row r="2017" spans="4:5" x14ac:dyDescent="0.3">
      <c r="D2017" s="231"/>
      <c r="E2017" s="231"/>
    </row>
    <row r="2018" spans="4:5" x14ac:dyDescent="0.3">
      <c r="D2018" s="231"/>
      <c r="E2018" s="231"/>
    </row>
    <row r="2019" spans="4:5" x14ac:dyDescent="0.3">
      <c r="D2019" s="231"/>
      <c r="E2019" s="231"/>
    </row>
    <row r="2020" spans="4:5" x14ac:dyDescent="0.3">
      <c r="D2020" s="231"/>
      <c r="E2020" s="231"/>
    </row>
    <row r="2021" spans="4:5" x14ac:dyDescent="0.3">
      <c r="D2021" s="231"/>
      <c r="E2021" s="231"/>
    </row>
    <row r="2022" spans="4:5" x14ac:dyDescent="0.3">
      <c r="D2022" s="231"/>
      <c r="E2022" s="231"/>
    </row>
    <row r="2023" spans="4:5" x14ac:dyDescent="0.3">
      <c r="D2023" s="231"/>
      <c r="E2023" s="231"/>
    </row>
    <row r="2024" spans="4:5" x14ac:dyDescent="0.3">
      <c r="D2024" s="231"/>
      <c r="E2024" s="231"/>
    </row>
    <row r="2025" spans="4:5" x14ac:dyDescent="0.3">
      <c r="D2025" s="231"/>
      <c r="E2025" s="231"/>
    </row>
    <row r="2026" spans="4:5" x14ac:dyDescent="0.3">
      <c r="D2026" s="231"/>
      <c r="E2026" s="231"/>
    </row>
    <row r="2027" spans="4:5" x14ac:dyDescent="0.3">
      <c r="D2027" s="231"/>
      <c r="E2027" s="231"/>
    </row>
    <row r="2028" spans="4:5" x14ac:dyDescent="0.3">
      <c r="D2028" s="231"/>
      <c r="E2028" s="231"/>
    </row>
    <row r="2029" spans="4:5" x14ac:dyDescent="0.3">
      <c r="D2029" s="231"/>
      <c r="E2029" s="231"/>
    </row>
    <row r="2030" spans="4:5" x14ac:dyDescent="0.3">
      <c r="D2030" s="231"/>
      <c r="E2030" s="231"/>
    </row>
    <row r="2031" spans="4:5" x14ac:dyDescent="0.3">
      <c r="D2031" s="231"/>
      <c r="E2031" s="231"/>
    </row>
    <row r="2032" spans="4:5" x14ac:dyDescent="0.3">
      <c r="D2032" s="231"/>
      <c r="E2032" s="231"/>
    </row>
    <row r="2033" spans="4:5" x14ac:dyDescent="0.3">
      <c r="D2033" s="231"/>
      <c r="E2033" s="231"/>
    </row>
    <row r="2034" spans="4:5" x14ac:dyDescent="0.3">
      <c r="D2034" s="231"/>
      <c r="E2034" s="231"/>
    </row>
    <row r="2035" spans="4:5" x14ac:dyDescent="0.3">
      <c r="D2035" s="231"/>
      <c r="E2035" s="231"/>
    </row>
    <row r="2036" spans="4:5" x14ac:dyDescent="0.3">
      <c r="D2036" s="231"/>
      <c r="E2036" s="231"/>
    </row>
    <row r="2037" spans="4:5" x14ac:dyDescent="0.3">
      <c r="D2037" s="231"/>
      <c r="E2037" s="231"/>
    </row>
    <row r="2038" spans="4:5" x14ac:dyDescent="0.3">
      <c r="D2038" s="231"/>
      <c r="E2038" s="231"/>
    </row>
    <row r="2039" spans="4:5" x14ac:dyDescent="0.3">
      <c r="D2039" s="231"/>
      <c r="E2039" s="231"/>
    </row>
    <row r="2040" spans="4:5" x14ac:dyDescent="0.3">
      <c r="D2040" s="231"/>
      <c r="E2040" s="231"/>
    </row>
    <row r="2041" spans="4:5" x14ac:dyDescent="0.3">
      <c r="D2041" s="231"/>
      <c r="E2041" s="231"/>
    </row>
    <row r="2042" spans="4:5" x14ac:dyDescent="0.3">
      <c r="D2042" s="231"/>
      <c r="E2042" s="231"/>
    </row>
    <row r="2043" spans="4:5" x14ac:dyDescent="0.3">
      <c r="D2043" s="231"/>
      <c r="E2043" s="231"/>
    </row>
    <row r="2044" spans="4:5" x14ac:dyDescent="0.3">
      <c r="D2044" s="231"/>
      <c r="E2044" s="231"/>
    </row>
    <row r="2045" spans="4:5" x14ac:dyDescent="0.3">
      <c r="D2045" s="231"/>
      <c r="E2045" s="231"/>
    </row>
    <row r="2046" spans="4:5" x14ac:dyDescent="0.3">
      <c r="D2046" s="231"/>
      <c r="E2046" s="231"/>
    </row>
    <row r="2047" spans="4:5" x14ac:dyDescent="0.3">
      <c r="D2047" s="231"/>
      <c r="E2047" s="231"/>
    </row>
    <row r="2048" spans="4:5" x14ac:dyDescent="0.3">
      <c r="D2048" s="231"/>
      <c r="E2048" s="231"/>
    </row>
    <row r="2049" spans="4:5" x14ac:dyDescent="0.3">
      <c r="D2049" s="231"/>
      <c r="E2049" s="231"/>
    </row>
    <row r="2050" spans="4:5" x14ac:dyDescent="0.3">
      <c r="D2050" s="231"/>
      <c r="E2050" s="231"/>
    </row>
    <row r="2051" spans="4:5" x14ac:dyDescent="0.3">
      <c r="D2051" s="231"/>
      <c r="E2051" s="231"/>
    </row>
    <row r="2052" spans="4:5" x14ac:dyDescent="0.3">
      <c r="D2052" s="231"/>
      <c r="E2052" s="231"/>
    </row>
    <row r="2053" spans="4:5" x14ac:dyDescent="0.3">
      <c r="D2053" s="231"/>
      <c r="E2053" s="231"/>
    </row>
    <row r="2054" spans="4:5" x14ac:dyDescent="0.3">
      <c r="D2054" s="231"/>
      <c r="E2054" s="231"/>
    </row>
    <row r="2055" spans="4:5" x14ac:dyDescent="0.3">
      <c r="D2055" s="231"/>
      <c r="E2055" s="231"/>
    </row>
    <row r="2056" spans="4:5" x14ac:dyDescent="0.3">
      <c r="D2056" s="231"/>
      <c r="E2056" s="231"/>
    </row>
    <row r="2057" spans="4:5" x14ac:dyDescent="0.3">
      <c r="D2057" s="231"/>
      <c r="E2057" s="231"/>
    </row>
    <row r="2058" spans="4:5" x14ac:dyDescent="0.3">
      <c r="D2058" s="231"/>
      <c r="E2058" s="231"/>
    </row>
    <row r="2059" spans="4:5" x14ac:dyDescent="0.3">
      <c r="D2059" s="231"/>
      <c r="E2059" s="231"/>
    </row>
    <row r="2060" spans="4:5" x14ac:dyDescent="0.3">
      <c r="D2060" s="231"/>
      <c r="E2060" s="231"/>
    </row>
    <row r="2061" spans="4:5" x14ac:dyDescent="0.3">
      <c r="D2061" s="231"/>
      <c r="E2061" s="231"/>
    </row>
    <row r="2062" spans="4:5" x14ac:dyDescent="0.3">
      <c r="D2062" s="231"/>
      <c r="E2062" s="231"/>
    </row>
    <row r="2063" spans="4:5" x14ac:dyDescent="0.3">
      <c r="D2063" s="231"/>
      <c r="E2063" s="231"/>
    </row>
    <row r="2064" spans="4:5" x14ac:dyDescent="0.3">
      <c r="D2064" s="231"/>
      <c r="E2064" s="231"/>
    </row>
    <row r="2065" spans="4:5" x14ac:dyDescent="0.3">
      <c r="D2065" s="231"/>
      <c r="E2065" s="231"/>
    </row>
    <row r="2066" spans="4:5" x14ac:dyDescent="0.3">
      <c r="D2066" s="231"/>
      <c r="E2066" s="231"/>
    </row>
    <row r="2067" spans="4:5" x14ac:dyDescent="0.3">
      <c r="D2067" s="231"/>
      <c r="E2067" s="231"/>
    </row>
    <row r="2068" spans="4:5" x14ac:dyDescent="0.3">
      <c r="D2068" s="231"/>
      <c r="E2068" s="231"/>
    </row>
    <row r="2069" spans="4:5" x14ac:dyDescent="0.3">
      <c r="D2069" s="231"/>
      <c r="E2069" s="231"/>
    </row>
    <row r="2070" spans="4:5" x14ac:dyDescent="0.3">
      <c r="D2070" s="231"/>
      <c r="E2070" s="231"/>
    </row>
    <row r="2071" spans="4:5" x14ac:dyDescent="0.3">
      <c r="D2071" s="231"/>
      <c r="E2071" s="231"/>
    </row>
    <row r="2072" spans="4:5" x14ac:dyDescent="0.3">
      <c r="D2072" s="231"/>
      <c r="E2072" s="231"/>
    </row>
    <row r="2073" spans="4:5" x14ac:dyDescent="0.3">
      <c r="D2073" s="231"/>
      <c r="E2073" s="231"/>
    </row>
    <row r="2074" spans="4:5" x14ac:dyDescent="0.3">
      <c r="D2074" s="231"/>
      <c r="E2074" s="231"/>
    </row>
    <row r="2075" spans="4:5" x14ac:dyDescent="0.3">
      <c r="D2075" s="231"/>
      <c r="E2075" s="231"/>
    </row>
    <row r="2076" spans="4:5" x14ac:dyDescent="0.3">
      <c r="D2076" s="231"/>
      <c r="E2076" s="231"/>
    </row>
    <row r="2077" spans="4:5" x14ac:dyDescent="0.3">
      <c r="D2077" s="231"/>
      <c r="E2077" s="231"/>
    </row>
    <row r="2078" spans="4:5" x14ac:dyDescent="0.3">
      <c r="D2078" s="231"/>
      <c r="E2078" s="231"/>
    </row>
    <row r="2079" spans="4:5" x14ac:dyDescent="0.3">
      <c r="D2079" s="231"/>
      <c r="E2079" s="231"/>
    </row>
    <row r="2080" spans="4:5" x14ac:dyDescent="0.3">
      <c r="D2080" s="231"/>
      <c r="E2080" s="231"/>
    </row>
    <row r="2081" spans="4:5" x14ac:dyDescent="0.3">
      <c r="D2081" s="231"/>
      <c r="E2081" s="231"/>
    </row>
    <row r="2082" spans="4:5" x14ac:dyDescent="0.3">
      <c r="D2082" s="231"/>
      <c r="E2082" s="231"/>
    </row>
    <row r="2083" spans="4:5" x14ac:dyDescent="0.3">
      <c r="D2083" s="231"/>
      <c r="E2083" s="231"/>
    </row>
    <row r="2084" spans="4:5" x14ac:dyDescent="0.3">
      <c r="D2084" s="231"/>
      <c r="E2084" s="231"/>
    </row>
    <row r="2085" spans="4:5" x14ac:dyDescent="0.3">
      <c r="D2085" s="231"/>
      <c r="E2085" s="231"/>
    </row>
    <row r="2086" spans="4:5" x14ac:dyDescent="0.3">
      <c r="D2086" s="231"/>
      <c r="E2086" s="231"/>
    </row>
    <row r="2087" spans="4:5" x14ac:dyDescent="0.3">
      <c r="D2087" s="231"/>
      <c r="E2087" s="231"/>
    </row>
    <row r="2088" spans="4:5" x14ac:dyDescent="0.3">
      <c r="D2088" s="231"/>
      <c r="E2088" s="231"/>
    </row>
    <row r="2089" spans="4:5" x14ac:dyDescent="0.3">
      <c r="D2089" s="231"/>
      <c r="E2089" s="231"/>
    </row>
    <row r="2090" spans="4:5" x14ac:dyDescent="0.3">
      <c r="D2090" s="231"/>
      <c r="E2090" s="231"/>
    </row>
    <row r="2091" spans="4:5" x14ac:dyDescent="0.3">
      <c r="D2091" s="231"/>
      <c r="E2091" s="231"/>
    </row>
    <row r="2092" spans="4:5" x14ac:dyDescent="0.3">
      <c r="D2092" s="231"/>
      <c r="E2092" s="231"/>
    </row>
    <row r="2093" spans="4:5" x14ac:dyDescent="0.3">
      <c r="D2093" s="231"/>
      <c r="E2093" s="231"/>
    </row>
    <row r="2094" spans="4:5" x14ac:dyDescent="0.3">
      <c r="D2094" s="231"/>
      <c r="E2094" s="231"/>
    </row>
    <row r="2095" spans="4:5" x14ac:dyDescent="0.3">
      <c r="D2095" s="231"/>
      <c r="E2095" s="231"/>
    </row>
    <row r="2096" spans="4:5" x14ac:dyDescent="0.3">
      <c r="D2096" s="231"/>
      <c r="E2096" s="231"/>
    </row>
    <row r="2097" spans="4:5" x14ac:dyDescent="0.3">
      <c r="D2097" s="231"/>
      <c r="E2097" s="231"/>
    </row>
    <row r="2098" spans="4:5" x14ac:dyDescent="0.3">
      <c r="D2098" s="231"/>
      <c r="E2098" s="231"/>
    </row>
    <row r="2099" spans="4:5" x14ac:dyDescent="0.3">
      <c r="D2099" s="231"/>
      <c r="E2099" s="231"/>
    </row>
    <row r="2100" spans="4:5" x14ac:dyDescent="0.3">
      <c r="D2100" s="231"/>
      <c r="E2100" s="231"/>
    </row>
    <row r="2101" spans="4:5" x14ac:dyDescent="0.3">
      <c r="D2101" s="231"/>
      <c r="E2101" s="231"/>
    </row>
    <row r="2102" spans="4:5" x14ac:dyDescent="0.3">
      <c r="D2102" s="231"/>
      <c r="E2102" s="231"/>
    </row>
    <row r="2103" spans="4:5" x14ac:dyDescent="0.3">
      <c r="D2103" s="231"/>
      <c r="E2103" s="231"/>
    </row>
    <row r="2104" spans="4:5" x14ac:dyDescent="0.3">
      <c r="D2104" s="231"/>
      <c r="E2104" s="231"/>
    </row>
    <row r="2105" spans="4:5" x14ac:dyDescent="0.3">
      <c r="D2105" s="231"/>
      <c r="E2105" s="231"/>
    </row>
    <row r="2106" spans="4:5" x14ac:dyDescent="0.3">
      <c r="D2106" s="231"/>
      <c r="E2106" s="231"/>
    </row>
    <row r="2107" spans="4:5" x14ac:dyDescent="0.3">
      <c r="D2107" s="231"/>
      <c r="E2107" s="231"/>
    </row>
    <row r="2108" spans="4:5" x14ac:dyDescent="0.3">
      <c r="D2108" s="231"/>
      <c r="E2108" s="231"/>
    </row>
    <row r="2109" spans="4:5" x14ac:dyDescent="0.3">
      <c r="D2109" s="231"/>
      <c r="E2109" s="231"/>
    </row>
    <row r="2110" spans="4:5" x14ac:dyDescent="0.3">
      <c r="D2110" s="231"/>
      <c r="E2110" s="231"/>
    </row>
    <row r="2111" spans="4:5" x14ac:dyDescent="0.3">
      <c r="D2111" s="231"/>
      <c r="E2111" s="231"/>
    </row>
    <row r="2112" spans="4:5" x14ac:dyDescent="0.3">
      <c r="D2112" s="231"/>
      <c r="E2112" s="231"/>
    </row>
    <row r="2113" spans="4:5" x14ac:dyDescent="0.3">
      <c r="D2113" s="231"/>
      <c r="E2113" s="231"/>
    </row>
    <row r="2114" spans="4:5" x14ac:dyDescent="0.3">
      <c r="D2114" s="231"/>
      <c r="E2114" s="231"/>
    </row>
    <row r="2115" spans="4:5" x14ac:dyDescent="0.3">
      <c r="D2115" s="231"/>
      <c r="E2115" s="231"/>
    </row>
    <row r="2116" spans="4:5" x14ac:dyDescent="0.3">
      <c r="D2116" s="231"/>
      <c r="E2116" s="231"/>
    </row>
    <row r="2117" spans="4:5" x14ac:dyDescent="0.3">
      <c r="D2117" s="231"/>
      <c r="E2117" s="231"/>
    </row>
    <row r="2118" spans="4:5" x14ac:dyDescent="0.3">
      <c r="D2118" s="231"/>
      <c r="E2118" s="231"/>
    </row>
    <row r="2119" spans="4:5" x14ac:dyDescent="0.3">
      <c r="D2119" s="231"/>
      <c r="E2119" s="231"/>
    </row>
    <row r="2120" spans="4:5" x14ac:dyDescent="0.3">
      <c r="D2120" s="231"/>
      <c r="E2120" s="231"/>
    </row>
    <row r="2121" spans="4:5" x14ac:dyDescent="0.3">
      <c r="D2121" s="231"/>
      <c r="E2121" s="231"/>
    </row>
    <row r="2122" spans="4:5" x14ac:dyDescent="0.3">
      <c r="D2122" s="231"/>
      <c r="E2122" s="231"/>
    </row>
    <row r="2123" spans="4:5" x14ac:dyDescent="0.3">
      <c r="D2123" s="231"/>
      <c r="E2123" s="231"/>
    </row>
    <row r="2124" spans="4:5" x14ac:dyDescent="0.3">
      <c r="D2124" s="231"/>
      <c r="E2124" s="231"/>
    </row>
    <row r="2125" spans="4:5" x14ac:dyDescent="0.3">
      <c r="D2125" s="231"/>
      <c r="E2125" s="231"/>
    </row>
    <row r="2126" spans="4:5" x14ac:dyDescent="0.3">
      <c r="D2126" s="231"/>
      <c r="E2126" s="231"/>
    </row>
    <row r="2127" spans="4:5" x14ac:dyDescent="0.3">
      <c r="D2127" s="231"/>
      <c r="E2127" s="231"/>
    </row>
    <row r="2128" spans="4:5" x14ac:dyDescent="0.3">
      <c r="D2128" s="231"/>
      <c r="E2128" s="231"/>
    </row>
    <row r="2129" spans="4:5" x14ac:dyDescent="0.3">
      <c r="D2129" s="231"/>
      <c r="E2129" s="231"/>
    </row>
    <row r="2130" spans="4:5" x14ac:dyDescent="0.3">
      <c r="D2130" s="231"/>
      <c r="E2130" s="231"/>
    </row>
    <row r="2131" spans="4:5" x14ac:dyDescent="0.3">
      <c r="D2131" s="231"/>
      <c r="E2131" s="231"/>
    </row>
    <row r="2132" spans="4:5" x14ac:dyDescent="0.3">
      <c r="D2132" s="231"/>
      <c r="E2132" s="231"/>
    </row>
    <row r="2133" spans="4:5" x14ac:dyDescent="0.3">
      <c r="D2133" s="231"/>
      <c r="E2133" s="231"/>
    </row>
    <row r="2134" spans="4:5" x14ac:dyDescent="0.3">
      <c r="D2134" s="231"/>
      <c r="E2134" s="231"/>
    </row>
    <row r="2135" spans="4:5" x14ac:dyDescent="0.3">
      <c r="D2135" s="231"/>
      <c r="E2135" s="231"/>
    </row>
    <row r="2136" spans="4:5" x14ac:dyDescent="0.3">
      <c r="D2136" s="231"/>
      <c r="E2136" s="231"/>
    </row>
    <row r="2137" spans="4:5" x14ac:dyDescent="0.3">
      <c r="D2137" s="231"/>
      <c r="E2137" s="231"/>
    </row>
    <row r="2138" spans="4:5" x14ac:dyDescent="0.3">
      <c r="D2138" s="231"/>
      <c r="E2138" s="231"/>
    </row>
    <row r="2139" spans="4:5" x14ac:dyDescent="0.3">
      <c r="D2139" s="231"/>
      <c r="E2139" s="231"/>
    </row>
    <row r="2140" spans="4:5" x14ac:dyDescent="0.3">
      <c r="D2140" s="231"/>
      <c r="E2140" s="231"/>
    </row>
    <row r="2141" spans="4:5" x14ac:dyDescent="0.3">
      <c r="D2141" s="231"/>
      <c r="E2141" s="231"/>
    </row>
    <row r="2142" spans="4:5" x14ac:dyDescent="0.3">
      <c r="D2142" s="231"/>
      <c r="E2142" s="231"/>
    </row>
    <row r="2143" spans="4:5" x14ac:dyDescent="0.3">
      <c r="D2143" s="231"/>
      <c r="E2143" s="231"/>
    </row>
    <row r="2144" spans="4:5" x14ac:dyDescent="0.3">
      <c r="D2144" s="231"/>
      <c r="E2144" s="231"/>
    </row>
    <row r="2145" spans="4:5" x14ac:dyDescent="0.3">
      <c r="D2145" s="231"/>
      <c r="E2145" s="231"/>
    </row>
    <row r="2146" spans="4:5" x14ac:dyDescent="0.3">
      <c r="D2146" s="231"/>
      <c r="E2146" s="231"/>
    </row>
    <row r="2147" spans="4:5" x14ac:dyDescent="0.3">
      <c r="D2147" s="231"/>
      <c r="E2147" s="231"/>
    </row>
    <row r="2148" spans="4:5" x14ac:dyDescent="0.3">
      <c r="D2148" s="231"/>
      <c r="E2148" s="231"/>
    </row>
    <row r="2149" spans="4:5" x14ac:dyDescent="0.3">
      <c r="D2149" s="231"/>
      <c r="E2149" s="231"/>
    </row>
    <row r="2150" spans="4:5" x14ac:dyDescent="0.3">
      <c r="D2150" s="231"/>
      <c r="E2150" s="231"/>
    </row>
    <row r="2151" spans="4:5" x14ac:dyDescent="0.3">
      <c r="D2151" s="231"/>
      <c r="E2151" s="231"/>
    </row>
    <row r="2152" spans="4:5" x14ac:dyDescent="0.3">
      <c r="D2152" s="231"/>
      <c r="E2152" s="231"/>
    </row>
    <row r="2153" spans="4:5" x14ac:dyDescent="0.3">
      <c r="D2153" s="231"/>
      <c r="E2153" s="231"/>
    </row>
    <row r="2154" spans="4:5" x14ac:dyDescent="0.3">
      <c r="D2154" s="231"/>
      <c r="E2154" s="231"/>
    </row>
    <row r="2155" spans="4:5" x14ac:dyDescent="0.3">
      <c r="D2155" s="231"/>
      <c r="E2155" s="231"/>
    </row>
    <row r="2156" spans="4:5" x14ac:dyDescent="0.3">
      <c r="D2156" s="231"/>
      <c r="E2156" s="231"/>
    </row>
    <row r="2157" spans="4:5" x14ac:dyDescent="0.3">
      <c r="D2157" s="231"/>
      <c r="E2157" s="231"/>
    </row>
    <row r="2158" spans="4:5" x14ac:dyDescent="0.3">
      <c r="D2158" s="231"/>
      <c r="E2158" s="231"/>
    </row>
    <row r="2159" spans="4:5" x14ac:dyDescent="0.3">
      <c r="D2159" s="231"/>
      <c r="E2159" s="231"/>
    </row>
    <row r="2160" spans="4:5" x14ac:dyDescent="0.3">
      <c r="D2160" s="231"/>
      <c r="E2160" s="231"/>
    </row>
    <row r="2161" spans="4:5" x14ac:dyDescent="0.3">
      <c r="D2161" s="231"/>
      <c r="E2161" s="231"/>
    </row>
    <row r="2162" spans="4:5" x14ac:dyDescent="0.3">
      <c r="D2162" s="231"/>
      <c r="E2162" s="231"/>
    </row>
    <row r="2163" spans="4:5" x14ac:dyDescent="0.3">
      <c r="D2163" s="231"/>
      <c r="E2163" s="231"/>
    </row>
    <row r="2164" spans="4:5" x14ac:dyDescent="0.3">
      <c r="D2164" s="231"/>
      <c r="E2164" s="231"/>
    </row>
    <row r="2165" spans="4:5" x14ac:dyDescent="0.3">
      <c r="D2165" s="231"/>
      <c r="E2165" s="231"/>
    </row>
    <row r="2166" spans="4:5" x14ac:dyDescent="0.3">
      <c r="D2166" s="231"/>
      <c r="E2166" s="231"/>
    </row>
    <row r="2167" spans="4:5" x14ac:dyDescent="0.3">
      <c r="D2167" s="231"/>
      <c r="E2167" s="231"/>
    </row>
    <row r="2168" spans="4:5" x14ac:dyDescent="0.3">
      <c r="D2168" s="231"/>
      <c r="E2168" s="231"/>
    </row>
    <row r="2169" spans="4:5" x14ac:dyDescent="0.3">
      <c r="D2169" s="231"/>
      <c r="E2169" s="231"/>
    </row>
    <row r="2170" spans="4:5" x14ac:dyDescent="0.3">
      <c r="D2170" s="231"/>
      <c r="E2170" s="231"/>
    </row>
    <row r="2171" spans="4:5" x14ac:dyDescent="0.3">
      <c r="D2171" s="231"/>
      <c r="E2171" s="231"/>
    </row>
    <row r="2172" spans="4:5" x14ac:dyDescent="0.3">
      <c r="D2172" s="231"/>
      <c r="E2172" s="231"/>
    </row>
    <row r="2173" spans="4:5" x14ac:dyDescent="0.3">
      <c r="D2173" s="231"/>
      <c r="E2173" s="231"/>
    </row>
    <row r="2174" spans="4:5" x14ac:dyDescent="0.3">
      <c r="D2174" s="231"/>
      <c r="E2174" s="231"/>
    </row>
    <row r="2175" spans="4:5" x14ac:dyDescent="0.3">
      <c r="D2175" s="231"/>
      <c r="E2175" s="231"/>
    </row>
    <row r="2176" spans="4:5" x14ac:dyDescent="0.3">
      <c r="D2176" s="231"/>
      <c r="E2176" s="231"/>
    </row>
    <row r="2177" spans="4:5" x14ac:dyDescent="0.3">
      <c r="D2177" s="231"/>
      <c r="E2177" s="231"/>
    </row>
    <row r="2178" spans="4:5" x14ac:dyDescent="0.3">
      <c r="D2178" s="231"/>
      <c r="E2178" s="231"/>
    </row>
    <row r="2179" spans="4:5" x14ac:dyDescent="0.3">
      <c r="D2179" s="231"/>
      <c r="E2179" s="231"/>
    </row>
    <row r="2180" spans="4:5" x14ac:dyDescent="0.3">
      <c r="D2180" s="231"/>
      <c r="E2180" s="231"/>
    </row>
    <row r="2181" spans="4:5" x14ac:dyDescent="0.3">
      <c r="D2181" s="231"/>
      <c r="E2181" s="231"/>
    </row>
    <row r="2182" spans="4:5" x14ac:dyDescent="0.3">
      <c r="D2182" s="231"/>
      <c r="E2182" s="231"/>
    </row>
    <row r="2183" spans="4:5" x14ac:dyDescent="0.3">
      <c r="D2183" s="231"/>
      <c r="E2183" s="231"/>
    </row>
    <row r="2184" spans="4:5" x14ac:dyDescent="0.3">
      <c r="D2184" s="231"/>
      <c r="E2184" s="231"/>
    </row>
    <row r="2185" spans="4:5" x14ac:dyDescent="0.3">
      <c r="D2185" s="231"/>
      <c r="E2185" s="231"/>
    </row>
    <row r="2186" spans="4:5" x14ac:dyDescent="0.3">
      <c r="D2186" s="231"/>
      <c r="E2186" s="231"/>
    </row>
    <row r="2187" spans="4:5" x14ac:dyDescent="0.3">
      <c r="D2187" s="231"/>
      <c r="E2187" s="231"/>
    </row>
    <row r="2188" spans="4:5" x14ac:dyDescent="0.3">
      <c r="D2188" s="231"/>
      <c r="E2188" s="231"/>
    </row>
    <row r="2189" spans="4:5" x14ac:dyDescent="0.3">
      <c r="D2189" s="231"/>
      <c r="E2189" s="231"/>
    </row>
    <row r="2190" spans="4:5" x14ac:dyDescent="0.3">
      <c r="D2190" s="231"/>
      <c r="E2190" s="231"/>
    </row>
    <row r="2191" spans="4:5" x14ac:dyDescent="0.3">
      <c r="D2191" s="231"/>
      <c r="E2191" s="231"/>
    </row>
    <row r="2192" spans="4:5" x14ac:dyDescent="0.3">
      <c r="D2192" s="231"/>
      <c r="E2192" s="231"/>
    </row>
    <row r="2193" spans="4:5" x14ac:dyDescent="0.3">
      <c r="D2193" s="231"/>
      <c r="E2193" s="231"/>
    </row>
    <row r="2194" spans="4:5" x14ac:dyDescent="0.3">
      <c r="D2194" s="231"/>
      <c r="E2194" s="231"/>
    </row>
    <row r="2195" spans="4:5" x14ac:dyDescent="0.3">
      <c r="D2195" s="231"/>
      <c r="E2195" s="231"/>
    </row>
    <row r="2196" spans="4:5" x14ac:dyDescent="0.3">
      <c r="D2196" s="231"/>
      <c r="E2196" s="231"/>
    </row>
    <row r="2197" spans="4:5" x14ac:dyDescent="0.3">
      <c r="D2197" s="231"/>
      <c r="E2197" s="231"/>
    </row>
    <row r="2198" spans="4:5" x14ac:dyDescent="0.3">
      <c r="D2198" s="231"/>
      <c r="E2198" s="231"/>
    </row>
    <row r="2199" spans="4:5" x14ac:dyDescent="0.3">
      <c r="D2199" s="231"/>
      <c r="E2199" s="231"/>
    </row>
    <row r="2200" spans="4:5" x14ac:dyDescent="0.3">
      <c r="D2200" s="231"/>
      <c r="E2200" s="231"/>
    </row>
    <row r="2201" spans="4:5" x14ac:dyDescent="0.3">
      <c r="D2201" s="231"/>
      <c r="E2201" s="231"/>
    </row>
    <row r="2202" spans="4:5" x14ac:dyDescent="0.3">
      <c r="D2202" s="231"/>
      <c r="E2202" s="231"/>
    </row>
    <row r="2203" spans="4:5" x14ac:dyDescent="0.3">
      <c r="D2203" s="231"/>
      <c r="E2203" s="231"/>
    </row>
    <row r="2204" spans="4:5" x14ac:dyDescent="0.3">
      <c r="D2204" s="231"/>
      <c r="E2204" s="231"/>
    </row>
    <row r="2205" spans="4:5" x14ac:dyDescent="0.3">
      <c r="D2205" s="231"/>
      <c r="E2205" s="231"/>
    </row>
    <row r="2206" spans="4:5" x14ac:dyDescent="0.3">
      <c r="D2206" s="231"/>
      <c r="E2206" s="231"/>
    </row>
    <row r="2207" spans="4:5" x14ac:dyDescent="0.3">
      <c r="D2207" s="231"/>
      <c r="E2207" s="231"/>
    </row>
    <row r="2208" spans="4:5" x14ac:dyDescent="0.3">
      <c r="D2208" s="231"/>
      <c r="E2208" s="231"/>
    </row>
    <row r="2209" spans="4:5" x14ac:dyDescent="0.3">
      <c r="D2209" s="231"/>
      <c r="E2209" s="231"/>
    </row>
    <row r="2210" spans="4:5" x14ac:dyDescent="0.3">
      <c r="D2210" s="231"/>
      <c r="E2210" s="231"/>
    </row>
    <row r="2211" spans="4:5" x14ac:dyDescent="0.3">
      <c r="D2211" s="231"/>
      <c r="E2211" s="231"/>
    </row>
    <row r="2212" spans="4:5" x14ac:dyDescent="0.3">
      <c r="D2212" s="231"/>
      <c r="E2212" s="231"/>
    </row>
    <row r="2213" spans="4:5" x14ac:dyDescent="0.3">
      <c r="D2213" s="231"/>
      <c r="E2213" s="231"/>
    </row>
    <row r="2214" spans="4:5" x14ac:dyDescent="0.3">
      <c r="D2214" s="231"/>
      <c r="E2214" s="231"/>
    </row>
    <row r="2215" spans="4:5" x14ac:dyDescent="0.3">
      <c r="D2215" s="231"/>
      <c r="E2215" s="231"/>
    </row>
    <row r="2216" spans="4:5" x14ac:dyDescent="0.3">
      <c r="D2216" s="231"/>
      <c r="E2216" s="231"/>
    </row>
    <row r="2217" spans="4:5" x14ac:dyDescent="0.3">
      <c r="D2217" s="231"/>
      <c r="E2217" s="231"/>
    </row>
    <row r="2218" spans="4:5" x14ac:dyDescent="0.3">
      <c r="D2218" s="231"/>
      <c r="E2218" s="231"/>
    </row>
    <row r="2219" spans="4:5" x14ac:dyDescent="0.3">
      <c r="D2219" s="231"/>
      <c r="E2219" s="231"/>
    </row>
    <row r="2220" spans="4:5" x14ac:dyDescent="0.3">
      <c r="D2220" s="231"/>
      <c r="E2220" s="231"/>
    </row>
    <row r="2221" spans="4:5" x14ac:dyDescent="0.3">
      <c r="D2221" s="231"/>
      <c r="E2221" s="231"/>
    </row>
    <row r="2222" spans="4:5" x14ac:dyDescent="0.3">
      <c r="D2222" s="231"/>
      <c r="E2222" s="231"/>
    </row>
    <row r="2223" spans="4:5" x14ac:dyDescent="0.3">
      <c r="D2223" s="231"/>
      <c r="E2223" s="231"/>
    </row>
    <row r="2224" spans="4:5" x14ac:dyDescent="0.3">
      <c r="D2224" s="231"/>
      <c r="E2224" s="231"/>
    </row>
    <row r="2225" spans="4:5" x14ac:dyDescent="0.3">
      <c r="D2225" s="231"/>
      <c r="E2225" s="231"/>
    </row>
    <row r="2226" spans="4:5" x14ac:dyDescent="0.3">
      <c r="D2226" s="231"/>
      <c r="E2226" s="231"/>
    </row>
    <row r="2227" spans="4:5" x14ac:dyDescent="0.3">
      <c r="D2227" s="231"/>
      <c r="E2227" s="231"/>
    </row>
    <row r="2228" spans="4:5" x14ac:dyDescent="0.3">
      <c r="D2228" s="231"/>
      <c r="E2228" s="231"/>
    </row>
    <row r="2229" spans="4:5" x14ac:dyDescent="0.3">
      <c r="D2229" s="231"/>
      <c r="E2229" s="231"/>
    </row>
    <row r="2230" spans="4:5" x14ac:dyDescent="0.3">
      <c r="D2230" s="231"/>
      <c r="E2230" s="231"/>
    </row>
    <row r="2231" spans="4:5" x14ac:dyDescent="0.3">
      <c r="D2231" s="231"/>
      <c r="E2231" s="231"/>
    </row>
    <row r="2232" spans="4:5" x14ac:dyDescent="0.3">
      <c r="D2232" s="231"/>
      <c r="E2232" s="231"/>
    </row>
    <row r="2233" spans="4:5" x14ac:dyDescent="0.3">
      <c r="D2233" s="231"/>
      <c r="E2233" s="231"/>
    </row>
    <row r="2234" spans="4:5" x14ac:dyDescent="0.3">
      <c r="D2234" s="231"/>
      <c r="E2234" s="231"/>
    </row>
    <row r="2235" spans="4:5" x14ac:dyDescent="0.3">
      <c r="D2235" s="231"/>
      <c r="E2235" s="231"/>
    </row>
    <row r="2236" spans="4:5" x14ac:dyDescent="0.3">
      <c r="D2236" s="231"/>
      <c r="E2236" s="231"/>
    </row>
    <row r="2237" spans="4:5" x14ac:dyDescent="0.3">
      <c r="D2237" s="231"/>
      <c r="E2237" s="231"/>
    </row>
    <row r="2238" spans="4:5" x14ac:dyDescent="0.3">
      <c r="D2238" s="231"/>
      <c r="E2238" s="231"/>
    </row>
    <row r="2239" spans="4:5" x14ac:dyDescent="0.3">
      <c r="D2239" s="231"/>
      <c r="E2239" s="231"/>
    </row>
    <row r="2240" spans="4:5" x14ac:dyDescent="0.3">
      <c r="D2240" s="231"/>
      <c r="E2240" s="231"/>
    </row>
    <row r="2241" spans="4:5" x14ac:dyDescent="0.3">
      <c r="D2241" s="231"/>
      <c r="E2241" s="231"/>
    </row>
    <row r="2242" spans="4:5" x14ac:dyDescent="0.3">
      <c r="D2242" s="231"/>
      <c r="E2242" s="231"/>
    </row>
    <row r="2243" spans="4:5" x14ac:dyDescent="0.3">
      <c r="D2243" s="231"/>
      <c r="E2243" s="231"/>
    </row>
    <row r="2244" spans="4:5" x14ac:dyDescent="0.3">
      <c r="D2244" s="231"/>
      <c r="E2244" s="231"/>
    </row>
    <row r="2245" spans="4:5" x14ac:dyDescent="0.3">
      <c r="D2245" s="231"/>
      <c r="E2245" s="231"/>
    </row>
    <row r="2246" spans="4:5" x14ac:dyDescent="0.3">
      <c r="D2246" s="231"/>
      <c r="E2246" s="231"/>
    </row>
    <row r="2247" spans="4:5" x14ac:dyDescent="0.3">
      <c r="D2247" s="231"/>
      <c r="E2247" s="231"/>
    </row>
    <row r="2248" spans="4:5" x14ac:dyDescent="0.3">
      <c r="D2248" s="231"/>
      <c r="E2248" s="231"/>
    </row>
    <row r="2249" spans="4:5" x14ac:dyDescent="0.3">
      <c r="D2249" s="231"/>
      <c r="E2249" s="231"/>
    </row>
    <row r="2250" spans="4:5" x14ac:dyDescent="0.3">
      <c r="D2250" s="231"/>
      <c r="E2250" s="231"/>
    </row>
    <row r="2251" spans="4:5" x14ac:dyDescent="0.3">
      <c r="D2251" s="231"/>
      <c r="E2251" s="231"/>
    </row>
    <row r="2252" spans="4:5" x14ac:dyDescent="0.3">
      <c r="D2252" s="231"/>
      <c r="E2252" s="231"/>
    </row>
    <row r="2253" spans="4:5" x14ac:dyDescent="0.3">
      <c r="D2253" s="231"/>
      <c r="E2253" s="231"/>
    </row>
    <row r="2254" spans="4:5" x14ac:dyDescent="0.3">
      <c r="D2254" s="231"/>
      <c r="E2254" s="231"/>
    </row>
    <row r="2255" spans="4:5" x14ac:dyDescent="0.3">
      <c r="D2255" s="231"/>
      <c r="E2255" s="231"/>
    </row>
    <row r="2256" spans="4:5" x14ac:dyDescent="0.3">
      <c r="D2256" s="231"/>
      <c r="E2256" s="231"/>
    </row>
    <row r="2257" spans="4:5" x14ac:dyDescent="0.3">
      <c r="D2257" s="231"/>
      <c r="E2257" s="231"/>
    </row>
    <row r="2258" spans="4:5" x14ac:dyDescent="0.3">
      <c r="D2258" s="231"/>
      <c r="E2258" s="231"/>
    </row>
    <row r="2259" spans="4:5" x14ac:dyDescent="0.3">
      <c r="D2259" s="231"/>
      <c r="E2259" s="231"/>
    </row>
    <row r="2260" spans="4:5" x14ac:dyDescent="0.3">
      <c r="D2260" s="231"/>
      <c r="E2260" s="231"/>
    </row>
    <row r="2261" spans="4:5" x14ac:dyDescent="0.3">
      <c r="D2261" s="231"/>
      <c r="E2261" s="231"/>
    </row>
    <row r="2262" spans="4:5" x14ac:dyDescent="0.3">
      <c r="D2262" s="231"/>
      <c r="E2262" s="231"/>
    </row>
    <row r="2263" spans="4:5" x14ac:dyDescent="0.3">
      <c r="D2263" s="231"/>
      <c r="E2263" s="231"/>
    </row>
    <row r="2264" spans="4:5" x14ac:dyDescent="0.3">
      <c r="D2264" s="231"/>
      <c r="E2264" s="231"/>
    </row>
    <row r="2265" spans="4:5" x14ac:dyDescent="0.3">
      <c r="D2265" s="231"/>
      <c r="E2265" s="231"/>
    </row>
    <row r="2266" spans="4:5" x14ac:dyDescent="0.3">
      <c r="D2266" s="231"/>
      <c r="E2266" s="231"/>
    </row>
    <row r="2267" spans="4:5" x14ac:dyDescent="0.3">
      <c r="D2267" s="231"/>
      <c r="E2267" s="231"/>
    </row>
    <row r="2268" spans="4:5" x14ac:dyDescent="0.3">
      <c r="D2268" s="231"/>
      <c r="E2268" s="231"/>
    </row>
    <row r="2269" spans="4:5" x14ac:dyDescent="0.3">
      <c r="D2269" s="231"/>
      <c r="E2269" s="231"/>
    </row>
    <row r="2270" spans="4:5" x14ac:dyDescent="0.3">
      <c r="D2270" s="231"/>
      <c r="E2270" s="231"/>
    </row>
    <row r="2271" spans="4:5" x14ac:dyDescent="0.3">
      <c r="D2271" s="231"/>
      <c r="E2271" s="231"/>
    </row>
    <row r="2272" spans="4:5" x14ac:dyDescent="0.3">
      <c r="D2272" s="231"/>
      <c r="E2272" s="231"/>
    </row>
    <row r="2273" spans="4:5" x14ac:dyDescent="0.3">
      <c r="D2273" s="231"/>
      <c r="E2273" s="231"/>
    </row>
    <row r="2274" spans="4:5" x14ac:dyDescent="0.3">
      <c r="D2274" s="231"/>
      <c r="E2274" s="231"/>
    </row>
    <row r="2275" spans="4:5" x14ac:dyDescent="0.3">
      <c r="D2275" s="231"/>
      <c r="E2275" s="231"/>
    </row>
    <row r="2276" spans="4:5" x14ac:dyDescent="0.3">
      <c r="D2276" s="231"/>
      <c r="E2276" s="231"/>
    </row>
    <row r="2277" spans="4:5" x14ac:dyDescent="0.3">
      <c r="D2277" s="231"/>
      <c r="E2277" s="231"/>
    </row>
    <row r="2278" spans="4:5" x14ac:dyDescent="0.3">
      <c r="D2278" s="231"/>
      <c r="E2278" s="231"/>
    </row>
    <row r="2279" spans="4:5" x14ac:dyDescent="0.3">
      <c r="D2279" s="231"/>
      <c r="E2279" s="231"/>
    </row>
    <row r="2280" spans="4:5" x14ac:dyDescent="0.3">
      <c r="D2280" s="231"/>
      <c r="E2280" s="231"/>
    </row>
    <row r="2281" spans="4:5" x14ac:dyDescent="0.3">
      <c r="D2281" s="231"/>
      <c r="E2281" s="231"/>
    </row>
    <row r="2282" spans="4:5" x14ac:dyDescent="0.3">
      <c r="D2282" s="231"/>
      <c r="E2282" s="231"/>
    </row>
    <row r="2283" spans="4:5" x14ac:dyDescent="0.3">
      <c r="D2283" s="231"/>
      <c r="E2283" s="231"/>
    </row>
    <row r="2284" spans="4:5" x14ac:dyDescent="0.3">
      <c r="D2284" s="231"/>
      <c r="E2284" s="231"/>
    </row>
    <row r="2285" spans="4:5" x14ac:dyDescent="0.3">
      <c r="D2285" s="231"/>
      <c r="E2285" s="231"/>
    </row>
    <row r="2286" spans="4:5" x14ac:dyDescent="0.3">
      <c r="D2286" s="231"/>
      <c r="E2286" s="231"/>
    </row>
    <row r="2287" spans="4:5" x14ac:dyDescent="0.3">
      <c r="D2287" s="231"/>
      <c r="E2287" s="231"/>
    </row>
    <row r="2288" spans="4:5" x14ac:dyDescent="0.3">
      <c r="D2288" s="231"/>
      <c r="E2288" s="231"/>
    </row>
    <row r="2289" spans="4:5" x14ac:dyDescent="0.3">
      <c r="D2289" s="231"/>
      <c r="E2289" s="231"/>
    </row>
    <row r="2290" spans="4:5" x14ac:dyDescent="0.3">
      <c r="D2290" s="231"/>
      <c r="E2290" s="231"/>
    </row>
    <row r="2291" spans="4:5" x14ac:dyDescent="0.3">
      <c r="D2291" s="231"/>
      <c r="E2291" s="231"/>
    </row>
    <row r="2292" spans="4:5" x14ac:dyDescent="0.3">
      <c r="D2292" s="231"/>
      <c r="E2292" s="231"/>
    </row>
    <row r="2293" spans="4:5" x14ac:dyDescent="0.3">
      <c r="D2293" s="231"/>
      <c r="E2293" s="231"/>
    </row>
    <row r="2294" spans="4:5" x14ac:dyDescent="0.3">
      <c r="D2294" s="231"/>
      <c r="E2294" s="231"/>
    </row>
    <row r="2295" spans="4:5" x14ac:dyDescent="0.3">
      <c r="D2295" s="231"/>
      <c r="E2295" s="231"/>
    </row>
    <row r="2296" spans="4:5" x14ac:dyDescent="0.3">
      <c r="D2296" s="231"/>
      <c r="E2296" s="231"/>
    </row>
    <row r="2297" spans="4:5" x14ac:dyDescent="0.3">
      <c r="D2297" s="231"/>
      <c r="E2297" s="231"/>
    </row>
    <row r="2298" spans="4:5" x14ac:dyDescent="0.3">
      <c r="D2298" s="231"/>
      <c r="E2298" s="231"/>
    </row>
    <row r="2299" spans="4:5" x14ac:dyDescent="0.3">
      <c r="D2299" s="231"/>
      <c r="E2299" s="231"/>
    </row>
    <row r="2300" spans="4:5" x14ac:dyDescent="0.3">
      <c r="D2300" s="231"/>
      <c r="E2300" s="231"/>
    </row>
    <row r="2301" spans="4:5" x14ac:dyDescent="0.3">
      <c r="D2301" s="231"/>
      <c r="E2301" s="231"/>
    </row>
    <row r="2302" spans="4:5" x14ac:dyDescent="0.3">
      <c r="D2302" s="231"/>
      <c r="E2302" s="231"/>
    </row>
    <row r="2303" spans="4:5" x14ac:dyDescent="0.3">
      <c r="D2303" s="231"/>
      <c r="E2303" s="231"/>
    </row>
    <row r="2304" spans="4:5" x14ac:dyDescent="0.3">
      <c r="D2304" s="231"/>
      <c r="E2304" s="231"/>
    </row>
    <row r="2305" spans="4:5" x14ac:dyDescent="0.3">
      <c r="D2305" s="231"/>
      <c r="E2305" s="231"/>
    </row>
    <row r="2306" spans="4:5" x14ac:dyDescent="0.3">
      <c r="D2306" s="231"/>
      <c r="E2306" s="231"/>
    </row>
    <row r="2307" spans="4:5" x14ac:dyDescent="0.3">
      <c r="D2307" s="231"/>
      <c r="E2307" s="231"/>
    </row>
    <row r="2308" spans="4:5" x14ac:dyDescent="0.3">
      <c r="D2308" s="231"/>
      <c r="E2308" s="231"/>
    </row>
    <row r="2309" spans="4:5" x14ac:dyDescent="0.3">
      <c r="D2309" s="231"/>
      <c r="E2309" s="231"/>
    </row>
    <row r="2310" spans="4:5" x14ac:dyDescent="0.3">
      <c r="D2310" s="231"/>
      <c r="E2310" s="231"/>
    </row>
    <row r="2311" spans="4:5" x14ac:dyDescent="0.3">
      <c r="D2311" s="231"/>
      <c r="E2311" s="231"/>
    </row>
    <row r="2312" spans="4:5" x14ac:dyDescent="0.3">
      <c r="D2312" s="231"/>
      <c r="E2312" s="231"/>
    </row>
    <row r="2313" spans="4:5" x14ac:dyDescent="0.3">
      <c r="D2313" s="231"/>
      <c r="E2313" s="231"/>
    </row>
    <row r="2314" spans="4:5" x14ac:dyDescent="0.3">
      <c r="D2314" s="231"/>
      <c r="E2314" s="231"/>
    </row>
    <row r="2315" spans="4:5" x14ac:dyDescent="0.3">
      <c r="D2315" s="231"/>
      <c r="E2315" s="231"/>
    </row>
    <row r="2316" spans="4:5" x14ac:dyDescent="0.3">
      <c r="D2316" s="231"/>
      <c r="E2316" s="231"/>
    </row>
    <row r="2317" spans="4:5" x14ac:dyDescent="0.3">
      <c r="D2317" s="231"/>
      <c r="E2317" s="231"/>
    </row>
    <row r="2318" spans="4:5" x14ac:dyDescent="0.3">
      <c r="D2318" s="231"/>
      <c r="E2318" s="231"/>
    </row>
    <row r="2319" spans="4:5" x14ac:dyDescent="0.3">
      <c r="D2319" s="231"/>
      <c r="E2319" s="231"/>
    </row>
    <row r="2320" spans="4:5" x14ac:dyDescent="0.3">
      <c r="D2320" s="231"/>
      <c r="E2320" s="231"/>
    </row>
    <row r="2321" spans="4:5" x14ac:dyDescent="0.3">
      <c r="D2321" s="231"/>
      <c r="E2321" s="231"/>
    </row>
    <row r="2322" spans="4:5" x14ac:dyDescent="0.3">
      <c r="D2322" s="231"/>
      <c r="E2322" s="231"/>
    </row>
    <row r="2323" spans="4:5" x14ac:dyDescent="0.3">
      <c r="D2323" s="231"/>
      <c r="E2323" s="231"/>
    </row>
    <row r="2324" spans="4:5" x14ac:dyDescent="0.3">
      <c r="D2324" s="231"/>
      <c r="E2324" s="231"/>
    </row>
    <row r="2325" spans="4:5" x14ac:dyDescent="0.3">
      <c r="D2325" s="231"/>
      <c r="E2325" s="231"/>
    </row>
    <row r="2326" spans="4:5" x14ac:dyDescent="0.3">
      <c r="D2326" s="231"/>
      <c r="E2326" s="231"/>
    </row>
    <row r="2327" spans="4:5" x14ac:dyDescent="0.3">
      <c r="D2327" s="231"/>
      <c r="E2327" s="231"/>
    </row>
    <row r="2328" spans="4:5" x14ac:dyDescent="0.3">
      <c r="D2328" s="231"/>
      <c r="E2328" s="231"/>
    </row>
    <row r="2329" spans="4:5" x14ac:dyDescent="0.3">
      <c r="D2329" s="231"/>
      <c r="E2329" s="231"/>
    </row>
    <row r="2330" spans="4:5" x14ac:dyDescent="0.3">
      <c r="D2330" s="231"/>
      <c r="E2330" s="231"/>
    </row>
    <row r="2331" spans="4:5" x14ac:dyDescent="0.3">
      <c r="D2331" s="231"/>
      <c r="E2331" s="231"/>
    </row>
    <row r="2332" spans="4:5" x14ac:dyDescent="0.3">
      <c r="D2332" s="231"/>
      <c r="E2332" s="231"/>
    </row>
    <row r="2333" spans="4:5" x14ac:dyDescent="0.3">
      <c r="D2333" s="231"/>
      <c r="E2333" s="231"/>
    </row>
    <row r="2334" spans="4:5" x14ac:dyDescent="0.3">
      <c r="D2334" s="231"/>
      <c r="E2334" s="231"/>
    </row>
    <row r="2335" spans="4:5" x14ac:dyDescent="0.3">
      <c r="D2335" s="231"/>
      <c r="E2335" s="231"/>
    </row>
    <row r="2336" spans="4:5" x14ac:dyDescent="0.3">
      <c r="D2336" s="231"/>
      <c r="E2336" s="231"/>
    </row>
    <row r="2337" spans="4:5" x14ac:dyDescent="0.3">
      <c r="D2337" s="231"/>
      <c r="E2337" s="231"/>
    </row>
    <row r="2338" spans="4:5" x14ac:dyDescent="0.3">
      <c r="D2338" s="231"/>
      <c r="E2338" s="231"/>
    </row>
    <row r="2339" spans="4:5" x14ac:dyDescent="0.3">
      <c r="D2339" s="231"/>
      <c r="E2339" s="231"/>
    </row>
    <row r="2340" spans="4:5" x14ac:dyDescent="0.3">
      <c r="D2340" s="231"/>
      <c r="E2340" s="231"/>
    </row>
    <row r="2341" spans="4:5" x14ac:dyDescent="0.3">
      <c r="D2341" s="231"/>
      <c r="E2341" s="231"/>
    </row>
    <row r="2342" spans="4:5" x14ac:dyDescent="0.3">
      <c r="D2342" s="231"/>
      <c r="E2342" s="231"/>
    </row>
    <row r="2343" spans="4:5" x14ac:dyDescent="0.3">
      <c r="D2343" s="231"/>
      <c r="E2343" s="231"/>
    </row>
    <row r="2344" spans="4:5" x14ac:dyDescent="0.3">
      <c r="D2344" s="231"/>
      <c r="E2344" s="231"/>
    </row>
    <row r="2345" spans="4:5" x14ac:dyDescent="0.3">
      <c r="D2345" s="231"/>
      <c r="E2345" s="231"/>
    </row>
    <row r="2346" spans="4:5" x14ac:dyDescent="0.3">
      <c r="D2346" s="231"/>
      <c r="E2346" s="231"/>
    </row>
    <row r="2347" spans="4:5" x14ac:dyDescent="0.3">
      <c r="D2347" s="231"/>
      <c r="E2347" s="231"/>
    </row>
    <row r="2348" spans="4:5" x14ac:dyDescent="0.3">
      <c r="D2348" s="231"/>
      <c r="E2348" s="231"/>
    </row>
    <row r="2349" spans="4:5" x14ac:dyDescent="0.3">
      <c r="D2349" s="231"/>
      <c r="E2349" s="231"/>
    </row>
    <row r="2350" spans="4:5" x14ac:dyDescent="0.3">
      <c r="D2350" s="231"/>
      <c r="E2350" s="231"/>
    </row>
    <row r="2351" spans="4:5" x14ac:dyDescent="0.3">
      <c r="D2351" s="231"/>
      <c r="E2351" s="231"/>
    </row>
    <row r="2352" spans="4:5" x14ac:dyDescent="0.3">
      <c r="D2352" s="231"/>
      <c r="E2352" s="231"/>
    </row>
    <row r="2353" spans="4:5" x14ac:dyDescent="0.3">
      <c r="D2353" s="231"/>
      <c r="E2353" s="231"/>
    </row>
    <row r="2354" spans="4:5" x14ac:dyDescent="0.3">
      <c r="D2354" s="231"/>
      <c r="E2354" s="231"/>
    </row>
    <row r="2355" spans="4:5" x14ac:dyDescent="0.3">
      <c r="D2355" s="231"/>
      <c r="E2355" s="231"/>
    </row>
    <row r="2356" spans="4:5" x14ac:dyDescent="0.3">
      <c r="D2356" s="231"/>
      <c r="E2356" s="231"/>
    </row>
    <row r="2357" spans="4:5" x14ac:dyDescent="0.3">
      <c r="D2357" s="231"/>
      <c r="E2357" s="231"/>
    </row>
    <row r="2358" spans="4:5" x14ac:dyDescent="0.3">
      <c r="D2358" s="231"/>
      <c r="E2358" s="231"/>
    </row>
    <row r="2359" spans="4:5" x14ac:dyDescent="0.3">
      <c r="D2359" s="231"/>
      <c r="E2359" s="231"/>
    </row>
    <row r="2360" spans="4:5" x14ac:dyDescent="0.3">
      <c r="D2360" s="231"/>
      <c r="E2360" s="231"/>
    </row>
    <row r="2361" spans="4:5" x14ac:dyDescent="0.3">
      <c r="D2361" s="231"/>
      <c r="E2361" s="231"/>
    </row>
    <row r="2362" spans="4:5" x14ac:dyDescent="0.3">
      <c r="D2362" s="231"/>
      <c r="E2362" s="231"/>
    </row>
    <row r="2363" spans="4:5" x14ac:dyDescent="0.3">
      <c r="D2363" s="231"/>
      <c r="E2363" s="231"/>
    </row>
    <row r="2364" spans="4:5" x14ac:dyDescent="0.3">
      <c r="D2364" s="231"/>
      <c r="E2364" s="231"/>
    </row>
    <row r="2365" spans="4:5" x14ac:dyDescent="0.3">
      <c r="D2365" s="231"/>
      <c r="E2365" s="231"/>
    </row>
    <row r="2366" spans="4:5" x14ac:dyDescent="0.3">
      <c r="D2366" s="231"/>
      <c r="E2366" s="231"/>
    </row>
    <row r="2367" spans="4:5" x14ac:dyDescent="0.3">
      <c r="D2367" s="231"/>
      <c r="E2367" s="231"/>
    </row>
    <row r="2368" spans="4:5" x14ac:dyDescent="0.3">
      <c r="D2368" s="231"/>
      <c r="E2368" s="231"/>
    </row>
    <row r="2369" spans="4:5" x14ac:dyDescent="0.3">
      <c r="D2369" s="231"/>
      <c r="E2369" s="231"/>
    </row>
    <row r="2370" spans="4:5" x14ac:dyDescent="0.3">
      <c r="D2370" s="231"/>
      <c r="E2370" s="231"/>
    </row>
    <row r="2371" spans="4:5" x14ac:dyDescent="0.3">
      <c r="D2371" s="231"/>
      <c r="E2371" s="231"/>
    </row>
    <row r="2372" spans="4:5" x14ac:dyDescent="0.3">
      <c r="D2372" s="231"/>
      <c r="E2372" s="231"/>
    </row>
    <row r="2373" spans="4:5" x14ac:dyDescent="0.3">
      <c r="D2373" s="231"/>
      <c r="E2373" s="231"/>
    </row>
    <row r="2374" spans="4:5" x14ac:dyDescent="0.3">
      <c r="D2374" s="231"/>
      <c r="E2374" s="231"/>
    </row>
    <row r="2375" spans="4:5" x14ac:dyDescent="0.3">
      <c r="D2375" s="231"/>
      <c r="E2375" s="231"/>
    </row>
    <row r="2376" spans="4:5" x14ac:dyDescent="0.3">
      <c r="D2376" s="231"/>
      <c r="E2376" s="231"/>
    </row>
    <row r="2377" spans="4:5" x14ac:dyDescent="0.3">
      <c r="D2377" s="231"/>
      <c r="E2377" s="231"/>
    </row>
    <row r="2378" spans="4:5" x14ac:dyDescent="0.3">
      <c r="D2378" s="231"/>
      <c r="E2378" s="231"/>
    </row>
    <row r="2379" spans="4:5" x14ac:dyDescent="0.3">
      <c r="D2379" s="231"/>
      <c r="E2379" s="231"/>
    </row>
    <row r="2380" spans="4:5" x14ac:dyDescent="0.3">
      <c r="D2380" s="231"/>
      <c r="E2380" s="231"/>
    </row>
    <row r="2381" spans="4:5" x14ac:dyDescent="0.3">
      <c r="D2381" s="231"/>
      <c r="E2381" s="231"/>
    </row>
    <row r="2382" spans="4:5" x14ac:dyDescent="0.3">
      <c r="D2382" s="231"/>
      <c r="E2382" s="231"/>
    </row>
    <row r="2383" spans="4:5" x14ac:dyDescent="0.3">
      <c r="D2383" s="231"/>
      <c r="E2383" s="231"/>
    </row>
    <row r="2384" spans="4:5" x14ac:dyDescent="0.3">
      <c r="D2384" s="231"/>
      <c r="E2384" s="231"/>
    </row>
    <row r="2385" spans="4:5" x14ac:dyDescent="0.3">
      <c r="D2385" s="231"/>
      <c r="E2385" s="231"/>
    </row>
    <row r="2386" spans="4:5" x14ac:dyDescent="0.3">
      <c r="D2386" s="231"/>
      <c r="E2386" s="231"/>
    </row>
    <row r="2387" spans="4:5" x14ac:dyDescent="0.3">
      <c r="D2387" s="231"/>
      <c r="E2387" s="231"/>
    </row>
    <row r="2388" spans="4:5" x14ac:dyDescent="0.3">
      <c r="D2388" s="231"/>
      <c r="E2388" s="231"/>
    </row>
    <row r="2389" spans="4:5" x14ac:dyDescent="0.3">
      <c r="D2389" s="231"/>
      <c r="E2389" s="231"/>
    </row>
    <row r="2390" spans="4:5" x14ac:dyDescent="0.3">
      <c r="D2390" s="231"/>
      <c r="E2390" s="231"/>
    </row>
    <row r="2391" spans="4:5" x14ac:dyDescent="0.3">
      <c r="D2391" s="231"/>
      <c r="E2391" s="231"/>
    </row>
    <row r="2392" spans="4:5" x14ac:dyDescent="0.3">
      <c r="D2392" s="231"/>
      <c r="E2392" s="231"/>
    </row>
    <row r="2393" spans="4:5" x14ac:dyDescent="0.3">
      <c r="D2393" s="231"/>
      <c r="E2393" s="231"/>
    </row>
    <row r="2394" spans="4:5" x14ac:dyDescent="0.3">
      <c r="D2394" s="231"/>
      <c r="E2394" s="231"/>
    </row>
    <row r="2395" spans="4:5" x14ac:dyDescent="0.3">
      <c r="D2395" s="231"/>
      <c r="E2395" s="231"/>
    </row>
    <row r="2396" spans="4:5" x14ac:dyDescent="0.3">
      <c r="D2396" s="231"/>
      <c r="E2396" s="231"/>
    </row>
    <row r="2397" spans="4:5" x14ac:dyDescent="0.3">
      <c r="D2397" s="231"/>
      <c r="E2397" s="231"/>
    </row>
    <row r="2398" spans="4:5" x14ac:dyDescent="0.3">
      <c r="D2398" s="231"/>
      <c r="E2398" s="231"/>
    </row>
    <row r="2399" spans="4:5" x14ac:dyDescent="0.3">
      <c r="D2399" s="231"/>
      <c r="E2399" s="231"/>
    </row>
    <row r="2400" spans="4:5" x14ac:dyDescent="0.3">
      <c r="D2400" s="231"/>
      <c r="E2400" s="231"/>
    </row>
    <row r="2401" spans="4:5" x14ac:dyDescent="0.3">
      <c r="D2401" s="231"/>
      <c r="E2401" s="231"/>
    </row>
    <row r="2402" spans="4:5" x14ac:dyDescent="0.3">
      <c r="D2402" s="231"/>
      <c r="E2402" s="231"/>
    </row>
    <row r="2403" spans="4:5" x14ac:dyDescent="0.3">
      <c r="D2403" s="231"/>
      <c r="E2403" s="231"/>
    </row>
    <row r="2404" spans="4:5" x14ac:dyDescent="0.3">
      <c r="D2404" s="231"/>
      <c r="E2404" s="231"/>
    </row>
    <row r="2405" spans="4:5" x14ac:dyDescent="0.3">
      <c r="D2405" s="231"/>
      <c r="E2405" s="231"/>
    </row>
    <row r="2406" spans="4:5" x14ac:dyDescent="0.3">
      <c r="D2406" s="231"/>
      <c r="E2406" s="231"/>
    </row>
    <row r="2407" spans="4:5" x14ac:dyDescent="0.3">
      <c r="D2407" s="231"/>
      <c r="E2407" s="231"/>
    </row>
    <row r="2408" spans="4:5" x14ac:dyDescent="0.3">
      <c r="D2408" s="231"/>
      <c r="E2408" s="231"/>
    </row>
    <row r="2409" spans="4:5" x14ac:dyDescent="0.3">
      <c r="D2409" s="231"/>
      <c r="E2409" s="231"/>
    </row>
    <row r="2410" spans="4:5" x14ac:dyDescent="0.3">
      <c r="D2410" s="231"/>
      <c r="E2410" s="231"/>
    </row>
    <row r="2411" spans="4:5" x14ac:dyDescent="0.3">
      <c r="D2411" s="231"/>
      <c r="E2411" s="231"/>
    </row>
    <row r="2412" spans="4:5" x14ac:dyDescent="0.3">
      <c r="D2412" s="231"/>
      <c r="E2412" s="231"/>
    </row>
    <row r="2413" spans="4:5" x14ac:dyDescent="0.3">
      <c r="D2413" s="231"/>
      <c r="E2413" s="231"/>
    </row>
    <row r="2414" spans="4:5" x14ac:dyDescent="0.3">
      <c r="D2414" s="231"/>
      <c r="E2414" s="231"/>
    </row>
    <row r="2415" spans="4:5" x14ac:dyDescent="0.3">
      <c r="D2415" s="231"/>
      <c r="E2415" s="231"/>
    </row>
    <row r="2416" spans="4:5" x14ac:dyDescent="0.3">
      <c r="D2416" s="231"/>
      <c r="E2416" s="231"/>
    </row>
    <row r="2417" spans="4:5" x14ac:dyDescent="0.3">
      <c r="D2417" s="231"/>
      <c r="E2417" s="231"/>
    </row>
    <row r="2418" spans="4:5" x14ac:dyDescent="0.3">
      <c r="D2418" s="231"/>
      <c r="E2418" s="231"/>
    </row>
    <row r="2419" spans="4:5" x14ac:dyDescent="0.3">
      <c r="D2419" s="231"/>
      <c r="E2419" s="231"/>
    </row>
    <row r="2420" spans="4:5" x14ac:dyDescent="0.3">
      <c r="D2420" s="231"/>
      <c r="E2420" s="231"/>
    </row>
    <row r="2421" spans="4:5" x14ac:dyDescent="0.3">
      <c r="D2421" s="231"/>
      <c r="E2421" s="231"/>
    </row>
    <row r="2422" spans="4:5" x14ac:dyDescent="0.3">
      <c r="D2422" s="231"/>
      <c r="E2422" s="231"/>
    </row>
    <row r="2423" spans="4:5" x14ac:dyDescent="0.3">
      <c r="D2423" s="231"/>
      <c r="E2423" s="231"/>
    </row>
    <row r="2424" spans="4:5" x14ac:dyDescent="0.3">
      <c r="D2424" s="231"/>
      <c r="E2424" s="231"/>
    </row>
    <row r="2425" spans="4:5" x14ac:dyDescent="0.3">
      <c r="D2425" s="231"/>
      <c r="E2425" s="231"/>
    </row>
    <row r="2426" spans="4:5" x14ac:dyDescent="0.3">
      <c r="D2426" s="231"/>
      <c r="E2426" s="231"/>
    </row>
    <row r="2427" spans="4:5" x14ac:dyDescent="0.3">
      <c r="D2427" s="231"/>
      <c r="E2427" s="231"/>
    </row>
    <row r="2428" spans="4:5" x14ac:dyDescent="0.3">
      <c r="D2428" s="231"/>
      <c r="E2428" s="231"/>
    </row>
    <row r="2429" spans="4:5" x14ac:dyDescent="0.3">
      <c r="D2429" s="231"/>
      <c r="E2429" s="231"/>
    </row>
    <row r="2430" spans="4:5" x14ac:dyDescent="0.3">
      <c r="D2430" s="231"/>
      <c r="E2430" s="231"/>
    </row>
    <row r="2431" spans="4:5" x14ac:dyDescent="0.3">
      <c r="D2431" s="231"/>
      <c r="E2431" s="231"/>
    </row>
    <row r="2432" spans="4:5" x14ac:dyDescent="0.3">
      <c r="D2432" s="231"/>
      <c r="E2432" s="231"/>
    </row>
    <row r="2433" spans="4:5" x14ac:dyDescent="0.3">
      <c r="D2433" s="231"/>
      <c r="E2433" s="231"/>
    </row>
    <row r="2434" spans="4:5" x14ac:dyDescent="0.3">
      <c r="D2434" s="231"/>
      <c r="E2434" s="231"/>
    </row>
    <row r="2435" spans="4:5" x14ac:dyDescent="0.3">
      <c r="D2435" s="231"/>
      <c r="E2435" s="231"/>
    </row>
    <row r="2436" spans="4:5" x14ac:dyDescent="0.3">
      <c r="D2436" s="231"/>
      <c r="E2436" s="231"/>
    </row>
    <row r="2437" spans="4:5" x14ac:dyDescent="0.3">
      <c r="D2437" s="231"/>
      <c r="E2437" s="231"/>
    </row>
    <row r="2438" spans="4:5" x14ac:dyDescent="0.3">
      <c r="D2438" s="231"/>
      <c r="E2438" s="231"/>
    </row>
    <row r="2439" spans="4:5" x14ac:dyDescent="0.3">
      <c r="D2439" s="231"/>
      <c r="E2439" s="231"/>
    </row>
    <row r="2440" spans="4:5" x14ac:dyDescent="0.3">
      <c r="D2440" s="231"/>
      <c r="E2440" s="231"/>
    </row>
    <row r="2441" spans="4:5" x14ac:dyDescent="0.3">
      <c r="D2441" s="231"/>
      <c r="E2441" s="231"/>
    </row>
    <row r="2442" spans="4:5" x14ac:dyDescent="0.3">
      <c r="D2442" s="231"/>
      <c r="E2442" s="231"/>
    </row>
    <row r="2443" spans="4:5" x14ac:dyDescent="0.3">
      <c r="D2443" s="231"/>
      <c r="E2443" s="231"/>
    </row>
    <row r="2444" spans="4:5" x14ac:dyDescent="0.3">
      <c r="D2444" s="231"/>
      <c r="E2444" s="231"/>
    </row>
    <row r="2445" spans="4:5" x14ac:dyDescent="0.3">
      <c r="D2445" s="231"/>
      <c r="E2445" s="231"/>
    </row>
    <row r="2446" spans="4:5" x14ac:dyDescent="0.3">
      <c r="D2446" s="231"/>
      <c r="E2446" s="231"/>
    </row>
    <row r="2447" spans="4:5" x14ac:dyDescent="0.3">
      <c r="D2447" s="231"/>
      <c r="E2447" s="231"/>
    </row>
    <row r="2448" spans="4:5" x14ac:dyDescent="0.3">
      <c r="D2448" s="231"/>
      <c r="E2448" s="231"/>
    </row>
    <row r="2449" spans="4:5" x14ac:dyDescent="0.3">
      <c r="D2449" s="231"/>
      <c r="E2449" s="231"/>
    </row>
    <row r="2450" spans="4:5" x14ac:dyDescent="0.3">
      <c r="D2450" s="231"/>
      <c r="E2450" s="231"/>
    </row>
    <row r="2451" spans="4:5" x14ac:dyDescent="0.3">
      <c r="D2451" s="231"/>
      <c r="E2451" s="231"/>
    </row>
    <row r="2452" spans="4:5" x14ac:dyDescent="0.3">
      <c r="D2452" s="231"/>
      <c r="E2452" s="231"/>
    </row>
    <row r="2453" spans="4:5" x14ac:dyDescent="0.3">
      <c r="D2453" s="231"/>
      <c r="E2453" s="231"/>
    </row>
    <row r="2454" spans="4:5" x14ac:dyDescent="0.3">
      <c r="D2454" s="231"/>
      <c r="E2454" s="231"/>
    </row>
    <row r="2455" spans="4:5" x14ac:dyDescent="0.3">
      <c r="D2455" s="231"/>
      <c r="E2455" s="231"/>
    </row>
    <row r="2456" spans="4:5" x14ac:dyDescent="0.3">
      <c r="D2456" s="231"/>
      <c r="E2456" s="231"/>
    </row>
    <row r="2457" spans="4:5" x14ac:dyDescent="0.3">
      <c r="D2457" s="231"/>
      <c r="E2457" s="231"/>
    </row>
    <row r="2458" spans="4:5" x14ac:dyDescent="0.3">
      <c r="D2458" s="231"/>
      <c r="E2458" s="231"/>
    </row>
    <row r="2459" spans="4:5" x14ac:dyDescent="0.3">
      <c r="D2459" s="231"/>
      <c r="E2459" s="231"/>
    </row>
    <row r="2460" spans="4:5" x14ac:dyDescent="0.3">
      <c r="D2460" s="231"/>
      <c r="E2460" s="231"/>
    </row>
    <row r="2461" spans="4:5" x14ac:dyDescent="0.3">
      <c r="D2461" s="231"/>
      <c r="E2461" s="231"/>
    </row>
    <row r="2462" spans="4:5" x14ac:dyDescent="0.3">
      <c r="D2462" s="231"/>
      <c r="E2462" s="231"/>
    </row>
    <row r="2463" spans="4:5" x14ac:dyDescent="0.3">
      <c r="D2463" s="231"/>
      <c r="E2463" s="231"/>
    </row>
    <row r="2464" spans="4:5" x14ac:dyDescent="0.3">
      <c r="D2464" s="231"/>
      <c r="E2464" s="231"/>
    </row>
    <row r="2465" spans="4:5" x14ac:dyDescent="0.3">
      <c r="D2465" s="231"/>
      <c r="E2465" s="231"/>
    </row>
    <row r="2466" spans="4:5" x14ac:dyDescent="0.3">
      <c r="D2466" s="231"/>
      <c r="E2466" s="231"/>
    </row>
    <row r="2467" spans="4:5" x14ac:dyDescent="0.3">
      <c r="D2467" s="231"/>
      <c r="E2467" s="231"/>
    </row>
    <row r="2468" spans="4:5" x14ac:dyDescent="0.3">
      <c r="D2468" s="231"/>
      <c r="E2468" s="231"/>
    </row>
    <row r="2469" spans="4:5" x14ac:dyDescent="0.3">
      <c r="D2469" s="231"/>
      <c r="E2469" s="231"/>
    </row>
    <row r="2470" spans="4:5" x14ac:dyDescent="0.3">
      <c r="D2470" s="231"/>
      <c r="E2470" s="231"/>
    </row>
    <row r="2471" spans="4:5" x14ac:dyDescent="0.3">
      <c r="D2471" s="231"/>
      <c r="E2471" s="231"/>
    </row>
    <row r="2472" spans="4:5" x14ac:dyDescent="0.3">
      <c r="D2472" s="231"/>
      <c r="E2472" s="231"/>
    </row>
    <row r="2473" spans="4:5" x14ac:dyDescent="0.3">
      <c r="D2473" s="231"/>
      <c r="E2473" s="231"/>
    </row>
    <row r="2474" spans="4:5" x14ac:dyDescent="0.3">
      <c r="D2474" s="231"/>
      <c r="E2474" s="231"/>
    </row>
    <row r="2475" spans="4:5" x14ac:dyDescent="0.3">
      <c r="D2475" s="231"/>
      <c r="E2475" s="231"/>
    </row>
    <row r="2476" spans="4:5" x14ac:dyDescent="0.3">
      <c r="D2476" s="231"/>
      <c r="E2476" s="231"/>
    </row>
    <row r="2477" spans="4:5" x14ac:dyDescent="0.3">
      <c r="D2477" s="231"/>
      <c r="E2477" s="231"/>
    </row>
    <row r="2478" spans="4:5" x14ac:dyDescent="0.3">
      <c r="D2478" s="231"/>
      <c r="E2478" s="231"/>
    </row>
    <row r="2479" spans="4:5" x14ac:dyDescent="0.3">
      <c r="D2479" s="231"/>
      <c r="E2479" s="231"/>
    </row>
    <row r="2480" spans="4:5" x14ac:dyDescent="0.3">
      <c r="D2480" s="231"/>
      <c r="E2480" s="231"/>
    </row>
    <row r="2481" spans="4:5" x14ac:dyDescent="0.3">
      <c r="D2481" s="231"/>
      <c r="E2481" s="231"/>
    </row>
    <row r="2482" spans="4:5" x14ac:dyDescent="0.3">
      <c r="D2482" s="231"/>
      <c r="E2482" s="231"/>
    </row>
    <row r="2483" spans="4:5" x14ac:dyDescent="0.3">
      <c r="D2483" s="231"/>
      <c r="E2483" s="231"/>
    </row>
    <row r="2484" spans="4:5" x14ac:dyDescent="0.3">
      <c r="D2484" s="231"/>
      <c r="E2484" s="231"/>
    </row>
    <row r="2485" spans="4:5" x14ac:dyDescent="0.3">
      <c r="D2485" s="231"/>
      <c r="E2485" s="231"/>
    </row>
    <row r="2486" spans="4:5" x14ac:dyDescent="0.3">
      <c r="D2486" s="231"/>
      <c r="E2486" s="231"/>
    </row>
    <row r="2487" spans="4:5" x14ac:dyDescent="0.3">
      <c r="D2487" s="231"/>
      <c r="E2487" s="231"/>
    </row>
    <row r="2488" spans="4:5" x14ac:dyDescent="0.3">
      <c r="D2488" s="231"/>
      <c r="E2488" s="231"/>
    </row>
    <row r="2489" spans="4:5" x14ac:dyDescent="0.3">
      <c r="D2489" s="231"/>
      <c r="E2489" s="231"/>
    </row>
    <row r="2490" spans="4:5" x14ac:dyDescent="0.3">
      <c r="D2490" s="231"/>
      <c r="E2490" s="231"/>
    </row>
    <row r="2491" spans="4:5" x14ac:dyDescent="0.3">
      <c r="D2491" s="231"/>
      <c r="E2491" s="231"/>
    </row>
    <row r="2492" spans="4:5" x14ac:dyDescent="0.3">
      <c r="D2492" s="231"/>
      <c r="E2492" s="231"/>
    </row>
    <row r="2493" spans="4:5" x14ac:dyDescent="0.3">
      <c r="D2493" s="231"/>
      <c r="E2493" s="231"/>
    </row>
    <row r="2494" spans="4:5" x14ac:dyDescent="0.3">
      <c r="D2494" s="231"/>
      <c r="E2494" s="231"/>
    </row>
    <row r="2495" spans="4:5" x14ac:dyDescent="0.3">
      <c r="D2495" s="231"/>
      <c r="E2495" s="231"/>
    </row>
    <row r="2496" spans="4:5" x14ac:dyDescent="0.3">
      <c r="D2496" s="231"/>
      <c r="E2496" s="231"/>
    </row>
    <row r="2497" spans="4:5" x14ac:dyDescent="0.3">
      <c r="D2497" s="231"/>
      <c r="E2497" s="231"/>
    </row>
    <row r="2498" spans="4:5" x14ac:dyDescent="0.3">
      <c r="D2498" s="231"/>
      <c r="E2498" s="231"/>
    </row>
    <row r="2499" spans="4:5" x14ac:dyDescent="0.3">
      <c r="D2499" s="231"/>
      <c r="E2499" s="231"/>
    </row>
    <row r="2500" spans="4:5" x14ac:dyDescent="0.3">
      <c r="D2500" s="231"/>
      <c r="E2500" s="231"/>
    </row>
    <row r="2501" spans="4:5" x14ac:dyDescent="0.3">
      <c r="D2501" s="231"/>
      <c r="E2501" s="231"/>
    </row>
    <row r="2502" spans="4:5" x14ac:dyDescent="0.3">
      <c r="D2502" s="231"/>
      <c r="E2502" s="231"/>
    </row>
    <row r="2503" spans="4:5" x14ac:dyDescent="0.3">
      <c r="D2503" s="231"/>
      <c r="E2503" s="231"/>
    </row>
    <row r="2504" spans="4:5" x14ac:dyDescent="0.3">
      <c r="D2504" s="231"/>
      <c r="E2504" s="231"/>
    </row>
    <row r="2505" spans="4:5" x14ac:dyDescent="0.3">
      <c r="D2505" s="231"/>
      <c r="E2505" s="231"/>
    </row>
    <row r="2506" spans="4:5" x14ac:dyDescent="0.3">
      <c r="D2506" s="231"/>
      <c r="E2506" s="231"/>
    </row>
    <row r="2507" spans="4:5" x14ac:dyDescent="0.3">
      <c r="D2507" s="231"/>
      <c r="E2507" s="231"/>
    </row>
    <row r="2508" spans="4:5" x14ac:dyDescent="0.3">
      <c r="D2508" s="231"/>
      <c r="E2508" s="231"/>
    </row>
    <row r="2509" spans="4:5" x14ac:dyDescent="0.3">
      <c r="D2509" s="231"/>
      <c r="E2509" s="231"/>
    </row>
    <row r="2510" spans="4:5" x14ac:dyDescent="0.3">
      <c r="D2510" s="231"/>
      <c r="E2510" s="231"/>
    </row>
    <row r="2511" spans="4:5" x14ac:dyDescent="0.3">
      <c r="D2511" s="231"/>
      <c r="E2511" s="231"/>
    </row>
    <row r="2512" spans="4:5" x14ac:dyDescent="0.3">
      <c r="D2512" s="231"/>
      <c r="E2512" s="231"/>
    </row>
    <row r="2513" spans="4:5" x14ac:dyDescent="0.3">
      <c r="D2513" s="231"/>
      <c r="E2513" s="231"/>
    </row>
    <row r="2514" spans="4:5" x14ac:dyDescent="0.3">
      <c r="D2514" s="231"/>
      <c r="E2514" s="231"/>
    </row>
    <row r="2515" spans="4:5" x14ac:dyDescent="0.3">
      <c r="D2515" s="231"/>
      <c r="E2515" s="231"/>
    </row>
    <row r="2516" spans="4:5" x14ac:dyDescent="0.3">
      <c r="D2516" s="231"/>
      <c r="E2516" s="231"/>
    </row>
    <row r="2517" spans="4:5" x14ac:dyDescent="0.3">
      <c r="D2517" s="231"/>
      <c r="E2517" s="231"/>
    </row>
    <row r="2518" spans="4:5" x14ac:dyDescent="0.3">
      <c r="D2518" s="231"/>
      <c r="E2518" s="231"/>
    </row>
    <row r="2519" spans="4:5" x14ac:dyDescent="0.3">
      <c r="D2519" s="231"/>
      <c r="E2519" s="231"/>
    </row>
    <row r="2520" spans="4:5" x14ac:dyDescent="0.3">
      <c r="D2520" s="231"/>
      <c r="E2520" s="231"/>
    </row>
    <row r="2521" spans="4:5" x14ac:dyDescent="0.3">
      <c r="D2521" s="231"/>
      <c r="E2521" s="231"/>
    </row>
    <row r="2522" spans="4:5" x14ac:dyDescent="0.3">
      <c r="D2522" s="231"/>
      <c r="E2522" s="231"/>
    </row>
    <row r="2523" spans="4:5" x14ac:dyDescent="0.3">
      <c r="D2523" s="231"/>
      <c r="E2523" s="231"/>
    </row>
    <row r="2524" spans="4:5" x14ac:dyDescent="0.3">
      <c r="D2524" s="231"/>
      <c r="E2524" s="231"/>
    </row>
    <row r="2525" spans="4:5" x14ac:dyDescent="0.3">
      <c r="D2525" s="231"/>
      <c r="E2525" s="231"/>
    </row>
    <row r="2526" spans="4:5" x14ac:dyDescent="0.3">
      <c r="D2526" s="231"/>
      <c r="E2526" s="231"/>
    </row>
    <row r="2527" spans="4:5" x14ac:dyDescent="0.3">
      <c r="D2527" s="231"/>
      <c r="E2527" s="231"/>
    </row>
    <row r="2528" spans="4:5" x14ac:dyDescent="0.3">
      <c r="D2528" s="231"/>
      <c r="E2528" s="231"/>
    </row>
    <row r="2529" spans="4:5" x14ac:dyDescent="0.3">
      <c r="D2529" s="231"/>
      <c r="E2529" s="231"/>
    </row>
    <row r="2530" spans="4:5" x14ac:dyDescent="0.3">
      <c r="D2530" s="231"/>
      <c r="E2530" s="231"/>
    </row>
    <row r="2531" spans="4:5" x14ac:dyDescent="0.3">
      <c r="D2531" s="231"/>
      <c r="E2531" s="231"/>
    </row>
    <row r="2532" spans="4:5" x14ac:dyDescent="0.3">
      <c r="D2532" s="231"/>
      <c r="E2532" s="231"/>
    </row>
    <row r="2533" spans="4:5" x14ac:dyDescent="0.3">
      <c r="D2533" s="231"/>
      <c r="E2533" s="231"/>
    </row>
    <row r="2534" spans="4:5" x14ac:dyDescent="0.3">
      <c r="D2534" s="231"/>
      <c r="E2534" s="231"/>
    </row>
    <row r="2535" spans="4:5" x14ac:dyDescent="0.3">
      <c r="D2535" s="231"/>
      <c r="E2535" s="231"/>
    </row>
    <row r="2536" spans="4:5" x14ac:dyDescent="0.3">
      <c r="D2536" s="231"/>
      <c r="E2536" s="231"/>
    </row>
    <row r="2537" spans="4:5" x14ac:dyDescent="0.3">
      <c r="D2537" s="231"/>
      <c r="E2537" s="231"/>
    </row>
    <row r="2538" spans="4:5" x14ac:dyDescent="0.3">
      <c r="D2538" s="231"/>
      <c r="E2538" s="231"/>
    </row>
    <row r="2539" spans="4:5" x14ac:dyDescent="0.3">
      <c r="D2539" s="231"/>
      <c r="E2539" s="231"/>
    </row>
    <row r="2540" spans="4:5" x14ac:dyDescent="0.3">
      <c r="D2540" s="231"/>
      <c r="E2540" s="231"/>
    </row>
    <row r="2541" spans="4:5" x14ac:dyDescent="0.3">
      <c r="D2541" s="231"/>
      <c r="E2541" s="231"/>
    </row>
    <row r="2542" spans="4:5" x14ac:dyDescent="0.3">
      <c r="D2542" s="231"/>
      <c r="E2542" s="231"/>
    </row>
    <row r="2543" spans="4:5" x14ac:dyDescent="0.3">
      <c r="D2543" s="231"/>
      <c r="E2543" s="231"/>
    </row>
    <row r="2544" spans="4:5" x14ac:dyDescent="0.3">
      <c r="D2544" s="231"/>
      <c r="E2544" s="231"/>
    </row>
    <row r="2545" spans="4:5" x14ac:dyDescent="0.3">
      <c r="D2545" s="231"/>
      <c r="E2545" s="231"/>
    </row>
    <row r="2546" spans="4:5" x14ac:dyDescent="0.3">
      <c r="D2546" s="231"/>
      <c r="E2546" s="231"/>
    </row>
    <row r="2547" spans="4:5" x14ac:dyDescent="0.3">
      <c r="D2547" s="231"/>
      <c r="E2547" s="231"/>
    </row>
    <row r="2548" spans="4:5" x14ac:dyDescent="0.3">
      <c r="D2548" s="231"/>
      <c r="E2548" s="231"/>
    </row>
    <row r="2549" spans="4:5" x14ac:dyDescent="0.3">
      <c r="D2549" s="231"/>
      <c r="E2549" s="231"/>
    </row>
    <row r="2550" spans="4:5" x14ac:dyDescent="0.3">
      <c r="D2550" s="231"/>
      <c r="E2550" s="231"/>
    </row>
    <row r="2551" spans="4:5" x14ac:dyDescent="0.3">
      <c r="D2551" s="231"/>
      <c r="E2551" s="231"/>
    </row>
    <row r="2552" spans="4:5" x14ac:dyDescent="0.3">
      <c r="D2552" s="231"/>
      <c r="E2552" s="231"/>
    </row>
    <row r="2553" spans="4:5" x14ac:dyDescent="0.3">
      <c r="D2553" s="231"/>
      <c r="E2553" s="231"/>
    </row>
    <row r="2554" spans="4:5" x14ac:dyDescent="0.3">
      <c r="D2554" s="231"/>
      <c r="E2554" s="231"/>
    </row>
    <row r="2555" spans="4:5" x14ac:dyDescent="0.3">
      <c r="D2555" s="231"/>
      <c r="E2555" s="231"/>
    </row>
    <row r="2556" spans="4:5" x14ac:dyDescent="0.3">
      <c r="D2556" s="231"/>
      <c r="E2556" s="231"/>
    </row>
    <row r="2557" spans="4:5" x14ac:dyDescent="0.3">
      <c r="D2557" s="231"/>
      <c r="E2557" s="231"/>
    </row>
    <row r="2558" spans="4:5" x14ac:dyDescent="0.3">
      <c r="D2558" s="231"/>
      <c r="E2558" s="231"/>
    </row>
    <row r="2559" spans="4:5" x14ac:dyDescent="0.3">
      <c r="D2559" s="231"/>
      <c r="E2559" s="231"/>
    </row>
    <row r="2560" spans="4:5" x14ac:dyDescent="0.3">
      <c r="D2560" s="231"/>
      <c r="E2560" s="231"/>
    </row>
    <row r="2561" spans="4:5" x14ac:dyDescent="0.3">
      <c r="D2561" s="231"/>
      <c r="E2561" s="231"/>
    </row>
    <row r="2562" spans="4:5" x14ac:dyDescent="0.3">
      <c r="D2562" s="231"/>
      <c r="E2562" s="231"/>
    </row>
    <row r="2563" spans="4:5" x14ac:dyDescent="0.3">
      <c r="D2563" s="231"/>
      <c r="E2563" s="231"/>
    </row>
    <row r="2564" spans="4:5" x14ac:dyDescent="0.3">
      <c r="D2564" s="231"/>
      <c r="E2564" s="231"/>
    </row>
    <row r="2565" spans="4:5" x14ac:dyDescent="0.3">
      <c r="D2565" s="231"/>
      <c r="E2565" s="231"/>
    </row>
    <row r="2566" spans="4:5" x14ac:dyDescent="0.3">
      <c r="D2566" s="231"/>
      <c r="E2566" s="231"/>
    </row>
    <row r="2567" spans="4:5" x14ac:dyDescent="0.3">
      <c r="D2567" s="231"/>
      <c r="E2567" s="231"/>
    </row>
    <row r="2568" spans="4:5" x14ac:dyDescent="0.3">
      <c r="D2568" s="231"/>
      <c r="E2568" s="231"/>
    </row>
    <row r="2569" spans="4:5" x14ac:dyDescent="0.3">
      <c r="D2569" s="231"/>
      <c r="E2569" s="231"/>
    </row>
    <row r="2570" spans="4:5" x14ac:dyDescent="0.3">
      <c r="D2570" s="231"/>
      <c r="E2570" s="231"/>
    </row>
    <row r="2571" spans="4:5" x14ac:dyDescent="0.3">
      <c r="D2571" s="231"/>
      <c r="E2571" s="231"/>
    </row>
    <row r="2572" spans="4:5" x14ac:dyDescent="0.3">
      <c r="D2572" s="231"/>
      <c r="E2572" s="231"/>
    </row>
    <row r="2573" spans="4:5" x14ac:dyDescent="0.3">
      <c r="D2573" s="231"/>
      <c r="E2573" s="231"/>
    </row>
    <row r="2574" spans="4:5" x14ac:dyDescent="0.3">
      <c r="D2574" s="231"/>
      <c r="E2574" s="231"/>
    </row>
    <row r="2575" spans="4:5" x14ac:dyDescent="0.3">
      <c r="D2575" s="231"/>
      <c r="E2575" s="231"/>
    </row>
    <row r="2576" spans="4:5" x14ac:dyDescent="0.3">
      <c r="D2576" s="231"/>
      <c r="E2576" s="231"/>
    </row>
    <row r="2577" spans="4:5" x14ac:dyDescent="0.3">
      <c r="D2577" s="231"/>
      <c r="E2577" s="231"/>
    </row>
    <row r="2578" spans="4:5" x14ac:dyDescent="0.3">
      <c r="D2578" s="231"/>
      <c r="E2578" s="231"/>
    </row>
    <row r="2579" spans="4:5" x14ac:dyDescent="0.3">
      <c r="D2579" s="231"/>
      <c r="E2579" s="231"/>
    </row>
    <row r="2580" spans="4:5" x14ac:dyDescent="0.3">
      <c r="D2580" s="231"/>
      <c r="E2580" s="231"/>
    </row>
    <row r="2581" spans="4:5" x14ac:dyDescent="0.3">
      <c r="D2581" s="231"/>
      <c r="E2581" s="231"/>
    </row>
    <row r="2582" spans="4:5" x14ac:dyDescent="0.3">
      <c r="D2582" s="231"/>
      <c r="E2582" s="231"/>
    </row>
    <row r="2583" spans="4:5" x14ac:dyDescent="0.3">
      <c r="D2583" s="231"/>
      <c r="E2583" s="231"/>
    </row>
    <row r="2584" spans="4:5" x14ac:dyDescent="0.3">
      <c r="D2584" s="231"/>
      <c r="E2584" s="231"/>
    </row>
    <row r="2585" spans="4:5" x14ac:dyDescent="0.3">
      <c r="D2585" s="231"/>
      <c r="E2585" s="231"/>
    </row>
    <row r="2586" spans="4:5" x14ac:dyDescent="0.3">
      <c r="D2586" s="231"/>
      <c r="E2586" s="231"/>
    </row>
    <row r="2587" spans="4:5" x14ac:dyDescent="0.3">
      <c r="D2587" s="231"/>
      <c r="E2587" s="231"/>
    </row>
    <row r="2588" spans="4:5" x14ac:dyDescent="0.3">
      <c r="D2588" s="231"/>
      <c r="E2588" s="231"/>
    </row>
    <row r="2589" spans="4:5" x14ac:dyDescent="0.3">
      <c r="D2589" s="231"/>
      <c r="E2589" s="231"/>
    </row>
    <row r="2590" spans="4:5" x14ac:dyDescent="0.3">
      <c r="D2590" s="231"/>
      <c r="E2590" s="231"/>
    </row>
    <row r="2591" spans="4:5" x14ac:dyDescent="0.3">
      <c r="D2591" s="231"/>
      <c r="E2591" s="231"/>
    </row>
    <row r="2592" spans="4:5" x14ac:dyDescent="0.3">
      <c r="D2592" s="231"/>
      <c r="E2592" s="231"/>
    </row>
    <row r="2593" spans="4:5" x14ac:dyDescent="0.3">
      <c r="D2593" s="231"/>
      <c r="E2593" s="231"/>
    </row>
    <row r="2594" spans="4:5" x14ac:dyDescent="0.3">
      <c r="D2594" s="231"/>
      <c r="E2594" s="231"/>
    </row>
    <row r="2595" spans="4:5" x14ac:dyDescent="0.3">
      <c r="D2595" s="231"/>
      <c r="E2595" s="231"/>
    </row>
    <row r="2596" spans="4:5" x14ac:dyDescent="0.3">
      <c r="D2596" s="231"/>
      <c r="E2596" s="231"/>
    </row>
    <row r="2597" spans="4:5" x14ac:dyDescent="0.3">
      <c r="D2597" s="231"/>
      <c r="E2597" s="231"/>
    </row>
    <row r="2598" spans="4:5" x14ac:dyDescent="0.3">
      <c r="D2598" s="231"/>
      <c r="E2598" s="231"/>
    </row>
    <row r="2599" spans="4:5" x14ac:dyDescent="0.3">
      <c r="D2599" s="231"/>
      <c r="E2599" s="231"/>
    </row>
    <row r="2600" spans="4:5" x14ac:dyDescent="0.3">
      <c r="D2600" s="231"/>
      <c r="E2600" s="231"/>
    </row>
    <row r="2601" spans="4:5" x14ac:dyDescent="0.3">
      <c r="D2601" s="231"/>
      <c r="E2601" s="231"/>
    </row>
    <row r="2602" spans="4:5" x14ac:dyDescent="0.3">
      <c r="D2602" s="231"/>
      <c r="E2602" s="231"/>
    </row>
    <row r="2603" spans="4:5" x14ac:dyDescent="0.3">
      <c r="D2603" s="231"/>
      <c r="E2603" s="231"/>
    </row>
    <row r="2604" spans="4:5" x14ac:dyDescent="0.3">
      <c r="D2604" s="231"/>
      <c r="E2604" s="231"/>
    </row>
    <row r="2605" spans="4:5" x14ac:dyDescent="0.3">
      <c r="D2605" s="231"/>
      <c r="E2605" s="231"/>
    </row>
    <row r="2606" spans="4:5" x14ac:dyDescent="0.3">
      <c r="D2606" s="231"/>
      <c r="E2606" s="231"/>
    </row>
    <row r="2607" spans="4:5" x14ac:dyDescent="0.3">
      <c r="D2607" s="231"/>
      <c r="E2607" s="231"/>
    </row>
    <row r="2608" spans="4:5" x14ac:dyDescent="0.3">
      <c r="D2608" s="231"/>
      <c r="E2608" s="231"/>
    </row>
    <row r="2609" spans="4:5" x14ac:dyDescent="0.3">
      <c r="D2609" s="231"/>
      <c r="E2609" s="231"/>
    </row>
    <row r="2610" spans="4:5" x14ac:dyDescent="0.3">
      <c r="D2610" s="231"/>
      <c r="E2610" s="231"/>
    </row>
    <row r="2611" spans="4:5" x14ac:dyDescent="0.3">
      <c r="D2611" s="231"/>
      <c r="E2611" s="231"/>
    </row>
    <row r="2612" spans="4:5" x14ac:dyDescent="0.3">
      <c r="D2612" s="231"/>
      <c r="E2612" s="231"/>
    </row>
    <row r="2613" spans="4:5" x14ac:dyDescent="0.3">
      <c r="D2613" s="231"/>
      <c r="E2613" s="231"/>
    </row>
    <row r="2614" spans="4:5" x14ac:dyDescent="0.3">
      <c r="D2614" s="231"/>
      <c r="E2614" s="231"/>
    </row>
    <row r="2615" spans="4:5" x14ac:dyDescent="0.3">
      <c r="D2615" s="231"/>
      <c r="E2615" s="231"/>
    </row>
    <row r="2616" spans="4:5" x14ac:dyDescent="0.3">
      <c r="D2616" s="231"/>
      <c r="E2616" s="231"/>
    </row>
    <row r="2617" spans="4:5" x14ac:dyDescent="0.3">
      <c r="D2617" s="231"/>
      <c r="E2617" s="231"/>
    </row>
    <row r="2618" spans="4:5" x14ac:dyDescent="0.3">
      <c r="D2618" s="231"/>
      <c r="E2618" s="231"/>
    </row>
    <row r="2619" spans="4:5" x14ac:dyDescent="0.3">
      <c r="D2619" s="231"/>
      <c r="E2619" s="231"/>
    </row>
    <row r="2620" spans="4:5" x14ac:dyDescent="0.3">
      <c r="D2620" s="231"/>
      <c r="E2620" s="231"/>
    </row>
    <row r="2621" spans="4:5" x14ac:dyDescent="0.3">
      <c r="D2621" s="231"/>
      <c r="E2621" s="231"/>
    </row>
    <row r="2622" spans="4:5" x14ac:dyDescent="0.3">
      <c r="D2622" s="231"/>
      <c r="E2622" s="231"/>
    </row>
    <row r="2623" spans="4:5" x14ac:dyDescent="0.3">
      <c r="D2623" s="231"/>
      <c r="E2623" s="231"/>
    </row>
    <row r="2624" spans="4:5" x14ac:dyDescent="0.3">
      <c r="D2624" s="231"/>
      <c r="E2624" s="231"/>
    </row>
    <row r="2625" spans="4:5" x14ac:dyDescent="0.3">
      <c r="D2625" s="231"/>
      <c r="E2625" s="231"/>
    </row>
    <row r="2626" spans="4:5" x14ac:dyDescent="0.3">
      <c r="D2626" s="231"/>
      <c r="E2626" s="231"/>
    </row>
    <row r="2627" spans="4:5" x14ac:dyDescent="0.3">
      <c r="D2627" s="231"/>
      <c r="E2627" s="231"/>
    </row>
    <row r="2628" spans="4:5" x14ac:dyDescent="0.3">
      <c r="D2628" s="231"/>
      <c r="E2628" s="231"/>
    </row>
    <row r="2629" spans="4:5" x14ac:dyDescent="0.3">
      <c r="D2629" s="231"/>
      <c r="E2629" s="231"/>
    </row>
    <row r="2630" spans="4:5" x14ac:dyDescent="0.3">
      <c r="D2630" s="231"/>
      <c r="E2630" s="231"/>
    </row>
    <row r="2631" spans="4:5" x14ac:dyDescent="0.3">
      <c r="D2631" s="231"/>
      <c r="E2631" s="231"/>
    </row>
    <row r="2632" spans="4:5" x14ac:dyDescent="0.3">
      <c r="D2632" s="231"/>
      <c r="E2632" s="231"/>
    </row>
    <row r="2633" spans="4:5" x14ac:dyDescent="0.3">
      <c r="D2633" s="231"/>
      <c r="E2633" s="231"/>
    </row>
    <row r="2634" spans="4:5" x14ac:dyDescent="0.3">
      <c r="D2634" s="231"/>
      <c r="E2634" s="231"/>
    </row>
    <row r="2635" spans="4:5" x14ac:dyDescent="0.3">
      <c r="D2635" s="231"/>
      <c r="E2635" s="231"/>
    </row>
    <row r="2636" spans="4:5" x14ac:dyDescent="0.3">
      <c r="D2636" s="231"/>
      <c r="E2636" s="231"/>
    </row>
    <row r="2637" spans="4:5" x14ac:dyDescent="0.3">
      <c r="D2637" s="231"/>
      <c r="E2637" s="231"/>
    </row>
    <row r="2638" spans="4:5" x14ac:dyDescent="0.3">
      <c r="D2638" s="231"/>
      <c r="E2638" s="231"/>
    </row>
    <row r="2639" spans="4:5" x14ac:dyDescent="0.3">
      <c r="D2639" s="231"/>
      <c r="E2639" s="231"/>
    </row>
    <row r="2640" spans="4:5" x14ac:dyDescent="0.3">
      <c r="D2640" s="231"/>
      <c r="E2640" s="231"/>
    </row>
    <row r="2641" spans="4:5" x14ac:dyDescent="0.3">
      <c r="D2641" s="231"/>
      <c r="E2641" s="231"/>
    </row>
    <row r="2642" spans="4:5" x14ac:dyDescent="0.3">
      <c r="D2642" s="231"/>
      <c r="E2642" s="231"/>
    </row>
    <row r="2643" spans="4:5" x14ac:dyDescent="0.3">
      <c r="D2643" s="231"/>
      <c r="E2643" s="231"/>
    </row>
    <row r="2644" spans="4:5" x14ac:dyDescent="0.3">
      <c r="D2644" s="231"/>
      <c r="E2644" s="231"/>
    </row>
    <row r="2645" spans="4:5" x14ac:dyDescent="0.3">
      <c r="D2645" s="231"/>
      <c r="E2645" s="231"/>
    </row>
    <row r="2646" spans="4:5" x14ac:dyDescent="0.3">
      <c r="D2646" s="231"/>
      <c r="E2646" s="231"/>
    </row>
    <row r="2647" spans="4:5" x14ac:dyDescent="0.3">
      <c r="D2647" s="231"/>
      <c r="E2647" s="231"/>
    </row>
    <row r="2648" spans="4:5" x14ac:dyDescent="0.3">
      <c r="D2648" s="231"/>
      <c r="E2648" s="231"/>
    </row>
    <row r="2649" spans="4:5" x14ac:dyDescent="0.3">
      <c r="D2649" s="231"/>
      <c r="E2649" s="231"/>
    </row>
    <row r="2650" spans="4:5" x14ac:dyDescent="0.3">
      <c r="D2650" s="231"/>
      <c r="E2650" s="231"/>
    </row>
    <row r="2651" spans="4:5" x14ac:dyDescent="0.3">
      <c r="D2651" s="231"/>
      <c r="E2651" s="231"/>
    </row>
    <row r="2652" spans="4:5" x14ac:dyDescent="0.3">
      <c r="D2652" s="231"/>
      <c r="E2652" s="231"/>
    </row>
    <row r="2653" spans="4:5" x14ac:dyDescent="0.3">
      <c r="D2653" s="231"/>
      <c r="E2653" s="231"/>
    </row>
    <row r="2654" spans="4:5" x14ac:dyDescent="0.3">
      <c r="D2654" s="231"/>
      <c r="E2654" s="231"/>
    </row>
    <row r="2655" spans="4:5" x14ac:dyDescent="0.3">
      <c r="D2655" s="231"/>
      <c r="E2655" s="231"/>
    </row>
    <row r="2656" spans="4:5" x14ac:dyDescent="0.3">
      <c r="D2656" s="231"/>
      <c r="E2656" s="231"/>
    </row>
    <row r="2657" spans="4:5" x14ac:dyDescent="0.3">
      <c r="D2657" s="231"/>
      <c r="E2657" s="231"/>
    </row>
    <row r="2658" spans="4:5" x14ac:dyDescent="0.3">
      <c r="D2658" s="231"/>
      <c r="E2658" s="231"/>
    </row>
    <row r="2659" spans="4:5" x14ac:dyDescent="0.3">
      <c r="D2659" s="231"/>
      <c r="E2659" s="231"/>
    </row>
    <row r="2660" spans="4:5" x14ac:dyDescent="0.3">
      <c r="D2660" s="231"/>
      <c r="E2660" s="231"/>
    </row>
    <row r="2661" spans="4:5" x14ac:dyDescent="0.3">
      <c r="D2661" s="231"/>
      <c r="E2661" s="231"/>
    </row>
    <row r="2662" spans="4:5" x14ac:dyDescent="0.3">
      <c r="D2662" s="231"/>
      <c r="E2662" s="231"/>
    </row>
    <row r="2663" spans="4:5" x14ac:dyDescent="0.3">
      <c r="D2663" s="231"/>
      <c r="E2663" s="231"/>
    </row>
    <row r="2664" spans="4:5" x14ac:dyDescent="0.3">
      <c r="D2664" s="231"/>
      <c r="E2664" s="231"/>
    </row>
    <row r="2665" spans="4:5" x14ac:dyDescent="0.3">
      <c r="D2665" s="231"/>
      <c r="E2665" s="231"/>
    </row>
    <row r="2666" spans="4:5" x14ac:dyDescent="0.3">
      <c r="D2666" s="231"/>
      <c r="E2666" s="231"/>
    </row>
    <row r="2667" spans="4:5" x14ac:dyDescent="0.3">
      <c r="D2667" s="231"/>
      <c r="E2667" s="231"/>
    </row>
    <row r="2668" spans="4:5" x14ac:dyDescent="0.3">
      <c r="D2668" s="231"/>
      <c r="E2668" s="231"/>
    </row>
    <row r="2669" spans="4:5" x14ac:dyDescent="0.3">
      <c r="D2669" s="231"/>
      <c r="E2669" s="231"/>
    </row>
    <row r="2670" spans="4:5" x14ac:dyDescent="0.3">
      <c r="D2670" s="231"/>
      <c r="E2670" s="231"/>
    </row>
    <row r="2671" spans="4:5" x14ac:dyDescent="0.3">
      <c r="D2671" s="231"/>
      <c r="E2671" s="231"/>
    </row>
    <row r="2672" spans="4:5" x14ac:dyDescent="0.3">
      <c r="D2672" s="231"/>
      <c r="E2672" s="231"/>
    </row>
    <row r="2673" spans="4:5" x14ac:dyDescent="0.3">
      <c r="D2673" s="231"/>
      <c r="E2673" s="231"/>
    </row>
    <row r="2674" spans="4:5" x14ac:dyDescent="0.3">
      <c r="D2674" s="231"/>
      <c r="E2674" s="231"/>
    </row>
    <row r="2675" spans="4:5" x14ac:dyDescent="0.3">
      <c r="D2675" s="231"/>
      <c r="E2675" s="231"/>
    </row>
    <row r="2676" spans="4:5" x14ac:dyDescent="0.3">
      <c r="D2676" s="231"/>
      <c r="E2676" s="231"/>
    </row>
    <row r="2677" spans="4:5" x14ac:dyDescent="0.3">
      <c r="D2677" s="231"/>
      <c r="E2677" s="231"/>
    </row>
    <row r="2678" spans="4:5" x14ac:dyDescent="0.3">
      <c r="D2678" s="231"/>
      <c r="E2678" s="231"/>
    </row>
    <row r="2679" spans="4:5" x14ac:dyDescent="0.3">
      <c r="D2679" s="231"/>
      <c r="E2679" s="231"/>
    </row>
    <row r="2680" spans="4:5" x14ac:dyDescent="0.3">
      <c r="D2680" s="231"/>
      <c r="E2680" s="231"/>
    </row>
    <row r="2681" spans="4:5" x14ac:dyDescent="0.3">
      <c r="D2681" s="231"/>
      <c r="E2681" s="231"/>
    </row>
    <row r="2682" spans="4:5" x14ac:dyDescent="0.3">
      <c r="D2682" s="231"/>
      <c r="E2682" s="231"/>
    </row>
    <row r="2683" spans="4:5" x14ac:dyDescent="0.3">
      <c r="D2683" s="231"/>
      <c r="E2683" s="231"/>
    </row>
    <row r="2684" spans="4:5" x14ac:dyDescent="0.3">
      <c r="D2684" s="231"/>
      <c r="E2684" s="231"/>
    </row>
    <row r="2685" spans="4:5" x14ac:dyDescent="0.3">
      <c r="D2685" s="231"/>
      <c r="E2685" s="231"/>
    </row>
    <row r="2686" spans="4:5" x14ac:dyDescent="0.3">
      <c r="D2686" s="231"/>
      <c r="E2686" s="231"/>
    </row>
    <row r="2687" spans="4:5" x14ac:dyDescent="0.3">
      <c r="D2687" s="231"/>
      <c r="E2687" s="231"/>
    </row>
    <row r="2688" spans="4:5" x14ac:dyDescent="0.3">
      <c r="D2688" s="231"/>
      <c r="E2688" s="231"/>
    </row>
    <row r="2689" spans="4:5" x14ac:dyDescent="0.3">
      <c r="D2689" s="231"/>
      <c r="E2689" s="231"/>
    </row>
    <row r="2690" spans="4:5" x14ac:dyDescent="0.3">
      <c r="D2690" s="231"/>
      <c r="E2690" s="231"/>
    </row>
    <row r="2691" spans="4:5" x14ac:dyDescent="0.3">
      <c r="D2691" s="231"/>
      <c r="E2691" s="231"/>
    </row>
    <row r="2692" spans="4:5" x14ac:dyDescent="0.3">
      <c r="D2692" s="231"/>
      <c r="E2692" s="231"/>
    </row>
    <row r="2693" spans="4:5" x14ac:dyDescent="0.3">
      <c r="D2693" s="231"/>
      <c r="E2693" s="231"/>
    </row>
    <row r="2694" spans="4:5" x14ac:dyDescent="0.3">
      <c r="D2694" s="231"/>
      <c r="E2694" s="231"/>
    </row>
    <row r="2695" spans="4:5" x14ac:dyDescent="0.3">
      <c r="D2695" s="231"/>
      <c r="E2695" s="231"/>
    </row>
    <row r="2696" spans="4:5" x14ac:dyDescent="0.3">
      <c r="D2696" s="231"/>
      <c r="E2696" s="231"/>
    </row>
    <row r="2697" spans="4:5" x14ac:dyDescent="0.3">
      <c r="D2697" s="231"/>
      <c r="E2697" s="231"/>
    </row>
    <row r="2698" spans="4:5" x14ac:dyDescent="0.3">
      <c r="D2698" s="231"/>
      <c r="E2698" s="231"/>
    </row>
    <row r="2699" spans="4:5" x14ac:dyDescent="0.3">
      <c r="D2699" s="231"/>
      <c r="E2699" s="231"/>
    </row>
    <row r="2700" spans="4:5" x14ac:dyDescent="0.3">
      <c r="D2700" s="231"/>
      <c r="E2700" s="231"/>
    </row>
    <row r="2701" spans="4:5" x14ac:dyDescent="0.3">
      <c r="D2701" s="231"/>
      <c r="E2701" s="231"/>
    </row>
    <row r="2702" spans="4:5" x14ac:dyDescent="0.3">
      <c r="D2702" s="231"/>
      <c r="E2702" s="231"/>
    </row>
    <row r="2703" spans="4:5" x14ac:dyDescent="0.3">
      <c r="D2703" s="231"/>
      <c r="E2703" s="231"/>
    </row>
    <row r="2704" spans="4:5" x14ac:dyDescent="0.3">
      <c r="D2704" s="231"/>
      <c r="E2704" s="231"/>
    </row>
    <row r="2705" spans="4:5" x14ac:dyDescent="0.3">
      <c r="D2705" s="231"/>
      <c r="E2705" s="231"/>
    </row>
    <row r="2706" spans="4:5" x14ac:dyDescent="0.3">
      <c r="D2706" s="231"/>
      <c r="E2706" s="231"/>
    </row>
    <row r="2707" spans="4:5" x14ac:dyDescent="0.3">
      <c r="D2707" s="231"/>
      <c r="E2707" s="231"/>
    </row>
    <row r="2708" spans="4:5" x14ac:dyDescent="0.3">
      <c r="D2708" s="231"/>
      <c r="E2708" s="231"/>
    </row>
    <row r="2709" spans="4:5" x14ac:dyDescent="0.3">
      <c r="D2709" s="231"/>
      <c r="E2709" s="231"/>
    </row>
    <row r="2710" spans="4:5" x14ac:dyDescent="0.3">
      <c r="D2710" s="231"/>
      <c r="E2710" s="231"/>
    </row>
    <row r="2711" spans="4:5" x14ac:dyDescent="0.3">
      <c r="D2711" s="231"/>
      <c r="E2711" s="231"/>
    </row>
    <row r="2712" spans="4:5" x14ac:dyDescent="0.3">
      <c r="D2712" s="231"/>
      <c r="E2712" s="231"/>
    </row>
    <row r="2713" spans="4:5" x14ac:dyDescent="0.3">
      <c r="D2713" s="231"/>
      <c r="E2713" s="231"/>
    </row>
    <row r="2714" spans="4:5" x14ac:dyDescent="0.3">
      <c r="D2714" s="231"/>
      <c r="E2714" s="231"/>
    </row>
    <row r="2715" spans="4:5" x14ac:dyDescent="0.3">
      <c r="D2715" s="231"/>
      <c r="E2715" s="231"/>
    </row>
    <row r="2716" spans="4:5" x14ac:dyDescent="0.3">
      <c r="D2716" s="231"/>
      <c r="E2716" s="231"/>
    </row>
    <row r="2717" spans="4:5" x14ac:dyDescent="0.3">
      <c r="D2717" s="231"/>
      <c r="E2717" s="231"/>
    </row>
    <row r="2718" spans="4:5" x14ac:dyDescent="0.3">
      <c r="D2718" s="231"/>
      <c r="E2718" s="231"/>
    </row>
    <row r="2719" spans="4:5" x14ac:dyDescent="0.3">
      <c r="D2719" s="231"/>
      <c r="E2719" s="231"/>
    </row>
    <row r="2720" spans="4:5" x14ac:dyDescent="0.3">
      <c r="D2720" s="231"/>
      <c r="E2720" s="231"/>
    </row>
    <row r="2721" spans="4:5" x14ac:dyDescent="0.3">
      <c r="D2721" s="231"/>
      <c r="E2721" s="231"/>
    </row>
    <row r="2722" spans="4:5" x14ac:dyDescent="0.3">
      <c r="D2722" s="231"/>
      <c r="E2722" s="231"/>
    </row>
    <row r="2723" spans="4:5" x14ac:dyDescent="0.3">
      <c r="D2723" s="231"/>
      <c r="E2723" s="231"/>
    </row>
    <row r="2724" spans="4:5" x14ac:dyDescent="0.3">
      <c r="D2724" s="231"/>
      <c r="E2724" s="231"/>
    </row>
    <row r="2725" spans="4:5" x14ac:dyDescent="0.3">
      <c r="D2725" s="231"/>
      <c r="E2725" s="231"/>
    </row>
    <row r="2726" spans="4:5" x14ac:dyDescent="0.3">
      <c r="D2726" s="231"/>
      <c r="E2726" s="231"/>
    </row>
    <row r="2727" spans="4:5" x14ac:dyDescent="0.3">
      <c r="D2727" s="231"/>
      <c r="E2727" s="231"/>
    </row>
    <row r="2728" spans="4:5" x14ac:dyDescent="0.3">
      <c r="D2728" s="231"/>
      <c r="E2728" s="231"/>
    </row>
    <row r="2729" spans="4:5" x14ac:dyDescent="0.3">
      <c r="D2729" s="231"/>
      <c r="E2729" s="231"/>
    </row>
    <row r="2730" spans="4:5" x14ac:dyDescent="0.3">
      <c r="D2730" s="231"/>
      <c r="E2730" s="231"/>
    </row>
    <row r="2731" spans="4:5" x14ac:dyDescent="0.3">
      <c r="D2731" s="231"/>
      <c r="E2731" s="231"/>
    </row>
    <row r="2732" spans="4:5" x14ac:dyDescent="0.3">
      <c r="D2732" s="231"/>
      <c r="E2732" s="231"/>
    </row>
    <row r="2733" spans="4:5" x14ac:dyDescent="0.3">
      <c r="D2733" s="231"/>
      <c r="E2733" s="231"/>
    </row>
    <row r="2734" spans="4:5" x14ac:dyDescent="0.3">
      <c r="D2734" s="231"/>
      <c r="E2734" s="231"/>
    </row>
    <row r="2735" spans="4:5" x14ac:dyDescent="0.3">
      <c r="D2735" s="231"/>
      <c r="E2735" s="231"/>
    </row>
    <row r="2736" spans="4:5" x14ac:dyDescent="0.3">
      <c r="D2736" s="231"/>
      <c r="E2736" s="231"/>
    </row>
    <row r="2737" spans="4:5" x14ac:dyDescent="0.3">
      <c r="D2737" s="231"/>
      <c r="E2737" s="231"/>
    </row>
    <row r="2738" spans="4:5" x14ac:dyDescent="0.3">
      <c r="D2738" s="231"/>
      <c r="E2738" s="231"/>
    </row>
    <row r="2739" spans="4:5" x14ac:dyDescent="0.3">
      <c r="D2739" s="231"/>
      <c r="E2739" s="231"/>
    </row>
    <row r="2740" spans="4:5" x14ac:dyDescent="0.3">
      <c r="D2740" s="231"/>
      <c r="E2740" s="231"/>
    </row>
    <row r="2741" spans="4:5" x14ac:dyDescent="0.3">
      <c r="D2741" s="231"/>
      <c r="E2741" s="231"/>
    </row>
    <row r="2742" spans="4:5" x14ac:dyDescent="0.3">
      <c r="D2742" s="231"/>
      <c r="E2742" s="231"/>
    </row>
    <row r="2743" spans="4:5" x14ac:dyDescent="0.3">
      <c r="D2743" s="231"/>
      <c r="E2743" s="231"/>
    </row>
    <row r="2744" spans="4:5" x14ac:dyDescent="0.3">
      <c r="D2744" s="231"/>
      <c r="E2744" s="231"/>
    </row>
    <row r="2745" spans="4:5" x14ac:dyDescent="0.3">
      <c r="D2745" s="231"/>
      <c r="E2745" s="231"/>
    </row>
    <row r="2746" spans="4:5" x14ac:dyDescent="0.3">
      <c r="D2746" s="231"/>
      <c r="E2746" s="231"/>
    </row>
    <row r="2747" spans="4:5" x14ac:dyDescent="0.3">
      <c r="D2747" s="231"/>
      <c r="E2747" s="231"/>
    </row>
    <row r="2748" spans="4:5" x14ac:dyDescent="0.3">
      <c r="D2748" s="231"/>
      <c r="E2748" s="231"/>
    </row>
    <row r="2749" spans="4:5" x14ac:dyDescent="0.3">
      <c r="D2749" s="231"/>
      <c r="E2749" s="231"/>
    </row>
    <row r="2750" spans="4:5" x14ac:dyDescent="0.3">
      <c r="D2750" s="231"/>
      <c r="E2750" s="231"/>
    </row>
    <row r="2751" spans="4:5" x14ac:dyDescent="0.3">
      <c r="D2751" s="231"/>
      <c r="E2751" s="231"/>
    </row>
    <row r="2752" spans="4:5" x14ac:dyDescent="0.3">
      <c r="D2752" s="231"/>
      <c r="E2752" s="231"/>
    </row>
    <row r="2753" spans="4:5" x14ac:dyDescent="0.3">
      <c r="D2753" s="231"/>
      <c r="E2753" s="231"/>
    </row>
    <row r="2754" spans="4:5" x14ac:dyDescent="0.3">
      <c r="D2754" s="231"/>
      <c r="E2754" s="231"/>
    </row>
    <row r="2755" spans="4:5" x14ac:dyDescent="0.3">
      <c r="D2755" s="231"/>
      <c r="E2755" s="231"/>
    </row>
    <row r="2756" spans="4:5" x14ac:dyDescent="0.3">
      <c r="D2756" s="231"/>
      <c r="E2756" s="231"/>
    </row>
    <row r="2757" spans="4:5" x14ac:dyDescent="0.3">
      <c r="D2757" s="231"/>
      <c r="E2757" s="231"/>
    </row>
    <row r="2758" spans="4:5" x14ac:dyDescent="0.3">
      <c r="D2758" s="231"/>
      <c r="E2758" s="231"/>
    </row>
    <row r="2759" spans="4:5" x14ac:dyDescent="0.3">
      <c r="D2759" s="231"/>
      <c r="E2759" s="231"/>
    </row>
    <row r="2760" spans="4:5" x14ac:dyDescent="0.3">
      <c r="D2760" s="231"/>
      <c r="E2760" s="231"/>
    </row>
    <row r="2761" spans="4:5" x14ac:dyDescent="0.3">
      <c r="D2761" s="231"/>
      <c r="E2761" s="231"/>
    </row>
    <row r="2762" spans="4:5" x14ac:dyDescent="0.3">
      <c r="D2762" s="231"/>
      <c r="E2762" s="231"/>
    </row>
    <row r="2763" spans="4:5" x14ac:dyDescent="0.3">
      <c r="D2763" s="231"/>
      <c r="E2763" s="231"/>
    </row>
    <row r="2764" spans="4:5" x14ac:dyDescent="0.3">
      <c r="D2764" s="231"/>
      <c r="E2764" s="231"/>
    </row>
    <row r="2765" spans="4:5" x14ac:dyDescent="0.3">
      <c r="D2765" s="231"/>
      <c r="E2765" s="231"/>
    </row>
    <row r="2766" spans="4:5" x14ac:dyDescent="0.3">
      <c r="D2766" s="231"/>
      <c r="E2766" s="231"/>
    </row>
    <row r="2767" spans="4:5" x14ac:dyDescent="0.3">
      <c r="D2767" s="231"/>
      <c r="E2767" s="231"/>
    </row>
    <row r="2768" spans="4:5" x14ac:dyDescent="0.3">
      <c r="D2768" s="231"/>
      <c r="E2768" s="231"/>
    </row>
    <row r="2769" spans="4:5" x14ac:dyDescent="0.3">
      <c r="D2769" s="231"/>
      <c r="E2769" s="231"/>
    </row>
    <row r="2770" spans="4:5" x14ac:dyDescent="0.3">
      <c r="D2770" s="231"/>
      <c r="E2770" s="231"/>
    </row>
    <row r="2771" spans="4:5" x14ac:dyDescent="0.3">
      <c r="D2771" s="231"/>
      <c r="E2771" s="231"/>
    </row>
    <row r="2772" spans="4:5" x14ac:dyDescent="0.3">
      <c r="D2772" s="231"/>
      <c r="E2772" s="231"/>
    </row>
    <row r="2773" spans="4:5" x14ac:dyDescent="0.3">
      <c r="D2773" s="231"/>
      <c r="E2773" s="231"/>
    </row>
    <row r="2774" spans="4:5" x14ac:dyDescent="0.3">
      <c r="D2774" s="231"/>
      <c r="E2774" s="231"/>
    </row>
    <row r="2775" spans="4:5" x14ac:dyDescent="0.3">
      <c r="D2775" s="231"/>
      <c r="E2775" s="231"/>
    </row>
    <row r="2776" spans="4:5" x14ac:dyDescent="0.3">
      <c r="D2776" s="231"/>
      <c r="E2776" s="231"/>
    </row>
    <row r="2777" spans="4:5" x14ac:dyDescent="0.3">
      <c r="D2777" s="231"/>
      <c r="E2777" s="231"/>
    </row>
    <row r="2778" spans="4:5" x14ac:dyDescent="0.3">
      <c r="D2778" s="231"/>
      <c r="E2778" s="231"/>
    </row>
    <row r="2779" spans="4:5" x14ac:dyDescent="0.3">
      <c r="D2779" s="231"/>
      <c r="E2779" s="231"/>
    </row>
    <row r="2780" spans="4:5" x14ac:dyDescent="0.3">
      <c r="D2780" s="231"/>
      <c r="E2780" s="231"/>
    </row>
    <row r="2781" spans="4:5" x14ac:dyDescent="0.3">
      <c r="D2781" s="231"/>
      <c r="E2781" s="231"/>
    </row>
    <row r="2782" spans="4:5" x14ac:dyDescent="0.3">
      <c r="D2782" s="231"/>
      <c r="E2782" s="231"/>
    </row>
    <row r="2783" spans="4:5" x14ac:dyDescent="0.3">
      <c r="D2783" s="231"/>
      <c r="E2783" s="231"/>
    </row>
    <row r="2784" spans="4:5" x14ac:dyDescent="0.3">
      <c r="D2784" s="231"/>
      <c r="E2784" s="231"/>
    </row>
    <row r="2785" spans="4:5" x14ac:dyDescent="0.3">
      <c r="D2785" s="231"/>
      <c r="E2785" s="231"/>
    </row>
    <row r="2786" spans="4:5" x14ac:dyDescent="0.3">
      <c r="D2786" s="231"/>
      <c r="E2786" s="231"/>
    </row>
    <row r="2787" spans="4:5" x14ac:dyDescent="0.3">
      <c r="D2787" s="231"/>
      <c r="E2787" s="231"/>
    </row>
    <row r="2788" spans="4:5" x14ac:dyDescent="0.3">
      <c r="D2788" s="231"/>
      <c r="E2788" s="231"/>
    </row>
    <row r="2789" spans="4:5" x14ac:dyDescent="0.3">
      <c r="D2789" s="231"/>
      <c r="E2789" s="231"/>
    </row>
    <row r="2790" spans="4:5" x14ac:dyDescent="0.3">
      <c r="D2790" s="231"/>
      <c r="E2790" s="231"/>
    </row>
    <row r="2791" spans="4:5" x14ac:dyDescent="0.3">
      <c r="D2791" s="231"/>
      <c r="E2791" s="231"/>
    </row>
    <row r="2792" spans="4:5" x14ac:dyDescent="0.3">
      <c r="D2792" s="231"/>
      <c r="E2792" s="231"/>
    </row>
    <row r="2793" spans="4:5" x14ac:dyDescent="0.3">
      <c r="D2793" s="231"/>
      <c r="E2793" s="231"/>
    </row>
    <row r="2794" spans="4:5" x14ac:dyDescent="0.3">
      <c r="D2794" s="231"/>
      <c r="E2794" s="231"/>
    </row>
    <row r="2795" spans="4:5" x14ac:dyDescent="0.3">
      <c r="D2795" s="231"/>
      <c r="E2795" s="231"/>
    </row>
    <row r="2796" spans="4:5" x14ac:dyDescent="0.3">
      <c r="D2796" s="231"/>
      <c r="E2796" s="231"/>
    </row>
    <row r="2797" spans="4:5" x14ac:dyDescent="0.3">
      <c r="D2797" s="231"/>
      <c r="E2797" s="231"/>
    </row>
    <row r="2798" spans="4:5" x14ac:dyDescent="0.3">
      <c r="D2798" s="231"/>
      <c r="E2798" s="231"/>
    </row>
    <row r="2799" spans="4:5" x14ac:dyDescent="0.3">
      <c r="D2799" s="231"/>
      <c r="E2799" s="231"/>
    </row>
    <row r="2800" spans="4:5" x14ac:dyDescent="0.3">
      <c r="D2800" s="231"/>
      <c r="E2800" s="231"/>
    </row>
    <row r="2801" spans="4:5" x14ac:dyDescent="0.3">
      <c r="D2801" s="231"/>
      <c r="E2801" s="231"/>
    </row>
    <row r="2802" spans="4:5" x14ac:dyDescent="0.3">
      <c r="D2802" s="231"/>
      <c r="E2802" s="231"/>
    </row>
    <row r="2803" spans="4:5" x14ac:dyDescent="0.3">
      <c r="D2803" s="231"/>
      <c r="E2803" s="231"/>
    </row>
    <row r="2804" spans="4:5" x14ac:dyDescent="0.3">
      <c r="D2804" s="231"/>
      <c r="E2804" s="231"/>
    </row>
    <row r="2805" spans="4:5" x14ac:dyDescent="0.3">
      <c r="D2805" s="231"/>
      <c r="E2805" s="231"/>
    </row>
    <row r="2806" spans="4:5" x14ac:dyDescent="0.3">
      <c r="D2806" s="231"/>
      <c r="E2806" s="231"/>
    </row>
    <row r="2807" spans="4:5" x14ac:dyDescent="0.3">
      <c r="D2807" s="231"/>
      <c r="E2807" s="231"/>
    </row>
    <row r="2808" spans="4:5" x14ac:dyDescent="0.3">
      <c r="D2808" s="231"/>
      <c r="E2808" s="231"/>
    </row>
    <row r="2809" spans="4:5" x14ac:dyDescent="0.3">
      <c r="D2809" s="231"/>
      <c r="E2809" s="231"/>
    </row>
    <row r="2810" spans="4:5" x14ac:dyDescent="0.3">
      <c r="D2810" s="231"/>
      <c r="E2810" s="231"/>
    </row>
    <row r="2811" spans="4:5" x14ac:dyDescent="0.3">
      <c r="D2811" s="231"/>
      <c r="E2811" s="231"/>
    </row>
  </sheetData>
  <mergeCells count="1">
    <mergeCell ref="A1:M1"/>
  </mergeCells>
  <conditionalFormatting sqref="P1:P1048576">
    <cfRule type="colorScale" priority="2">
      <colorScale>
        <cfvo type="min"/>
        <cfvo type="max"/>
        <color theme="0"/>
        <color theme="0"/>
      </colorScale>
    </cfRule>
  </conditionalFormatting>
  <pageMargins left="0" right="0" top="0" bottom="0" header="0.31496062992125984" footer="0.31496062992125984"/>
  <pageSetup scale="25" fitToHeight="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3" r:id="rId4" name="ListBox1">
          <controlPr defaultSize="0" autoLine="0" r:id="rId5">
            <anchor moveWithCells="1">
              <from>
                <xdr:col>37</xdr:col>
                <xdr:colOff>327660</xdr:colOff>
                <xdr:row>0</xdr:row>
                <xdr:rowOff>0</xdr:rowOff>
              </from>
              <to>
                <xdr:col>43</xdr:col>
                <xdr:colOff>480060</xdr:colOff>
                <xdr:row>5</xdr:row>
                <xdr:rowOff>121920</xdr:rowOff>
              </to>
            </anchor>
          </controlPr>
        </control>
      </mc:Choice>
      <mc:Fallback>
        <control shapeId="5126" r:id="rId4" name="ListBox1"/>
      </mc:Fallback>
    </mc:AlternateContent>
    <mc:AlternateContent xmlns:mc="http://schemas.openxmlformats.org/markup-compatibility/2006">
      <mc:Choice Requires="x14">
        <control shapeId="4" r:id="rId6" name="TextBox1">
          <controlPr defaultSize="0" autoLine="0" r:id="rId7">
            <anchor moveWithCells="1">
              <from>
                <xdr:col>11</xdr:col>
                <xdr:colOff>754380</xdr:colOff>
                <xdr:row>0</xdr:row>
                <xdr:rowOff>22860</xdr:rowOff>
              </from>
              <to>
                <xdr:col>12</xdr:col>
                <xdr:colOff>388620</xdr:colOff>
                <xdr:row>0</xdr:row>
                <xdr:rowOff>312420</xdr:rowOff>
              </to>
            </anchor>
          </controlPr>
        </control>
      </mc:Choice>
      <mc:Fallback>
        <control shapeId="5124" r:id="rId6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9"/>
  <sheetViews>
    <sheetView topLeftCell="C1" zoomScale="73" zoomScaleNormal="73" workbookViewId="0">
      <pane ySplit="6" topLeftCell="A22" activePane="bottomLeft" state="frozen"/>
      <selection pane="bottomLeft" activeCell="C36" sqref="C36:M36"/>
    </sheetView>
  </sheetViews>
  <sheetFormatPr baseColWidth="10" defaultColWidth="11.5546875" defaultRowHeight="14.4" x14ac:dyDescent="0.3"/>
  <cols>
    <col min="1" max="1" width="14.6640625" style="4" hidden="1" customWidth="1"/>
    <col min="2" max="2" width="50.33203125" style="4" bestFit="1" customWidth="1"/>
    <col min="3" max="3" width="29.88671875" style="4" customWidth="1"/>
    <col min="4" max="4" width="35.33203125" style="3" customWidth="1"/>
    <col min="5" max="5" width="52.88671875" style="3" customWidth="1"/>
    <col min="6" max="6" width="12.5546875" style="4" bestFit="1" customWidth="1"/>
    <col min="7" max="7" width="24.109375" style="4" customWidth="1"/>
    <col min="8" max="8" width="18.33203125" style="4" customWidth="1"/>
    <col min="9" max="9" width="39.33203125" style="4" customWidth="1"/>
    <col min="10" max="10" width="23.5546875" style="4" customWidth="1"/>
    <col min="11" max="11" width="13.33203125" style="4" customWidth="1"/>
    <col min="12" max="12" width="10.109375" style="4" bestFit="1" customWidth="1"/>
    <col min="13" max="13" width="15.88671875" style="4" bestFit="1" customWidth="1"/>
    <col min="14" max="14" width="10.109375" style="4" bestFit="1" customWidth="1"/>
    <col min="15" max="15" width="28.6640625" style="4" bestFit="1" customWidth="1"/>
    <col min="16" max="16" width="10.109375" style="4" bestFit="1" customWidth="1"/>
    <col min="17" max="17" width="29.33203125" style="4" bestFit="1" customWidth="1"/>
    <col min="18" max="18" width="10.88671875" style="4" bestFit="1" customWidth="1"/>
    <col min="19" max="19" width="29.33203125" style="4" bestFit="1" customWidth="1"/>
    <col min="20" max="20" width="10.109375" style="4" bestFit="1" customWidth="1"/>
    <col min="21" max="21" width="14.5546875" style="4" customWidth="1"/>
    <col min="22" max="16384" width="11.5546875" style="4"/>
  </cols>
  <sheetData>
    <row r="1" spans="1:22" ht="14.4" customHeight="1" x14ac:dyDescent="0.3">
      <c r="C1"/>
      <c r="D1" s="5"/>
      <c r="E1" s="5"/>
    </row>
    <row r="2" spans="1:22" ht="14.4" customHeight="1" x14ac:dyDescent="0.3">
      <c r="C2" t="e">
        <f>IF(A2='Suivi de commande'!#REF!,"")</f>
        <v>#REF!</v>
      </c>
      <c r="D2" s="5"/>
      <c r="E2" s="5"/>
    </row>
    <row r="3" spans="1:22" ht="14.4" customHeight="1" x14ac:dyDescent="0.3">
      <c r="C3"/>
      <c r="D3" s="5"/>
      <c r="E3" s="5"/>
    </row>
    <row r="4" spans="1:22" x14ac:dyDescent="0.3">
      <c r="C4"/>
      <c r="D4" s="2"/>
      <c r="E4" s="2"/>
    </row>
    <row r="5" spans="1:22" x14ac:dyDescent="0.3">
      <c r="C5" s="1"/>
      <c r="D5" s="2"/>
      <c r="E5" s="2"/>
    </row>
    <row r="6" spans="1:22" ht="42" customHeight="1" x14ac:dyDescent="0.35">
      <c r="A6" s="141" t="s">
        <v>2</v>
      </c>
      <c r="B6" s="110" t="s">
        <v>179</v>
      </c>
      <c r="C6" s="110" t="s">
        <v>3</v>
      </c>
      <c r="D6" s="111" t="s">
        <v>4</v>
      </c>
      <c r="E6" s="111" t="s">
        <v>5</v>
      </c>
      <c r="F6" s="110" t="s">
        <v>6</v>
      </c>
      <c r="G6" s="110" t="s">
        <v>0</v>
      </c>
      <c r="H6" s="110" t="s">
        <v>7</v>
      </c>
      <c r="I6" s="110" t="s">
        <v>8</v>
      </c>
      <c r="J6" s="110" t="s">
        <v>9</v>
      </c>
      <c r="K6" s="110" t="s">
        <v>10</v>
      </c>
      <c r="L6" s="110" t="s">
        <v>72</v>
      </c>
      <c r="M6" s="110" t="s">
        <v>145</v>
      </c>
      <c r="N6" s="44"/>
      <c r="O6" s="44"/>
      <c r="P6" s="44"/>
      <c r="Q6" s="44"/>
      <c r="R6" s="44"/>
      <c r="S6" s="44"/>
      <c r="T6" s="44"/>
      <c r="U6" s="44"/>
      <c r="V6" s="43"/>
    </row>
    <row r="7" spans="1:22" ht="18" x14ac:dyDescent="0.35">
      <c r="A7" s="125">
        <f>WEEKNUM(J7)</f>
        <v>0</v>
      </c>
      <c r="B7" s="112"/>
      <c r="C7" s="113"/>
      <c r="D7" s="113"/>
      <c r="E7" s="232"/>
      <c r="F7" s="232"/>
      <c r="G7" s="113"/>
      <c r="H7" s="113"/>
      <c r="I7" s="119"/>
      <c r="J7" s="114"/>
      <c r="K7" s="46"/>
      <c r="L7" s="46"/>
      <c r="M7" s="46"/>
      <c r="N7" s="41"/>
      <c r="O7" s="41"/>
      <c r="P7" s="41"/>
      <c r="Q7" s="41"/>
      <c r="R7" s="41"/>
      <c r="S7" s="41"/>
      <c r="T7" s="41"/>
      <c r="U7" s="41"/>
    </row>
    <row r="8" spans="1:22" ht="18" x14ac:dyDescent="0.35">
      <c r="A8" s="125">
        <f t="shared" ref="A8:A25" si="0">WEEKNUM(J8)</f>
        <v>0</v>
      </c>
      <c r="B8" s="112"/>
      <c r="C8" s="113"/>
      <c r="D8" s="113"/>
      <c r="E8" s="232"/>
      <c r="F8" s="232"/>
      <c r="G8" s="113"/>
      <c r="H8" s="113"/>
      <c r="I8" s="119"/>
      <c r="J8" s="114"/>
      <c r="K8" s="46"/>
      <c r="L8" s="46"/>
      <c r="M8" s="46"/>
      <c r="N8" s="40"/>
      <c r="O8" s="40"/>
      <c r="P8" s="40"/>
      <c r="Q8" s="40"/>
      <c r="R8" s="40"/>
      <c r="S8" s="40"/>
      <c r="T8" s="42"/>
      <c r="U8" s="42"/>
    </row>
    <row r="9" spans="1:22" ht="18" x14ac:dyDescent="0.35">
      <c r="A9" s="125">
        <f t="shared" si="0"/>
        <v>0</v>
      </c>
      <c r="B9" s="112"/>
      <c r="C9" s="113"/>
      <c r="D9" s="113"/>
      <c r="E9" s="232"/>
      <c r="F9" s="232"/>
      <c r="G9" s="113"/>
      <c r="H9" s="113"/>
      <c r="I9" s="119"/>
      <c r="J9" s="114"/>
      <c r="K9" s="46"/>
      <c r="L9" s="46"/>
      <c r="M9" s="46"/>
      <c r="N9" s="40"/>
      <c r="O9" s="40"/>
      <c r="P9" s="40"/>
      <c r="Q9" s="40"/>
      <c r="R9" s="40"/>
      <c r="S9" s="42"/>
      <c r="T9" s="42"/>
    </row>
    <row r="10" spans="1:22" ht="18" x14ac:dyDescent="0.35">
      <c r="A10" s="125">
        <f t="shared" si="0"/>
        <v>0</v>
      </c>
      <c r="B10" s="112"/>
      <c r="C10" s="113"/>
      <c r="D10" s="113"/>
      <c r="E10" s="232"/>
      <c r="F10" s="232"/>
      <c r="G10" s="113"/>
      <c r="H10" s="113"/>
      <c r="I10" s="119"/>
      <c r="J10" s="114"/>
      <c r="K10" s="46"/>
      <c r="L10" s="46"/>
      <c r="M10" s="46"/>
      <c r="N10" s="40"/>
      <c r="O10" s="40"/>
      <c r="P10" s="40"/>
      <c r="Q10" s="40"/>
      <c r="R10" s="40"/>
      <c r="S10" s="40"/>
      <c r="T10" s="42"/>
      <c r="U10" s="42"/>
    </row>
    <row r="11" spans="1:22" ht="21" customHeight="1" x14ac:dyDescent="0.35">
      <c r="A11" s="125">
        <f t="shared" si="0"/>
        <v>0</v>
      </c>
      <c r="B11" s="112"/>
      <c r="C11" s="113"/>
      <c r="D11" s="113"/>
      <c r="E11" s="232"/>
      <c r="F11" s="232"/>
      <c r="G11" s="113"/>
      <c r="H11" s="113"/>
      <c r="I11" s="119"/>
      <c r="J11" s="114"/>
      <c r="K11" s="46"/>
      <c r="L11" s="46"/>
      <c r="M11" s="46"/>
      <c r="N11" s="40"/>
      <c r="O11" s="40"/>
      <c r="P11" s="40"/>
      <c r="Q11" s="40"/>
      <c r="R11" s="40"/>
      <c r="S11" s="40"/>
      <c r="T11" s="42"/>
      <c r="U11" s="42"/>
    </row>
    <row r="12" spans="1:22" ht="21" customHeight="1" x14ac:dyDescent="0.35">
      <c r="A12" s="125">
        <f t="shared" si="0"/>
        <v>0</v>
      </c>
      <c r="B12" s="112"/>
      <c r="C12" s="113"/>
      <c r="D12" s="113"/>
      <c r="E12" s="232"/>
      <c r="F12" s="232"/>
      <c r="G12" s="113"/>
      <c r="H12" s="113"/>
      <c r="I12" s="119"/>
      <c r="J12" s="114"/>
      <c r="K12" s="46"/>
      <c r="L12" s="46"/>
      <c r="M12" s="46"/>
      <c r="N12" s="40"/>
      <c r="O12" s="40"/>
      <c r="P12" s="40"/>
      <c r="Q12" s="40"/>
      <c r="R12" s="40"/>
      <c r="S12" s="40"/>
      <c r="T12" s="42"/>
      <c r="U12" s="42"/>
    </row>
    <row r="13" spans="1:22" ht="21" customHeight="1" x14ac:dyDescent="0.35">
      <c r="A13" s="125">
        <f t="shared" si="0"/>
        <v>0</v>
      </c>
      <c r="B13" s="112"/>
      <c r="C13" s="113"/>
      <c r="D13" s="113"/>
      <c r="E13" s="232"/>
      <c r="F13" s="232"/>
      <c r="G13" s="113"/>
      <c r="H13" s="113"/>
      <c r="I13" s="119"/>
      <c r="J13" s="114"/>
      <c r="K13" s="46"/>
      <c r="L13" s="46"/>
      <c r="M13" s="46"/>
      <c r="N13" s="40"/>
      <c r="O13" s="40"/>
      <c r="P13" s="40"/>
      <c r="Q13" s="40"/>
      <c r="R13" s="40"/>
      <c r="S13" s="40"/>
      <c r="T13" s="42"/>
      <c r="U13" s="42"/>
    </row>
    <row r="14" spans="1:22" ht="21" customHeight="1" x14ac:dyDescent="0.35">
      <c r="A14" s="125">
        <f t="shared" si="0"/>
        <v>0</v>
      </c>
      <c r="B14" s="112"/>
      <c r="C14" s="113"/>
      <c r="D14" s="113"/>
      <c r="E14" s="232"/>
      <c r="F14" s="232"/>
      <c r="G14" s="113"/>
      <c r="H14" s="113"/>
      <c r="I14" s="119"/>
      <c r="J14" s="114"/>
      <c r="K14" s="46"/>
      <c r="L14" s="46"/>
      <c r="M14" s="46"/>
      <c r="N14" s="40"/>
      <c r="O14" s="40"/>
      <c r="P14" s="40"/>
      <c r="Q14" s="40"/>
      <c r="R14" s="40"/>
      <c r="S14" s="40"/>
      <c r="T14" s="42"/>
      <c r="U14" s="42"/>
    </row>
    <row r="15" spans="1:22" ht="21" customHeight="1" x14ac:dyDescent="0.35">
      <c r="A15" s="125">
        <f t="shared" si="0"/>
        <v>0</v>
      </c>
      <c r="B15" s="112"/>
      <c r="C15" s="113"/>
      <c r="D15" s="113"/>
      <c r="E15" s="232"/>
      <c r="F15" s="232"/>
      <c r="G15" s="113"/>
      <c r="H15" s="113"/>
      <c r="I15" s="119"/>
      <c r="J15" s="114"/>
      <c r="K15" s="46"/>
      <c r="L15" s="46"/>
      <c r="M15" s="46"/>
      <c r="N15" s="40"/>
      <c r="O15" s="40"/>
      <c r="P15" s="40"/>
      <c r="Q15" s="40"/>
      <c r="R15" s="40"/>
      <c r="S15" s="40"/>
      <c r="T15" s="42"/>
      <c r="U15" s="42"/>
    </row>
    <row r="16" spans="1:22" ht="18" x14ac:dyDescent="0.35">
      <c r="A16" s="125">
        <f t="shared" si="0"/>
        <v>0</v>
      </c>
      <c r="B16" s="112"/>
      <c r="C16" s="113"/>
      <c r="D16" s="113"/>
      <c r="E16" s="232"/>
      <c r="F16" s="232"/>
      <c r="G16" s="113"/>
      <c r="H16" s="113"/>
      <c r="I16" s="119"/>
      <c r="J16" s="114"/>
      <c r="K16" s="46"/>
      <c r="L16" s="46"/>
      <c r="M16" s="46"/>
      <c r="N16" s="40"/>
      <c r="O16" s="40"/>
      <c r="P16" s="40"/>
      <c r="Q16" s="40"/>
      <c r="R16" s="40"/>
      <c r="S16" s="40"/>
      <c r="T16" s="42"/>
      <c r="U16" s="42"/>
    </row>
    <row r="17" spans="1:21" ht="18" x14ac:dyDescent="0.35">
      <c r="A17" s="125">
        <f t="shared" si="0"/>
        <v>0</v>
      </c>
      <c r="B17" s="112"/>
      <c r="C17" s="113"/>
      <c r="D17" s="113"/>
      <c r="E17" s="232"/>
      <c r="F17" s="232"/>
      <c r="G17" s="113"/>
      <c r="H17" s="113"/>
      <c r="I17" s="119"/>
      <c r="J17" s="114"/>
      <c r="K17" s="46"/>
      <c r="L17" s="46"/>
      <c r="M17" s="46"/>
      <c r="N17" s="40"/>
      <c r="O17" s="40"/>
      <c r="P17" s="40"/>
      <c r="Q17" s="40"/>
      <c r="R17" s="40"/>
      <c r="S17" s="40"/>
      <c r="T17" s="42"/>
      <c r="U17" s="42"/>
    </row>
    <row r="18" spans="1:21" ht="18" x14ac:dyDescent="0.35">
      <c r="A18" s="125">
        <f t="shared" si="0"/>
        <v>0</v>
      </c>
      <c r="B18" s="112"/>
      <c r="C18" s="113"/>
      <c r="D18" s="113"/>
      <c r="E18" s="232"/>
      <c r="F18" s="232"/>
      <c r="G18" s="113"/>
      <c r="H18" s="113"/>
      <c r="I18" s="119"/>
      <c r="J18" s="114"/>
      <c r="K18" s="46"/>
      <c r="L18" s="46"/>
      <c r="M18" s="46"/>
      <c r="N18" s="40"/>
      <c r="O18" s="40"/>
      <c r="P18" s="40"/>
      <c r="Q18" s="40"/>
      <c r="R18" s="40"/>
      <c r="S18" s="40"/>
      <c r="T18" s="42"/>
      <c r="U18" s="42"/>
    </row>
    <row r="19" spans="1:21" ht="18" x14ac:dyDescent="0.35">
      <c r="A19" s="125">
        <f t="shared" si="0"/>
        <v>0</v>
      </c>
      <c r="B19" s="112"/>
      <c r="C19" s="113"/>
      <c r="D19" s="113"/>
      <c r="E19" s="232"/>
      <c r="F19" s="232"/>
      <c r="G19" s="113"/>
      <c r="H19" s="113"/>
      <c r="I19" s="119"/>
      <c r="J19" s="114"/>
      <c r="K19" s="46"/>
      <c r="L19" s="46"/>
      <c r="M19" s="46"/>
      <c r="N19" s="40"/>
      <c r="O19" s="40"/>
      <c r="P19" s="40"/>
      <c r="Q19" s="40"/>
      <c r="R19" s="40"/>
      <c r="S19" s="40"/>
      <c r="T19" s="42"/>
      <c r="U19" s="42"/>
    </row>
    <row r="20" spans="1:21" ht="18" x14ac:dyDescent="0.35">
      <c r="A20" s="125">
        <f t="shared" si="0"/>
        <v>0</v>
      </c>
      <c r="B20" s="112"/>
      <c r="C20" s="113"/>
      <c r="D20" s="113"/>
      <c r="E20" s="232"/>
      <c r="F20" s="232"/>
      <c r="G20" s="113"/>
      <c r="H20" s="113"/>
      <c r="I20" s="119"/>
      <c r="J20" s="114"/>
      <c r="K20" s="46"/>
      <c r="L20" s="46"/>
      <c r="M20" s="46"/>
      <c r="N20" s="40"/>
      <c r="O20" s="40"/>
      <c r="P20" s="40"/>
      <c r="Q20" s="40"/>
      <c r="R20" s="40"/>
      <c r="S20" s="40"/>
      <c r="T20" s="42"/>
      <c r="U20" s="42"/>
    </row>
    <row r="21" spans="1:21" ht="18" x14ac:dyDescent="0.35">
      <c r="A21" s="125">
        <f t="shared" si="0"/>
        <v>0</v>
      </c>
      <c r="B21" s="112"/>
      <c r="C21" s="113"/>
      <c r="D21" s="113"/>
      <c r="E21" s="232"/>
      <c r="F21" s="232"/>
      <c r="G21" s="113"/>
      <c r="H21" s="113"/>
      <c r="I21" s="119"/>
      <c r="J21" s="114"/>
      <c r="K21" s="46"/>
      <c r="L21" s="46"/>
      <c r="M21" s="46"/>
      <c r="N21" s="41"/>
      <c r="O21" s="41"/>
      <c r="P21" s="41"/>
      <c r="Q21" s="41"/>
      <c r="R21" s="41"/>
      <c r="S21" s="41"/>
      <c r="T21" s="41"/>
      <c r="U21" s="41"/>
    </row>
    <row r="22" spans="1:21" ht="17.399999999999999" customHeight="1" x14ac:dyDescent="0.35">
      <c r="A22" s="125">
        <f t="shared" si="0"/>
        <v>0</v>
      </c>
      <c r="B22" s="112"/>
      <c r="C22" s="113"/>
      <c r="D22" s="113"/>
      <c r="E22" s="232"/>
      <c r="F22" s="232"/>
      <c r="G22" s="113"/>
      <c r="H22" s="113"/>
      <c r="I22" s="119"/>
      <c r="J22" s="114"/>
      <c r="K22" s="46"/>
      <c r="L22" s="46"/>
      <c r="M22" s="46"/>
      <c r="N22" s="39"/>
      <c r="O22" s="39"/>
      <c r="P22" s="39"/>
      <c r="Q22" s="39"/>
      <c r="R22" s="40"/>
      <c r="S22" s="40"/>
    </row>
    <row r="23" spans="1:21" s="45" customFormat="1" ht="17.399999999999999" customHeight="1" x14ac:dyDescent="0.3">
      <c r="A23" s="125">
        <f t="shared" si="0"/>
        <v>0</v>
      </c>
      <c r="B23" s="112"/>
      <c r="C23" s="113"/>
      <c r="D23" s="113"/>
      <c r="E23" s="232"/>
      <c r="F23" s="232"/>
      <c r="G23" s="113"/>
      <c r="H23" s="113"/>
      <c r="I23" s="113"/>
      <c r="J23" s="145"/>
      <c r="K23" s="46"/>
      <c r="L23" s="46"/>
      <c r="M23" s="46"/>
    </row>
    <row r="24" spans="1:21" s="45" customFormat="1" ht="14.4" customHeight="1" x14ac:dyDescent="0.3">
      <c r="A24" s="125">
        <f t="shared" si="0"/>
        <v>0</v>
      </c>
      <c r="B24" s="112"/>
      <c r="C24" s="113"/>
      <c r="D24" s="113"/>
      <c r="E24" s="232"/>
      <c r="F24" s="232"/>
      <c r="G24" s="113"/>
      <c r="H24" s="113"/>
      <c r="I24" s="113"/>
      <c r="J24" s="145"/>
      <c r="K24" s="46"/>
      <c r="L24" s="146"/>
      <c r="M24" s="46"/>
    </row>
    <row r="25" spans="1:21" s="45" customFormat="1" ht="16.2" customHeight="1" x14ac:dyDescent="0.3">
      <c r="A25" s="125">
        <f t="shared" si="0"/>
        <v>0</v>
      </c>
      <c r="B25" s="112"/>
      <c r="C25" s="113"/>
      <c r="D25" s="113"/>
      <c r="E25" s="232"/>
      <c r="F25" s="232"/>
      <c r="G25" s="113"/>
      <c r="H25" s="113"/>
      <c r="I25" s="113"/>
      <c r="J25" s="145"/>
      <c r="K25" s="46"/>
      <c r="L25" s="146"/>
      <c r="M25" s="46"/>
    </row>
    <row r="26" spans="1:21" ht="16.2" customHeight="1" x14ac:dyDescent="0.3">
      <c r="A26" s="125">
        <f>WEEKNUM(J25)</f>
        <v>0</v>
      </c>
      <c r="B26" s="112"/>
      <c r="C26" s="113"/>
      <c r="D26" s="113"/>
      <c r="E26" s="232"/>
      <c r="F26" s="232"/>
      <c r="G26" s="113"/>
      <c r="H26" s="113"/>
      <c r="I26" s="113"/>
      <c r="J26" s="145"/>
      <c r="K26" s="46"/>
      <c r="L26" s="146"/>
      <c r="M26" s="46"/>
    </row>
    <row r="27" spans="1:21" x14ac:dyDescent="0.3">
      <c r="A27" s="143" t="s">
        <v>1</v>
      </c>
      <c r="B27" s="144"/>
      <c r="C27" s="149"/>
      <c r="D27" s="144"/>
      <c r="E27" s="144"/>
      <c r="F27" s="144"/>
      <c r="G27" s="144"/>
      <c r="H27" s="144"/>
      <c r="I27" s="144"/>
      <c r="J27" s="149"/>
      <c r="K27" s="148"/>
      <c r="L27" s="147"/>
      <c r="M27" s="144"/>
    </row>
    <row r="28" spans="1:21" ht="18" x14ac:dyDescent="0.3">
      <c r="C28" s="142"/>
      <c r="H28" s="110"/>
      <c r="I28" s="4" t="s">
        <v>1</v>
      </c>
      <c r="J28" s="142"/>
      <c r="K28" s="142"/>
    </row>
    <row r="29" spans="1:21" ht="18" x14ac:dyDescent="0.3">
      <c r="A29" s="110" t="s">
        <v>2</v>
      </c>
      <c r="B29" s="110" t="s">
        <v>179</v>
      </c>
      <c r="C29" s="110" t="s">
        <v>3</v>
      </c>
      <c r="D29" s="111" t="s">
        <v>4</v>
      </c>
      <c r="E29" s="111" t="s">
        <v>5</v>
      </c>
      <c r="F29" s="110" t="s">
        <v>6</v>
      </c>
      <c r="G29" s="110" t="s">
        <v>0</v>
      </c>
      <c r="H29" s="110" t="s">
        <v>7</v>
      </c>
      <c r="I29" s="110" t="s">
        <v>8</v>
      </c>
      <c r="J29" s="110" t="s">
        <v>9</v>
      </c>
      <c r="K29" s="110" t="s">
        <v>10</v>
      </c>
      <c r="L29" s="110" t="s">
        <v>72</v>
      </c>
      <c r="M29" s="110" t="s">
        <v>145</v>
      </c>
    </row>
    <row r="30" spans="1:21" ht="18" x14ac:dyDescent="0.35">
      <c r="A30" s="121">
        <v>23</v>
      </c>
      <c r="B30" s="120" t="s">
        <v>146</v>
      </c>
      <c r="C30" s="123"/>
      <c r="D30" s="115">
        <v>1</v>
      </c>
      <c r="E30" s="123"/>
      <c r="F30" s="123"/>
      <c r="G30" s="123"/>
      <c r="H30" s="123"/>
      <c r="I30" s="124"/>
      <c r="J30" s="116">
        <v>43252</v>
      </c>
      <c r="K30" s="118"/>
      <c r="L30" s="118"/>
      <c r="M30" s="118"/>
    </row>
    <row r="31" spans="1:21" ht="14.4" customHeight="1" x14ac:dyDescent="0.35">
      <c r="A31" s="126">
        <v>24</v>
      </c>
      <c r="B31" s="120" t="s">
        <v>147</v>
      </c>
      <c r="C31" s="123"/>
      <c r="D31" s="115">
        <v>1</v>
      </c>
      <c r="E31" s="123"/>
      <c r="F31" s="123"/>
      <c r="G31" s="123"/>
      <c r="H31" s="123"/>
      <c r="I31" s="124"/>
      <c r="J31" s="116">
        <v>43252</v>
      </c>
      <c r="K31" s="118"/>
      <c r="L31" s="118"/>
      <c r="M31" s="118"/>
    </row>
    <row r="32" spans="1:21" ht="14.4" customHeight="1" x14ac:dyDescent="0.35">
      <c r="A32" s="121">
        <v>25</v>
      </c>
      <c r="B32" s="120" t="s">
        <v>148</v>
      </c>
      <c r="C32" s="123"/>
      <c r="D32" s="115">
        <v>1</v>
      </c>
      <c r="E32" s="123"/>
      <c r="F32" s="123"/>
      <c r="G32" s="123"/>
      <c r="H32" s="123"/>
      <c r="I32" s="124">
        <v>0</v>
      </c>
      <c r="J32" s="116">
        <v>43252</v>
      </c>
      <c r="K32" s="118"/>
      <c r="L32" s="118"/>
      <c r="M32" s="118"/>
    </row>
    <row r="33" spans="1:13" ht="14.4" customHeight="1" x14ac:dyDescent="0.35">
      <c r="A33" s="121">
        <v>26</v>
      </c>
      <c r="B33" s="120" t="s">
        <v>149</v>
      </c>
      <c r="C33" s="123"/>
      <c r="D33" s="115">
        <v>1</v>
      </c>
      <c r="E33" s="123"/>
      <c r="F33" s="123"/>
      <c r="G33" s="123"/>
      <c r="H33" s="123"/>
      <c r="I33" s="124">
        <v>0</v>
      </c>
      <c r="J33" s="116">
        <v>43252</v>
      </c>
      <c r="K33" s="117"/>
      <c r="L33" s="117"/>
      <c r="M33" s="117"/>
    </row>
    <row r="34" spans="1:13" ht="14.4" customHeight="1" x14ac:dyDescent="0.35">
      <c r="A34" s="121">
        <v>27</v>
      </c>
      <c r="B34" s="120" t="s">
        <v>150</v>
      </c>
      <c r="C34" s="123"/>
      <c r="D34" s="115">
        <v>1</v>
      </c>
      <c r="E34" s="123"/>
      <c r="F34" s="123"/>
      <c r="G34" s="123"/>
      <c r="H34" s="123"/>
      <c r="I34" s="124">
        <v>0</v>
      </c>
      <c r="J34" s="116">
        <v>43282</v>
      </c>
      <c r="K34" s="117"/>
      <c r="L34" s="117"/>
      <c r="M34" s="117"/>
    </row>
    <row r="35" spans="1:13" ht="14.4" customHeight="1" x14ac:dyDescent="0.35">
      <c r="A35" s="121">
        <v>28</v>
      </c>
      <c r="B35" s="120" t="s">
        <v>151</v>
      </c>
      <c r="C35" s="123"/>
      <c r="D35" s="115">
        <v>1</v>
      </c>
      <c r="E35" s="123"/>
      <c r="F35" s="123"/>
      <c r="G35" s="123"/>
      <c r="H35" s="123"/>
      <c r="I35" s="124">
        <v>0</v>
      </c>
      <c r="J35" s="116">
        <v>43282</v>
      </c>
      <c r="K35" s="117"/>
      <c r="L35" s="117"/>
      <c r="M35" s="117"/>
    </row>
    <row r="36" spans="1:13" ht="14.4" customHeight="1" x14ac:dyDescent="0.35">
      <c r="A36" s="121">
        <v>29</v>
      </c>
      <c r="B36" s="120" t="s">
        <v>152</v>
      </c>
      <c r="C36" s="123"/>
      <c r="D36" s="115">
        <v>1</v>
      </c>
      <c r="E36" s="123"/>
      <c r="F36" s="123"/>
      <c r="G36" s="123"/>
      <c r="H36" s="123"/>
      <c r="I36" s="124">
        <v>0</v>
      </c>
      <c r="J36" s="116">
        <v>43282</v>
      </c>
      <c r="K36" s="117"/>
      <c r="L36" s="117"/>
      <c r="M36" s="117"/>
    </row>
    <row r="37" spans="1:13" ht="14.4" customHeight="1" x14ac:dyDescent="0.35">
      <c r="A37" s="121">
        <v>30</v>
      </c>
      <c r="B37" s="120" t="s">
        <v>153</v>
      </c>
      <c r="C37" s="123"/>
      <c r="D37" s="115">
        <v>1</v>
      </c>
      <c r="E37" s="123"/>
      <c r="F37" s="123"/>
      <c r="G37" s="123"/>
      <c r="H37" s="123"/>
      <c r="I37" s="124">
        <v>0</v>
      </c>
      <c r="J37" s="116">
        <v>43282</v>
      </c>
      <c r="K37" s="117"/>
      <c r="L37" s="117"/>
      <c r="M37" s="117"/>
    </row>
    <row r="38" spans="1:13" ht="14.4" customHeight="1" x14ac:dyDescent="0.35">
      <c r="A38" s="121">
        <v>31</v>
      </c>
      <c r="B38" s="120" t="s">
        <v>154</v>
      </c>
      <c r="C38" s="123"/>
      <c r="D38" s="115">
        <v>1</v>
      </c>
      <c r="E38" s="123"/>
      <c r="F38" s="123"/>
      <c r="G38" s="123"/>
      <c r="H38" s="123"/>
      <c r="I38" s="124">
        <v>0</v>
      </c>
      <c r="J38" s="116">
        <v>43282</v>
      </c>
      <c r="K38" s="117"/>
      <c r="L38" s="117"/>
      <c r="M38" s="117"/>
    </row>
    <row r="39" spans="1:13" ht="14.4" customHeight="1" x14ac:dyDescent="0.35">
      <c r="A39" s="121">
        <v>32</v>
      </c>
      <c r="B39" s="120" t="s">
        <v>155</v>
      </c>
      <c r="C39" s="123"/>
      <c r="D39" s="115">
        <v>1</v>
      </c>
      <c r="E39" s="123"/>
      <c r="F39" s="123"/>
      <c r="G39" s="123"/>
      <c r="H39" s="123"/>
      <c r="I39" s="124">
        <v>0</v>
      </c>
      <c r="J39" s="116">
        <v>43313</v>
      </c>
      <c r="K39" s="117"/>
      <c r="L39" s="117"/>
      <c r="M39" s="117"/>
    </row>
    <row r="40" spans="1:13" ht="14.4" customHeight="1" x14ac:dyDescent="0.35">
      <c r="A40" s="121">
        <v>33</v>
      </c>
      <c r="B40" s="120" t="s">
        <v>156</v>
      </c>
      <c r="C40" s="123"/>
      <c r="D40" s="115">
        <v>1</v>
      </c>
      <c r="E40" s="123"/>
      <c r="F40" s="123"/>
      <c r="G40" s="123"/>
      <c r="H40" s="123"/>
      <c r="I40" s="124">
        <v>0</v>
      </c>
      <c r="J40" s="116">
        <v>43313</v>
      </c>
      <c r="K40" s="117"/>
      <c r="L40" s="117"/>
      <c r="M40" s="117"/>
    </row>
    <row r="41" spans="1:13" ht="14.4" customHeight="1" x14ac:dyDescent="0.35">
      <c r="A41" s="121">
        <v>34</v>
      </c>
      <c r="B41" s="120" t="s">
        <v>157</v>
      </c>
      <c r="C41" s="123"/>
      <c r="D41" s="115">
        <v>1</v>
      </c>
      <c r="E41" s="123"/>
      <c r="F41" s="123"/>
      <c r="G41" s="123"/>
      <c r="H41" s="123"/>
      <c r="I41" s="124">
        <v>0</v>
      </c>
      <c r="J41" s="116">
        <v>43313</v>
      </c>
      <c r="K41" s="117"/>
      <c r="L41" s="117"/>
      <c r="M41" s="117"/>
    </row>
    <row r="42" spans="1:13" ht="14.4" customHeight="1" x14ac:dyDescent="0.35">
      <c r="A42" s="121">
        <v>35</v>
      </c>
      <c r="B42" s="120" t="s">
        <v>158</v>
      </c>
      <c r="C42" s="123"/>
      <c r="D42" s="115">
        <v>1</v>
      </c>
      <c r="E42" s="123"/>
      <c r="F42" s="123"/>
      <c r="G42" s="123"/>
      <c r="H42" s="123"/>
      <c r="I42" s="124">
        <v>0</v>
      </c>
      <c r="J42" s="116">
        <v>43313</v>
      </c>
      <c r="K42" s="117"/>
      <c r="L42" s="117"/>
      <c r="M42" s="117"/>
    </row>
    <row r="43" spans="1:13" ht="14.4" customHeight="1" x14ac:dyDescent="0.35">
      <c r="A43" s="121">
        <v>36</v>
      </c>
      <c r="B43" s="120" t="s">
        <v>159</v>
      </c>
      <c r="C43" s="123"/>
      <c r="D43" s="115">
        <v>1</v>
      </c>
      <c r="E43" s="123"/>
      <c r="F43" s="123"/>
      <c r="G43" s="123"/>
      <c r="H43" s="123"/>
      <c r="I43" s="124">
        <v>0</v>
      </c>
      <c r="J43" s="116">
        <v>43344</v>
      </c>
      <c r="K43" s="117"/>
      <c r="L43" s="117"/>
      <c r="M43" s="117"/>
    </row>
    <row r="44" spans="1:13" ht="14.4" customHeight="1" x14ac:dyDescent="0.35">
      <c r="A44" s="121">
        <v>37</v>
      </c>
      <c r="B44" s="120" t="s">
        <v>160</v>
      </c>
      <c r="C44" s="123"/>
      <c r="D44" s="115">
        <v>1</v>
      </c>
      <c r="E44" s="123"/>
      <c r="F44" s="123"/>
      <c r="G44" s="123"/>
      <c r="H44" s="123"/>
      <c r="I44" s="124">
        <v>0</v>
      </c>
      <c r="J44" s="116">
        <v>43344</v>
      </c>
      <c r="K44" s="117"/>
      <c r="L44" s="117"/>
      <c r="M44" s="117"/>
    </row>
    <row r="45" spans="1:13" ht="14.4" customHeight="1" x14ac:dyDescent="0.35">
      <c r="A45" s="121">
        <v>38</v>
      </c>
      <c r="B45" s="120" t="s">
        <v>161</v>
      </c>
      <c r="C45" s="123"/>
      <c r="D45" s="115">
        <v>1</v>
      </c>
      <c r="E45" s="123"/>
      <c r="F45" s="123"/>
      <c r="G45" s="123"/>
      <c r="H45" s="123"/>
      <c r="I45" s="124">
        <v>0</v>
      </c>
      <c r="J45" s="116">
        <v>43344</v>
      </c>
      <c r="K45" s="117"/>
      <c r="L45" s="117"/>
      <c r="M45" s="117"/>
    </row>
    <row r="46" spans="1:13" ht="14.4" customHeight="1" x14ac:dyDescent="0.35">
      <c r="A46" s="121">
        <v>39</v>
      </c>
      <c r="B46" s="120" t="s">
        <v>162</v>
      </c>
      <c r="C46" s="123"/>
      <c r="D46" s="115">
        <v>1</v>
      </c>
      <c r="E46" s="123"/>
      <c r="F46" s="123"/>
      <c r="G46" s="123"/>
      <c r="H46" s="123"/>
      <c r="I46" s="124">
        <v>0</v>
      </c>
      <c r="J46" s="116">
        <v>43344</v>
      </c>
      <c r="K46" s="117"/>
      <c r="L46" s="117"/>
      <c r="M46" s="117"/>
    </row>
    <row r="47" spans="1:13" ht="14.4" customHeight="1" x14ac:dyDescent="0.35">
      <c r="A47" s="121">
        <v>40</v>
      </c>
      <c r="B47" s="120" t="s">
        <v>163</v>
      </c>
      <c r="C47" s="123"/>
      <c r="D47" s="115">
        <v>1</v>
      </c>
      <c r="E47" s="123"/>
      <c r="F47" s="123"/>
      <c r="G47" s="123"/>
      <c r="H47" s="123"/>
      <c r="I47" s="124">
        <v>0</v>
      </c>
      <c r="J47" s="116">
        <v>43344</v>
      </c>
      <c r="K47" s="117"/>
      <c r="L47" s="117"/>
      <c r="M47" s="117"/>
    </row>
    <row r="48" spans="1:13" ht="14.4" customHeight="1" x14ac:dyDescent="0.35">
      <c r="A48" s="121">
        <v>41</v>
      </c>
      <c r="B48" s="120" t="s">
        <v>164</v>
      </c>
      <c r="C48" s="123"/>
      <c r="D48" s="115">
        <v>1</v>
      </c>
      <c r="E48" s="123"/>
      <c r="F48" s="123"/>
      <c r="G48" s="123"/>
      <c r="H48" s="123"/>
      <c r="I48" s="124">
        <v>0</v>
      </c>
      <c r="J48" s="116">
        <v>43374</v>
      </c>
      <c r="K48" s="117"/>
      <c r="L48" s="117"/>
      <c r="M48" s="117"/>
    </row>
    <row r="49" spans="1:13" ht="14.4" customHeight="1" x14ac:dyDescent="0.35">
      <c r="A49" s="121">
        <v>42</v>
      </c>
      <c r="B49" s="120" t="s">
        <v>165</v>
      </c>
      <c r="C49" s="123"/>
      <c r="D49" s="115">
        <v>1</v>
      </c>
      <c r="E49" s="123"/>
      <c r="F49" s="123"/>
      <c r="G49" s="123"/>
      <c r="H49" s="123"/>
      <c r="I49" s="124">
        <v>0</v>
      </c>
      <c r="J49" s="116">
        <v>43374</v>
      </c>
      <c r="K49" s="117"/>
      <c r="L49" s="117"/>
      <c r="M49" s="117"/>
    </row>
    <row r="50" spans="1:13" ht="14.4" customHeight="1" x14ac:dyDescent="0.35">
      <c r="A50" s="121">
        <v>43</v>
      </c>
      <c r="B50" s="120" t="s">
        <v>166</v>
      </c>
      <c r="C50" s="123"/>
      <c r="D50" s="115">
        <v>1</v>
      </c>
      <c r="E50" s="123"/>
      <c r="F50" s="123"/>
      <c r="G50" s="123"/>
      <c r="H50" s="123"/>
      <c r="I50" s="124">
        <v>0</v>
      </c>
      <c r="J50" s="116">
        <v>43374</v>
      </c>
      <c r="K50" s="117"/>
      <c r="L50" s="117"/>
      <c r="M50" s="117"/>
    </row>
    <row r="51" spans="1:13" ht="14.4" customHeight="1" x14ac:dyDescent="0.35">
      <c r="A51" s="121">
        <v>44</v>
      </c>
      <c r="B51" s="120" t="s">
        <v>167</v>
      </c>
      <c r="C51" s="123"/>
      <c r="D51" s="115">
        <v>1</v>
      </c>
      <c r="E51" s="123"/>
      <c r="F51" s="123"/>
      <c r="G51" s="123"/>
      <c r="H51" s="123"/>
      <c r="I51" s="124">
        <v>0</v>
      </c>
      <c r="J51" s="116">
        <v>43374</v>
      </c>
      <c r="K51" s="117"/>
      <c r="L51" s="117"/>
      <c r="M51" s="117"/>
    </row>
    <row r="52" spans="1:13" ht="14.4" customHeight="1" x14ac:dyDescent="0.35">
      <c r="A52" s="121">
        <v>45</v>
      </c>
      <c r="B52" s="120" t="s">
        <v>168</v>
      </c>
      <c r="C52" s="123"/>
      <c r="D52" s="115">
        <v>1</v>
      </c>
      <c r="E52" s="123"/>
      <c r="F52" s="123"/>
      <c r="G52" s="123"/>
      <c r="H52" s="123"/>
      <c r="I52" s="124">
        <v>0</v>
      </c>
      <c r="J52" s="116">
        <v>43405</v>
      </c>
      <c r="K52" s="117"/>
      <c r="L52" s="117"/>
      <c r="M52" s="117"/>
    </row>
    <row r="53" spans="1:13" ht="14.4" customHeight="1" x14ac:dyDescent="0.35">
      <c r="A53" s="121">
        <v>46</v>
      </c>
      <c r="B53" s="120" t="s">
        <v>169</v>
      </c>
      <c r="C53" s="123"/>
      <c r="D53" s="115">
        <v>1</v>
      </c>
      <c r="E53" s="123"/>
      <c r="F53" s="123"/>
      <c r="G53" s="123"/>
      <c r="H53" s="123"/>
      <c r="I53" s="124">
        <v>0</v>
      </c>
      <c r="J53" s="116">
        <v>43405</v>
      </c>
      <c r="K53" s="117"/>
      <c r="L53" s="117"/>
      <c r="M53" s="117"/>
    </row>
    <row r="54" spans="1:13" ht="14.4" customHeight="1" x14ac:dyDescent="0.35">
      <c r="A54" s="121">
        <v>47</v>
      </c>
      <c r="B54" s="120" t="s">
        <v>170</v>
      </c>
      <c r="C54" s="123"/>
      <c r="D54" s="115">
        <v>1</v>
      </c>
      <c r="E54" s="123"/>
      <c r="F54" s="123"/>
      <c r="G54" s="123"/>
      <c r="H54" s="123"/>
      <c r="I54" s="124">
        <v>0</v>
      </c>
      <c r="J54" s="116">
        <v>43405</v>
      </c>
      <c r="K54" s="117"/>
      <c r="L54" s="117"/>
      <c r="M54" s="117"/>
    </row>
    <row r="55" spans="1:13" ht="15" customHeight="1" x14ac:dyDescent="0.35">
      <c r="A55" s="121">
        <v>48</v>
      </c>
      <c r="B55" s="120" t="s">
        <v>171</v>
      </c>
      <c r="C55" s="123"/>
      <c r="D55" s="115">
        <v>1</v>
      </c>
      <c r="E55" s="123"/>
      <c r="F55" s="123"/>
      <c r="G55" s="123"/>
      <c r="H55" s="123"/>
      <c r="I55" s="124">
        <v>0</v>
      </c>
      <c r="J55" s="116">
        <v>43405</v>
      </c>
      <c r="K55" s="117"/>
      <c r="L55" s="117"/>
      <c r="M55" s="117"/>
    </row>
    <row r="56" spans="1:13" ht="14.4" customHeight="1" x14ac:dyDescent="0.35">
      <c r="A56" s="121">
        <v>49</v>
      </c>
      <c r="B56" s="120" t="s">
        <v>172</v>
      </c>
      <c r="C56" s="123"/>
      <c r="D56" s="115">
        <v>1</v>
      </c>
      <c r="E56" s="123"/>
      <c r="F56" s="123"/>
      <c r="G56" s="123"/>
      <c r="H56" s="123"/>
      <c r="I56" s="124">
        <v>0</v>
      </c>
      <c r="J56" s="116">
        <v>43435</v>
      </c>
      <c r="K56" s="117"/>
      <c r="L56" s="117"/>
      <c r="M56" s="117"/>
    </row>
    <row r="57" spans="1:13" ht="14.4" customHeight="1" x14ac:dyDescent="0.35">
      <c r="A57" s="121">
        <v>50</v>
      </c>
      <c r="B57" s="120" t="s">
        <v>173</v>
      </c>
      <c r="C57" s="123"/>
      <c r="D57" s="115">
        <v>1</v>
      </c>
      <c r="E57" s="123"/>
      <c r="F57" s="123"/>
      <c r="G57" s="123"/>
      <c r="H57" s="123"/>
      <c r="I57" s="124">
        <v>0</v>
      </c>
      <c r="J57" s="116">
        <v>43435</v>
      </c>
      <c r="K57" s="117"/>
      <c r="L57" s="117"/>
      <c r="M57" s="117"/>
    </row>
    <row r="58" spans="1:13" ht="14.4" customHeight="1" x14ac:dyDescent="0.35">
      <c r="A58" s="121">
        <v>51</v>
      </c>
      <c r="B58" s="120" t="s">
        <v>174</v>
      </c>
      <c r="C58" s="123"/>
      <c r="D58" s="115">
        <v>1</v>
      </c>
      <c r="E58" s="123"/>
      <c r="F58" s="123"/>
      <c r="G58" s="123"/>
      <c r="H58" s="123"/>
      <c r="I58" s="124">
        <v>0</v>
      </c>
      <c r="J58" s="116">
        <v>43435</v>
      </c>
      <c r="K58" s="117"/>
      <c r="L58" s="117"/>
      <c r="M58" s="117"/>
    </row>
    <row r="59" spans="1:13" ht="14.4" customHeight="1" x14ac:dyDescent="0.35">
      <c r="A59" s="121">
        <v>52</v>
      </c>
      <c r="B59" s="120" t="s">
        <v>175</v>
      </c>
      <c r="C59" s="123"/>
      <c r="D59" s="115">
        <v>1</v>
      </c>
      <c r="E59" s="123"/>
      <c r="F59" s="123"/>
      <c r="G59" s="123"/>
      <c r="H59" s="123"/>
      <c r="I59" s="124">
        <v>0</v>
      </c>
      <c r="J59" s="116">
        <v>43435</v>
      </c>
      <c r="K59" s="117"/>
      <c r="L59" s="117"/>
      <c r="M59" s="117"/>
    </row>
  </sheetData>
  <sortState ref="A31:M1500">
    <sortCondition ref="A30:A1500"/>
    <sortCondition ref="I30:I1500"/>
    <sortCondition ref="G30:G1500"/>
    <sortCondition ref="H30:H1500"/>
    <sortCondition ref="D30:D1500"/>
    <sortCondition ref="F30:F1500"/>
  </sortState>
  <dataValidations count="2">
    <dataValidation type="list" allowBlank="1" showInputMessage="1" showErrorMessage="1" sqref="I1">
      <formula1>#REF!</formula1>
    </dataValidation>
    <dataValidation type="list" allowBlank="1" showInputMessage="1" showErrorMessage="1" sqref="J2">
      <formula1>INDIRECT(#REF!)</formula1>
    </dataValidation>
  </dataValidations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Feuil1!$A$1:$A$4</xm:f>
          </x14:formula1>
          <xm:sqref>H7:H26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"/>
  <sheetViews>
    <sheetView topLeftCell="B1" workbookViewId="0">
      <selection activeCell="E8" sqref="E8"/>
    </sheetView>
  </sheetViews>
  <sheetFormatPr baseColWidth="10" defaultRowHeight="14.4" x14ac:dyDescent="0.3"/>
  <cols>
    <col min="1" max="1" width="19.5546875" hidden="1" customWidth="1"/>
    <col min="2" max="2" width="17.6640625" customWidth="1"/>
    <col min="3" max="3" width="40" customWidth="1"/>
    <col min="4" max="4" width="24.33203125" bestFit="1" customWidth="1"/>
    <col min="5" max="5" width="25.33203125" bestFit="1" customWidth="1"/>
    <col min="6" max="6" width="28.5546875" bestFit="1" customWidth="1"/>
    <col min="7" max="7" width="26.88671875" bestFit="1" customWidth="1"/>
    <col min="8" max="8" width="29.88671875" bestFit="1" customWidth="1"/>
    <col min="9" max="9" width="30.6640625" bestFit="1" customWidth="1"/>
    <col min="10" max="10" width="24.33203125" bestFit="1" customWidth="1"/>
    <col min="11" max="11" width="30.44140625" bestFit="1" customWidth="1"/>
    <col min="12" max="12" width="24.6640625" bestFit="1" customWidth="1"/>
    <col min="13" max="13" width="25.33203125" bestFit="1" customWidth="1"/>
    <col min="14" max="14" width="28.5546875" bestFit="1" customWidth="1"/>
    <col min="15" max="15" width="26.88671875" bestFit="1" customWidth="1"/>
    <col min="16" max="16" width="29.88671875" bestFit="1" customWidth="1"/>
    <col min="17" max="17" width="30.6640625" bestFit="1" customWidth="1"/>
    <col min="18" max="18" width="24.33203125" bestFit="1" customWidth="1"/>
    <col min="19" max="19" width="30.44140625" bestFit="1" customWidth="1"/>
    <col min="20" max="20" width="25.33203125" bestFit="1" customWidth="1"/>
    <col min="21" max="21" width="38.109375" bestFit="1" customWidth="1"/>
    <col min="22" max="22" width="27.88671875" bestFit="1" customWidth="1"/>
    <col min="23" max="23" width="28.6640625" bestFit="1" customWidth="1"/>
    <col min="24" max="24" width="31.33203125" bestFit="1" customWidth="1"/>
    <col min="25" max="25" width="22.33203125" bestFit="1" customWidth="1"/>
    <col min="26" max="26" width="28.44140625" bestFit="1" customWidth="1"/>
    <col min="27" max="27" width="24.33203125" bestFit="1" customWidth="1"/>
    <col min="28" max="28" width="27.5546875" bestFit="1" customWidth="1"/>
    <col min="29" max="29" width="25.6640625" bestFit="1" customWidth="1"/>
    <col min="30" max="30" width="5.88671875" customWidth="1"/>
    <col min="31" max="31" width="11.88671875" bestFit="1" customWidth="1"/>
  </cols>
  <sheetData>
    <row r="1" spans="1:8" x14ac:dyDescent="0.3">
      <c r="A1" s="153" t="s">
        <v>176</v>
      </c>
      <c r="B1" s="137" t="s">
        <v>2</v>
      </c>
      <c r="C1" s="137" t="s">
        <v>180</v>
      </c>
      <c r="D1" s="138" t="s">
        <v>211</v>
      </c>
      <c r="E1" s="137" t="s">
        <v>142</v>
      </c>
      <c r="F1" s="137" t="s">
        <v>141</v>
      </c>
      <c r="G1" s="137" t="s">
        <v>144</v>
      </c>
      <c r="H1" s="137" t="s">
        <v>143</v>
      </c>
    </row>
    <row r="2" spans="1:8" x14ac:dyDescent="0.3">
      <c r="A2" s="122">
        <v>23</v>
      </c>
      <c r="B2" t="s">
        <v>181</v>
      </c>
      <c r="C2" t="str">
        <f>VLOOKUP(A2,'Suivi de commande'!A29:M591,2,)</f>
        <v>SEMAINE DU 4 AU 8 JUIN</v>
      </c>
      <c r="D2" s="154" t="e">
        <f>SUMIF(NOSEMAINE,"23",lot)</f>
        <v>#NAME?</v>
      </c>
      <c r="E2" s="154" t="e">
        <f>SUMIFS(lot,NOSEMAINE,"23",CATÉ,"S.CORE 1 3/8")</f>
        <v>#NAME?</v>
      </c>
      <c r="F2" s="154" t="e">
        <f>SUMIFS(lot,NOSEMAINE,"23",CATÉ,"S.CORE 1 3/4")</f>
        <v>#NAME?</v>
      </c>
      <c r="G2" s="154" t="e">
        <f>SUMIFS(lot,NOSEMAINE,"23",CATÉ,"H.CORE 1 3/8")</f>
        <v>#NAME?</v>
      </c>
      <c r="H2" s="154" t="e">
        <f>SUMIFS(lot,NOSEMAINE,"23",CATÉ,"H.CORE 1 3/4")</f>
        <v>#NAME?</v>
      </c>
    </row>
    <row r="3" spans="1:8" x14ac:dyDescent="0.3">
      <c r="A3" s="122">
        <v>24</v>
      </c>
      <c r="B3" t="s">
        <v>182</v>
      </c>
      <c r="C3" t="str">
        <f>VLOOKUP(A3,'Suivi de commande'!A30:M592,2,)</f>
        <v>SEMAINE DU 11 AU 15 JUIN</v>
      </c>
      <c r="D3" s="154" t="e">
        <f>SUMIF(NOSEMAINE,"24",lot)</f>
        <v>#NAME?</v>
      </c>
      <c r="E3" s="154" t="e">
        <f>SUMIFS(lot,NOSEMAINE,"24",CATÉ,"S.CORE 1 3/8")</f>
        <v>#NAME?</v>
      </c>
      <c r="F3" s="154" t="e">
        <f>SUMIFS(lot,NOSEMAINE,"24",CATÉ,"S.CORE 1 3/4")</f>
        <v>#NAME?</v>
      </c>
      <c r="G3" s="154" t="e">
        <f>SUMIFS(lot,NOSEMAINE,"24",CATÉ,"H.CORE 1 3/8")</f>
        <v>#NAME?</v>
      </c>
      <c r="H3" s="154" t="e">
        <f>SUMIFS(lot,NOSEMAINE,"24",CATÉ,"H.CORE 1 3/4")</f>
        <v>#NAME?</v>
      </c>
    </row>
    <row r="4" spans="1:8" x14ac:dyDescent="0.3">
      <c r="A4" s="122">
        <v>25</v>
      </c>
      <c r="B4" t="s">
        <v>183</v>
      </c>
      <c r="C4" t="str">
        <f>VLOOKUP(A4,'Suivi de commande'!A30:M593,2,)</f>
        <v>SEMAINE DU 18 AU 22 JUIN</v>
      </c>
      <c r="D4" s="154" t="e">
        <f>SUMIF(NOSEMAINE,"25",lot)</f>
        <v>#NAME?</v>
      </c>
      <c r="E4" s="154" t="e">
        <f>SUMIFS(lot,NOSEMAINE,"25",CATÉ,"S.CORE 1 3/8")</f>
        <v>#NAME?</v>
      </c>
      <c r="F4" s="154" t="e">
        <f>SUMIFS(lot,NOSEMAINE,"25",CATÉ,"S.CORE 1 3/4")</f>
        <v>#NAME?</v>
      </c>
      <c r="G4" s="154" t="e">
        <f>SUMIFS(lot,NOSEMAINE,"25",CATÉ,"H.CORE 1 3/8")</f>
        <v>#NAME?</v>
      </c>
      <c r="H4" s="154" t="e">
        <f>SUMIFS(lot,NOSEMAINE,"25",CATÉ,"H.CORE 1 3/4")</f>
        <v>#NAME?</v>
      </c>
    </row>
    <row r="5" spans="1:8" x14ac:dyDescent="0.3">
      <c r="A5" s="122">
        <v>26</v>
      </c>
      <c r="B5" t="s">
        <v>184</v>
      </c>
      <c r="C5" t="str">
        <f>VLOOKUP(A5,'Suivi de commande'!A30:M594,2,)</f>
        <v>SEMAINE DU 25 AU 29 JUIN</v>
      </c>
      <c r="D5" s="154" t="e">
        <f>SUMIF(NOSEMAINE,"26",lot)</f>
        <v>#NAME?</v>
      </c>
      <c r="E5" s="154" t="e">
        <f>SUMIFS(lot,NOSEMAINE,"26",CATÉ,"S.CORE 1 3/8")</f>
        <v>#NAME?</v>
      </c>
      <c r="F5" s="154" t="e">
        <f>SUMIFS(lot,NOSEMAINE,"26",CATÉ,"S.CORE 1 3/4")</f>
        <v>#NAME?</v>
      </c>
      <c r="G5" s="154" t="e">
        <f>SUMIFS(lot,NOSEMAINE,"26",CATÉ,"H.CORE 1 3/8")</f>
        <v>#NAME?</v>
      </c>
      <c r="H5" s="154" t="e">
        <f>SUMIFS(lot,NOSEMAINE,"26",CATÉ,"H.CORE 1 3/4")</f>
        <v>#NAME?</v>
      </c>
    </row>
    <row r="6" spans="1:8" x14ac:dyDescent="0.3">
      <c r="A6" s="122">
        <v>27</v>
      </c>
      <c r="B6" t="s">
        <v>185</v>
      </c>
      <c r="C6" t="str">
        <f>VLOOKUP(A6,'Suivi de commande'!A30:M595,2,)</f>
        <v>SEMAINE DU 2 AU 6 JUILLET</v>
      </c>
      <c r="D6" s="154" t="e">
        <f>SUMIF(NOSEMAINE,"27",lot)</f>
        <v>#NAME?</v>
      </c>
      <c r="E6" s="154" t="e">
        <f>SUMIFS(lot,NOSEMAINE,"27",CATÉ,"S.CORE 1 3/8")</f>
        <v>#NAME?</v>
      </c>
      <c r="F6" s="154" t="e">
        <f>SUMIFS(lot,NOSEMAINE,"27",CATÉ,"S.CORE 1 3/4")</f>
        <v>#NAME?</v>
      </c>
      <c r="G6" s="154" t="e">
        <f>SUMIFS(lot,NOSEMAINE,"27",CATÉ,"H.CORE 1 3/8")</f>
        <v>#NAME?</v>
      </c>
      <c r="H6" s="154" t="e">
        <f>SUMIFS(lot,NOSEMAINE,"27",CATÉ,"H.CORE 1 3/4")</f>
        <v>#NAME?</v>
      </c>
    </row>
    <row r="7" spans="1:8" x14ac:dyDescent="0.3">
      <c r="A7" s="122">
        <v>28</v>
      </c>
      <c r="B7" t="s">
        <v>186</v>
      </c>
      <c r="C7" t="str">
        <f>VLOOKUP(A7,'Suivi de commande'!A30:M596,2,)</f>
        <v>SEMAINE DU 9 AU 13 JUILLET</v>
      </c>
      <c r="D7" s="154" t="e">
        <f>SUMIF(NOSEMAINE,"28",lot)</f>
        <v>#NAME?</v>
      </c>
      <c r="E7" s="154" t="e">
        <f>SUMIFS(lot,NOSEMAINE,"28",CATÉ,"S.CORE 1 3/8")</f>
        <v>#NAME?</v>
      </c>
      <c r="F7" s="154" t="e">
        <f>SUMIFS(lot,NOSEMAINE,"28",CATÉ,"S.CORE 1 3/4")</f>
        <v>#NAME?</v>
      </c>
      <c r="G7" s="154" t="e">
        <f>SUMIFS(lot,NOSEMAINE,"28",CATÉ,"H.CORE 1 3/8")</f>
        <v>#NAME?</v>
      </c>
      <c r="H7" s="154" t="e">
        <f>SUMIFS(lot,NOSEMAINE,"28",CATÉ,"H.CORE 1 3/4")</f>
        <v>#NAME?</v>
      </c>
    </row>
    <row r="8" spans="1:8" x14ac:dyDescent="0.3">
      <c r="A8" s="122">
        <v>29</v>
      </c>
      <c r="B8" t="s">
        <v>187</v>
      </c>
      <c r="C8" t="str">
        <f>VLOOKUP(A8,'Suivi de commande'!A30:M597,2,)</f>
        <v>SEMAINE DU 16 AU 20 JUILLET</v>
      </c>
      <c r="D8" s="154" t="e">
        <f>SUMIF(NOSEMAINE,"29",lot)</f>
        <v>#NAME?</v>
      </c>
      <c r="E8" s="154" t="e">
        <f>SUMIFS(lot,NOSEMAINE,"29",CATÉ,"S.CORE 1 3/8")</f>
        <v>#NAME?</v>
      </c>
      <c r="F8" s="154" t="e">
        <f>SUMIFS(lot,NOSEMAINE,"29",CATÉ,"S.CORE 1 3/4")</f>
        <v>#NAME?</v>
      </c>
      <c r="G8" s="154" t="e">
        <f>SUMIFS(lot,NOSEMAINE,"29",CATÉ,"H.CORE 1 3/8")</f>
        <v>#NAME?</v>
      </c>
      <c r="H8" s="154" t="e">
        <f>SUMIFS(lot,NOSEMAINE,"29",CATÉ,"H.CORE 1 3/4")</f>
        <v>#NAME?</v>
      </c>
    </row>
    <row r="9" spans="1:8" x14ac:dyDescent="0.3">
      <c r="A9" s="122">
        <v>30</v>
      </c>
      <c r="B9" t="s">
        <v>188</v>
      </c>
      <c r="C9" t="str">
        <f>VLOOKUP(A9,'Suivi de commande'!A30:M598,2,)</f>
        <v>SEMAINE DU 23 AU 27 JUILLET</v>
      </c>
      <c r="D9" s="154" t="e">
        <f>SUMIF(NOSEMAINE,"30",lot)</f>
        <v>#NAME?</v>
      </c>
      <c r="E9" s="154" t="e">
        <f>SUMIFS(lot,NOSEMAINE,"30",CATÉ,"S.CORE 1 3/8")</f>
        <v>#NAME?</v>
      </c>
      <c r="F9" s="154" t="e">
        <f>SUMIFS(lot,NOSEMAINE,"30",CATÉ,"S.CORE 1 3/4")</f>
        <v>#NAME?</v>
      </c>
      <c r="G9" s="154" t="e">
        <f>SUMIFS(lot,NOSEMAINE,"30",CATÉ,"H.CORE 1 3/8")</f>
        <v>#NAME?</v>
      </c>
      <c r="H9" s="154" t="e">
        <f>SUMIFS(lot,NOSEMAINE,"30",CATÉ,"H.CORE 1 3/4")</f>
        <v>#NAME?</v>
      </c>
    </row>
    <row r="10" spans="1:8" x14ac:dyDescent="0.3">
      <c r="A10" s="122">
        <v>31</v>
      </c>
      <c r="B10" t="s">
        <v>189</v>
      </c>
      <c r="C10" t="str">
        <f>VLOOKUP(A10,'Suivi de commande'!A30:M599,2,)</f>
        <v>SEMAINE DU 30 JUILLET AU 3 AOÛT</v>
      </c>
      <c r="D10" s="154" t="e">
        <f>SUMIF(NOSEMAINE,"31",lot)</f>
        <v>#NAME?</v>
      </c>
      <c r="E10" s="154" t="e">
        <f>SUMIFS(lot,NOSEMAINE,"31",CATÉ,"S.CORE 1 3/8")</f>
        <v>#NAME?</v>
      </c>
      <c r="F10" s="154" t="e">
        <f>SUMIFS(lot,NOSEMAINE,"31",CATÉ,"S.CORE 1 3/4")</f>
        <v>#NAME?</v>
      </c>
      <c r="G10" s="154" t="e">
        <f>SUMIFS(lot,NOSEMAINE,"31",CATÉ,"H.CORE 1 3/8")</f>
        <v>#NAME?</v>
      </c>
      <c r="H10" s="154" t="e">
        <f>SUMIFS(lot,NOSEMAINE,"31",CATÉ,"H.CORE 1 3/4")</f>
        <v>#NAME?</v>
      </c>
    </row>
    <row r="11" spans="1:8" x14ac:dyDescent="0.3">
      <c r="A11" s="122">
        <v>32</v>
      </c>
      <c r="B11" t="s">
        <v>190</v>
      </c>
      <c r="C11" t="str">
        <f>VLOOKUP(A11,'Suivi de commande'!A30:M600,2,)</f>
        <v>SEMAINE DU 6 AU 10 AOÛT</v>
      </c>
      <c r="D11" s="154" t="e">
        <f>SUMIF(NOSEMAINE,"32",lot)</f>
        <v>#NAME?</v>
      </c>
      <c r="E11" s="154" t="e">
        <f>SUMIFS(lot,NOSEMAINE,"32",CATÉ,"S.CORE 1 3/8")</f>
        <v>#NAME?</v>
      </c>
      <c r="F11" s="154" t="e">
        <f>SUMIFS(lot,NOSEMAINE,"32",CATÉ,"S.CORE 1 3/4")</f>
        <v>#NAME?</v>
      </c>
      <c r="G11" s="154" t="e">
        <f>SUMIFS(lot,NOSEMAINE,"32",CATÉ,"H.CORE 1 3/8")</f>
        <v>#NAME?</v>
      </c>
      <c r="H11" s="154" t="e">
        <f>SUMIFS(lot,NOSEMAINE,"32",CATÉ,"H.CORE 1 3/4")</f>
        <v>#NAME?</v>
      </c>
    </row>
    <row r="12" spans="1:8" x14ac:dyDescent="0.3">
      <c r="A12" s="122">
        <v>33</v>
      </c>
      <c r="B12" t="s">
        <v>191</v>
      </c>
      <c r="C12" t="str">
        <f>VLOOKUP(A12,'Suivi de commande'!A30:M601,2,)</f>
        <v>SEMAINE DU 13 AU 17 AOÛT</v>
      </c>
      <c r="D12" s="154" t="e">
        <f>SUMIF(NOSEMAINE,"33",lot)</f>
        <v>#NAME?</v>
      </c>
      <c r="E12" s="154" t="e">
        <f>SUMIFS(lot,NOSEMAINE,"33",CATÉ,"S.CORE 1 3/8")</f>
        <v>#NAME?</v>
      </c>
      <c r="F12" s="154" t="e">
        <f>SUMIFS(lot,NOSEMAINE,"33",CATÉ,"S.CORE 1 3/4")</f>
        <v>#NAME?</v>
      </c>
      <c r="G12" s="154" t="e">
        <f>SUMIFS(lot,NOSEMAINE,"33",CATÉ,"H.CORE 1 3/8")</f>
        <v>#NAME?</v>
      </c>
      <c r="H12" s="154" t="e">
        <f>SUMIFS(lot,NOSEMAINE,"33",CATÉ,"H.CORE 1 3/4")</f>
        <v>#NAME?</v>
      </c>
    </row>
    <row r="13" spans="1:8" x14ac:dyDescent="0.3">
      <c r="A13" s="122">
        <v>34</v>
      </c>
      <c r="B13" t="s">
        <v>192</v>
      </c>
      <c r="C13" t="str">
        <f>VLOOKUP(A13,'Suivi de commande'!A30:M602,2,)</f>
        <v>SEMAINE DU 20 AU 24 AOÛT</v>
      </c>
      <c r="D13" s="154" t="e">
        <f>SUMIF(NOSEMAINE,"34",lot)</f>
        <v>#NAME?</v>
      </c>
      <c r="E13" s="154" t="e">
        <f>SUMIFS(lot,NOSEMAINE,"34",CATÉ,"S.CORE 1 3/8")</f>
        <v>#NAME?</v>
      </c>
      <c r="F13" s="154" t="e">
        <f>SUMIFS(lot,NOSEMAINE,"34",CATÉ,"S.CORE 1 3/4")</f>
        <v>#NAME?</v>
      </c>
      <c r="G13" s="154" t="e">
        <f>SUMIFS(lot,NOSEMAINE,"34",CATÉ,"H.CORE 1 3/8")</f>
        <v>#NAME?</v>
      </c>
      <c r="H13" s="154" t="e">
        <f>SUMIFS(lot,NOSEMAINE,"34",CATÉ,"H.CORE 1 3/4")</f>
        <v>#NAME?</v>
      </c>
    </row>
    <row r="14" spans="1:8" x14ac:dyDescent="0.3">
      <c r="A14" s="122">
        <v>35</v>
      </c>
      <c r="B14" t="s">
        <v>193</v>
      </c>
      <c r="C14" t="str">
        <f>VLOOKUP(A14,'Suivi de commande'!A30:M603,2,)</f>
        <v>SEMAINE DU 27 AU 31 AOÛT</v>
      </c>
      <c r="D14" s="154" t="e">
        <f>SUMIF(NOSEMAINE,"35",lot)</f>
        <v>#NAME?</v>
      </c>
      <c r="E14" s="154" t="e">
        <f>SUMIFS(lot,NOSEMAINE,"35",CATÉ,"S.CORE 1 3/8")</f>
        <v>#NAME?</v>
      </c>
      <c r="F14" s="154" t="e">
        <f>SUMIFS(lot,NOSEMAINE,"35",CATÉ,"S.CORE 1 3/4")</f>
        <v>#NAME?</v>
      </c>
      <c r="G14" s="154" t="e">
        <f>SUMIFS(lot,NOSEMAINE,"35",CATÉ,"H.CORE 1 3/8")</f>
        <v>#NAME?</v>
      </c>
      <c r="H14" s="154" t="e">
        <f>SUMIFS(lot,NOSEMAINE,"35",CATÉ,"H.CORE 1 3/4")</f>
        <v>#NAME?</v>
      </c>
    </row>
    <row r="15" spans="1:8" x14ac:dyDescent="0.3">
      <c r="A15" s="122">
        <v>36</v>
      </c>
      <c r="B15" t="s">
        <v>194</v>
      </c>
      <c r="C15" t="str">
        <f>VLOOKUP(A15,'Suivi de commande'!A30:M604,2,)</f>
        <v>SEMAINE DU 3 AU 7 SEPTEMBRE</v>
      </c>
      <c r="D15" s="154" t="e">
        <f>SUMIF(NOSEMAINE,"36",lot)</f>
        <v>#NAME?</v>
      </c>
      <c r="E15" s="154" t="e">
        <f>SUMIFS(lot,NOSEMAINE,"36",CATÉ,"S.CORE 1 3/8")</f>
        <v>#NAME?</v>
      </c>
      <c r="F15" s="154" t="e">
        <f>SUMIFS(lot,NOSEMAINE,"36",CATÉ,"S.CORE 1 3/4")</f>
        <v>#NAME?</v>
      </c>
      <c r="G15" s="154" t="e">
        <f>SUMIFS(lot,NOSEMAINE,"36",CATÉ,"H.CORE 1 3/8")</f>
        <v>#NAME?</v>
      </c>
      <c r="H15" s="154" t="e">
        <f>SUMIFS(lot,NOSEMAINE,"36",CATÉ,"H.CORE 1 3/4")</f>
        <v>#NAME?</v>
      </c>
    </row>
    <row r="16" spans="1:8" x14ac:dyDescent="0.3">
      <c r="A16" s="122">
        <v>37</v>
      </c>
      <c r="B16" t="s">
        <v>195</v>
      </c>
      <c r="C16" t="str">
        <f>VLOOKUP(A16,'Suivi de commande'!A30:M605,2,)</f>
        <v>SEMAINE DU 10 AU 14 SEPTEMBRE</v>
      </c>
      <c r="D16" s="154" t="e">
        <f>SUMIF(NOSEMAINE,"37",lot)</f>
        <v>#NAME?</v>
      </c>
      <c r="E16" s="154" t="e">
        <f>SUMIFS(lot,NOSEMAINE,"37",CATÉ,"S.CORE 1 3/8")</f>
        <v>#NAME?</v>
      </c>
      <c r="F16" s="154" t="e">
        <f>SUMIFS(lot,NOSEMAINE,"37",CATÉ,"S.CORE 1 3/4")</f>
        <v>#NAME?</v>
      </c>
      <c r="G16" s="154" t="e">
        <f>SUMIFS(lot,NOSEMAINE,"37",CATÉ,"H.CORE 1 3/8")</f>
        <v>#NAME?</v>
      </c>
      <c r="H16" s="154" t="e">
        <f>SUMIFS(lot,NOSEMAINE,"37",CATÉ,"H.CORE 1 3/4")</f>
        <v>#NAME?</v>
      </c>
    </row>
    <row r="17" spans="1:8" x14ac:dyDescent="0.3">
      <c r="A17" s="122">
        <v>38</v>
      </c>
      <c r="B17" t="s">
        <v>196</v>
      </c>
      <c r="C17" t="str">
        <f>VLOOKUP(A17,'Suivi de commande'!A30:M606,2,)</f>
        <v>SEMAINE DU 17 AU 21 SEPTEMBRE</v>
      </c>
      <c r="D17" s="154" t="e">
        <f>SUMIF(NOSEMAINE,"38",lot)</f>
        <v>#NAME?</v>
      </c>
      <c r="E17" s="154" t="e">
        <f>SUMIFS(lot,NOSEMAINE,"38",CATÉ,"S.CORE 1 3/8")</f>
        <v>#NAME?</v>
      </c>
      <c r="F17" s="154" t="e">
        <f>SUMIFS(lot,NOSEMAINE,"38",CATÉ,"S.CORE 1 3/4")</f>
        <v>#NAME?</v>
      </c>
      <c r="G17" s="154" t="e">
        <f>SUMIFS(lot,NOSEMAINE,"38",CATÉ,"H.CORE 1 3/8")</f>
        <v>#NAME?</v>
      </c>
      <c r="H17" s="154" t="e">
        <f>SUMIFS(lot,NOSEMAINE,"38",CATÉ,"H.CORE 1 3/4")</f>
        <v>#NAME?</v>
      </c>
    </row>
    <row r="18" spans="1:8" x14ac:dyDescent="0.3">
      <c r="A18" s="122">
        <v>39</v>
      </c>
      <c r="B18" t="s">
        <v>197</v>
      </c>
      <c r="C18" t="str">
        <f>VLOOKUP(A18,'Suivi de commande'!A30:M607,2,)</f>
        <v>SEMAINE DU 24 AU 28 SEPTEMBRE</v>
      </c>
      <c r="D18" s="154" t="e">
        <f>SUMIF(NOSEMAINE,"39",lot)</f>
        <v>#NAME?</v>
      </c>
      <c r="E18" s="154" t="e">
        <f>SUMIFS(lot,NOSEMAINE,"39",CATÉ,"S.CORE 1 3/8")</f>
        <v>#NAME?</v>
      </c>
      <c r="F18" s="154" t="e">
        <f>SUMIFS(lot,NOSEMAINE,"39",CATÉ,"S.CORE 1 3/4")</f>
        <v>#NAME?</v>
      </c>
      <c r="G18" s="154" t="e">
        <f>SUMIFS(lot,NOSEMAINE,"39",CATÉ,"H.CORE 1 3/8")</f>
        <v>#NAME?</v>
      </c>
      <c r="H18" s="154" t="e">
        <f>SUMIFS(lot,NOSEMAINE,"39",CATÉ,"H.CORE 1 3/4")</f>
        <v>#NAME?</v>
      </c>
    </row>
    <row r="19" spans="1:8" x14ac:dyDescent="0.3">
      <c r="A19" s="122">
        <v>40</v>
      </c>
      <c r="B19" t="s">
        <v>198</v>
      </c>
      <c r="C19" t="str">
        <f>VLOOKUP(A19,'Suivi de commande'!A30:M608,2,)</f>
        <v>SEMAINE DU 1 AU 5 OCTOBRE</v>
      </c>
      <c r="D19" s="154" t="e">
        <f>SUMIF(NOSEMAINE,"40",lot)</f>
        <v>#NAME?</v>
      </c>
      <c r="E19" s="154" t="e">
        <f>SUMIFS(lot,NOSEMAINE,"40",CATÉ,"S.CORE 1 3/8")</f>
        <v>#NAME?</v>
      </c>
      <c r="F19" s="154" t="e">
        <f>SUMIFS(lot,NOSEMAINE,"40",CATÉ,"S.CORE 1 3/4")</f>
        <v>#NAME?</v>
      </c>
      <c r="G19" s="154" t="e">
        <f>SUMIFS(lot,NOSEMAINE,"40",CATÉ,"H.CORE 1 3/8")</f>
        <v>#NAME?</v>
      </c>
      <c r="H19" s="154" t="e">
        <f>SUMIFS(lot,NOSEMAINE,"40",CATÉ,"H.CORE 1 3/4")</f>
        <v>#NAME?</v>
      </c>
    </row>
    <row r="20" spans="1:8" x14ac:dyDescent="0.3">
      <c r="A20" s="122">
        <v>41</v>
      </c>
      <c r="B20" t="s">
        <v>199</v>
      </c>
      <c r="C20" t="str">
        <f>VLOOKUP(A20,'Suivi de commande'!A30:M609,2,)</f>
        <v>SEMAINE DU 8 AU 12 OCTOBRE</v>
      </c>
      <c r="D20" s="154" t="e">
        <f>SUMIF(NOSEMAINE,"41",lot)</f>
        <v>#NAME?</v>
      </c>
      <c r="E20" s="154" t="e">
        <f>SUMIFS(lot,NOSEMAINE,"41",CATÉ,"S.CORE 1 3/8")</f>
        <v>#NAME?</v>
      </c>
      <c r="F20" s="154" t="e">
        <f>SUMIFS(lot,NOSEMAINE,"41",CATÉ,"S.CORE 1 3/4")</f>
        <v>#NAME?</v>
      </c>
      <c r="G20" s="154" t="e">
        <f>SUMIFS(lot,NOSEMAINE,"41",CATÉ,"H.CORE 1 3/8")</f>
        <v>#NAME?</v>
      </c>
      <c r="H20" s="154" t="e">
        <f>SUMIFS(lot,NOSEMAINE,"41",CATÉ,"H.CORE 1 3/4")</f>
        <v>#NAME?</v>
      </c>
    </row>
    <row r="21" spans="1:8" x14ac:dyDescent="0.3">
      <c r="A21" s="122">
        <v>42</v>
      </c>
      <c r="B21" t="s">
        <v>200</v>
      </c>
      <c r="C21" t="str">
        <f>VLOOKUP(A21,'Suivi de commande'!A30:M610,2,)</f>
        <v>SEMAINE DU 15 AU 19 OCTOBRE</v>
      </c>
      <c r="D21" s="154" t="e">
        <f>SUMIF(NOSEMAINE,"42",lot)</f>
        <v>#NAME?</v>
      </c>
      <c r="E21" s="154" t="e">
        <f>SUMIFS(lot,NOSEMAINE,"42",CATÉ,"S.CORE 1 3/8")</f>
        <v>#NAME?</v>
      </c>
      <c r="F21" s="154" t="e">
        <f>SUMIFS(lot,NOSEMAINE,"42",CATÉ,"S.CORE 1 3/4")</f>
        <v>#NAME?</v>
      </c>
      <c r="G21" s="154" t="e">
        <f>SUMIFS(lot,NOSEMAINE,"42",CATÉ,"H.CORE 1 3/8")</f>
        <v>#NAME?</v>
      </c>
      <c r="H21" s="154" t="e">
        <f>SUMIFS(lot,NOSEMAINE,"42",CATÉ,"H.CORE 1 3/4")</f>
        <v>#NAME?</v>
      </c>
    </row>
    <row r="22" spans="1:8" x14ac:dyDescent="0.3">
      <c r="A22" s="122">
        <v>43</v>
      </c>
      <c r="B22" t="s">
        <v>201</v>
      </c>
      <c r="C22" t="str">
        <f>VLOOKUP(A22,'Suivi de commande'!A30:M611,2,)</f>
        <v>SEMAINE DU 22 AU 26 OCTOBRE</v>
      </c>
      <c r="D22" s="154" t="e">
        <f>SUMIF(NOSEMAINE,"43",lot)</f>
        <v>#NAME?</v>
      </c>
      <c r="E22" s="154" t="e">
        <f>SUMIFS(lot,NOSEMAINE,"43",CATÉ,"S.CORE 1 3/8")</f>
        <v>#NAME?</v>
      </c>
      <c r="F22" s="154" t="e">
        <f>SUMIFS(lot,NOSEMAINE,"43",CATÉ,"S.CORE 1 3/4")</f>
        <v>#NAME?</v>
      </c>
      <c r="G22" s="154" t="e">
        <f>SUMIFS(lot,NOSEMAINE,"43",CATÉ,"H.CORE 1 3/8")</f>
        <v>#NAME?</v>
      </c>
      <c r="H22" s="154" t="e">
        <f>SUMIFS(lot,NOSEMAINE,"43",CATÉ,"H.CORE 1 3/4")</f>
        <v>#NAME?</v>
      </c>
    </row>
    <row r="23" spans="1:8" x14ac:dyDescent="0.3">
      <c r="A23" s="122">
        <v>44</v>
      </c>
      <c r="B23" t="s">
        <v>202</v>
      </c>
      <c r="C23" t="str">
        <f>VLOOKUP(A23,'Suivi de commande'!A30:M612,2,)</f>
        <v>SEMAINE DU 29 OCTOBRE AU 2 NOVEMBRE</v>
      </c>
      <c r="D23" s="154" t="e">
        <f>SUMIF(NOSEMAINE,"44",lot)</f>
        <v>#NAME?</v>
      </c>
      <c r="E23" s="154" t="e">
        <f>SUMIFS(lot,NOSEMAINE,"44",CATÉ,"S.CORE 1 3/8")</f>
        <v>#NAME?</v>
      </c>
      <c r="F23" s="154" t="e">
        <f>SUMIFS(lot,NOSEMAINE,"44",CATÉ,"S.CORE 1 3/4")</f>
        <v>#NAME?</v>
      </c>
      <c r="G23" s="154" t="e">
        <f>SUMIFS(lot,NOSEMAINE,"44",CATÉ,"H.CORE 1 3/8")</f>
        <v>#NAME?</v>
      </c>
      <c r="H23" s="154" t="e">
        <f>SUMIFS(lot,NOSEMAINE,"44",CATÉ,"H.CORE 1 3/4")</f>
        <v>#NAME?</v>
      </c>
    </row>
    <row r="24" spans="1:8" x14ac:dyDescent="0.3">
      <c r="A24" s="122">
        <v>45</v>
      </c>
      <c r="B24" t="s">
        <v>203</v>
      </c>
      <c r="C24" t="str">
        <f>VLOOKUP(A24,'Suivi de commande'!A30:M613,2,)</f>
        <v>SEMAINE DU 5 AU 9 NOVEMBRE</v>
      </c>
      <c r="D24" s="154" t="e">
        <f>SUMIF(NOSEMAINE,"45",lot)</f>
        <v>#NAME?</v>
      </c>
      <c r="E24" s="154" t="e">
        <f>SUMIFS(lot,NOSEMAINE,"45",CATÉ,"S.CORE 1 3/8")</f>
        <v>#NAME?</v>
      </c>
      <c r="F24" s="154" t="e">
        <f>SUMIFS(lot,NOSEMAINE,"45",CATÉ,"S.CORE 1 3/4")</f>
        <v>#NAME?</v>
      </c>
      <c r="G24" s="154" t="e">
        <f>SUMIFS(lot,NOSEMAINE,"45",CATÉ,"H.CORE 1 3/8")</f>
        <v>#NAME?</v>
      </c>
      <c r="H24" s="154" t="e">
        <f>SUMIFS(lot,NOSEMAINE,"45",CATÉ,"H.CORE 1 3/4")</f>
        <v>#NAME?</v>
      </c>
    </row>
    <row r="25" spans="1:8" x14ac:dyDescent="0.3">
      <c r="A25" s="122">
        <v>46</v>
      </c>
      <c r="B25" t="s">
        <v>204</v>
      </c>
      <c r="C25" t="str">
        <f>VLOOKUP(A25,'Suivi de commande'!A30:M614,2,)</f>
        <v>SEMAINE DU 12 AU 16 NOVEMBRE</v>
      </c>
      <c r="D25" s="154" t="e">
        <f>SUMIF(NOSEMAINE,"46",lot)</f>
        <v>#NAME?</v>
      </c>
      <c r="E25" s="154" t="e">
        <f>SUMIFS(lot,NOSEMAINE,"46",CATÉ,"S.CORE 1 3/8")</f>
        <v>#NAME?</v>
      </c>
      <c r="F25" s="154" t="e">
        <f>SUMIFS(lot,NOSEMAINE,"46",CATÉ,"S.CORE 1 3/4")</f>
        <v>#NAME?</v>
      </c>
      <c r="G25" s="154" t="e">
        <f>SUMIFS(lot,NOSEMAINE,"46",CATÉ,"H.CORE 1 3/8")</f>
        <v>#NAME?</v>
      </c>
      <c r="H25" s="154" t="e">
        <f>SUMIFS(lot,NOSEMAINE,"46",CATÉ,"H.CORE 1 3/4")</f>
        <v>#NAME?</v>
      </c>
    </row>
    <row r="26" spans="1:8" x14ac:dyDescent="0.3">
      <c r="A26" s="122">
        <v>47</v>
      </c>
      <c r="B26" t="s">
        <v>205</v>
      </c>
      <c r="C26" t="str">
        <f>VLOOKUP(A26,'Suivi de commande'!A30:M615,2,)</f>
        <v>SEMAINE DU 19 AU 23 NOVEMBRE</v>
      </c>
      <c r="D26" s="154" t="e">
        <f>SUMIF(NOSEMAINE,"47",lot)</f>
        <v>#NAME?</v>
      </c>
      <c r="E26" s="154" t="e">
        <f>SUMIFS(lot,NOSEMAINE,"47",CATÉ,"S.CORE 1 3/8")</f>
        <v>#NAME?</v>
      </c>
      <c r="F26" s="154" t="e">
        <f>SUMIFS(lot,NOSEMAINE,"47",CATÉ,"S.CORE 1 3/4")</f>
        <v>#NAME?</v>
      </c>
      <c r="G26" s="154" t="e">
        <f>SUMIFS(lot,NOSEMAINE,"47",CATÉ,"H.CORE 1 3/8")</f>
        <v>#NAME?</v>
      </c>
      <c r="H26" s="154" t="e">
        <f>SUMIFS(lot,NOSEMAINE,"47",CATÉ,"H.CORE 1 3/4")</f>
        <v>#NAME?</v>
      </c>
    </row>
    <row r="27" spans="1:8" x14ac:dyDescent="0.3">
      <c r="A27" s="122">
        <v>48</v>
      </c>
      <c r="B27" t="s">
        <v>206</v>
      </c>
      <c r="C27" t="str">
        <f>VLOOKUP(A27,'Suivi de commande'!A30:M616,2,)</f>
        <v>SEMAINE DU 26 AU 30 NOVEMBRE</v>
      </c>
      <c r="D27" s="154" t="e">
        <f>SUMIF(NOSEMAINE,"48",lot)</f>
        <v>#NAME?</v>
      </c>
      <c r="E27" s="154" t="e">
        <f>SUMIFS(lot,NOSEMAINE,"48",CATÉ,"S.CORE 1 3/8")</f>
        <v>#NAME?</v>
      </c>
      <c r="F27" s="154" t="e">
        <f>SUMIFS(lot,NOSEMAINE,"48",CATÉ,"S.CORE 1 3/4")</f>
        <v>#NAME?</v>
      </c>
      <c r="G27" s="154" t="e">
        <f>SUMIFS(lot,NOSEMAINE,"48",CATÉ,"H.CORE 1 3/8")</f>
        <v>#NAME?</v>
      </c>
      <c r="H27" s="154" t="e">
        <f>SUMIFS(lot,NOSEMAINE,"48",CATÉ,"H.CORE 1 3/4")</f>
        <v>#NAME?</v>
      </c>
    </row>
    <row r="28" spans="1:8" x14ac:dyDescent="0.3">
      <c r="A28" s="122">
        <v>49</v>
      </c>
      <c r="B28" t="s">
        <v>207</v>
      </c>
      <c r="C28" t="str">
        <f>VLOOKUP(A28,'Suivi de commande'!A30:M617,2,)</f>
        <v>SEMAINE DU 3 AU 7 DÉCEMBRE</v>
      </c>
      <c r="D28" s="154" t="e">
        <f>SUMIF(NOSEMAINE,"49",lot)</f>
        <v>#NAME?</v>
      </c>
      <c r="E28" s="154" t="e">
        <f>SUMIFS(lot,NOSEMAINE,"49",CATÉ,"S.CORE 1 3/8")</f>
        <v>#NAME?</v>
      </c>
      <c r="F28" s="154" t="e">
        <f>SUMIFS(lot,NOSEMAINE,"49",CATÉ,"S.CORE 1 3/4")</f>
        <v>#NAME?</v>
      </c>
      <c r="G28" s="154" t="e">
        <f>SUMIFS(lot,NOSEMAINE,"49",CATÉ,"H.CORE 1 3/8")</f>
        <v>#NAME?</v>
      </c>
      <c r="H28" s="154" t="e">
        <f>SUMIFS(lot,NOSEMAINE,"49",CATÉ,"H.CORE 1 3/4")</f>
        <v>#NAME?</v>
      </c>
    </row>
    <row r="29" spans="1:8" x14ac:dyDescent="0.3">
      <c r="A29" s="122">
        <v>50</v>
      </c>
      <c r="B29" t="s">
        <v>208</v>
      </c>
      <c r="C29" t="str">
        <f>VLOOKUP(A29,'Suivi de commande'!A30:M618,2,)</f>
        <v>SEMAINE DU 10 AU 14 DÉCEMBRE</v>
      </c>
      <c r="D29" s="154" t="e">
        <f>SUMIF(NOSEMAINE,"50",lot)</f>
        <v>#NAME?</v>
      </c>
      <c r="E29" s="154" t="e">
        <f>SUMIFS(lot,NOSEMAINE,"50",CATÉ,"S.CORE 1 3/8")</f>
        <v>#NAME?</v>
      </c>
      <c r="F29" s="154" t="e">
        <f>SUMIFS(lot,NOSEMAINE,"50",CATÉ,"S.CORE 1 3/4")</f>
        <v>#NAME?</v>
      </c>
      <c r="G29" s="154" t="e">
        <f>SUMIFS(lot,NOSEMAINE,"50",CATÉ,"H.CORE 1 3/8")</f>
        <v>#NAME?</v>
      </c>
      <c r="H29" s="154" t="e">
        <f>SUMIFS(lot,NOSEMAINE,"50",CATÉ,"H.CORE 1 3/4")</f>
        <v>#NAME?</v>
      </c>
    </row>
    <row r="30" spans="1:8" x14ac:dyDescent="0.3">
      <c r="A30" s="122">
        <v>51</v>
      </c>
      <c r="B30" t="s">
        <v>209</v>
      </c>
      <c r="C30" t="str">
        <f>VLOOKUP(A30,'Suivi de commande'!A30:M619,2,)</f>
        <v>SEMAINE DU 17 AU 21 DÉCEMBRE</v>
      </c>
      <c r="D30" s="154" t="e">
        <f>SUMIF(NOSEMAINE,"51",lot)</f>
        <v>#NAME?</v>
      </c>
      <c r="E30" s="154" t="e">
        <f>SUMIFS(lot,NOSEMAINE,"51",CATÉ,"S.CORE 1 3/8")</f>
        <v>#NAME?</v>
      </c>
      <c r="F30" s="154" t="e">
        <f>SUMIFS(lot,NOSEMAINE,"51",CATÉ,"S.CORE 1 3/4")</f>
        <v>#NAME?</v>
      </c>
      <c r="G30" s="154" t="e">
        <f>SUMIFS(lot,NOSEMAINE,"51",CATÉ,"H.CORE 1 3/8")</f>
        <v>#NAME?</v>
      </c>
      <c r="H30" s="154" t="e">
        <f>SUMIFS(lot,NOSEMAINE,"51",CATÉ,"H.CORE 1 3/4")</f>
        <v>#NAME?</v>
      </c>
    </row>
    <row r="31" spans="1:8" x14ac:dyDescent="0.3">
      <c r="A31" s="122">
        <v>52</v>
      </c>
      <c r="B31" t="s">
        <v>210</v>
      </c>
      <c r="C31" t="str">
        <f>VLOOKUP(A31,'Suivi de commande'!A30:M620,2,)</f>
        <v>SEMAINE DU 24 AU 28 DÉCEMBRE</v>
      </c>
      <c r="D31" s="154" t="e">
        <f>SUMIF(NOSEMAINE,"52",lot)</f>
        <v>#NAME?</v>
      </c>
      <c r="E31" s="154" t="e">
        <f>SUMIFS(lot,NOSEMAINE,"52",CATÉ,"S.CORE 1 3/8")</f>
        <v>#NAME?</v>
      </c>
      <c r="F31" s="154" t="e">
        <f>SUMIFS(lot,NOSEMAINE,"52",CATÉ,"S.CORE 1 3/4")</f>
        <v>#NAME?</v>
      </c>
      <c r="G31" s="154" t="e">
        <f>SUMIFS(lot,NOSEMAINE,"52",CATÉ,"H.CORE 1 3/8")</f>
        <v>#NAME?</v>
      </c>
      <c r="H31" s="154" t="e">
        <f>SUMIFS(lot,NOSEMAINE,"52",CATÉ,"H.CORE 1 3/4")</f>
        <v>#NAME?</v>
      </c>
    </row>
    <row r="32" spans="1:8" x14ac:dyDescent="0.3">
      <c r="A32" s="122" t="s">
        <v>178</v>
      </c>
      <c r="B32" s="139"/>
      <c r="C32" s="140" t="s">
        <v>212</v>
      </c>
      <c r="D32" s="155" t="e">
        <f>SUM(D2:D31)</f>
        <v>#NAME?</v>
      </c>
      <c r="E32" s="155" t="e">
        <f>SUM(E2:E31)</f>
        <v>#NAME?</v>
      </c>
      <c r="F32" s="155" t="e">
        <f>SUM(F2:F31)</f>
        <v>#NAME?</v>
      </c>
      <c r="G32" s="155" t="e">
        <f>SUM(G2:G31)</f>
        <v>#NAME?</v>
      </c>
      <c r="H32" s="155" t="e">
        <f>SUM(H2:H31)</f>
        <v>#NAME?</v>
      </c>
    </row>
    <row r="33" spans="1:1" x14ac:dyDescent="0.3">
      <c r="A33" s="12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Q169"/>
  <sheetViews>
    <sheetView tabSelected="1" workbookViewId="0">
      <selection activeCell="G9" sqref="G9"/>
    </sheetView>
  </sheetViews>
  <sheetFormatPr baseColWidth="10" defaultRowHeight="14.4" x14ac:dyDescent="0.3"/>
  <cols>
    <col min="11" max="11" width="11.5546875" customWidth="1"/>
  </cols>
  <sheetData>
    <row r="1" spans="1:17" x14ac:dyDescent="0.3">
      <c r="A1" s="258">
        <v>43252</v>
      </c>
      <c r="B1" s="259"/>
      <c r="C1" s="259"/>
      <c r="D1" s="259"/>
      <c r="E1" s="259"/>
      <c r="F1" s="259"/>
      <c r="G1" s="259"/>
      <c r="H1" s="259"/>
      <c r="I1" s="259"/>
      <c r="J1" s="259"/>
      <c r="K1" s="259"/>
      <c r="L1" s="259"/>
      <c r="M1" s="259"/>
      <c r="N1" s="260"/>
      <c r="P1" s="159"/>
      <c r="Q1" s="233"/>
    </row>
    <row r="2" spans="1:17" ht="15" thickBot="1" x14ac:dyDescent="0.35">
      <c r="A2" s="261"/>
      <c r="B2" s="262"/>
      <c r="C2" s="262"/>
      <c r="D2" s="262"/>
      <c r="E2" s="262"/>
      <c r="F2" s="262"/>
      <c r="G2" s="262"/>
      <c r="H2" s="262"/>
      <c r="I2" s="262"/>
      <c r="J2" s="262"/>
      <c r="K2" s="262"/>
      <c r="L2" s="262"/>
      <c r="M2" s="262"/>
      <c r="N2" s="263"/>
      <c r="P2" s="159"/>
      <c r="Q2" s="233"/>
    </row>
    <row r="3" spans="1:17" x14ac:dyDescent="0.3">
      <c r="A3" s="160"/>
      <c r="B3" s="161"/>
      <c r="C3" s="264" t="s">
        <v>216</v>
      </c>
      <c r="D3" s="265"/>
      <c r="E3" s="268" t="s">
        <v>217</v>
      </c>
      <c r="F3" s="270" t="s">
        <v>218</v>
      </c>
      <c r="G3" s="271"/>
      <c r="H3" s="268" t="s">
        <v>219</v>
      </c>
      <c r="I3" s="264" t="s">
        <v>220</v>
      </c>
      <c r="J3" s="265"/>
      <c r="K3" s="234"/>
      <c r="L3" s="252" t="s">
        <v>221</v>
      </c>
      <c r="M3" s="268" t="s">
        <v>222</v>
      </c>
      <c r="N3" s="264" t="s">
        <v>223</v>
      </c>
      <c r="O3" s="252" t="s">
        <v>224</v>
      </c>
      <c r="P3" s="255" t="s">
        <v>225</v>
      </c>
      <c r="Q3" s="233"/>
    </row>
    <row r="4" spans="1:17" x14ac:dyDescent="0.3">
      <c r="A4" s="162"/>
      <c r="B4" s="163"/>
      <c r="C4" s="266"/>
      <c r="D4" s="267"/>
      <c r="E4" s="269"/>
      <c r="F4" s="272"/>
      <c r="G4" s="273"/>
      <c r="H4" s="269"/>
      <c r="I4" s="266"/>
      <c r="J4" s="267"/>
      <c r="K4" s="235"/>
      <c r="L4" s="253"/>
      <c r="M4" s="269"/>
      <c r="N4" s="266"/>
      <c r="O4" s="253"/>
      <c r="P4" s="256"/>
      <c r="Q4" s="233"/>
    </row>
    <row r="5" spans="1:17" ht="15" thickBot="1" x14ac:dyDescent="0.35">
      <c r="A5" s="162"/>
      <c r="B5" s="163"/>
      <c r="C5" s="164" t="s">
        <v>226</v>
      </c>
      <c r="D5" s="165" t="s">
        <v>227</v>
      </c>
      <c r="E5" s="269"/>
      <c r="F5" s="166" t="s">
        <v>226</v>
      </c>
      <c r="G5" s="167" t="s">
        <v>227</v>
      </c>
      <c r="H5" s="269"/>
      <c r="I5" s="168" t="s">
        <v>226</v>
      </c>
      <c r="J5" s="167" t="s">
        <v>227</v>
      </c>
      <c r="K5" s="167"/>
      <c r="L5" s="253"/>
      <c r="M5" s="269"/>
      <c r="N5" s="266"/>
      <c r="O5" s="254"/>
      <c r="P5" s="257"/>
      <c r="Q5" s="233"/>
    </row>
    <row r="6" spans="1:17" ht="15" thickBot="1" x14ac:dyDescent="0.35">
      <c r="A6" s="169">
        <v>43255</v>
      </c>
      <c r="B6" s="170"/>
      <c r="C6" s="171"/>
      <c r="D6" s="171"/>
      <c r="E6" s="171">
        <f>SUM(C6+D6)</f>
        <v>0</v>
      </c>
      <c r="F6" s="171">
        <v>597</v>
      </c>
      <c r="G6" s="171">
        <f>SUMIF(date,A6,qtélot)</f>
        <v>552</v>
      </c>
      <c r="H6" s="171">
        <f>SUM(F6+G6)</f>
        <v>1149</v>
      </c>
      <c r="I6" s="171"/>
      <c r="J6" s="247">
        <f ca="1">G6-K6</f>
        <v>0</v>
      </c>
      <c r="K6" s="247">
        <f ca="1">SOMME_SI_ETCOUL(date,A6,qtélot,Q1)-SOMME_SI_ETCOUL(date,A6,FAIT,Q1)</f>
        <v>552</v>
      </c>
      <c r="L6" s="171">
        <f ca="1">+J6-G6</f>
        <v>-552</v>
      </c>
      <c r="M6" s="171"/>
      <c r="N6" s="172"/>
      <c r="O6" s="173"/>
      <c r="P6" s="174"/>
      <c r="Q6" s="233"/>
    </row>
    <row r="7" spans="1:17" ht="15" thickBot="1" x14ac:dyDescent="0.35">
      <c r="A7" s="169">
        <v>43256</v>
      </c>
      <c r="B7" s="175"/>
      <c r="C7" s="176"/>
      <c r="D7" s="176"/>
      <c r="E7" s="176">
        <f>SUM(C7+D7)</f>
        <v>0</v>
      </c>
      <c r="F7" s="176">
        <v>538</v>
      </c>
      <c r="G7" s="171">
        <f>SUMIF(date,A7,qtélot)</f>
        <v>1000</v>
      </c>
      <c r="H7" s="176">
        <f>SUM(F7+G7)</f>
        <v>1538</v>
      </c>
      <c r="I7" s="176"/>
      <c r="J7" s="247">
        <f ca="1">G7-K7</f>
        <v>0</v>
      </c>
      <c r="K7" s="247">
        <f ca="1">SOMME_SI_ETCOUL(date,A7,qtélot,Q2)-SOMME_SI_ETCOUL(date,A7,FAIT,Q2)</f>
        <v>1000</v>
      </c>
      <c r="L7" s="171">
        <f ca="1">+J7-G7</f>
        <v>-1000</v>
      </c>
      <c r="M7" s="176"/>
      <c r="N7" s="177"/>
      <c r="O7" s="178"/>
      <c r="P7" s="179"/>
      <c r="Q7" s="233"/>
    </row>
    <row r="8" spans="1:17" ht="15" thickBot="1" x14ac:dyDescent="0.35">
      <c r="A8" s="169">
        <v>43257</v>
      </c>
      <c r="B8" s="175"/>
      <c r="C8" s="176"/>
      <c r="D8" s="176"/>
      <c r="E8" s="176">
        <f>SUM(C8+D8)</f>
        <v>0</v>
      </c>
      <c r="F8" s="176">
        <v>529</v>
      </c>
      <c r="G8" s="171">
        <f>SUMIF(date,A8,qtélot)</f>
        <v>0</v>
      </c>
      <c r="H8" s="176">
        <f>SUM(F8+G8)</f>
        <v>529</v>
      </c>
      <c r="I8" s="176"/>
      <c r="J8" s="247">
        <f ca="1">G8-K8</f>
        <v>0</v>
      </c>
      <c r="K8" s="247">
        <f ca="1">SOMME_SI_ETCOUL(date,A8,qtélot,Q3)-SOMME_SI_ETCOUL(date,A8,FAIT,Q3)</f>
        <v>0</v>
      </c>
      <c r="L8" s="171">
        <f ca="1">+J8-G8</f>
        <v>0</v>
      </c>
      <c r="M8" s="176"/>
      <c r="N8" s="177"/>
      <c r="O8" s="178"/>
      <c r="P8" s="179"/>
      <c r="Q8" s="233"/>
    </row>
    <row r="9" spans="1:17" ht="15" thickBot="1" x14ac:dyDescent="0.35">
      <c r="A9" s="169">
        <v>43258</v>
      </c>
      <c r="B9" s="175"/>
      <c r="C9" s="176"/>
      <c r="D9" s="176"/>
      <c r="E9" s="176">
        <f>SUM(C9+D9)</f>
        <v>0</v>
      </c>
      <c r="F9" s="176">
        <v>531</v>
      </c>
      <c r="G9" s="171">
        <f>SUMIF(date,A9,qtélot)</f>
        <v>0</v>
      </c>
      <c r="H9" s="176">
        <f>SUM(F9+G9)</f>
        <v>531</v>
      </c>
      <c r="I9" s="176"/>
      <c r="J9" s="247">
        <f ca="1">G9-K9</f>
        <v>0</v>
      </c>
      <c r="K9" s="247">
        <f ca="1">SOMME_SI_ETCOUL(date,A9,qtélot,Q4)-SOMME_SI_ETCOUL(date,A9,FAIT,Q4)</f>
        <v>0</v>
      </c>
      <c r="L9" s="171">
        <f ca="1">+J9-G9</f>
        <v>0</v>
      </c>
      <c r="M9" s="176"/>
      <c r="N9" s="177"/>
      <c r="O9" s="178"/>
      <c r="P9" s="179"/>
      <c r="Q9" s="233"/>
    </row>
    <row r="10" spans="1:17" x14ac:dyDescent="0.3">
      <c r="A10" s="169">
        <v>43259</v>
      </c>
      <c r="B10" s="175"/>
      <c r="C10" s="176"/>
      <c r="D10" s="176"/>
      <c r="E10" s="176">
        <f>SUM(C10+D10)</f>
        <v>0</v>
      </c>
      <c r="F10" s="176">
        <v>290</v>
      </c>
      <c r="G10" s="171">
        <f>SUMIF(date,A10,qtélot)</f>
        <v>0</v>
      </c>
      <c r="H10" s="176">
        <f>SUM(F10+G10)</f>
        <v>290</v>
      </c>
      <c r="I10" s="176"/>
      <c r="J10" s="247">
        <f ca="1">G10-K10</f>
        <v>0</v>
      </c>
      <c r="K10" s="247">
        <f ca="1">SOMME_SI_ETCOUL(date,A10,qtélot,Q5)-SOMME_SI_ETCOUL(date,A10,FAIT,Q5)</f>
        <v>0</v>
      </c>
      <c r="L10" s="171">
        <f ca="1">+J10-G10</f>
        <v>0</v>
      </c>
      <c r="M10" s="176"/>
      <c r="N10" s="177"/>
      <c r="O10" s="178"/>
      <c r="P10" s="179"/>
      <c r="Q10" s="233"/>
    </row>
    <row r="11" spans="1:17" x14ac:dyDescent="0.3">
      <c r="A11" s="180" t="s">
        <v>228</v>
      </c>
      <c r="B11" s="181"/>
      <c r="C11" s="182">
        <f>SUM(C6:C10)</f>
        <v>0</v>
      </c>
      <c r="D11" s="182">
        <f>SUM(D6:D10)</f>
        <v>0</v>
      </c>
      <c r="E11" s="182">
        <f>SUM(E6:E10)</f>
        <v>0</v>
      </c>
      <c r="F11" s="182">
        <f>SUM(F6:F10)</f>
        <v>2485</v>
      </c>
      <c r="G11" s="182">
        <f>SUM(G6:G10)</f>
        <v>1552</v>
      </c>
      <c r="H11" s="182">
        <f t="shared" ref="H11:P11" si="0">SUM(H6:H10)</f>
        <v>4037</v>
      </c>
      <c r="I11" s="182">
        <f t="shared" si="0"/>
        <v>0</v>
      </c>
      <c r="J11" s="182"/>
      <c r="K11" s="182"/>
      <c r="L11" s="182">
        <f ca="1">SUM(L6:L10)</f>
        <v>-1552</v>
      </c>
      <c r="M11" s="182">
        <f t="shared" si="0"/>
        <v>0</v>
      </c>
      <c r="N11" s="183">
        <f t="shared" si="0"/>
        <v>0</v>
      </c>
      <c r="O11" s="184">
        <f t="shared" si="0"/>
        <v>0</v>
      </c>
      <c r="P11" s="185">
        <f t="shared" si="0"/>
        <v>0</v>
      </c>
      <c r="Q11" s="233"/>
    </row>
    <row r="12" spans="1:17" ht="15" thickBot="1" x14ac:dyDescent="0.35">
      <c r="A12" s="186" t="s">
        <v>229</v>
      </c>
      <c r="B12" s="187"/>
      <c r="C12" s="188">
        <f>SUM(C6:C10)/5</f>
        <v>0</v>
      </c>
      <c r="D12" s="188">
        <f t="shared" ref="D12:P12" si="1">SUM(D6:D10)/5</f>
        <v>0</v>
      </c>
      <c r="E12" s="188">
        <f t="shared" si="1"/>
        <v>0</v>
      </c>
      <c r="F12" s="188">
        <f t="shared" si="1"/>
        <v>497</v>
      </c>
      <c r="G12" s="188">
        <f>SUM(G6:G10)/5</f>
        <v>310.39999999999998</v>
      </c>
      <c r="H12" s="188">
        <f t="shared" si="1"/>
        <v>807.4</v>
      </c>
      <c r="I12" s="188">
        <f t="shared" si="1"/>
        <v>0</v>
      </c>
      <c r="J12" s="188">
        <f t="shared" ca="1" si="1"/>
        <v>0</v>
      </c>
      <c r="K12" s="188"/>
      <c r="L12" s="188">
        <f ca="1">SUM(L6:L10)/5</f>
        <v>-310.39999999999998</v>
      </c>
      <c r="M12" s="188">
        <f t="shared" si="1"/>
        <v>0</v>
      </c>
      <c r="N12" s="189">
        <f t="shared" si="1"/>
        <v>0</v>
      </c>
      <c r="O12" s="190">
        <f t="shared" si="1"/>
        <v>0</v>
      </c>
      <c r="P12" s="191">
        <f t="shared" si="1"/>
        <v>0</v>
      </c>
      <c r="Q12" s="233"/>
    </row>
    <row r="13" spans="1:17" ht="15" thickBot="1" x14ac:dyDescent="0.35">
      <c r="A13" s="192"/>
      <c r="B13" s="193"/>
      <c r="C13" s="194"/>
      <c r="D13" s="194"/>
      <c r="E13" s="194"/>
      <c r="F13" s="194"/>
      <c r="G13" s="194"/>
      <c r="H13" s="194"/>
      <c r="I13" s="194"/>
      <c r="J13" s="194"/>
      <c r="K13" s="194"/>
      <c r="L13" s="194"/>
      <c r="M13" s="194"/>
      <c r="N13" s="195"/>
      <c r="O13" s="196"/>
      <c r="P13" s="197"/>
      <c r="Q13" s="233"/>
    </row>
    <row r="14" spans="1:17" ht="15" thickBot="1" x14ac:dyDescent="0.35">
      <c r="A14" s="169">
        <v>43262</v>
      </c>
      <c r="B14" s="170"/>
      <c r="C14" s="171"/>
      <c r="D14" s="171"/>
      <c r="E14" s="171">
        <f>SUM(C14+D14)</f>
        <v>0</v>
      </c>
      <c r="F14" s="171">
        <v>562</v>
      </c>
      <c r="G14" s="171">
        <f>SUMIF(date,A14,qtélot)</f>
        <v>0</v>
      </c>
      <c r="H14" s="176">
        <f>SUM(F14+G14)</f>
        <v>562</v>
      </c>
      <c r="I14" s="171"/>
      <c r="J14" s="247">
        <f ca="1">G14-K14</f>
        <v>0</v>
      </c>
      <c r="K14" s="247">
        <f ca="1">SOMME_SI_ETCOUL(date,A14,qtélot,Q9)-SOMME_SI_ETCOUL(date,A14,FAIT,Q9)</f>
        <v>0</v>
      </c>
      <c r="L14" s="171">
        <f ca="1">+J14-G14</f>
        <v>0</v>
      </c>
      <c r="M14" s="171"/>
      <c r="N14" s="172"/>
      <c r="O14" s="173"/>
      <c r="P14" s="174"/>
      <c r="Q14" s="233"/>
    </row>
    <row r="15" spans="1:17" ht="15" thickBot="1" x14ac:dyDescent="0.35">
      <c r="A15" s="169">
        <v>43263</v>
      </c>
      <c r="B15" s="175"/>
      <c r="C15" s="176"/>
      <c r="D15" s="176"/>
      <c r="E15" s="176">
        <f>SUM(C15+D15)</f>
        <v>0</v>
      </c>
      <c r="F15" s="176">
        <v>736</v>
      </c>
      <c r="G15" s="171">
        <f>SUMIF(date,A15,qtélot)</f>
        <v>2</v>
      </c>
      <c r="H15" s="176">
        <f>SUM(F15+G15)</f>
        <v>738</v>
      </c>
      <c r="I15" s="176"/>
      <c r="J15" s="247">
        <f ca="1">G15-K15</f>
        <v>0</v>
      </c>
      <c r="K15" s="247">
        <f ca="1">SOMME_SI_ETCOUL(date,A15,qtélot,Q10)-SOMME_SI_ETCOUL(date,A15,FAIT,Q10)</f>
        <v>2</v>
      </c>
      <c r="L15" s="171">
        <f ca="1">+J15-G15</f>
        <v>-2</v>
      </c>
      <c r="M15" s="176"/>
      <c r="N15" s="177"/>
      <c r="O15" s="178"/>
      <c r="P15" s="179"/>
      <c r="Q15" s="233"/>
    </row>
    <row r="16" spans="1:17" ht="15" thickBot="1" x14ac:dyDescent="0.35">
      <c r="A16" s="169">
        <v>43264</v>
      </c>
      <c r="B16" s="175"/>
      <c r="C16" s="176"/>
      <c r="D16" s="176"/>
      <c r="E16" s="176">
        <f>SUM(C16+D16)</f>
        <v>0</v>
      </c>
      <c r="F16" s="176">
        <v>640</v>
      </c>
      <c r="G16" s="171">
        <f>SUMIF(date,A16,qtélot)</f>
        <v>0</v>
      </c>
      <c r="H16" s="176">
        <f>SUM(F16+G16)</f>
        <v>640</v>
      </c>
      <c r="I16" s="176"/>
      <c r="J16" s="247">
        <f ca="1">G16-K16</f>
        <v>0</v>
      </c>
      <c r="K16" s="247">
        <f ca="1">SOMME_SI_ETCOUL(date,A16,qtélot,Q11)-SOMME_SI_ETCOUL(date,A16,FAIT,Q11)</f>
        <v>0</v>
      </c>
      <c r="L16" s="171">
        <f ca="1">+J16-G16</f>
        <v>0</v>
      </c>
      <c r="M16" s="176"/>
      <c r="N16" s="177"/>
      <c r="O16" s="178"/>
      <c r="P16" s="179"/>
      <c r="Q16" s="233"/>
    </row>
    <row r="17" spans="1:17" ht="15" thickBot="1" x14ac:dyDescent="0.35">
      <c r="A17" s="169">
        <v>43265</v>
      </c>
      <c r="B17" s="175"/>
      <c r="C17" s="176"/>
      <c r="D17" s="176"/>
      <c r="E17" s="176">
        <f>SUM(C17+D17)</f>
        <v>0</v>
      </c>
      <c r="F17" s="176"/>
      <c r="G17" s="171">
        <f>SUMIF(date,A17,qtélot)</f>
        <v>0</v>
      </c>
      <c r="H17" s="176">
        <f>SUM(F17+G17)</f>
        <v>0</v>
      </c>
      <c r="I17" s="176"/>
      <c r="J17" s="247">
        <f ca="1">G17-K17</f>
        <v>0</v>
      </c>
      <c r="K17" s="247">
        <f ca="1">SOMME_SI_ETCOUL(date,A17,qtélot,Q12)-SOMME_SI_ETCOUL(date,A17,FAIT,Q12)</f>
        <v>0</v>
      </c>
      <c r="L17" s="171">
        <f ca="1">+J17-G17</f>
        <v>0</v>
      </c>
      <c r="M17" s="176"/>
      <c r="N17" s="177"/>
      <c r="O17" s="178"/>
      <c r="P17" s="179"/>
      <c r="Q17" s="233"/>
    </row>
    <row r="18" spans="1:17" x14ac:dyDescent="0.3">
      <c r="A18" s="169">
        <v>43266</v>
      </c>
      <c r="B18" s="175"/>
      <c r="C18" s="176"/>
      <c r="D18" s="176"/>
      <c r="E18" s="176">
        <f>SUM(C18+D18)</f>
        <v>0</v>
      </c>
      <c r="F18" s="176"/>
      <c r="G18" s="171">
        <f>SUMIF(date,A18,qtélot)</f>
        <v>0</v>
      </c>
      <c r="H18" s="176">
        <f>SUM(F18+G18)</f>
        <v>0</v>
      </c>
      <c r="I18" s="176"/>
      <c r="J18" s="247">
        <f ca="1">G18-K18</f>
        <v>0</v>
      </c>
      <c r="K18" s="247">
        <f ca="1">SOMME_SI_ETCOUL(date,A18,qtélot,Q13)-SOMME_SI_ETCOUL(date,A18,FAIT,Q13)</f>
        <v>0</v>
      </c>
      <c r="L18" s="171">
        <f ca="1">+J18-G18</f>
        <v>0</v>
      </c>
      <c r="M18" s="176"/>
      <c r="N18" s="177"/>
      <c r="O18" s="178"/>
      <c r="P18" s="179"/>
      <c r="Q18" s="233"/>
    </row>
    <row r="19" spans="1:17" x14ac:dyDescent="0.3">
      <c r="A19" s="180" t="s">
        <v>228</v>
      </c>
      <c r="B19" s="181"/>
      <c r="C19" s="182">
        <f t="shared" ref="C19:I19" si="2">SUM(C14:C18)</f>
        <v>0</v>
      </c>
      <c r="D19" s="182">
        <f t="shared" si="2"/>
        <v>0</v>
      </c>
      <c r="E19" s="182">
        <f t="shared" si="2"/>
        <v>0</v>
      </c>
      <c r="F19" s="182">
        <f t="shared" si="2"/>
        <v>1938</v>
      </c>
      <c r="G19" s="182">
        <f t="shared" si="2"/>
        <v>2</v>
      </c>
      <c r="H19" s="182">
        <f t="shared" si="2"/>
        <v>1940</v>
      </c>
      <c r="I19" s="182">
        <f t="shared" si="2"/>
        <v>0</v>
      </c>
      <c r="J19" s="182"/>
      <c r="K19" s="182"/>
      <c r="L19" s="182">
        <f ca="1">SUM(L14:L18)</f>
        <v>-2</v>
      </c>
      <c r="M19" s="182">
        <f>SUM(M14:M18)</f>
        <v>0</v>
      </c>
      <c r="N19" s="183">
        <f>SUM(N14:N18)</f>
        <v>0</v>
      </c>
      <c r="O19" s="184">
        <f>SUM(O14:O18)</f>
        <v>0</v>
      </c>
      <c r="P19" s="185">
        <f>SUM(P14:P18)</f>
        <v>0</v>
      </c>
      <c r="Q19" s="233"/>
    </row>
    <row r="20" spans="1:17" ht="15" thickBot="1" x14ac:dyDescent="0.35">
      <c r="A20" s="198" t="s">
        <v>229</v>
      </c>
      <c r="B20" s="199"/>
      <c r="C20" s="200">
        <f>SUM(C14:C18)/5</f>
        <v>0</v>
      </c>
      <c r="D20" s="200">
        <f t="shared" ref="D20:P20" si="3">SUM(D14:D18)/5</f>
        <v>0</v>
      </c>
      <c r="E20" s="200">
        <f t="shared" si="3"/>
        <v>0</v>
      </c>
      <c r="F20" s="200">
        <f t="shared" si="3"/>
        <v>387.6</v>
      </c>
      <c r="G20" s="200">
        <f>SUM(G14:G18)/5</f>
        <v>0.4</v>
      </c>
      <c r="H20" s="200">
        <f t="shared" si="3"/>
        <v>388</v>
      </c>
      <c r="I20" s="188">
        <f t="shared" si="3"/>
        <v>0</v>
      </c>
      <c r="J20" s="188">
        <f t="shared" ca="1" si="3"/>
        <v>0</v>
      </c>
      <c r="K20" s="188"/>
      <c r="L20" s="188">
        <f ca="1">SUM(L14:L18)/5</f>
        <v>-0.4</v>
      </c>
      <c r="M20" s="200">
        <f t="shared" si="3"/>
        <v>0</v>
      </c>
      <c r="N20" s="201">
        <f t="shared" si="3"/>
        <v>0</v>
      </c>
      <c r="O20" s="190">
        <f t="shared" si="3"/>
        <v>0</v>
      </c>
      <c r="P20" s="191">
        <f t="shared" si="3"/>
        <v>0</v>
      </c>
      <c r="Q20" s="233"/>
    </row>
    <row r="21" spans="1:17" ht="15" thickBot="1" x14ac:dyDescent="0.35">
      <c r="A21" s="202"/>
      <c r="B21" s="203"/>
      <c r="C21" s="204"/>
      <c r="D21" s="204"/>
      <c r="E21" s="204"/>
      <c r="F21" s="204"/>
      <c r="G21" s="204"/>
      <c r="H21" s="204"/>
      <c r="I21" s="204"/>
      <c r="J21" s="204"/>
      <c r="K21" s="204"/>
      <c r="L21" s="204"/>
      <c r="M21" s="204"/>
      <c r="N21" s="205"/>
      <c r="O21" s="196"/>
      <c r="P21" s="197"/>
      <c r="Q21" s="233"/>
    </row>
    <row r="22" spans="1:17" ht="15" thickBot="1" x14ac:dyDescent="0.35">
      <c r="A22" s="169">
        <v>43269</v>
      </c>
      <c r="B22" s="206"/>
      <c r="C22" s="207"/>
      <c r="D22" s="207"/>
      <c r="E22" s="207">
        <f>SUM(C22+D22)</f>
        <v>0</v>
      </c>
      <c r="F22" s="207"/>
      <c r="G22" s="171">
        <f>SUMIF(date,A22,qtélot)</f>
        <v>0</v>
      </c>
      <c r="H22" s="207"/>
      <c r="I22" s="171"/>
      <c r="J22" s="247">
        <f ca="1">G22-K22</f>
        <v>0</v>
      </c>
      <c r="K22" s="247">
        <f ca="1">SOMME_SI_ETCOUL(date,A22,qtélot,Q17)-SOMME_SI_ETCOUL(date,A22,FAIT,Q17)</f>
        <v>0</v>
      </c>
      <c r="L22" s="171">
        <f ca="1">+J22-G22</f>
        <v>0</v>
      </c>
      <c r="M22" s="207"/>
      <c r="N22" s="208"/>
      <c r="O22" s="173"/>
      <c r="P22" s="174"/>
      <c r="Q22" s="233"/>
    </row>
    <row r="23" spans="1:17" ht="15" thickBot="1" x14ac:dyDescent="0.35">
      <c r="A23" s="169">
        <v>43270</v>
      </c>
      <c r="B23" s="209"/>
      <c r="C23" s="210"/>
      <c r="D23" s="210"/>
      <c r="E23" s="210">
        <f>SUM(C23+D23)</f>
        <v>0</v>
      </c>
      <c r="F23" s="210"/>
      <c r="G23" s="171">
        <f>SUMIF(date,A23,qtélot)</f>
        <v>0</v>
      </c>
      <c r="H23" s="210"/>
      <c r="I23" s="176"/>
      <c r="J23" s="247">
        <f ca="1">G23-K23</f>
        <v>0</v>
      </c>
      <c r="K23" s="247">
        <f ca="1">SOMME_SI_ETCOUL(date,A23,qtélot,Q18)-SOMME_SI_ETCOUL(date,A23,FAIT,Q18)</f>
        <v>0</v>
      </c>
      <c r="L23" s="171">
        <f ca="1">+J23-G23</f>
        <v>0</v>
      </c>
      <c r="M23" s="210"/>
      <c r="N23" s="211"/>
      <c r="O23" s="178"/>
      <c r="P23" s="179"/>
      <c r="Q23" s="233"/>
    </row>
    <row r="24" spans="1:17" ht="15" thickBot="1" x14ac:dyDescent="0.35">
      <c r="A24" s="169">
        <v>43271</v>
      </c>
      <c r="B24" s="209"/>
      <c r="C24" s="210"/>
      <c r="D24" s="210"/>
      <c r="E24" s="210">
        <f>SUM(C24+D24)</f>
        <v>0</v>
      </c>
      <c r="F24" s="210"/>
      <c r="G24" s="171">
        <f>SUMIF(date,A24,qtélot)</f>
        <v>1000</v>
      </c>
      <c r="H24" s="210">
        <f>SUM(F24+G24)</f>
        <v>1000</v>
      </c>
      <c r="I24" s="176"/>
      <c r="J24" s="247">
        <f ca="1">G24-K24</f>
        <v>0</v>
      </c>
      <c r="K24" s="247">
        <f ca="1">SOMME_SI_ETCOUL(date,A24,qtélot,Q19)-SOMME_SI_ETCOUL(date,A24,FAIT,Q19)</f>
        <v>1000</v>
      </c>
      <c r="L24" s="171">
        <f ca="1">+J24-G24</f>
        <v>-1000</v>
      </c>
      <c r="M24" s="210"/>
      <c r="N24" s="211"/>
      <c r="O24" s="178"/>
      <c r="P24" s="179"/>
      <c r="Q24" s="233"/>
    </row>
    <row r="25" spans="1:17" ht="15" thickBot="1" x14ac:dyDescent="0.35">
      <c r="A25" s="169">
        <v>43272</v>
      </c>
      <c r="B25" s="209"/>
      <c r="C25" s="210"/>
      <c r="D25" s="210"/>
      <c r="E25" s="210">
        <f>SUM(C25+D25)</f>
        <v>0</v>
      </c>
      <c r="F25" s="210"/>
      <c r="G25" s="171">
        <f>SUMIF(date,A25,qtélot)</f>
        <v>85</v>
      </c>
      <c r="H25" s="210">
        <f>SUM(F25+G25)</f>
        <v>85</v>
      </c>
      <c r="I25" s="176"/>
      <c r="J25" s="247">
        <f ca="1">G25-K25</f>
        <v>0</v>
      </c>
      <c r="K25" s="247">
        <f ca="1">SOMME_SI_ETCOUL(date,A25,qtélot,Q20)-SOMME_SI_ETCOUL(date,A25,FAIT,Q20)</f>
        <v>85</v>
      </c>
      <c r="L25" s="171">
        <f ca="1">+J25-G25</f>
        <v>-85</v>
      </c>
      <c r="M25" s="210"/>
      <c r="N25" s="211"/>
      <c r="O25" s="178"/>
      <c r="P25" s="179"/>
      <c r="Q25" s="233"/>
    </row>
    <row r="26" spans="1:17" x14ac:dyDescent="0.3">
      <c r="A26" s="169">
        <v>43273</v>
      </c>
      <c r="B26" s="209"/>
      <c r="C26" s="210"/>
      <c r="D26" s="210"/>
      <c r="E26" s="210">
        <f>SUM(C26+D26)</f>
        <v>0</v>
      </c>
      <c r="F26" s="210"/>
      <c r="G26" s="171">
        <f>SUMIF(date,A26,qtélot)</f>
        <v>1776</v>
      </c>
      <c r="H26" s="210">
        <f>SUM(F26+G26)</f>
        <v>1776</v>
      </c>
      <c r="I26" s="176"/>
      <c r="J26" s="247">
        <f ca="1">G26-K26</f>
        <v>0</v>
      </c>
      <c r="K26" s="247">
        <f ca="1">SOMME_SI_ETCOUL(date,A26,qtélot,Q21)-SOMME_SI_ETCOUL(date,A26,FAIT,Q21)</f>
        <v>1776</v>
      </c>
      <c r="L26" s="171">
        <f ca="1">+J26-G26</f>
        <v>-1776</v>
      </c>
      <c r="M26" s="210"/>
      <c r="N26" s="211"/>
      <c r="O26" s="178"/>
      <c r="P26" s="179"/>
      <c r="Q26" s="233"/>
    </row>
    <row r="27" spans="1:17" x14ac:dyDescent="0.3">
      <c r="A27" s="180" t="s">
        <v>228</v>
      </c>
      <c r="B27" s="212"/>
      <c r="C27" s="213">
        <f t="shared" ref="C27:I27" si="4">SUM(C22:C26)</f>
        <v>0</v>
      </c>
      <c r="D27" s="213">
        <f t="shared" si="4"/>
        <v>0</v>
      </c>
      <c r="E27" s="213">
        <f t="shared" si="4"/>
        <v>0</v>
      </c>
      <c r="F27" s="213">
        <f t="shared" si="4"/>
        <v>0</v>
      </c>
      <c r="G27" s="213">
        <f t="shared" si="4"/>
        <v>2861</v>
      </c>
      <c r="H27" s="213">
        <f t="shared" si="4"/>
        <v>2861</v>
      </c>
      <c r="I27" s="182">
        <f t="shared" si="4"/>
        <v>0</v>
      </c>
      <c r="J27" s="182"/>
      <c r="K27" s="182"/>
      <c r="L27" s="182">
        <f ca="1">SUM(L22:L26)</f>
        <v>-2861</v>
      </c>
      <c r="M27" s="213">
        <f>SUM(M22:M26)</f>
        <v>0</v>
      </c>
      <c r="N27" s="214">
        <f>SUM(N22:N26)</f>
        <v>0</v>
      </c>
      <c r="O27" s="184">
        <f>SUM(O22:O26)</f>
        <v>0</v>
      </c>
      <c r="P27" s="185">
        <f>SUM(P22:P26)</f>
        <v>0</v>
      </c>
      <c r="Q27" s="233"/>
    </row>
    <row r="28" spans="1:17" ht="15" thickBot="1" x14ac:dyDescent="0.35">
      <c r="A28" s="198" t="s">
        <v>229</v>
      </c>
      <c r="B28" s="215"/>
      <c r="C28" s="216">
        <f>SUM(C22:C26)/5</f>
        <v>0</v>
      </c>
      <c r="D28" s="216">
        <f t="shared" ref="D28:P28" si="5">SUM(D22:D26)/5</f>
        <v>0</v>
      </c>
      <c r="E28" s="216">
        <f t="shared" si="5"/>
        <v>0</v>
      </c>
      <c r="F28" s="216">
        <f t="shared" si="5"/>
        <v>0</v>
      </c>
      <c r="G28" s="216">
        <f t="shared" si="5"/>
        <v>572.20000000000005</v>
      </c>
      <c r="H28" s="216">
        <f>SUM(H22:H26)/5</f>
        <v>572.20000000000005</v>
      </c>
      <c r="I28" s="188">
        <f>SUM(I22:I26)/5</f>
        <v>0</v>
      </c>
      <c r="J28" s="188">
        <f ca="1">SUM(J22:J26)/5</f>
        <v>0</v>
      </c>
      <c r="K28" s="188"/>
      <c r="L28" s="188">
        <f ca="1">SUM(L22:L26)/5</f>
        <v>-572.20000000000005</v>
      </c>
      <c r="M28" s="216">
        <f t="shared" si="5"/>
        <v>0</v>
      </c>
      <c r="N28" s="217">
        <f t="shared" si="5"/>
        <v>0</v>
      </c>
      <c r="O28" s="190">
        <f t="shared" si="5"/>
        <v>0</v>
      </c>
      <c r="P28" s="191">
        <f t="shared" si="5"/>
        <v>0</v>
      </c>
      <c r="Q28" s="233"/>
    </row>
    <row r="29" spans="1:17" ht="15" thickBot="1" x14ac:dyDescent="0.35">
      <c r="A29" s="202"/>
      <c r="B29" s="203"/>
      <c r="C29" s="204"/>
      <c r="D29" s="204"/>
      <c r="E29" s="204"/>
      <c r="F29" s="204"/>
      <c r="G29" s="204"/>
      <c r="H29" s="204"/>
      <c r="I29" s="204"/>
      <c r="J29" s="204"/>
      <c r="K29" s="204"/>
      <c r="L29" s="204"/>
      <c r="M29" s="204"/>
      <c r="N29" s="205"/>
      <c r="O29" s="196"/>
      <c r="P29" s="197"/>
      <c r="Q29" s="233"/>
    </row>
    <row r="30" spans="1:17" ht="15" thickBot="1" x14ac:dyDescent="0.35">
      <c r="A30" s="169">
        <v>43276</v>
      </c>
      <c r="B30" s="206"/>
      <c r="C30" s="207"/>
      <c r="D30" s="207"/>
      <c r="E30" s="207">
        <f>SUM(C30+D30)</f>
        <v>0</v>
      </c>
      <c r="F30" s="207"/>
      <c r="G30" s="171">
        <f>SUMIF(date,A30,qtélot)</f>
        <v>0</v>
      </c>
      <c r="H30" s="210">
        <f>SUM(F30+G30)</f>
        <v>0</v>
      </c>
      <c r="I30" s="171"/>
      <c r="J30" s="247">
        <f ca="1">G30-K30</f>
        <v>0</v>
      </c>
      <c r="K30" s="247">
        <f ca="1">SOMME_SI_ETCOUL(date,A30,qtélot,Q25)-SOMME_SI_ETCOUL(date,A30,FAIT,Q25)</f>
        <v>0</v>
      </c>
      <c r="L30" s="171">
        <f ca="1">+J30-G30</f>
        <v>0</v>
      </c>
      <c r="M30" s="207"/>
      <c r="N30" s="208"/>
      <c r="O30" s="173"/>
      <c r="P30" s="174"/>
      <c r="Q30" s="233"/>
    </row>
    <row r="31" spans="1:17" ht="15" thickBot="1" x14ac:dyDescent="0.35">
      <c r="A31" s="169">
        <v>43277</v>
      </c>
      <c r="B31" s="209"/>
      <c r="C31" s="210"/>
      <c r="D31" s="210"/>
      <c r="E31" s="210">
        <f>SUM(C31+D31)</f>
        <v>0</v>
      </c>
      <c r="F31" s="210"/>
      <c r="G31" s="171">
        <f>SUMIF(date,A31,qtélot)</f>
        <v>0</v>
      </c>
      <c r="H31" s="210">
        <f>SUM(F31+G31)</f>
        <v>0</v>
      </c>
      <c r="I31" s="176"/>
      <c r="J31" s="247">
        <f ca="1">G31-K31</f>
        <v>0</v>
      </c>
      <c r="K31" s="247">
        <f ca="1">SOMME_SI_ETCOUL(date,A31,qtélot,Q26)-SOMME_SI_ETCOUL(date,A31,FAIT,Q26)</f>
        <v>0</v>
      </c>
      <c r="L31" s="171">
        <f ca="1">+J31-G31</f>
        <v>0</v>
      </c>
      <c r="M31" s="210"/>
      <c r="N31" s="211"/>
      <c r="O31" s="178"/>
      <c r="P31" s="179"/>
      <c r="Q31" s="233"/>
    </row>
    <row r="32" spans="1:17" ht="15" thickBot="1" x14ac:dyDescent="0.35">
      <c r="A32" s="169">
        <v>43278</v>
      </c>
      <c r="B32" s="209"/>
      <c r="C32" s="210"/>
      <c r="D32" s="210"/>
      <c r="E32" s="210">
        <f>SUM(C32+D32)</f>
        <v>0</v>
      </c>
      <c r="F32" s="210"/>
      <c r="G32" s="171">
        <f>SUMIF(date,A32,qtélot)</f>
        <v>0</v>
      </c>
      <c r="H32" s="210">
        <f>SUM(F32+G32)</f>
        <v>0</v>
      </c>
      <c r="I32" s="176"/>
      <c r="J32" s="247">
        <f ca="1">G32-K32</f>
        <v>-1143</v>
      </c>
      <c r="K32" s="247">
        <f ca="1">SOMME_SI_ETCOUL(date,A32,qtélot,Q27)-SOMME_SI_ETCOUL(date,A32,FAIT,Q27)</f>
        <v>1143</v>
      </c>
      <c r="L32" s="171">
        <f ca="1">+J32-G32</f>
        <v>-1143</v>
      </c>
      <c r="M32" s="210"/>
      <c r="N32" s="211"/>
      <c r="O32" s="178"/>
      <c r="P32" s="179"/>
      <c r="Q32" s="233"/>
    </row>
    <row r="33" spans="1:17" ht="15" thickBot="1" x14ac:dyDescent="0.35">
      <c r="A33" s="169">
        <v>43279</v>
      </c>
      <c r="B33" s="209"/>
      <c r="C33" s="210"/>
      <c r="D33" s="210"/>
      <c r="E33" s="210">
        <f>SUM(C33+D33)</f>
        <v>0</v>
      </c>
      <c r="F33" s="210"/>
      <c r="G33" s="171">
        <f>SUMIF(date,A33,qtélot)</f>
        <v>25</v>
      </c>
      <c r="H33" s="210">
        <f>SUM(F33+G33)</f>
        <v>25</v>
      </c>
      <c r="I33" s="176"/>
      <c r="J33" s="247">
        <f ca="1">G33-K33</f>
        <v>0</v>
      </c>
      <c r="K33" s="247">
        <f ca="1">SOMME_SI_ETCOUL(date,A33,qtélot,Q28)-SOMME_SI_ETCOUL(date,A33,FAIT,Q28)</f>
        <v>25</v>
      </c>
      <c r="L33" s="171">
        <f ca="1">+J33-G33</f>
        <v>-25</v>
      </c>
      <c r="M33" s="210"/>
      <c r="N33" s="211"/>
      <c r="O33" s="178"/>
      <c r="P33" s="179"/>
      <c r="Q33" s="233"/>
    </row>
    <row r="34" spans="1:17" x14ac:dyDescent="0.3">
      <c r="A34" s="169">
        <v>43280</v>
      </c>
      <c r="B34" s="209"/>
      <c r="C34" s="210"/>
      <c r="D34" s="210"/>
      <c r="E34" s="210">
        <f>SUM(C34+D34)</f>
        <v>0</v>
      </c>
      <c r="F34" s="210"/>
      <c r="G34" s="171">
        <f>SUMIF(date,A34,qtélot)</f>
        <v>0</v>
      </c>
      <c r="H34" s="210">
        <f>SUM(F34+G34)</f>
        <v>0</v>
      </c>
      <c r="I34" s="176"/>
      <c r="J34" s="247">
        <f ca="1">G34-K34</f>
        <v>0</v>
      </c>
      <c r="K34" s="247">
        <f ca="1">SOMME_SI_ETCOUL(date,A34,qtélot,Q29)-SOMME_SI_ETCOUL(date,A34,FAIT,Q29)</f>
        <v>0</v>
      </c>
      <c r="L34" s="171">
        <f ca="1">+J34-G34</f>
        <v>0</v>
      </c>
      <c r="M34" s="210"/>
      <c r="N34" s="211"/>
      <c r="O34" s="178"/>
      <c r="P34" s="179"/>
      <c r="Q34" s="233"/>
    </row>
    <row r="35" spans="1:17" x14ac:dyDescent="0.3">
      <c r="A35" s="180" t="s">
        <v>228</v>
      </c>
      <c r="B35" s="212"/>
      <c r="C35" s="213">
        <f>SUM(C30:C34)</f>
        <v>0</v>
      </c>
      <c r="D35" s="213">
        <f>SUM(D30:D34)</f>
        <v>0</v>
      </c>
      <c r="E35" s="213">
        <f>SUM(E30:E34)</f>
        <v>0</v>
      </c>
      <c r="F35" s="213"/>
      <c r="G35" s="213"/>
      <c r="H35" s="213">
        <f t="shared" ref="H35:P35" si="6">SUM(H30:H34)</f>
        <v>25</v>
      </c>
      <c r="I35" s="182">
        <f t="shared" si="6"/>
        <v>0</v>
      </c>
      <c r="J35" s="182"/>
      <c r="K35" s="182"/>
      <c r="L35" s="182">
        <f ca="1">SUM(L30:L34)</f>
        <v>-1168</v>
      </c>
      <c r="M35" s="213">
        <f t="shared" si="6"/>
        <v>0</v>
      </c>
      <c r="N35" s="214">
        <f t="shared" si="6"/>
        <v>0</v>
      </c>
      <c r="O35" s="184">
        <f t="shared" si="6"/>
        <v>0</v>
      </c>
      <c r="P35" s="185">
        <f t="shared" si="6"/>
        <v>0</v>
      </c>
      <c r="Q35" s="233"/>
    </row>
    <row r="36" spans="1:17" ht="15" thickBot="1" x14ac:dyDescent="0.35">
      <c r="A36" s="198" t="s">
        <v>229</v>
      </c>
      <c r="B36" s="215"/>
      <c r="C36" s="216">
        <f>SUM(C30:C34)/5</f>
        <v>0</v>
      </c>
      <c r="D36" s="216">
        <f t="shared" ref="D36:P36" si="7">SUM(D30:D34)/5</f>
        <v>0</v>
      </c>
      <c r="E36" s="216">
        <f t="shared" si="7"/>
        <v>0</v>
      </c>
      <c r="F36" s="216">
        <f t="shared" si="7"/>
        <v>0</v>
      </c>
      <c r="G36" s="216">
        <f t="shared" si="7"/>
        <v>5</v>
      </c>
      <c r="H36" s="216">
        <f t="shared" si="7"/>
        <v>5</v>
      </c>
      <c r="I36" s="188">
        <f t="shared" si="7"/>
        <v>0</v>
      </c>
      <c r="J36" s="188">
        <f t="shared" ca="1" si="7"/>
        <v>-228.6</v>
      </c>
      <c r="K36" s="188"/>
      <c r="L36" s="188">
        <f ca="1">SUM(L30:L34)/5</f>
        <v>-233.6</v>
      </c>
      <c r="M36" s="216">
        <f t="shared" si="7"/>
        <v>0</v>
      </c>
      <c r="N36" s="217">
        <f t="shared" si="7"/>
        <v>0</v>
      </c>
      <c r="O36" s="190">
        <f t="shared" si="7"/>
        <v>0</v>
      </c>
      <c r="P36" s="191">
        <f t="shared" si="7"/>
        <v>0</v>
      </c>
      <c r="Q36" s="233"/>
    </row>
    <row r="37" spans="1:17" ht="15" thickBot="1" x14ac:dyDescent="0.35">
      <c r="A37" s="218" t="s">
        <v>230</v>
      </c>
      <c r="B37" s="219"/>
      <c r="C37" s="220">
        <f>+C11+C19+C27+C35</f>
        <v>0</v>
      </c>
      <c r="D37" s="220">
        <f t="shared" ref="D37:P37" si="8">+D11+D19+D27+D35</f>
        <v>0</v>
      </c>
      <c r="E37" s="220">
        <f t="shared" si="8"/>
        <v>0</v>
      </c>
      <c r="F37" s="220">
        <f t="shared" si="8"/>
        <v>4423</v>
      </c>
      <c r="G37" s="220">
        <f t="shared" si="8"/>
        <v>4415</v>
      </c>
      <c r="H37" s="220">
        <f t="shared" si="8"/>
        <v>8863</v>
      </c>
      <c r="I37" s="220">
        <f t="shared" si="8"/>
        <v>0</v>
      </c>
      <c r="J37" s="220">
        <f t="shared" si="8"/>
        <v>0</v>
      </c>
      <c r="K37" s="220"/>
      <c r="L37" s="220">
        <f t="shared" ca="1" si="8"/>
        <v>-5583</v>
      </c>
      <c r="M37" s="220">
        <f t="shared" si="8"/>
        <v>0</v>
      </c>
      <c r="N37" s="221">
        <f t="shared" si="8"/>
        <v>0</v>
      </c>
      <c r="O37" s="222">
        <f t="shared" si="8"/>
        <v>0</v>
      </c>
      <c r="P37" s="221">
        <f t="shared" si="8"/>
        <v>0</v>
      </c>
      <c r="Q37" s="233"/>
    </row>
    <row r="38" spans="1:17" x14ac:dyDescent="0.3">
      <c r="A38" s="223"/>
      <c r="B38" s="122"/>
      <c r="M38" s="224" t="s">
        <v>231</v>
      </c>
      <c r="N38" s="225"/>
      <c r="O38" s="225"/>
      <c r="P38" s="174"/>
      <c r="Q38" s="233"/>
    </row>
    <row r="39" spans="1:17" x14ac:dyDescent="0.3">
      <c r="A39" s="223"/>
      <c r="B39" s="122"/>
      <c r="M39" s="178" t="s">
        <v>232</v>
      </c>
      <c r="N39" s="210">
        <f>+O11+O19+O27+O35</f>
        <v>0</v>
      </c>
      <c r="O39" s="210"/>
      <c r="P39" s="226">
        <f>+P11+P19+P27+P35</f>
        <v>0</v>
      </c>
      <c r="Q39" s="233"/>
    </row>
    <row r="40" spans="1:17" ht="15" thickBot="1" x14ac:dyDescent="0.35">
      <c r="A40" s="223"/>
      <c r="B40" s="122"/>
      <c r="M40" s="227" t="s">
        <v>233</v>
      </c>
      <c r="N40" s="228">
        <f>+N38-N39</f>
        <v>0</v>
      </c>
      <c r="O40" s="228">
        <f>+O38-O39</f>
        <v>0</v>
      </c>
      <c r="P40" s="229">
        <f>+P38-P39</f>
        <v>0</v>
      </c>
      <c r="Q40" s="233"/>
    </row>
    <row r="41" spans="1:17" x14ac:dyDescent="0.3">
      <c r="Q41" s="233"/>
    </row>
    <row r="42" spans="1:17" x14ac:dyDescent="0.3">
      <c r="Q42" s="233"/>
    </row>
    <row r="43" spans="1:17" x14ac:dyDescent="0.3">
      <c r="Q43" s="233"/>
    </row>
    <row r="44" spans="1:17" x14ac:dyDescent="0.3">
      <c r="Q44" s="233"/>
    </row>
    <row r="45" spans="1:17" x14ac:dyDescent="0.3">
      <c r="Q45" s="233"/>
    </row>
    <row r="46" spans="1:17" x14ac:dyDescent="0.3">
      <c r="Q46" s="233"/>
    </row>
    <row r="47" spans="1:17" x14ac:dyDescent="0.3">
      <c r="Q47" s="233"/>
    </row>
    <row r="48" spans="1:17" x14ac:dyDescent="0.3">
      <c r="Q48" s="233"/>
    </row>
    <row r="49" spans="17:17" x14ac:dyDescent="0.3">
      <c r="Q49" s="233"/>
    </row>
    <row r="50" spans="17:17" x14ac:dyDescent="0.3">
      <c r="Q50" s="233"/>
    </row>
    <row r="51" spans="17:17" x14ac:dyDescent="0.3">
      <c r="Q51" s="233"/>
    </row>
    <row r="52" spans="17:17" x14ac:dyDescent="0.3">
      <c r="Q52" s="233"/>
    </row>
    <row r="53" spans="17:17" x14ac:dyDescent="0.3">
      <c r="Q53" s="233"/>
    </row>
    <row r="54" spans="17:17" x14ac:dyDescent="0.3">
      <c r="Q54" s="233"/>
    </row>
    <row r="55" spans="17:17" x14ac:dyDescent="0.3">
      <c r="Q55" s="233"/>
    </row>
    <row r="56" spans="17:17" x14ac:dyDescent="0.3">
      <c r="Q56" s="233"/>
    </row>
    <row r="57" spans="17:17" x14ac:dyDescent="0.3">
      <c r="Q57" s="233"/>
    </row>
    <row r="58" spans="17:17" x14ac:dyDescent="0.3">
      <c r="Q58" s="233"/>
    </row>
    <row r="59" spans="17:17" x14ac:dyDescent="0.3">
      <c r="Q59" s="233"/>
    </row>
    <row r="60" spans="17:17" x14ac:dyDescent="0.3">
      <c r="Q60" s="233"/>
    </row>
    <row r="61" spans="17:17" x14ac:dyDescent="0.3">
      <c r="Q61" s="233"/>
    </row>
    <row r="62" spans="17:17" x14ac:dyDescent="0.3">
      <c r="Q62" s="233"/>
    </row>
    <row r="63" spans="17:17" x14ac:dyDescent="0.3">
      <c r="Q63" s="233"/>
    </row>
    <row r="64" spans="17:17" x14ac:dyDescent="0.3">
      <c r="Q64" s="233"/>
    </row>
    <row r="65" spans="17:17" x14ac:dyDescent="0.3">
      <c r="Q65" s="233"/>
    </row>
    <row r="66" spans="17:17" x14ac:dyDescent="0.3">
      <c r="Q66" s="233"/>
    </row>
    <row r="67" spans="17:17" x14ac:dyDescent="0.3">
      <c r="Q67" s="233"/>
    </row>
    <row r="68" spans="17:17" x14ac:dyDescent="0.3">
      <c r="Q68" s="233"/>
    </row>
    <row r="69" spans="17:17" x14ac:dyDescent="0.3">
      <c r="Q69" s="233"/>
    </row>
    <row r="70" spans="17:17" x14ac:dyDescent="0.3">
      <c r="Q70" s="233"/>
    </row>
    <row r="71" spans="17:17" x14ac:dyDescent="0.3">
      <c r="Q71" s="233"/>
    </row>
    <row r="72" spans="17:17" x14ac:dyDescent="0.3">
      <c r="Q72" s="233"/>
    </row>
    <row r="73" spans="17:17" x14ac:dyDescent="0.3">
      <c r="Q73" s="233"/>
    </row>
    <row r="74" spans="17:17" x14ac:dyDescent="0.3">
      <c r="Q74" s="233"/>
    </row>
    <row r="75" spans="17:17" x14ac:dyDescent="0.3">
      <c r="Q75" s="233"/>
    </row>
    <row r="76" spans="17:17" x14ac:dyDescent="0.3">
      <c r="Q76" s="233"/>
    </row>
    <row r="77" spans="17:17" x14ac:dyDescent="0.3">
      <c r="Q77" s="233"/>
    </row>
    <row r="78" spans="17:17" x14ac:dyDescent="0.3">
      <c r="Q78" s="233"/>
    </row>
    <row r="79" spans="17:17" x14ac:dyDescent="0.3">
      <c r="Q79" s="233"/>
    </row>
    <row r="80" spans="17:17" x14ac:dyDescent="0.3">
      <c r="Q80" s="233"/>
    </row>
    <row r="81" spans="17:17" x14ac:dyDescent="0.3">
      <c r="Q81" s="233"/>
    </row>
    <row r="82" spans="17:17" x14ac:dyDescent="0.3">
      <c r="Q82" s="233"/>
    </row>
    <row r="83" spans="17:17" x14ac:dyDescent="0.3">
      <c r="Q83" s="233"/>
    </row>
    <row r="84" spans="17:17" x14ac:dyDescent="0.3">
      <c r="Q84" s="233"/>
    </row>
    <row r="85" spans="17:17" x14ac:dyDescent="0.3">
      <c r="Q85" s="233"/>
    </row>
    <row r="86" spans="17:17" x14ac:dyDescent="0.3">
      <c r="Q86" s="233"/>
    </row>
    <row r="87" spans="17:17" x14ac:dyDescent="0.3">
      <c r="Q87" s="233"/>
    </row>
    <row r="88" spans="17:17" x14ac:dyDescent="0.3">
      <c r="Q88" s="233"/>
    </row>
    <row r="89" spans="17:17" x14ac:dyDescent="0.3">
      <c r="Q89" s="233"/>
    </row>
    <row r="90" spans="17:17" x14ac:dyDescent="0.3">
      <c r="Q90" s="233"/>
    </row>
    <row r="91" spans="17:17" x14ac:dyDescent="0.3">
      <c r="Q91" s="233"/>
    </row>
    <row r="92" spans="17:17" x14ac:dyDescent="0.3">
      <c r="Q92" s="233"/>
    </row>
    <row r="93" spans="17:17" x14ac:dyDescent="0.3">
      <c r="Q93" s="233"/>
    </row>
    <row r="94" spans="17:17" x14ac:dyDescent="0.3">
      <c r="Q94" s="233"/>
    </row>
    <row r="95" spans="17:17" x14ac:dyDescent="0.3">
      <c r="Q95" s="233"/>
    </row>
    <row r="96" spans="17:17" x14ac:dyDescent="0.3">
      <c r="Q96" s="233"/>
    </row>
    <row r="97" spans="17:17" x14ac:dyDescent="0.3">
      <c r="Q97" s="233"/>
    </row>
    <row r="98" spans="17:17" x14ac:dyDescent="0.3">
      <c r="Q98" s="233"/>
    </row>
    <row r="99" spans="17:17" x14ac:dyDescent="0.3">
      <c r="Q99" s="233"/>
    </row>
    <row r="100" spans="17:17" x14ac:dyDescent="0.3">
      <c r="Q100" s="233"/>
    </row>
    <row r="101" spans="17:17" x14ac:dyDescent="0.3">
      <c r="Q101" s="233"/>
    </row>
    <row r="102" spans="17:17" x14ac:dyDescent="0.3">
      <c r="Q102" s="233"/>
    </row>
    <row r="103" spans="17:17" x14ac:dyDescent="0.3">
      <c r="Q103" s="233"/>
    </row>
    <row r="104" spans="17:17" x14ac:dyDescent="0.3">
      <c r="Q104" s="233"/>
    </row>
    <row r="105" spans="17:17" x14ac:dyDescent="0.3">
      <c r="Q105" s="233"/>
    </row>
    <row r="106" spans="17:17" x14ac:dyDescent="0.3">
      <c r="Q106" s="233"/>
    </row>
    <row r="107" spans="17:17" x14ac:dyDescent="0.3">
      <c r="Q107" s="233"/>
    </row>
    <row r="108" spans="17:17" x14ac:dyDescent="0.3">
      <c r="Q108" s="233"/>
    </row>
    <row r="109" spans="17:17" x14ac:dyDescent="0.3">
      <c r="Q109" s="233"/>
    </row>
    <row r="110" spans="17:17" x14ac:dyDescent="0.3">
      <c r="Q110" s="233"/>
    </row>
    <row r="111" spans="17:17" x14ac:dyDescent="0.3">
      <c r="Q111" s="233"/>
    </row>
    <row r="112" spans="17:17" x14ac:dyDescent="0.3">
      <c r="Q112" s="233"/>
    </row>
    <row r="113" spans="17:17" x14ac:dyDescent="0.3">
      <c r="Q113" s="233"/>
    </row>
    <row r="114" spans="17:17" x14ac:dyDescent="0.3">
      <c r="Q114" s="233"/>
    </row>
    <row r="115" spans="17:17" x14ac:dyDescent="0.3">
      <c r="Q115" s="233"/>
    </row>
    <row r="116" spans="17:17" x14ac:dyDescent="0.3">
      <c r="Q116" s="233"/>
    </row>
    <row r="117" spans="17:17" x14ac:dyDescent="0.3">
      <c r="Q117" s="233"/>
    </row>
    <row r="118" spans="17:17" x14ac:dyDescent="0.3">
      <c r="Q118" s="233"/>
    </row>
    <row r="119" spans="17:17" x14ac:dyDescent="0.3">
      <c r="Q119" s="233"/>
    </row>
    <row r="120" spans="17:17" x14ac:dyDescent="0.3">
      <c r="Q120" s="233"/>
    </row>
    <row r="121" spans="17:17" x14ac:dyDescent="0.3">
      <c r="Q121" s="233"/>
    </row>
    <row r="122" spans="17:17" x14ac:dyDescent="0.3">
      <c r="Q122" s="233"/>
    </row>
    <row r="123" spans="17:17" x14ac:dyDescent="0.3">
      <c r="Q123" s="233"/>
    </row>
    <row r="124" spans="17:17" x14ac:dyDescent="0.3">
      <c r="Q124" s="233"/>
    </row>
    <row r="125" spans="17:17" x14ac:dyDescent="0.3">
      <c r="Q125" s="233"/>
    </row>
    <row r="126" spans="17:17" x14ac:dyDescent="0.3">
      <c r="Q126" s="233"/>
    </row>
    <row r="127" spans="17:17" x14ac:dyDescent="0.3">
      <c r="Q127" s="233"/>
    </row>
    <row r="128" spans="17:17" x14ac:dyDescent="0.3">
      <c r="Q128" s="233"/>
    </row>
    <row r="129" spans="17:17" x14ac:dyDescent="0.3">
      <c r="Q129" s="233"/>
    </row>
    <row r="130" spans="17:17" x14ac:dyDescent="0.3">
      <c r="Q130" s="233"/>
    </row>
    <row r="131" spans="17:17" x14ac:dyDescent="0.3">
      <c r="Q131" s="233"/>
    </row>
    <row r="132" spans="17:17" x14ac:dyDescent="0.3">
      <c r="Q132" s="233"/>
    </row>
    <row r="133" spans="17:17" x14ac:dyDescent="0.3">
      <c r="Q133" s="233"/>
    </row>
    <row r="134" spans="17:17" x14ac:dyDescent="0.3">
      <c r="Q134" s="233"/>
    </row>
    <row r="135" spans="17:17" x14ac:dyDescent="0.3">
      <c r="Q135" s="233"/>
    </row>
    <row r="136" spans="17:17" x14ac:dyDescent="0.3">
      <c r="Q136" s="233"/>
    </row>
    <row r="137" spans="17:17" x14ac:dyDescent="0.3">
      <c r="Q137" s="233"/>
    </row>
    <row r="138" spans="17:17" x14ac:dyDescent="0.3">
      <c r="Q138" s="233"/>
    </row>
    <row r="139" spans="17:17" x14ac:dyDescent="0.3">
      <c r="Q139" s="233"/>
    </row>
    <row r="140" spans="17:17" x14ac:dyDescent="0.3">
      <c r="Q140" s="233"/>
    </row>
    <row r="141" spans="17:17" x14ac:dyDescent="0.3">
      <c r="Q141" s="233"/>
    </row>
    <row r="142" spans="17:17" x14ac:dyDescent="0.3">
      <c r="Q142" s="233"/>
    </row>
    <row r="143" spans="17:17" x14ac:dyDescent="0.3">
      <c r="Q143" s="233"/>
    </row>
    <row r="144" spans="17:17" x14ac:dyDescent="0.3">
      <c r="Q144" s="233"/>
    </row>
    <row r="145" spans="17:17" x14ac:dyDescent="0.3">
      <c r="Q145" s="233"/>
    </row>
    <row r="146" spans="17:17" x14ac:dyDescent="0.3">
      <c r="Q146" s="233"/>
    </row>
    <row r="147" spans="17:17" x14ac:dyDescent="0.3">
      <c r="Q147" s="233"/>
    </row>
    <row r="148" spans="17:17" x14ac:dyDescent="0.3">
      <c r="Q148" s="233"/>
    </row>
    <row r="149" spans="17:17" x14ac:dyDescent="0.3">
      <c r="Q149" s="233"/>
    </row>
    <row r="150" spans="17:17" x14ac:dyDescent="0.3">
      <c r="Q150" s="233"/>
    </row>
    <row r="151" spans="17:17" x14ac:dyDescent="0.3">
      <c r="Q151" s="233"/>
    </row>
    <row r="152" spans="17:17" x14ac:dyDescent="0.3">
      <c r="Q152" s="233"/>
    </row>
    <row r="153" spans="17:17" x14ac:dyDescent="0.3">
      <c r="Q153" s="233"/>
    </row>
    <row r="154" spans="17:17" x14ac:dyDescent="0.3">
      <c r="Q154" s="233"/>
    </row>
    <row r="155" spans="17:17" x14ac:dyDescent="0.3">
      <c r="Q155" s="233"/>
    </row>
    <row r="156" spans="17:17" x14ac:dyDescent="0.3">
      <c r="Q156" s="233"/>
    </row>
    <row r="157" spans="17:17" x14ac:dyDescent="0.3">
      <c r="Q157" s="233"/>
    </row>
    <row r="158" spans="17:17" x14ac:dyDescent="0.3">
      <c r="Q158" s="233"/>
    </row>
    <row r="159" spans="17:17" x14ac:dyDescent="0.3">
      <c r="Q159" s="233"/>
    </row>
    <row r="160" spans="17:17" x14ac:dyDescent="0.3">
      <c r="Q160" s="233"/>
    </row>
    <row r="161" spans="17:17" x14ac:dyDescent="0.3">
      <c r="Q161" s="233"/>
    </row>
    <row r="162" spans="17:17" x14ac:dyDescent="0.3">
      <c r="Q162" s="233"/>
    </row>
    <row r="163" spans="17:17" x14ac:dyDescent="0.3">
      <c r="Q163" s="233"/>
    </row>
    <row r="164" spans="17:17" x14ac:dyDescent="0.3">
      <c r="Q164" s="233"/>
    </row>
    <row r="165" spans="17:17" x14ac:dyDescent="0.3">
      <c r="Q165" s="233"/>
    </row>
    <row r="166" spans="17:17" x14ac:dyDescent="0.3">
      <c r="Q166" s="233"/>
    </row>
    <row r="167" spans="17:17" x14ac:dyDescent="0.3">
      <c r="Q167" s="233"/>
    </row>
    <row r="168" spans="17:17" x14ac:dyDescent="0.3">
      <c r="Q168" s="233"/>
    </row>
    <row r="169" spans="17:17" x14ac:dyDescent="0.3">
      <c r="Q169" s="233"/>
    </row>
  </sheetData>
  <mergeCells count="11">
    <mergeCell ref="O3:O5"/>
    <mergeCell ref="P3:P5"/>
    <mergeCell ref="A1:N2"/>
    <mergeCell ref="C3:D4"/>
    <mergeCell ref="E3:E5"/>
    <mergeCell ref="F3:G4"/>
    <mergeCell ref="H3:H5"/>
    <mergeCell ref="I3:J4"/>
    <mergeCell ref="L3:L5"/>
    <mergeCell ref="M3:M5"/>
    <mergeCell ref="N3:N5"/>
  </mergeCells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C4" sqref="C4"/>
    </sheetView>
  </sheetViews>
  <sheetFormatPr baseColWidth="10" defaultRowHeight="14.4" x14ac:dyDescent="0.3"/>
  <cols>
    <col min="1" max="1" width="12.33203125" customWidth="1"/>
  </cols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Inventaire</vt:lpstr>
      <vt:lpstr>Suivi de production</vt:lpstr>
      <vt:lpstr>Suivi de commande</vt:lpstr>
      <vt:lpstr>Total</vt:lpstr>
      <vt:lpstr>Juin 2018</vt:lpstr>
      <vt:lpstr>Feuil1</vt:lpstr>
      <vt:lpstr>Inventaire!Criteres</vt:lpstr>
      <vt:lpstr>date</vt:lpstr>
      <vt:lpstr>FAIT</vt:lpstr>
      <vt:lpstr>FORMAT</vt:lpstr>
      <vt:lpstr>Total!NOSEMAINE</vt:lpstr>
      <vt:lpstr>qtélot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Pier-Luc</dc:creator>
  <cp:lastModifiedBy>Ingenieur</cp:lastModifiedBy>
  <cp:lastPrinted>2018-06-26T15:57:51Z</cp:lastPrinted>
  <dcterms:created xsi:type="dcterms:W3CDTF">2012-07-04T12:41:39Z</dcterms:created>
  <dcterms:modified xsi:type="dcterms:W3CDTF">2018-06-26T17:59:35Z</dcterms:modified>
</cp:coreProperties>
</file>