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1" activeTab="4"/>
  </bookViews>
  <sheets>
    <sheet name="Inventaire" sheetId="56" state="hidden" r:id="rId1"/>
    <sheet name="Suivi de production" sheetId="57" r:id="rId2"/>
    <sheet name="Suivi de commande" sheetId="16" r:id="rId3"/>
    <sheet name="Total" sheetId="64" r:id="rId4"/>
    <sheet name="Juin 2018" sheetId="65" r:id="rId5"/>
    <sheet name="Feuil1" sheetId="58" state="hidden" r:id="rId6"/>
  </sheets>
  <functionGroups builtInGroupCount="18"/>
  <externalReferences>
    <externalReference r:id="rId7"/>
  </externalReferences>
  <definedNames>
    <definedName name="_xlnm._FilterDatabase" localSheetId="0" hidden="1">Inventaire!$C$1:$C$116</definedName>
    <definedName name="_xlnm._FilterDatabase" localSheetId="1" hidden="1">'Suivi de production'!$D$1:$D$2</definedName>
    <definedName name="all" localSheetId="3">#REF!</definedName>
    <definedName name="all">#REF!</definedName>
    <definedName name="ARRÊTS" localSheetId="3">#REF!</definedName>
    <definedName name="ARRÊTS">#REF!</definedName>
    <definedName name="Bâtis" localSheetId="3">#REF!</definedName>
    <definedName name="Bâtis">#REF!</definedName>
    <definedName name="CATÉ">'Suivi de commande'!$H$29:$H$1156</definedName>
    <definedName name="Choix1" localSheetId="3">OFFSET(#REF!,,,,COUNTA(#REF!))</definedName>
    <definedName name="Choix1">OFFSET(#REF!,,,,COUNTA(#REF!))</definedName>
    <definedName name="Choix2" localSheetId="3">#REF!</definedName>
    <definedName name="Choix2">#REF!</definedName>
    <definedName name="Composant1" localSheetId="3">#REF!</definedName>
    <definedName name="Composant1">#REF!</definedName>
    <definedName name="Composant2" localSheetId="3">#REF!</definedName>
    <definedName name="Composant2">#REF!</definedName>
    <definedName name="Composant3" localSheetId="3">#REF!</definedName>
    <definedName name="Composant3">#REF!</definedName>
    <definedName name="Composant4" localSheetId="3">#REF!</definedName>
    <definedName name="Composant4">#REF!</definedName>
    <definedName name="Composant5" localSheetId="3">#REF!</definedName>
    <definedName name="Composant5">#REF!</definedName>
    <definedName name="COPIE">OFFSET('Suivi de commande'!$A$7,,,COUNTA('Suivi de commande'!$I$7:$I$26),COUNTA('Suivi de commande'!$A$6:$M$6))</definedName>
    <definedName name="_xlnm.Criteria" localSheetId="0">Inventaire!$C$1</definedName>
    <definedName name="date">'Suivi de production'!$A$3:$A$2550</definedName>
    <definedName name="_xlnm.Extract" localSheetId="0">Inventaire!#REF!</definedName>
    <definedName name="facture" localSheetId="3">#REF!</definedName>
    <definedName name="facture">#REF!</definedName>
    <definedName name="FAIT">'Suivi de production'!$F$3:$F$8214</definedName>
    <definedName name="FORMAT">'Suivi de commande'!$7:$27</definedName>
    <definedName name="FORMAT2" localSheetId="3">#REF!</definedName>
    <definedName name="FORMAT2">#REF!</definedName>
    <definedName name="format5">'Suivi de commande'!$7:$27</definedName>
    <definedName name="ListeNoms" localSheetId="0">OFFSET(Inventaire!#REF!,,,COUNTA(Inventaire!$C:$C)-1)</definedName>
    <definedName name="ListeNoms" localSheetId="3">OFFSET(#REF!,,,COUNTA(#REF!)-1)</definedName>
    <definedName name="ListeNoms">OFFSET(#REF!,,,COUNTA(#REF!)-1)</definedName>
    <definedName name="lot" localSheetId="3">'Suivi de commande'!$E$29:$E$1156</definedName>
    <definedName name="NOSEMAINE" localSheetId="3">'Suivi de commande'!$A$29:$A$1156</definedName>
    <definedName name="PRODUIT" localSheetId="3">#REF!</definedName>
    <definedName name="PRODUIT">#REF!</definedName>
    <definedName name="QPROD" localSheetId="3">#REF!</definedName>
    <definedName name="QPROD">#REF!</definedName>
    <definedName name="Qté1" localSheetId="3">#REF!</definedName>
    <definedName name="Qté1">#REF!</definedName>
    <definedName name="Qté2" localSheetId="3">#REF!</definedName>
    <definedName name="Qté2">#REF!</definedName>
    <definedName name="Qté3" localSheetId="3">#REF!</definedName>
    <definedName name="Qté3">#REF!</definedName>
    <definedName name="Qté4" localSheetId="3">#REF!</definedName>
    <definedName name="Qté4">#REF!</definedName>
    <definedName name="Qté5" localSheetId="3">#REF!</definedName>
    <definedName name="Qté5">#REF!</definedName>
    <definedName name="qtélot">'Suivi de production'!$E$3:$E$2550</definedName>
    <definedName name="SEMAINE" localSheetId="3">'Suivi de commande'!$A$30:$A$558</definedName>
    <definedName name="SEMAINE">'Suivi de commande'!$A$30:$A$558</definedName>
    <definedName name="std" localSheetId="3">#REF!</definedName>
    <definedName name="std">#REF!</definedName>
    <definedName name="stoppeur" localSheetId="3">#REF!</definedName>
    <definedName name="stoppeur">#REF!</definedName>
    <definedName name="TEMPS_ARRÊTS" localSheetId="3">#REF!</definedName>
    <definedName name="TEMPS_ARRÊTS">#REF!</definedName>
    <definedName name="xx">'Suivi de commande'!$26:$169</definedName>
    <definedName name="_xlnm.Print_Area" localSheetId="2">'Suivi de commande'!#REF!</definedName>
    <definedName name="_xlnm.Print_Area" localSheetId="1">'Suivi de production'!$C:$J</definedName>
  </definedNames>
  <calcPr calcId="152511"/>
  <pivotCaches>
    <pivotCache cacheId="0" r:id="rId8"/>
  </pivotCaches>
</workbook>
</file>

<file path=xl/calcChain.xml><?xml version="1.0" encoding="utf-8"?>
<calcChain xmlns="http://schemas.openxmlformats.org/spreadsheetml/2006/main">
  <c r="J6" i="65" l="1"/>
  <c r="J12" i="65" s="1"/>
  <c r="G6" i="65"/>
  <c r="G34" i="65"/>
  <c r="L34" i="65" s="1"/>
  <c r="G33" i="65"/>
  <c r="L33" i="65" s="1"/>
  <c r="G32" i="65"/>
  <c r="L32" i="65" s="1"/>
  <c r="G31" i="65"/>
  <c r="H31" i="65" s="1"/>
  <c r="G30" i="65"/>
  <c r="L30" i="65" s="1"/>
  <c r="G26" i="65"/>
  <c r="H26" i="65" s="1"/>
  <c r="G25" i="65"/>
  <c r="L25" i="65" s="1"/>
  <c r="G24" i="65"/>
  <c r="H24" i="65" s="1"/>
  <c r="G23" i="65"/>
  <c r="L23" i="65" s="1"/>
  <c r="G22" i="65"/>
  <c r="L22" i="65" s="1"/>
  <c r="G18" i="65"/>
  <c r="H18" i="65" s="1"/>
  <c r="G17" i="65"/>
  <c r="L17" i="65" s="1"/>
  <c r="G16" i="65"/>
  <c r="H16" i="65" s="1"/>
  <c r="G15" i="65"/>
  <c r="L15" i="65" s="1"/>
  <c r="G14" i="65"/>
  <c r="L14" i="65" s="1"/>
  <c r="G8" i="65"/>
  <c r="L8" i="65" s="1"/>
  <c r="G9" i="65"/>
  <c r="L9" i="65" s="1"/>
  <c r="G10" i="65"/>
  <c r="H10" i="65" s="1"/>
  <c r="G7" i="65"/>
  <c r="L7" i="65" s="1"/>
  <c r="O40" i="65"/>
  <c r="P36" i="65"/>
  <c r="O36" i="65"/>
  <c r="N36" i="65"/>
  <c r="M36" i="65"/>
  <c r="J36" i="65"/>
  <c r="I36" i="65"/>
  <c r="F36" i="65"/>
  <c r="D36" i="65"/>
  <c r="C36" i="65"/>
  <c r="P35" i="65"/>
  <c r="O35" i="65"/>
  <c r="N35" i="65"/>
  <c r="M35" i="65"/>
  <c r="I35" i="65"/>
  <c r="D35" i="65"/>
  <c r="C35" i="65"/>
  <c r="E34" i="65"/>
  <c r="E33" i="65"/>
  <c r="E32" i="65"/>
  <c r="E31" i="65"/>
  <c r="E30" i="65"/>
  <c r="P28" i="65"/>
  <c r="O28" i="65"/>
  <c r="N28" i="65"/>
  <c r="M28" i="65"/>
  <c r="I28" i="65"/>
  <c r="F28" i="65"/>
  <c r="D28" i="65"/>
  <c r="C28" i="65"/>
  <c r="P27" i="65"/>
  <c r="O27" i="65"/>
  <c r="N27" i="65"/>
  <c r="M27" i="65"/>
  <c r="I27" i="65"/>
  <c r="F27" i="65"/>
  <c r="D27" i="65"/>
  <c r="C27" i="65"/>
  <c r="E26" i="65"/>
  <c r="E25" i="65"/>
  <c r="E24" i="65"/>
  <c r="E23" i="65"/>
  <c r="E22" i="65"/>
  <c r="P20" i="65"/>
  <c r="O20" i="65"/>
  <c r="N20" i="65"/>
  <c r="M20" i="65"/>
  <c r="J20" i="65"/>
  <c r="I20" i="65"/>
  <c r="F20" i="65"/>
  <c r="D20" i="65"/>
  <c r="C20" i="65"/>
  <c r="P19" i="65"/>
  <c r="O19" i="65"/>
  <c r="N19" i="65"/>
  <c r="M19" i="65"/>
  <c r="J19" i="65"/>
  <c r="I19" i="65"/>
  <c r="F19" i="65"/>
  <c r="D19" i="65"/>
  <c r="C19" i="65"/>
  <c r="E18" i="65"/>
  <c r="E17" i="65"/>
  <c r="E16" i="65"/>
  <c r="E15" i="65"/>
  <c r="E14" i="65"/>
  <c r="P12" i="65"/>
  <c r="O12" i="65"/>
  <c r="N12" i="65"/>
  <c r="M12" i="65"/>
  <c r="I12" i="65"/>
  <c r="F12" i="65"/>
  <c r="D12" i="65"/>
  <c r="C12" i="65"/>
  <c r="P11" i="65"/>
  <c r="O11" i="65"/>
  <c r="N11" i="65"/>
  <c r="N37" i="65" s="1"/>
  <c r="M11" i="65"/>
  <c r="I11" i="65"/>
  <c r="F11" i="65"/>
  <c r="D11" i="65"/>
  <c r="C11" i="65"/>
  <c r="E10" i="65"/>
  <c r="E9" i="65"/>
  <c r="E8" i="65"/>
  <c r="E7" i="65"/>
  <c r="E6" i="65"/>
  <c r="K24" i="65"/>
  <c r="K6" i="65"/>
  <c r="N2" i="57"/>
  <c r="J27" i="65" l="1"/>
  <c r="J37" i="65" s="1"/>
  <c r="J28" i="65"/>
  <c r="L26" i="65"/>
  <c r="H15" i="65"/>
  <c r="H25" i="65"/>
  <c r="H28" i="65" s="1"/>
  <c r="H14" i="65"/>
  <c r="H8" i="65"/>
  <c r="H30" i="65"/>
  <c r="L6" i="65"/>
  <c r="M37" i="65"/>
  <c r="E27" i="65"/>
  <c r="C37" i="65"/>
  <c r="E28" i="65"/>
  <c r="E36" i="65"/>
  <c r="E11" i="65"/>
  <c r="N39" i="65"/>
  <c r="N40" i="65" s="1"/>
  <c r="L10" i="65"/>
  <c r="P39" i="65"/>
  <c r="P40" i="65" s="1"/>
  <c r="D37" i="65"/>
  <c r="E20" i="65"/>
  <c r="F37" i="65"/>
  <c r="E12" i="65"/>
  <c r="L18" i="65"/>
  <c r="H34" i="65"/>
  <c r="O37" i="65"/>
  <c r="H33" i="65"/>
  <c r="H9" i="65"/>
  <c r="I37" i="65"/>
  <c r="H17" i="65"/>
  <c r="G20" i="65"/>
  <c r="G36" i="65"/>
  <c r="L31" i="65"/>
  <c r="L35" i="65" s="1"/>
  <c r="H32" i="65"/>
  <c r="L24" i="65"/>
  <c r="L27" i="65" s="1"/>
  <c r="G27" i="65"/>
  <c r="G28" i="65"/>
  <c r="L16" i="65"/>
  <c r="G19" i="65"/>
  <c r="G12" i="65"/>
  <c r="H7" i="65"/>
  <c r="H6" i="65"/>
  <c r="G11" i="65"/>
  <c r="E19" i="65"/>
  <c r="E35" i="65"/>
  <c r="E37" i="65" s="1"/>
  <c r="P37" i="65"/>
  <c r="C30" i="64"/>
  <c r="C31" i="64"/>
  <c r="H31" i="64"/>
  <c r="H30" i="64"/>
  <c r="H29" i="64"/>
  <c r="H28" i="64"/>
  <c r="H27" i="64"/>
  <c r="H26" i="64"/>
  <c r="H25" i="64"/>
  <c r="H24" i="64"/>
  <c r="H23" i="64"/>
  <c r="H22" i="64"/>
  <c r="H21" i="64"/>
  <c r="H20" i="64"/>
  <c r="H19" i="64"/>
  <c r="H18" i="64"/>
  <c r="H17" i="64"/>
  <c r="H16" i="64"/>
  <c r="H15" i="64"/>
  <c r="H14" i="64"/>
  <c r="H13" i="64"/>
  <c r="H12" i="64"/>
  <c r="H11" i="64"/>
  <c r="H10" i="64"/>
  <c r="H9" i="64"/>
  <c r="H8" i="64"/>
  <c r="H7" i="64"/>
  <c r="H6" i="64"/>
  <c r="H5" i="64"/>
  <c r="H4" i="64"/>
  <c r="H3" i="64"/>
  <c r="H2" i="64"/>
  <c r="G31" i="64"/>
  <c r="G30" i="64"/>
  <c r="G29" i="64"/>
  <c r="G28" i="64"/>
  <c r="G27" i="64"/>
  <c r="G26" i="64"/>
  <c r="G25" i="64"/>
  <c r="G24" i="64"/>
  <c r="G23" i="64"/>
  <c r="G22" i="64"/>
  <c r="G21" i="64"/>
  <c r="G20" i="64"/>
  <c r="G19" i="64"/>
  <c r="G18" i="64"/>
  <c r="G17" i="64"/>
  <c r="G16" i="64"/>
  <c r="G15" i="64"/>
  <c r="G14" i="64"/>
  <c r="G13" i="64"/>
  <c r="G12" i="64"/>
  <c r="G11" i="64"/>
  <c r="G10" i="64"/>
  <c r="G9" i="64"/>
  <c r="G8" i="64"/>
  <c r="G7" i="64"/>
  <c r="G6" i="64"/>
  <c r="G5" i="64"/>
  <c r="G4" i="64"/>
  <c r="G3" i="64"/>
  <c r="F31" i="64"/>
  <c r="F30" i="64"/>
  <c r="F29" i="64"/>
  <c r="F28" i="64"/>
  <c r="F27" i="64"/>
  <c r="F26" i="64"/>
  <c r="F25" i="64"/>
  <c r="F24" i="64"/>
  <c r="F23" i="64"/>
  <c r="F22" i="64"/>
  <c r="F21" i="64"/>
  <c r="F20" i="64"/>
  <c r="F19" i="64"/>
  <c r="F18" i="64"/>
  <c r="F17" i="64"/>
  <c r="F16" i="64"/>
  <c r="F15" i="64"/>
  <c r="F14" i="64"/>
  <c r="F13" i="64"/>
  <c r="F12" i="64"/>
  <c r="F11" i="64"/>
  <c r="F10" i="64"/>
  <c r="F9" i="64"/>
  <c r="F8" i="64"/>
  <c r="F7" i="64"/>
  <c r="F6" i="64"/>
  <c r="F5" i="64"/>
  <c r="F4" i="64"/>
  <c r="F3" i="64"/>
  <c r="F2" i="64"/>
  <c r="E31" i="64"/>
  <c r="E30" i="64"/>
  <c r="E29" i="64"/>
  <c r="E28" i="64"/>
  <c r="E27" i="64"/>
  <c r="E26" i="64"/>
  <c r="E25" i="64"/>
  <c r="E24" i="64"/>
  <c r="E23" i="64"/>
  <c r="E22" i="64"/>
  <c r="E21" i="64"/>
  <c r="E20" i="64"/>
  <c r="E19" i="64"/>
  <c r="E18" i="64"/>
  <c r="E17" i="64"/>
  <c r="E16" i="64"/>
  <c r="E15" i="64"/>
  <c r="E14" i="64"/>
  <c r="E13" i="64"/>
  <c r="E12" i="64"/>
  <c r="E11" i="64"/>
  <c r="E10" i="64"/>
  <c r="E9" i="64"/>
  <c r="E8" i="64"/>
  <c r="E7" i="64"/>
  <c r="E6" i="64"/>
  <c r="E5" i="64"/>
  <c r="E4" i="64"/>
  <c r="E3" i="64"/>
  <c r="G2" i="64"/>
  <c r="E2" i="64"/>
  <c r="D2" i="64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D31" i="64"/>
  <c r="D30" i="64"/>
  <c r="D29" i="64"/>
  <c r="C29" i="64"/>
  <c r="D28" i="64"/>
  <c r="C28" i="64"/>
  <c r="D27" i="64"/>
  <c r="C27" i="64"/>
  <c r="D26" i="64"/>
  <c r="C26" i="64"/>
  <c r="D25" i="64"/>
  <c r="C25" i="64"/>
  <c r="D24" i="64"/>
  <c r="C24" i="64"/>
  <c r="D23" i="64"/>
  <c r="C23" i="64"/>
  <c r="D22" i="64"/>
  <c r="C22" i="64"/>
  <c r="D21" i="64"/>
  <c r="C21" i="64"/>
  <c r="D20" i="64"/>
  <c r="C20" i="64"/>
  <c r="D19" i="64"/>
  <c r="C19" i="64"/>
  <c r="D18" i="64"/>
  <c r="C18" i="64"/>
  <c r="D17" i="64"/>
  <c r="C17" i="64"/>
  <c r="D16" i="64"/>
  <c r="C16" i="64"/>
  <c r="D15" i="64"/>
  <c r="C15" i="64"/>
  <c r="D14" i="64"/>
  <c r="C14" i="64"/>
  <c r="D13" i="64"/>
  <c r="C13" i="64"/>
  <c r="D12" i="64"/>
  <c r="C12" i="64"/>
  <c r="D11" i="64"/>
  <c r="C11" i="64"/>
  <c r="D10" i="64"/>
  <c r="C10" i="64"/>
  <c r="D9" i="64"/>
  <c r="C9" i="64"/>
  <c r="D8" i="64"/>
  <c r="C8" i="64"/>
  <c r="D7" i="64"/>
  <c r="C7" i="64"/>
  <c r="D6" i="64"/>
  <c r="C6" i="64"/>
  <c r="D5" i="64"/>
  <c r="C5" i="64"/>
  <c r="D4" i="64"/>
  <c r="C4" i="64"/>
  <c r="D3" i="64"/>
  <c r="C3" i="64"/>
  <c r="C2" i="64"/>
  <c r="H19" i="65" l="1"/>
  <c r="L19" i="65"/>
  <c r="H27" i="65"/>
  <c r="L11" i="65"/>
  <c r="H36" i="65"/>
  <c r="L20" i="65"/>
  <c r="H35" i="65"/>
  <c r="L36" i="65"/>
  <c r="H20" i="65"/>
  <c r="L28" i="65"/>
  <c r="G37" i="65"/>
  <c r="H11" i="65"/>
  <c r="L12" i="65"/>
  <c r="H12" i="65"/>
  <c r="F32" i="64"/>
  <c r="H32" i="64"/>
  <c r="E32" i="64"/>
  <c r="G32" i="64"/>
  <c r="D32" i="64"/>
  <c r="L37" i="65" l="1"/>
  <c r="H37" i="65"/>
  <c r="C2" i="16"/>
  <c r="A8" i="16" l="1"/>
  <c r="A26" i="16"/>
  <c r="A7" i="16"/>
  <c r="N128" i="57" l="1"/>
  <c r="M210" i="57"/>
</calcChain>
</file>

<file path=xl/sharedStrings.xml><?xml version="1.0" encoding="utf-8"?>
<sst xmlns="http://schemas.openxmlformats.org/spreadsheetml/2006/main" count="1017" uniqueCount="236">
  <si>
    <t>Client</t>
  </si>
  <si>
    <t xml:space="preserve"> </t>
  </si>
  <si>
    <t># SEMAINE</t>
  </si>
  <si>
    <t># Interne</t>
  </si>
  <si>
    <t># Bill</t>
  </si>
  <si>
    <t>Qté lot</t>
  </si>
  <si>
    <t>Qté fait</t>
  </si>
  <si>
    <t>Catégorie porte</t>
  </si>
  <si>
    <t>Modèle</t>
  </si>
  <si>
    <t>Date de livraison</t>
  </si>
  <si>
    <t>Battants</t>
  </si>
  <si>
    <t>ok</t>
  </si>
  <si>
    <t>clermont</t>
  </si>
  <si>
    <t>h.core 1-3/8</t>
  </si>
  <si>
    <t>conmore</t>
  </si>
  <si>
    <t>prag</t>
  </si>
  <si>
    <t>battants achetés</t>
  </si>
  <si>
    <t>merisier blanc</t>
  </si>
  <si>
    <t>s.core 1-3/4</t>
  </si>
  <si>
    <t>masonite</t>
  </si>
  <si>
    <t>battants ok</t>
  </si>
  <si>
    <t>masonite/prag</t>
  </si>
  <si>
    <t>s.core 1-3/8 et 3/4</t>
  </si>
  <si>
    <t>s.core 1-3/8</t>
  </si>
  <si>
    <t>groove par Serge</t>
  </si>
  <si>
    <t>madrid</t>
  </si>
  <si>
    <t>carrara</t>
  </si>
  <si>
    <t>classique</t>
  </si>
  <si>
    <t xml:space="preserve">masonite </t>
  </si>
  <si>
    <t>battants</t>
  </si>
  <si>
    <t>Merisier blanc</t>
  </si>
  <si>
    <t>42x84</t>
  </si>
  <si>
    <t>battants OK</t>
  </si>
  <si>
    <t>43 13/16 x 83 1/4</t>
  </si>
  <si>
    <t>h.core 1-3/4</t>
  </si>
  <si>
    <t>ok battants</t>
  </si>
  <si>
    <t>milano</t>
  </si>
  <si>
    <t>OK battants</t>
  </si>
  <si>
    <t>Ok battants</t>
  </si>
  <si>
    <t>reprise</t>
  </si>
  <si>
    <t>groove après par André</t>
  </si>
  <si>
    <t>masonite/Prag</t>
  </si>
  <si>
    <t>mass/prag</t>
  </si>
  <si>
    <t xml:space="preserve">Masonite </t>
  </si>
  <si>
    <t>43 3/4 x 83 7/8</t>
  </si>
  <si>
    <t>41 13/16 x 79 1/8</t>
  </si>
  <si>
    <t>attente $$$</t>
  </si>
  <si>
    <t>colonist</t>
  </si>
  <si>
    <t>attente CP</t>
  </si>
  <si>
    <t>erable</t>
  </si>
  <si>
    <t>merisier</t>
  </si>
  <si>
    <t>chêne rouge</t>
  </si>
  <si>
    <t>Battant ok</t>
  </si>
  <si>
    <t>attente veneer(pair) 31/5</t>
  </si>
  <si>
    <t>masonite blanc</t>
  </si>
  <si>
    <t>corvado</t>
  </si>
  <si>
    <t>caiman</t>
  </si>
  <si>
    <t>ok placage</t>
  </si>
  <si>
    <t>attente venner(pair)</t>
  </si>
  <si>
    <t>milano/pvd</t>
  </si>
  <si>
    <t>Milano</t>
  </si>
  <si>
    <t>Battant demandé</t>
  </si>
  <si>
    <t>semi-solid 1-3/4</t>
  </si>
  <si>
    <t>8ieme étage</t>
  </si>
  <si>
    <t>attente</t>
  </si>
  <si>
    <t xml:space="preserve"> pin noueux</t>
  </si>
  <si>
    <t>121753-57-59</t>
  </si>
  <si>
    <t>4 dossiers</t>
  </si>
  <si>
    <t>prag/pvd</t>
  </si>
  <si>
    <t>121667-73-74</t>
  </si>
  <si>
    <t>prag coulissante</t>
  </si>
  <si>
    <t>battant</t>
  </si>
  <si>
    <t>RUSH</t>
  </si>
  <si>
    <t>battant   ok</t>
  </si>
  <si>
    <t>SB-mas2</t>
  </si>
  <si>
    <t>dessin ok</t>
  </si>
  <si>
    <t>érable</t>
  </si>
  <si>
    <t>Prag</t>
  </si>
  <si>
    <t>OK</t>
  </si>
  <si>
    <t>battant ok</t>
  </si>
  <si>
    <t>pivot classiuqe</t>
  </si>
  <si>
    <t>masonite (hollandaise)</t>
  </si>
  <si>
    <t>ok dessin</t>
  </si>
  <si>
    <t>MARDI/RUSH</t>
  </si>
  <si>
    <t>pin noueux</t>
  </si>
  <si>
    <t>7 ieme étage</t>
  </si>
  <si>
    <t>sablage</t>
  </si>
  <si>
    <t xml:space="preserve">s.core 1-3/4 </t>
  </si>
  <si>
    <t>merisiser blanc</t>
  </si>
  <si>
    <t>groove Andre</t>
  </si>
  <si>
    <t>attent battanr</t>
  </si>
  <si>
    <t>48x106</t>
  </si>
  <si>
    <t>48x104</t>
  </si>
  <si>
    <t>groove Serge</t>
  </si>
  <si>
    <t>groove serge</t>
  </si>
  <si>
    <t>71 mach</t>
  </si>
  <si>
    <t>h.core 1 3/8</t>
  </si>
  <si>
    <t>56 mach</t>
  </si>
  <si>
    <t>pvd coventry smo</t>
  </si>
  <si>
    <t xml:space="preserve">h.core 1-3/8 </t>
  </si>
  <si>
    <t>prag/carr</t>
  </si>
  <si>
    <t>check qté</t>
  </si>
  <si>
    <t>carmelle</t>
  </si>
  <si>
    <t>6 ieme étage</t>
  </si>
  <si>
    <t>battants  prêts 120pces</t>
  </si>
  <si>
    <t>gr portes</t>
  </si>
  <si>
    <t>érable blanc</t>
  </si>
  <si>
    <t>S.core 1 3/4</t>
  </si>
  <si>
    <t>acajou africain</t>
  </si>
  <si>
    <t>masonite/pvd</t>
  </si>
  <si>
    <t>rush</t>
  </si>
  <si>
    <t>s.corer 1-3/4</t>
  </si>
  <si>
    <t>stock</t>
  </si>
  <si>
    <t>35 mach</t>
  </si>
  <si>
    <t>13 mach</t>
  </si>
  <si>
    <t>bt refait qtés changées par client</t>
  </si>
  <si>
    <t>121061-107</t>
  </si>
  <si>
    <t>à faire</t>
  </si>
  <si>
    <t>conmore/pvd</t>
  </si>
  <si>
    <t>s.core 1 3/4</t>
  </si>
  <si>
    <t>chêne</t>
  </si>
  <si>
    <t>grosse portes</t>
  </si>
  <si>
    <t>69 mach</t>
  </si>
  <si>
    <t>mersier blanc</t>
  </si>
  <si>
    <t>coventry smooth</t>
  </si>
  <si>
    <t>RJ</t>
  </si>
  <si>
    <t>fait le 13 avril …brisé en prod</t>
  </si>
  <si>
    <t>réparation</t>
  </si>
  <si>
    <t>9 mach</t>
  </si>
  <si>
    <t>grosses portes</t>
  </si>
  <si>
    <t>battants 19 avr</t>
  </si>
  <si>
    <t>p/lam 16 avril</t>
  </si>
  <si>
    <t>52 mach</t>
  </si>
  <si>
    <t>grosse porte</t>
  </si>
  <si>
    <t>african mahogany</t>
  </si>
  <si>
    <t>121439-440</t>
  </si>
  <si>
    <t>masonite brun</t>
  </si>
  <si>
    <t>caiman/clermont</t>
  </si>
  <si>
    <t># Lot</t>
  </si>
  <si>
    <t>Date collage</t>
  </si>
  <si>
    <t>Liste de lot avec # interne de livraison</t>
  </si>
  <si>
    <t>S.CORE 1 3/4</t>
  </si>
  <si>
    <t>S.CORE 1 3/8</t>
  </si>
  <si>
    <t>H.CORE 1 3/4</t>
  </si>
  <si>
    <t>H.CORE 1 3/8</t>
  </si>
  <si>
    <t>Commentaire</t>
  </si>
  <si>
    <t>SEMAINE DU 4 AU 8 JUIN</t>
  </si>
  <si>
    <t>SEMAINE DU 11 AU 15 JUIN</t>
  </si>
  <si>
    <t>SEMAINE DU 18 AU 22 JUIN</t>
  </si>
  <si>
    <t>SEMAINE DU 25 AU 29 JUIN</t>
  </si>
  <si>
    <t>SEMAINE DU 2 AU 6 JUILLET</t>
  </si>
  <si>
    <t>SEMAINE DU 9 AU 13 JUILLET</t>
  </si>
  <si>
    <t>SEMAINE DU 16 AU 20 JUILLET</t>
  </si>
  <si>
    <t>SEMAINE DU 23 AU 27 JUILLET</t>
  </si>
  <si>
    <t>SEMAINE DU 30 JUILLET AU 3 AOÛT</t>
  </si>
  <si>
    <t>SEMAINE DU 6 AU 10 AOÛT</t>
  </si>
  <si>
    <t>SEMAINE DU 13 AU 17 AOÛT</t>
  </si>
  <si>
    <t>SEMAINE DU 20 AU 24 AOÛT</t>
  </si>
  <si>
    <t>SEMAINE DU 27 AU 31 AOÛT</t>
  </si>
  <si>
    <t>SEMAINE DU 3 AU 7 SEPTEMBRE</t>
  </si>
  <si>
    <t>SEMAINE DU 10 AU 14 SEPTEMBRE</t>
  </si>
  <si>
    <t>SEMAINE DU 17 AU 21 SEPTEMBRE</t>
  </si>
  <si>
    <t>SEMAINE DU 24 AU 28 SEPTEMBRE</t>
  </si>
  <si>
    <t>SEMAINE DU 1 AU 5 OCTOBRE</t>
  </si>
  <si>
    <t>SEMAINE DU 8 AU 12 OCTOBRE</t>
  </si>
  <si>
    <t>SEMAINE DU 15 AU 19 OCTOBRE</t>
  </si>
  <si>
    <t>SEMAINE DU 22 AU 26 OCTOBRE</t>
  </si>
  <si>
    <t>SEMAINE DU 29 OCTOBRE AU 2 NOVEMBRE</t>
  </si>
  <si>
    <t>SEMAINE DU 5 AU 9 NOVEMBRE</t>
  </si>
  <si>
    <t>SEMAINE DU 12 AU 16 NOVEMBRE</t>
  </si>
  <si>
    <t>SEMAINE DU 19 AU 23 NOVEMBRE</t>
  </si>
  <si>
    <t>SEMAINE DU 26 AU 30 NOVEMBRE</t>
  </si>
  <si>
    <t>SEMAINE DU 3 AU 7 DÉCEMBRE</t>
  </si>
  <si>
    <t>SEMAINE DU 10 AU 14 DÉCEMBRE</t>
  </si>
  <si>
    <t>SEMAINE DU 17 AU 21 DÉCEMBRE</t>
  </si>
  <si>
    <t>SEMAINE DU 24 AU 28 DÉCEMBRE</t>
  </si>
  <si>
    <t>Étiquettes de lignes</t>
  </si>
  <si>
    <t>Total général</t>
  </si>
  <si>
    <t>(vide)</t>
  </si>
  <si>
    <t>Semaine</t>
  </si>
  <si>
    <t>SEMAINE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</si>
  <si>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</si>
  <si>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</si>
  <si>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</si>
  <si>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</si>
  <si>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</si>
  <si>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</si>
  <si>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</si>
  <si>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</si>
  <si>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</si>
  <si>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</si>
  <si>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</si>
  <si>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</si>
  <si>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</si>
  <si>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</si>
  <si>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</si>
  <si>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</si>
  <si>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</si>
  <si>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</si>
  <si>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</si>
  <si>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</si>
  <si>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</si>
  <si>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</si>
  <si>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</si>
  <si>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</si>
  <si>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</si>
  <si>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</si>
  <si>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</si>
  <si>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</si>
  <si>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</si>
  <si>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</si>
  <si>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QTÉ À COLLER</t>
  </si>
  <si>
    <t>TOTAL GÉNÉRAL :</t>
  </si>
  <si>
    <t>COMMENTAIRE</t>
  </si>
  <si>
    <t>Reste à coller</t>
  </si>
  <si>
    <t>CARRARA</t>
  </si>
  <si>
    <t>ENTRÉE COMMANDES</t>
  </si>
  <si>
    <t>TOTAL              S1 + C2</t>
  </si>
  <si>
    <t>COLLAGE PRÉVU</t>
  </si>
  <si>
    <t>TOTAL COLLAGE        S1 + C1</t>
  </si>
  <si>
    <t>COLLAGE RÉEL</t>
  </si>
  <si>
    <t>RETARD                         C1</t>
  </si>
  <si>
    <t>MACHINAGE PRÉVU</t>
  </si>
  <si>
    <t>EXPÉDITION PRÉVU</t>
  </si>
  <si>
    <t>RÉEL EXPÉDIÉ</t>
  </si>
  <si>
    <t>$         FACTURÉ</t>
  </si>
  <si>
    <t>S1</t>
  </si>
  <si>
    <t>C1</t>
  </si>
  <si>
    <t xml:space="preserve">TOTAL </t>
  </si>
  <si>
    <t>MOY \ JOUR</t>
  </si>
  <si>
    <t>GRAND TOTAL</t>
  </si>
  <si>
    <t>OBJECTIF</t>
  </si>
  <si>
    <t>RÉEL</t>
  </si>
  <si>
    <t>DIFFÉRENCE</t>
  </si>
  <si>
    <t>CONMORE</t>
  </si>
  <si>
    <t>CLASSIQUE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</si>
</sst>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[$-F800]dddd\,\ mmmm\ dd\,\ yyyy"/>
    <numFmt numFmtId="166" formatCode="0;;;"/>
    <numFmt numFmtId="167" formatCode="dd/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Georgia"/>
      <family val="1"/>
    </font>
    <font>
      <b/>
      <i/>
      <sz val="11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0" fontId="6" fillId="0" borderId="0"/>
    <xf numFmtId="164" fontId="6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Alignment="1"/>
    <xf numFmtId="0" fontId="5" fillId="0" borderId="0" xfId="0" applyFont="1" applyBorder="1" applyAlignment="1"/>
    <xf numFmtId="0" fontId="12" fillId="0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0" borderId="0" xfId="0" applyFont="1" applyFill="1"/>
    <xf numFmtId="0" fontId="8" fillId="0" borderId="0" xfId="0" applyFont="1" applyFill="1"/>
    <xf numFmtId="0" fontId="8" fillId="0" borderId="0" xfId="0" applyFont="1" applyFill="1" applyAlignment="1">
      <alignment horizontal="left"/>
    </xf>
    <xf numFmtId="16" fontId="0" fillId="0" borderId="1" xfId="0" applyNumberFormat="1" applyFont="1" applyFill="1" applyBorder="1" applyAlignment="1">
      <alignment horizontal="center" vertical="center"/>
    </xf>
    <xf numFmtId="16" fontId="0" fillId="0" borderId="0" xfId="0" applyNumberFormat="1" applyFont="1"/>
    <xf numFmtId="0" fontId="13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NumberFormat="1" applyFont="1" applyAlignment="1">
      <alignment horizontal="center"/>
    </xf>
    <xf numFmtId="16" fontId="13" fillId="0" borderId="0" xfId="0" applyNumberFormat="1" applyFont="1"/>
    <xf numFmtId="0" fontId="8" fillId="0" borderId="0" xfId="0" applyFont="1" applyAlignment="1">
      <alignment horizontal="left"/>
    </xf>
    <xf numFmtId="0" fontId="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8" fillId="4" borderId="0" xfId="0" applyNumberFormat="1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16" fontId="8" fillId="0" borderId="0" xfId="0" applyNumberFormat="1" applyFont="1"/>
    <xf numFmtId="0" fontId="8" fillId="6" borderId="0" xfId="0" applyFont="1" applyFill="1" applyAlignment="1">
      <alignment horizontal="center"/>
    </xf>
    <xf numFmtId="0" fontId="8" fillId="6" borderId="0" xfId="0" applyNumberFormat="1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8" fillId="7" borderId="0" xfId="0" applyNumberFormat="1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3" borderId="0" xfId="0" applyNumberFormat="1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8" fillId="10" borderId="0" xfId="0" applyNumberFormat="1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0" fillId="9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8" fillId="11" borderId="0" xfId="0" applyNumberFormat="1" applyFont="1" applyFill="1" applyAlignment="1">
      <alignment horizontal="center"/>
    </xf>
    <xf numFmtId="0" fontId="0" fillId="1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3" borderId="0" xfId="0" applyNumberFormat="1" applyFont="1" applyFill="1" applyAlignment="1">
      <alignment horizontal="center"/>
    </xf>
    <xf numFmtId="0" fontId="0" fillId="13" borderId="0" xfId="0" applyFont="1" applyFill="1"/>
    <xf numFmtId="16" fontId="0" fillId="0" borderId="0" xfId="0" applyNumberFormat="1" applyFont="1" applyFill="1"/>
    <xf numFmtId="0" fontId="0" fillId="7" borderId="0" xfId="0" applyFont="1" applyFill="1" applyAlignment="1">
      <alignment horizontal="left"/>
    </xf>
    <xf numFmtId="0" fontId="0" fillId="7" borderId="0" xfId="0" applyFont="1" applyFill="1" applyAlignment="1">
      <alignment horizontal="center"/>
    </xf>
    <xf numFmtId="0" fontId="0" fillId="7" borderId="0" xfId="0" applyNumberFormat="1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/>
    </xf>
    <xf numFmtId="0" fontId="8" fillId="14" borderId="0" xfId="0" applyNumberFormat="1" applyFont="1" applyFill="1" applyAlignment="1">
      <alignment horizontal="center"/>
    </xf>
    <xf numFmtId="0" fontId="0" fillId="15" borderId="0" xfId="0" applyFont="1" applyFill="1" applyAlignment="1">
      <alignment horizontal="center" vertical="center"/>
    </xf>
    <xf numFmtId="0" fontId="0" fillId="14" borderId="0" xfId="0" applyFont="1" applyFill="1" applyAlignment="1">
      <alignment horizontal="center"/>
    </xf>
    <xf numFmtId="0" fontId="0" fillId="14" borderId="0" xfId="0" applyNumberFormat="1" applyFont="1" applyFill="1" applyAlignment="1">
      <alignment horizontal="center"/>
    </xf>
    <xf numFmtId="0" fontId="0" fillId="11" borderId="0" xfId="0" applyFont="1" applyFill="1" applyAlignment="1">
      <alignment horizontal="center"/>
    </xf>
    <xf numFmtId="0" fontId="0" fillId="11" borderId="0" xfId="0" applyNumberFormat="1" applyFont="1" applyFill="1" applyAlignment="1">
      <alignment horizontal="center"/>
    </xf>
    <xf numFmtId="0" fontId="14" fillId="0" borderId="0" xfId="0" applyFont="1"/>
    <xf numFmtId="0" fontId="14" fillId="0" borderId="0" xfId="0" applyFont="1" applyAlignment="1">
      <alignment horizontal="left"/>
    </xf>
    <xf numFmtId="0" fontId="14" fillId="4" borderId="0" xfId="0" applyFont="1" applyFill="1" applyAlignment="1">
      <alignment horizontal="center"/>
    </xf>
    <xf numFmtId="0" fontId="14" fillId="4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9" borderId="0" xfId="0" applyNumberFormat="1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14" fillId="3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0" fontId="0" fillId="16" borderId="0" xfId="0" applyFont="1" applyFill="1"/>
    <xf numFmtId="0" fontId="0" fillId="11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left"/>
    </xf>
    <xf numFmtId="0" fontId="15" fillId="0" borderId="0" xfId="0" applyFont="1"/>
    <xf numFmtId="16" fontId="15" fillId="0" borderId="0" xfId="0" applyNumberFormat="1" applyFont="1"/>
    <xf numFmtId="0" fontId="0" fillId="17" borderId="0" xfId="0" applyFont="1" applyFill="1" applyAlignment="1">
      <alignment horizontal="center"/>
    </xf>
    <xf numFmtId="0" fontId="0" fillId="17" borderId="0" xfId="0" applyNumberFormat="1" applyFont="1" applyFill="1" applyAlignment="1">
      <alignment horizontal="center"/>
    </xf>
    <xf numFmtId="0" fontId="0" fillId="17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/>
    </xf>
    <xf numFmtId="0" fontId="8" fillId="17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8" borderId="0" xfId="0" applyNumberFormat="1" applyFont="1" applyFill="1" applyAlignment="1">
      <alignment horizontal="center"/>
    </xf>
    <xf numFmtId="0" fontId="0" fillId="18" borderId="0" xfId="0" applyFont="1" applyFill="1" applyAlignment="1">
      <alignment horizontal="center"/>
    </xf>
    <xf numFmtId="0" fontId="0" fillId="18" borderId="0" xfId="0" applyNumberFormat="1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0" fillId="6" borderId="0" xfId="0" applyNumberFormat="1" applyFont="1" applyFill="1" applyAlignment="1">
      <alignment horizontal="center"/>
    </xf>
    <xf numFmtId="0" fontId="0" fillId="19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0" fontId="0" fillId="19" borderId="0" xfId="0" applyNumberFormat="1" applyFont="1" applyFill="1" applyAlignment="1">
      <alignment horizontal="center"/>
    </xf>
    <xf numFmtId="14" fontId="0" fillId="0" borderId="0" xfId="0" applyNumberFormat="1" applyFont="1"/>
    <xf numFmtId="0" fontId="0" fillId="12" borderId="0" xfId="0" applyFont="1" applyFill="1" applyAlignment="1">
      <alignment horizontal="center"/>
    </xf>
    <xf numFmtId="0" fontId="0" fillId="12" borderId="0" xfId="0" applyNumberFormat="1" applyFont="1" applyFill="1" applyAlignment="1">
      <alignment horizontal="center"/>
    </xf>
    <xf numFmtId="0" fontId="0" fillId="20" borderId="0" xfId="0" applyFont="1" applyFill="1" applyAlignment="1">
      <alignment horizontal="center"/>
    </xf>
    <xf numFmtId="0" fontId="0" fillId="20" borderId="0" xfId="0" applyNumberFormat="1" applyFont="1" applyFill="1" applyAlignment="1">
      <alignment horizontal="center"/>
    </xf>
    <xf numFmtId="0" fontId="0" fillId="8" borderId="0" xfId="0" applyFont="1" applyFill="1"/>
    <xf numFmtId="0" fontId="0" fillId="0" borderId="0" xfId="0" applyFont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 vertical="center"/>
    </xf>
    <xf numFmtId="166" fontId="0" fillId="21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5" fontId="0" fillId="0" borderId="1" xfId="0" quotePrefix="1" applyNumberFormat="1" applyFont="1" applyFill="1" applyBorder="1" applyAlignment="1">
      <alignment horizontal="left" vertical="center"/>
    </xf>
    <xf numFmtId="0" fontId="17" fillId="3" borderId="1" xfId="0" applyNumberFormat="1" applyFont="1" applyFill="1" applyBorder="1" applyAlignment="1">
      <alignment horizontal="center"/>
    </xf>
    <xf numFmtId="165" fontId="17" fillId="3" borderId="1" xfId="0" quotePrefix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/>
    <xf numFmtId="166" fontId="0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8" fillId="3" borderId="1" xfId="0" applyNumberFormat="1" applyFont="1" applyFill="1" applyBorder="1" applyAlignment="1"/>
    <xf numFmtId="166" fontId="17" fillId="3" borderId="1" xfId="0" applyNumberFormat="1" applyFont="1" applyFill="1" applyBorder="1" applyAlignment="1">
      <alignment horizontal="center"/>
    </xf>
    <xf numFmtId="166" fontId="0" fillId="21" borderId="2" xfId="0" applyNumberFormat="1" applyFont="1" applyFill="1" applyBorder="1" applyAlignment="1">
      <alignment horizontal="center"/>
    </xf>
    <xf numFmtId="166" fontId="0" fillId="3" borderId="1" xfId="0" applyNumberFormat="1" applyFont="1" applyFill="1" applyBorder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horizontal="left"/>
    </xf>
    <xf numFmtId="167" fontId="0" fillId="0" borderId="0" xfId="0" applyNumberFormat="1" applyFont="1" applyFill="1" applyAlignment="1">
      <alignment horizontal="left"/>
    </xf>
    <xf numFmtId="167" fontId="8" fillId="0" borderId="0" xfId="0" applyNumberFormat="1" applyFont="1" applyAlignment="1">
      <alignment horizontal="left"/>
    </xf>
    <xf numFmtId="167" fontId="14" fillId="0" borderId="0" xfId="0" applyNumberFormat="1" applyFont="1" applyAlignment="1">
      <alignment horizontal="left"/>
    </xf>
    <xf numFmtId="16" fontId="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8" fillId="2" borderId="0" xfId="0" applyFont="1" applyFill="1"/>
    <xf numFmtId="0" fontId="3" fillId="0" borderId="0" xfId="0" applyFont="1" applyAlignment="1">
      <alignment horizontal="right"/>
    </xf>
    <xf numFmtId="0" fontId="16" fillId="0" borderId="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/>
    <xf numFmtId="0" fontId="0" fillId="2" borderId="1" xfId="0" applyFont="1" applyFill="1" applyBorder="1" applyAlignment="1">
      <alignment horizontal="center"/>
    </xf>
    <xf numFmtId="165" fontId="0" fillId="0" borderId="2" xfId="0" quotePrefix="1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0" xfId="0" applyFont="1" applyFill="1" applyAlignment="1">
      <alignment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/>
    </xf>
    <xf numFmtId="166" fontId="0" fillId="0" borderId="0" xfId="0" applyNumberFormat="1" applyAlignment="1">
      <alignment horizontal="center"/>
    </xf>
    <xf numFmtId="166" fontId="3" fillId="0" borderId="0" xfId="0" applyNumberFormat="1" applyFont="1"/>
    <xf numFmtId="0" fontId="0" fillId="0" borderId="2" xfId="0" applyFont="1" applyBorder="1" applyAlignment="1">
      <alignment vertical="center"/>
    </xf>
    <xf numFmtId="0" fontId="21" fillId="19" borderId="1" xfId="0" applyFont="1" applyFill="1" applyBorder="1" applyAlignment="1">
      <alignment vertical="center"/>
    </xf>
    <xf numFmtId="0" fontId="21" fillId="19" borderId="1" xfId="0" applyFont="1" applyFill="1" applyBorder="1" applyAlignment="1">
      <alignment horizontal="center" vertical="center"/>
    </xf>
    <xf numFmtId="0" fontId="22" fillId="0" borderId="0" xfId="0" applyFont="1"/>
    <xf numFmtId="44" fontId="0" fillId="0" borderId="0" xfId="7" applyFont="1"/>
    <xf numFmtId="0" fontId="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16" fontId="3" fillId="0" borderId="9" xfId="0" applyNumberFormat="1" applyFont="1" applyBorder="1" applyAlignment="1">
      <alignment horizontal="left"/>
    </xf>
    <xf numFmtId="16" fontId="0" fillId="0" borderId="9" xfId="0" applyNumberFormat="1" applyBorder="1" applyAlignment="1">
      <alignment horizontal="left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" fontId="3" fillId="0" borderId="14" xfId="0" applyNumberFormat="1" applyFont="1" applyBorder="1" applyAlignment="1">
      <alignment horizontal="left"/>
    </xf>
    <xf numFmtId="16" fontId="0" fillId="0" borderId="15" xfId="0" applyNumberFormat="1" applyFont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14" xfId="0" applyBorder="1"/>
    <xf numFmtId="44" fontId="0" fillId="23" borderId="17" xfId="7" applyFont="1" applyFill="1" applyBorder="1"/>
    <xf numFmtId="16" fontId="0" fillId="0" borderId="3" xfId="0" applyNumberFormat="1" applyFont="1" applyBorder="1" applyAlignment="1">
      <alignment horizontal="left"/>
    </xf>
    <xf numFmtId="0" fontId="0" fillId="0" borderId="1" xfId="0" applyFont="1" applyBorder="1"/>
    <xf numFmtId="0" fontId="0" fillId="0" borderId="18" xfId="0" applyFont="1" applyBorder="1"/>
    <xf numFmtId="0" fontId="0" fillId="0" borderId="19" xfId="0" applyBorder="1"/>
    <xf numFmtId="44" fontId="0" fillId="23" borderId="18" xfId="7" applyFont="1" applyFill="1" applyBorder="1"/>
    <xf numFmtId="0" fontId="0" fillId="0" borderId="1" xfId="0" applyFont="1" applyBorder="1" applyAlignment="1">
      <alignment horizontal="right"/>
    </xf>
    <xf numFmtId="0" fontId="0" fillId="0" borderId="20" xfId="0" applyFont="1" applyBorder="1"/>
    <xf numFmtId="16" fontId="3" fillId="23" borderId="19" xfId="0" applyNumberFormat="1" applyFont="1" applyFill="1" applyBorder="1" applyAlignment="1">
      <alignment horizontal="left"/>
    </xf>
    <xf numFmtId="16" fontId="0" fillId="23" borderId="3" xfId="0" applyNumberFormat="1" applyFont="1" applyFill="1" applyBorder="1" applyAlignment="1">
      <alignment horizontal="left"/>
    </xf>
    <xf numFmtId="0" fontId="0" fillId="23" borderId="1" xfId="0" applyFont="1" applyFill="1" applyBorder="1"/>
    <xf numFmtId="0" fontId="0" fillId="23" borderId="18" xfId="0" applyFont="1" applyFill="1" applyBorder="1"/>
    <xf numFmtId="0" fontId="0" fillId="23" borderId="19" xfId="0" applyFill="1" applyBorder="1"/>
    <xf numFmtId="44" fontId="0" fillId="22" borderId="18" xfId="7" applyFont="1" applyFill="1" applyBorder="1"/>
    <xf numFmtId="16" fontId="3" fillId="22" borderId="19" xfId="0" applyNumberFormat="1" applyFont="1" applyFill="1" applyBorder="1" applyAlignment="1">
      <alignment horizontal="left"/>
    </xf>
    <xf numFmtId="16" fontId="0" fillId="22" borderId="3" xfId="0" applyNumberFormat="1" applyFont="1" applyFill="1" applyBorder="1" applyAlignment="1">
      <alignment horizontal="left"/>
    </xf>
    <xf numFmtId="0" fontId="0" fillId="22" borderId="1" xfId="0" applyFont="1" applyFill="1" applyBorder="1"/>
    <xf numFmtId="0" fontId="0" fillId="22" borderId="18" xfId="0" applyFont="1" applyFill="1" applyBorder="1"/>
    <xf numFmtId="0" fontId="0" fillId="22" borderId="21" xfId="0" applyFill="1" applyBorder="1"/>
    <xf numFmtId="44" fontId="0" fillId="22" borderId="22" xfId="7" applyFont="1" applyFill="1" applyBorder="1"/>
    <xf numFmtId="16" fontId="3" fillId="0" borderId="21" xfId="0" applyNumberFormat="1" applyFont="1" applyBorder="1" applyAlignment="1">
      <alignment horizontal="left"/>
    </xf>
    <xf numFmtId="16" fontId="0" fillId="0" borderId="23" xfId="0" applyNumberFormat="1" applyFont="1" applyBorder="1" applyAlignment="1">
      <alignment horizontal="left"/>
    </xf>
    <xf numFmtId="0" fontId="0" fillId="0" borderId="24" xfId="0" applyFont="1" applyBorder="1"/>
    <xf numFmtId="0" fontId="0" fillId="0" borderId="22" xfId="0" applyFont="1" applyBorder="1"/>
    <xf numFmtId="0" fontId="0" fillId="0" borderId="25" xfId="0" applyBorder="1"/>
    <xf numFmtId="44" fontId="0" fillId="24" borderId="26" xfId="7" applyFont="1" applyFill="1" applyBorder="1"/>
    <xf numFmtId="16" fontId="3" fillId="22" borderId="21" xfId="0" applyNumberFormat="1" applyFont="1" applyFill="1" applyBorder="1" applyAlignment="1">
      <alignment horizontal="left"/>
    </xf>
    <xf numFmtId="16" fontId="0" fillId="22" borderId="23" xfId="0" applyNumberFormat="1" applyFont="1" applyFill="1" applyBorder="1" applyAlignment="1">
      <alignment horizontal="left"/>
    </xf>
    <xf numFmtId="0" fontId="0" fillId="22" borderId="24" xfId="0" applyFont="1" applyFill="1" applyBorder="1"/>
    <xf numFmtId="0" fontId="0" fillId="22" borderId="22" xfId="0" applyFont="1" applyFill="1" applyBorder="1"/>
    <xf numFmtId="16" fontId="3" fillId="0" borderId="25" xfId="0" applyNumberFormat="1" applyFont="1" applyBorder="1" applyAlignment="1">
      <alignment horizontal="left"/>
    </xf>
    <xf numFmtId="16" fontId="0" fillId="0" borderId="27" xfId="0" applyNumberFormat="1" applyBorder="1" applyAlignment="1">
      <alignment horizontal="left"/>
    </xf>
    <xf numFmtId="0" fontId="0" fillId="0" borderId="28" xfId="0" applyBorder="1"/>
    <xf numFmtId="0" fontId="0" fillId="0" borderId="26" xfId="0" applyBorder="1"/>
    <xf numFmtId="16" fontId="0" fillId="0" borderId="15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16" fontId="0" fillId="0" borderId="3" xfId="0" applyNumberFormat="1" applyBorder="1" applyAlignment="1">
      <alignment horizontal="left"/>
    </xf>
    <xf numFmtId="0" fontId="0" fillId="0" borderId="1" xfId="0" applyBorder="1"/>
    <xf numFmtId="0" fontId="0" fillId="0" borderId="18" xfId="0" applyBorder="1"/>
    <xf numFmtId="16" fontId="0" fillId="23" borderId="3" xfId="0" applyNumberFormat="1" applyFill="1" applyBorder="1" applyAlignment="1">
      <alignment horizontal="left"/>
    </xf>
    <xf numFmtId="0" fontId="0" fillId="23" borderId="1" xfId="0" applyFill="1" applyBorder="1"/>
    <xf numFmtId="0" fontId="0" fillId="23" borderId="18" xfId="0" applyFill="1" applyBorder="1"/>
    <xf numFmtId="16" fontId="0" fillId="22" borderId="23" xfId="0" applyNumberFormat="1" applyFill="1" applyBorder="1" applyAlignment="1">
      <alignment horizontal="left"/>
    </xf>
    <xf numFmtId="0" fontId="0" fillId="22" borderId="24" xfId="0" applyFill="1" applyBorder="1"/>
    <xf numFmtId="0" fontId="0" fillId="22" borderId="22" xfId="0" applyFill="1" applyBorder="1"/>
    <xf numFmtId="0" fontId="3" fillId="25" borderId="29" xfId="0" applyFont="1" applyFill="1" applyBorder="1" applyAlignment="1">
      <alignment horizontal="left"/>
    </xf>
    <xf numFmtId="0" fontId="0" fillId="25" borderId="30" xfId="0" applyFill="1" applyBorder="1" applyAlignment="1">
      <alignment horizontal="left"/>
    </xf>
    <xf numFmtId="0" fontId="0" fillId="25" borderId="30" xfId="0" applyFill="1" applyBorder="1"/>
    <xf numFmtId="0" fontId="0" fillId="25" borderId="31" xfId="0" applyFill="1" applyBorder="1"/>
    <xf numFmtId="0" fontId="0" fillId="25" borderId="29" xfId="0" applyFill="1" applyBorder="1"/>
    <xf numFmtId="0" fontId="3" fillId="0" borderId="0" xfId="0" applyFont="1" applyAlignment="1">
      <alignment horizontal="left"/>
    </xf>
    <xf numFmtId="0" fontId="0" fillId="23" borderId="14" xfId="0" applyFill="1" applyBorder="1"/>
    <xf numFmtId="0" fontId="0" fillId="23" borderId="16" xfId="0" applyFill="1" applyBorder="1"/>
    <xf numFmtId="44" fontId="0" fillId="0" borderId="18" xfId="7" applyFont="1" applyBorder="1"/>
    <xf numFmtId="0" fontId="0" fillId="0" borderId="21" xfId="0" applyBorder="1"/>
    <xf numFmtId="0" fontId="0" fillId="0" borderId="24" xfId="0" applyBorder="1"/>
    <xf numFmtId="44" fontId="0" fillId="0" borderId="22" xfId="7" applyFont="1" applyBorder="1"/>
    <xf numFmtId="0" fontId="0" fillId="0" borderId="8" xfId="0" applyBorder="1" applyAlignment="1">
      <alignment horizontal="center" vertical="top" wrapText="1"/>
    </xf>
    <xf numFmtId="0" fontId="0" fillId="0" borderId="20" xfId="0" applyFont="1" applyBorder="1" applyAlignment="1">
      <alignment horizontal="right"/>
    </xf>
    <xf numFmtId="0" fontId="0" fillId="0" borderId="20" xfId="0" applyBorder="1"/>
    <xf numFmtId="0" fontId="0" fillId="26" borderId="0" xfId="0" applyFont="1" applyFill="1" applyAlignment="1">
      <alignment horizontal="center"/>
    </xf>
    <xf numFmtId="16" fontId="0" fillId="26" borderId="1" xfId="0" applyNumberFormat="1" applyFont="1" applyFill="1" applyBorder="1" applyAlignment="1">
      <alignment horizontal="center" vertical="center"/>
    </xf>
    <xf numFmtId="16" fontId="8" fillId="26" borderId="0" xfId="0" applyNumberFormat="1" applyFont="1" applyFill="1" applyAlignment="1">
      <alignment horizontal="center" vertical="center"/>
    </xf>
    <xf numFmtId="0" fontId="8" fillId="26" borderId="0" xfId="0" applyFont="1" applyFill="1" applyAlignment="1">
      <alignment horizontal="center"/>
    </xf>
    <xf numFmtId="0" fontId="0" fillId="26" borderId="0" xfId="0" applyFont="1" applyFill="1" applyAlignment="1">
      <alignment horizontal="center" vertical="center"/>
    </xf>
    <xf numFmtId="0" fontId="14" fillId="26" borderId="0" xfId="0" applyFont="1" applyFill="1" applyAlignment="1">
      <alignment horizontal="center"/>
    </xf>
    <xf numFmtId="16" fontId="0" fillId="26" borderId="0" xfId="0" applyNumberFormat="1" applyFont="1" applyFill="1" applyAlignment="1">
      <alignment horizontal="center"/>
    </xf>
    <xf numFmtId="16" fontId="8" fillId="26" borderId="0" xfId="0" applyNumberFormat="1" applyFont="1" applyFill="1" applyAlignment="1">
      <alignment horizontal="center"/>
    </xf>
    <xf numFmtId="0" fontId="0" fillId="16" borderId="0" xfId="0" applyFill="1"/>
    <xf numFmtId="0" fontId="0" fillId="16" borderId="0" xfId="0" applyFont="1" applyFill="1" applyAlignment="1">
      <alignment horizontal="center"/>
    </xf>
    <xf numFmtId="0" fontId="0" fillId="16" borderId="1" xfId="0" applyNumberFormat="1" applyFont="1" applyFill="1" applyBorder="1" applyAlignment="1">
      <alignment horizontal="center"/>
    </xf>
    <xf numFmtId="16" fontId="0" fillId="16" borderId="0" xfId="0" applyNumberFormat="1" applyFont="1" applyFill="1" applyAlignment="1">
      <alignment horizontal="center"/>
    </xf>
    <xf numFmtId="0" fontId="23" fillId="14" borderId="0" xfId="0" applyFont="1" applyFill="1" applyBorder="1" applyAlignment="1">
      <alignment horizontal="center" vertical="center"/>
    </xf>
    <xf numFmtId="0" fontId="0" fillId="14" borderId="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2" borderId="11" xfId="0" applyFill="1" applyBorder="1" applyAlignment="1">
      <alignment horizontal="center" vertical="center" wrapText="1"/>
    </xf>
    <xf numFmtId="0" fontId="0" fillId="22" borderId="12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17" fontId="10" fillId="0" borderId="6" xfId="0" applyNumberFormat="1" applyFont="1" applyBorder="1" applyAlignment="1">
      <alignment horizontal="center"/>
    </xf>
    <xf numFmtId="17" fontId="10" fillId="0" borderId="7" xfId="0" applyNumberFormat="1" applyFont="1" applyBorder="1" applyAlignment="1">
      <alignment horizontal="center"/>
    </xf>
    <xf numFmtId="17" fontId="10" fillId="0" borderId="8" xfId="0" applyNumberFormat="1" applyFont="1" applyBorder="1" applyAlignment="1">
      <alignment horizontal="center"/>
    </xf>
    <xf numFmtId="17" fontId="10" fillId="0" borderId="9" xfId="0" applyNumberFormat="1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17" fontId="10" fillId="0" borderId="10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</cellXfs>
  <cellStyles count="8">
    <cellStyle name="Milliers 2" xfId="6"/>
    <cellStyle name="Monétaire" xfId="7" builtinId="4"/>
    <cellStyle name="Normal" xfId="0" builtinId="0"/>
    <cellStyle name="Normal 2" xfId="1"/>
    <cellStyle name="Normal 2 2" xfId="3"/>
    <cellStyle name="Normal 3" xfId="4"/>
    <cellStyle name="Normal 4" xfId="5"/>
    <cellStyle name="Pourcentage 2" xfId="2"/>
  </cellStyles>
  <dxfs count="0"/>
  <tableStyles count="0" defaultTableStyle="TableStyleMedium9" defaultPivotStyle="PivotStyleLight16"/>
  <colors>
    <mruColors>
      <color rgb="FF00FFCC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30479</xdr:rowOff>
    </xdr:from>
    <xdr:to>
      <xdr:col>2</xdr:col>
      <xdr:colOff>171450</xdr:colOff>
      <xdr:row>0</xdr:row>
      <xdr:rowOff>289560</xdr:rowOff>
    </xdr:to>
    <xdr:sp macro="[0]!Masquer" textlink="">
      <xdr:nvSpPr>
        <xdr:cNvPr id="2" name="Masquer 1"/>
        <xdr:cNvSpPr/>
      </xdr:nvSpPr>
      <xdr:spPr>
        <a:xfrm>
          <a:off x="19050" y="30479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Masquer</a:t>
          </a:r>
        </a:p>
      </xdr:txBody>
    </xdr:sp>
    <xdr:clientData fPrintsWithSheet="0"/>
  </xdr:twoCellAnchor>
  <xdr:twoCellAnchor editAs="oneCell">
    <xdr:from>
      <xdr:col>11</xdr:col>
      <xdr:colOff>312420</xdr:colOff>
      <xdr:row>5</xdr:row>
      <xdr:rowOff>0</xdr:rowOff>
    </xdr:from>
    <xdr:to>
      <xdr:col>11</xdr:col>
      <xdr:colOff>617220</xdr:colOff>
      <xdr:row>6</xdr:row>
      <xdr:rowOff>121920</xdr:rowOff>
    </xdr:to>
    <xdr:sp macro="" textlink="">
      <xdr:nvSpPr>
        <xdr:cNvPr id="5122" name="imgConv" descr="http://ib.adnxs.com/getuid?//its.tradelab.fr/?type=convr&amp;x=1&amp;uuid2=$UID&amp;cdata=%7B%22a%22%3A621044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91135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624840</xdr:colOff>
      <xdr:row>5</xdr:row>
      <xdr:rowOff>0</xdr:rowOff>
    </xdr:from>
    <xdr:to>
      <xdr:col>11</xdr:col>
      <xdr:colOff>929640</xdr:colOff>
      <xdr:row>6</xdr:row>
      <xdr:rowOff>121920</xdr:rowOff>
    </xdr:to>
    <xdr:sp macro="" textlink="">
      <xdr:nvSpPr>
        <xdr:cNvPr id="5123" name="AutoShape 3" descr="http://ib.adnxs.com/px?id=621044&amp;t=2"/>
        <xdr:cNvSpPr>
          <a:spLocks noChangeAspect="1" noChangeArrowheads="1"/>
        </xdr:cNvSpPr>
      </xdr:nvSpPr>
      <xdr:spPr bwMode="auto">
        <a:xfrm>
          <a:off x="94259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937260</xdr:colOff>
      <xdr:row>5</xdr:row>
      <xdr:rowOff>0</xdr:rowOff>
    </xdr:from>
    <xdr:to>
      <xdr:col>11</xdr:col>
      <xdr:colOff>1242060</xdr:colOff>
      <xdr:row>6</xdr:row>
      <xdr:rowOff>121920</xdr:rowOff>
    </xdr:to>
    <xdr:sp macro="" textlink="">
      <xdr:nvSpPr>
        <xdr:cNvPr id="5124" name="AutoShape 4" descr="http://ib.adnxs.com/seg?add=3619252&amp;t=2"/>
        <xdr:cNvSpPr>
          <a:spLocks noChangeAspect="1" noChangeArrowheads="1"/>
        </xdr:cNvSpPr>
      </xdr:nvSpPr>
      <xdr:spPr bwMode="auto">
        <a:xfrm>
          <a:off x="97383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1203960</xdr:colOff>
      <xdr:row>5</xdr:row>
      <xdr:rowOff>0</xdr:rowOff>
    </xdr:from>
    <xdr:to>
      <xdr:col>11</xdr:col>
      <xdr:colOff>1508760</xdr:colOff>
      <xdr:row>6</xdr:row>
      <xdr:rowOff>121920</xdr:rowOff>
    </xdr:to>
    <xdr:sp macro="" textlink="">
      <xdr:nvSpPr>
        <xdr:cNvPr id="5125" name="AutoShape 5" descr="http://ib.adnxs.com/getuid?//its.tradelab.fr/?type=fseg&amp;uuid2=$UID&amp;sid=3619252&amp;val=undefined&amp;fun=738&amp;step=1&amp;siev=3619249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00050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1562100</xdr:colOff>
      <xdr:row>5</xdr:row>
      <xdr:rowOff>0</xdr:rowOff>
    </xdr:from>
    <xdr:to>
      <xdr:col>11</xdr:col>
      <xdr:colOff>1866900</xdr:colOff>
      <xdr:row>6</xdr:row>
      <xdr:rowOff>121920</xdr:rowOff>
    </xdr:to>
    <xdr:sp macro="" textlink="">
      <xdr:nvSpPr>
        <xdr:cNvPr id="5126" name="imgConv" descr="http://ib.adnxs.com/getuid?//its.tradelab.fr/?type=convr&amp;x=1&amp;uuid2=$UID&amp;cdata=%7B%22a%22%3A621045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036320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1874520</xdr:colOff>
      <xdr:row>5</xdr:row>
      <xdr:rowOff>0</xdr:rowOff>
    </xdr:from>
    <xdr:to>
      <xdr:col>12</xdr:col>
      <xdr:colOff>274320</xdr:colOff>
      <xdr:row>6</xdr:row>
      <xdr:rowOff>121920</xdr:rowOff>
    </xdr:to>
    <xdr:sp macro="" textlink="">
      <xdr:nvSpPr>
        <xdr:cNvPr id="5127" name="AutoShape 7" descr="http://ib.adnxs.com/px?id=621045&amp;t=2"/>
        <xdr:cNvSpPr>
          <a:spLocks noChangeAspect="1" noChangeArrowheads="1"/>
        </xdr:cNvSpPr>
      </xdr:nvSpPr>
      <xdr:spPr bwMode="auto">
        <a:xfrm>
          <a:off x="106756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281940</xdr:colOff>
      <xdr:row>5</xdr:row>
      <xdr:rowOff>0</xdr:rowOff>
    </xdr:from>
    <xdr:to>
      <xdr:col>12</xdr:col>
      <xdr:colOff>586740</xdr:colOff>
      <xdr:row>6</xdr:row>
      <xdr:rowOff>121920</xdr:rowOff>
    </xdr:to>
    <xdr:sp macro="" textlink="">
      <xdr:nvSpPr>
        <xdr:cNvPr id="5128" name="AutoShape 8" descr="http://ib.adnxs.com/seg?add=3619253&amp;t=2"/>
        <xdr:cNvSpPr>
          <a:spLocks noChangeAspect="1" noChangeArrowheads="1"/>
        </xdr:cNvSpPr>
      </xdr:nvSpPr>
      <xdr:spPr bwMode="auto">
        <a:xfrm>
          <a:off x="109880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594360</xdr:colOff>
      <xdr:row>5</xdr:row>
      <xdr:rowOff>0</xdr:rowOff>
    </xdr:from>
    <xdr:to>
      <xdr:col>12</xdr:col>
      <xdr:colOff>899160</xdr:colOff>
      <xdr:row>6</xdr:row>
      <xdr:rowOff>121920</xdr:rowOff>
    </xdr:to>
    <xdr:sp macro="" textlink="">
      <xdr:nvSpPr>
        <xdr:cNvPr id="5129" name="AutoShape 9" descr="http://ib.adnxs.com/getuid?//its.tradelab.fr/?type=fseg&amp;uuid2=$UID&amp;sid=3619253&amp;val=undefined&amp;fun=738&amp;step=2&amp;siev=3619250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113004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220980</xdr:colOff>
      <xdr:row>0</xdr:row>
      <xdr:rowOff>38100</xdr:rowOff>
    </xdr:from>
    <xdr:to>
      <xdr:col>4</xdr:col>
      <xdr:colOff>342900</xdr:colOff>
      <xdr:row>0</xdr:row>
      <xdr:rowOff>297181</xdr:rowOff>
    </xdr:to>
    <xdr:sp macro="[0]!reset" textlink="">
      <xdr:nvSpPr>
        <xdr:cNvPr id="12" name="Masquer 1"/>
        <xdr:cNvSpPr/>
      </xdr:nvSpPr>
      <xdr:spPr>
        <a:xfrm>
          <a:off x="1333500" y="38100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Reset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15240</xdr:rowOff>
        </xdr:from>
        <xdr:to>
          <xdr:col>11</xdr:col>
          <xdr:colOff>1531620</xdr:colOff>
          <xdr:row>0</xdr:row>
          <xdr:rowOff>304800</xdr:rowOff>
        </xdr:to>
        <xdr:sp macro="" textlink="">
          <xdr:nvSpPr>
            <xdr:cNvPr id="4" name="TextBox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320040</xdr:colOff>
          <xdr:row>0</xdr:row>
          <xdr:rowOff>0</xdr:rowOff>
        </xdr:from>
        <xdr:to>
          <xdr:col>42</xdr:col>
          <xdr:colOff>281940</xdr:colOff>
          <xdr:row>4</xdr:row>
          <xdr:rowOff>30480</xdr:rowOff>
        </xdr:to>
        <xdr:sp macro="" textlink="">
          <xdr:nvSpPr>
            <xdr:cNvPr id="3" name="ListBox1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518160</xdr:colOff>
      <xdr:row>0</xdr:row>
      <xdr:rowOff>22860</xdr:rowOff>
    </xdr:from>
    <xdr:to>
      <xdr:col>11</xdr:col>
      <xdr:colOff>137160</xdr:colOff>
      <xdr:row>0</xdr:row>
      <xdr:rowOff>274320</xdr:rowOff>
    </xdr:to>
    <xdr:sp macro="" textlink="">
      <xdr:nvSpPr>
        <xdr:cNvPr id="7" name="ZoneTexte 6"/>
        <xdr:cNvSpPr txBox="1"/>
      </xdr:nvSpPr>
      <xdr:spPr>
        <a:xfrm>
          <a:off x="7566660" y="22860"/>
          <a:ext cx="1104900" cy="2514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Recherche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1410931</xdr:colOff>
      <xdr:row>1</xdr:row>
      <xdr:rowOff>52174</xdr:rowOff>
    </xdr:from>
    <xdr:to>
      <xdr:col>4</xdr:col>
      <xdr:colOff>1983288</xdr:colOff>
      <xdr:row>4</xdr:row>
      <xdr:rowOff>16685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6911945" y="240064"/>
          <a:ext cx="2994055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2</xdr:col>
      <xdr:colOff>1</xdr:colOff>
      <xdr:row>0</xdr:row>
      <xdr:rowOff>0</xdr:rowOff>
    </xdr:from>
    <xdr:to>
      <xdr:col>3</xdr:col>
      <xdr:colOff>1127344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1440493</xdr:colOff>
      <xdr:row>0</xdr:row>
      <xdr:rowOff>0</xdr:rowOff>
    </xdr:from>
    <xdr:to>
      <xdr:col>8</xdr:col>
      <xdr:colOff>1680575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11482192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2037232</xdr:colOff>
      <xdr:row>1</xdr:row>
      <xdr:rowOff>52175</xdr:rowOff>
    </xdr:from>
    <xdr:to>
      <xdr:col>6</xdr:col>
      <xdr:colOff>511478</xdr:colOff>
      <xdr:row>4</xdr:row>
      <xdr:rowOff>16686</xdr:rowOff>
    </xdr:to>
    <xdr:sp macro="[0]!copier" textlink="">
      <xdr:nvSpPr>
        <xdr:cNvPr id="6" name="Plaque 5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959944" y="240065"/>
          <a:ext cx="2952301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265.64550810185" createdVersion="5" refreshedVersion="5" minRefreshableVersion="3" recordCount="31">
  <cacheSource type="worksheet">
    <worksheetSource ref="A29:M1124" sheet="Suivi de commande"/>
  </cacheSource>
  <cacheFields count="13">
    <cacheField name="# SEMAINE" numFmtId="0">
      <sharedItems containsString="0" containsBlank="1" containsNumber="1" containsInteger="1" minValue="23" maxValue="52" count="31"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Semaine" numFmtId="0">
      <sharedItems containsBlank="1"/>
    </cacheField>
    <cacheField name="# Interne" numFmtId="0">
      <sharedItems containsNonDate="0" containsString="0" containsBlank="1"/>
    </cacheField>
    <cacheField name="# Bill" numFmtId="0">
      <sharedItems containsString="0" containsBlank="1" containsNumber="1" containsInteger="1" minValue="1" maxValue="1"/>
    </cacheField>
    <cacheField name="Qté lot" numFmtId="0">
      <sharedItems containsNonDate="0" containsString="0" containsBlank="1"/>
    </cacheField>
    <cacheField name="Qté fait" numFmtId="0">
      <sharedItems containsNonDate="0" containsString="0" containsBlank="1"/>
    </cacheField>
    <cacheField name="Client" numFmtId="0">
      <sharedItems containsNonDate="0" containsString="0" containsBlank="1"/>
    </cacheField>
    <cacheField name="Catégorie porte" numFmtId="0">
      <sharedItems containsNonDate="0" containsString="0" containsBlank="1"/>
    </cacheField>
    <cacheField name="Modèle" numFmtId="0">
      <sharedItems containsString="0" containsBlank="1" containsNumber="1" containsInteger="1" minValue="0" maxValue="0"/>
    </cacheField>
    <cacheField name="Date de livraison" numFmtId="0">
      <sharedItems containsNonDate="0" containsDate="1" containsString="0" containsBlank="1" minDate="2018-06-01T00:00:00" maxDate="2018-12-02T00:00:00"/>
    </cacheField>
    <cacheField name="Battants" numFmtId="0">
      <sharedItems containsNonDate="0" containsString="0" containsBlank="1"/>
    </cacheField>
    <cacheField name="RUSH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SEMAINE DU 4 AU 8 JUIN"/>
    <m/>
    <n v="1"/>
    <m/>
    <m/>
    <m/>
    <m/>
    <m/>
    <d v="2018-06-01T00:00:00"/>
    <m/>
    <m/>
    <m/>
  </r>
  <r>
    <x v="1"/>
    <s v="SEMAINE DU 11 AU 15 JUIN"/>
    <m/>
    <n v="1"/>
    <m/>
    <m/>
    <m/>
    <m/>
    <m/>
    <d v="2018-06-01T00:00:00"/>
    <m/>
    <m/>
    <m/>
  </r>
  <r>
    <x v="2"/>
    <s v="SEMAINE DU 18 AU 22 JUIN"/>
    <m/>
    <n v="1"/>
    <m/>
    <m/>
    <m/>
    <m/>
    <n v="0"/>
    <d v="2018-06-01T00:00:00"/>
    <m/>
    <m/>
    <m/>
  </r>
  <r>
    <x v="3"/>
    <s v="SEMAINE DU 25 AU 29 JUIN"/>
    <m/>
    <n v="1"/>
    <m/>
    <m/>
    <m/>
    <m/>
    <n v="0"/>
    <d v="2018-06-01T00:00:00"/>
    <m/>
    <m/>
    <m/>
  </r>
  <r>
    <x v="4"/>
    <s v="SEMAINE DU 2 AU 6 JUILLET"/>
    <m/>
    <n v="1"/>
    <m/>
    <m/>
    <m/>
    <m/>
    <n v="0"/>
    <d v="2018-07-01T00:00:00"/>
    <m/>
    <m/>
    <m/>
  </r>
  <r>
    <x v="5"/>
    <s v="SEMAINE DU 9 AU 13 JUILLET"/>
    <m/>
    <n v="1"/>
    <m/>
    <m/>
    <m/>
    <m/>
    <n v="0"/>
    <d v="2018-07-01T00:00:00"/>
    <m/>
    <m/>
    <m/>
  </r>
  <r>
    <x v="6"/>
    <s v="SEMAINE DU 16 AU 20 JUILLET"/>
    <m/>
    <n v="1"/>
    <m/>
    <m/>
    <m/>
    <m/>
    <n v="0"/>
    <d v="2018-07-01T00:00:00"/>
    <m/>
    <m/>
    <m/>
  </r>
  <r>
    <x v="7"/>
    <s v="SEMAINE DU 23 AU 27 JUILLET"/>
    <m/>
    <n v="1"/>
    <m/>
    <m/>
    <m/>
    <m/>
    <n v="0"/>
    <d v="2018-07-01T00:00:00"/>
    <m/>
    <m/>
    <m/>
  </r>
  <r>
    <x v="8"/>
    <s v="SEMAINE DU 30 JUILLET AU 3 AOÛT"/>
    <m/>
    <n v="1"/>
    <m/>
    <m/>
    <m/>
    <m/>
    <n v="0"/>
    <d v="2018-07-01T00:00:00"/>
    <m/>
    <m/>
    <m/>
  </r>
  <r>
    <x v="9"/>
    <s v="SEMAINE DU 6 AU 10 AOÛT"/>
    <m/>
    <n v="1"/>
    <m/>
    <m/>
    <m/>
    <m/>
    <n v="0"/>
    <d v="2018-08-01T00:00:00"/>
    <m/>
    <m/>
    <m/>
  </r>
  <r>
    <x v="10"/>
    <s v="SEMAINE DU 13 AU 17 AOÛT"/>
    <m/>
    <n v="1"/>
    <m/>
    <m/>
    <m/>
    <m/>
    <n v="0"/>
    <d v="2018-08-01T00:00:00"/>
    <m/>
    <m/>
    <m/>
  </r>
  <r>
    <x v="11"/>
    <s v="SEMAINE DU 20 AU 24 AOÛT"/>
    <m/>
    <n v="1"/>
    <m/>
    <m/>
    <m/>
    <m/>
    <n v="0"/>
    <d v="2018-08-01T00:00:00"/>
    <m/>
    <m/>
    <m/>
  </r>
  <r>
    <x v="12"/>
    <s v="SEMAINE DU 27 AU 31 AOÛT"/>
    <m/>
    <n v="1"/>
    <m/>
    <m/>
    <m/>
    <m/>
    <n v="0"/>
    <d v="2018-08-01T00:00:00"/>
    <m/>
    <m/>
    <m/>
  </r>
  <r>
    <x v="13"/>
    <s v="SEMAINE DU 3 AU 7 SEPTEMBRE"/>
    <m/>
    <n v="1"/>
    <m/>
    <m/>
    <m/>
    <m/>
    <n v="0"/>
    <d v="2018-09-01T00:00:00"/>
    <m/>
    <m/>
    <m/>
  </r>
  <r>
    <x v="14"/>
    <s v="SEMAINE DU 10 AU 14 SEPTEMBRE"/>
    <m/>
    <n v="1"/>
    <m/>
    <m/>
    <m/>
    <m/>
    <n v="0"/>
    <d v="2018-09-01T00:00:00"/>
    <m/>
    <m/>
    <m/>
  </r>
  <r>
    <x v="15"/>
    <s v="SEMAINE DU 17 AU 21 SEPTEMBRE"/>
    <m/>
    <n v="1"/>
    <m/>
    <m/>
    <m/>
    <m/>
    <n v="0"/>
    <d v="2018-09-01T00:00:00"/>
    <m/>
    <m/>
    <m/>
  </r>
  <r>
    <x v="16"/>
    <s v="SEMAINE DU 24 AU 28 SEPTEMBRE"/>
    <m/>
    <n v="1"/>
    <m/>
    <m/>
    <m/>
    <m/>
    <n v="0"/>
    <d v="2018-09-01T00:00:00"/>
    <m/>
    <m/>
    <m/>
  </r>
  <r>
    <x v="17"/>
    <s v="SEMAINE DU 1 AU 5 OCTOBRE"/>
    <m/>
    <n v="1"/>
    <m/>
    <m/>
    <m/>
    <m/>
    <n v="0"/>
    <d v="2018-09-01T00:00:00"/>
    <m/>
    <m/>
    <m/>
  </r>
  <r>
    <x v="18"/>
    <s v="SEMAINE DU 8 AU 12 OCTOBRE"/>
    <m/>
    <n v="1"/>
    <m/>
    <m/>
    <m/>
    <m/>
    <n v="0"/>
    <d v="2018-10-01T00:00:00"/>
    <m/>
    <m/>
    <m/>
  </r>
  <r>
    <x v="19"/>
    <s v="SEMAINE DU 15 AU 19 OCTOBRE"/>
    <m/>
    <n v="1"/>
    <m/>
    <m/>
    <m/>
    <m/>
    <n v="0"/>
    <d v="2018-10-01T00:00:00"/>
    <m/>
    <m/>
    <m/>
  </r>
  <r>
    <x v="20"/>
    <s v="SEMAINE DU 22 AU 26 OCTOBRE"/>
    <m/>
    <n v="1"/>
    <m/>
    <m/>
    <m/>
    <m/>
    <n v="0"/>
    <d v="2018-10-01T00:00:00"/>
    <m/>
    <m/>
    <m/>
  </r>
  <r>
    <x v="21"/>
    <s v="SEMAINE DU 29 OCTOBRE AU 2 NOVEMBRE"/>
    <m/>
    <n v="1"/>
    <m/>
    <m/>
    <m/>
    <m/>
    <n v="0"/>
    <d v="2018-10-01T00:00:00"/>
    <m/>
    <m/>
    <m/>
  </r>
  <r>
    <x v="22"/>
    <s v="SEMAINE DU 5 AU 9 NOVEMBRE"/>
    <m/>
    <n v="1"/>
    <m/>
    <m/>
    <m/>
    <m/>
    <n v="0"/>
    <d v="2018-11-01T00:00:00"/>
    <m/>
    <m/>
    <m/>
  </r>
  <r>
    <x v="23"/>
    <s v="SEMAINE DU 12 AU 16 NOVEMBRE"/>
    <m/>
    <n v="1"/>
    <m/>
    <m/>
    <m/>
    <m/>
    <n v="0"/>
    <d v="2018-11-01T00:00:00"/>
    <m/>
    <m/>
    <m/>
  </r>
  <r>
    <x v="24"/>
    <s v="SEMAINE DU 19 AU 23 NOVEMBRE"/>
    <m/>
    <n v="1"/>
    <m/>
    <m/>
    <m/>
    <m/>
    <n v="0"/>
    <d v="2018-11-01T00:00:00"/>
    <m/>
    <m/>
    <m/>
  </r>
  <r>
    <x v="25"/>
    <s v="SEMAINE DU 26 AU 30 NOVEMBRE"/>
    <m/>
    <n v="1"/>
    <m/>
    <m/>
    <m/>
    <m/>
    <n v="0"/>
    <d v="2018-11-01T00:00:00"/>
    <m/>
    <m/>
    <m/>
  </r>
  <r>
    <x v="26"/>
    <s v="SEMAINE DU 3 AU 7 DÉCEMBRE"/>
    <m/>
    <n v="1"/>
    <m/>
    <m/>
    <m/>
    <m/>
    <n v="0"/>
    <d v="2018-12-01T00:00:00"/>
    <m/>
    <m/>
    <m/>
  </r>
  <r>
    <x v="27"/>
    <s v="SEMAINE DU 10 AU 14 DÉCEMBRE"/>
    <m/>
    <n v="1"/>
    <m/>
    <m/>
    <m/>
    <m/>
    <n v="0"/>
    <d v="2018-12-01T00:00:00"/>
    <m/>
    <m/>
    <m/>
  </r>
  <r>
    <x v="28"/>
    <s v="SEMAINE DU 17 AU 21 DÉCEMBRE"/>
    <m/>
    <n v="1"/>
    <m/>
    <m/>
    <m/>
    <m/>
    <n v="0"/>
    <d v="2018-12-01T00:00:00"/>
    <m/>
    <m/>
    <m/>
  </r>
  <r>
    <x v="29"/>
    <s v="SEMAINE DU 24 AU 28 DÉCEMBRE"/>
    <m/>
    <n v="1"/>
    <m/>
    <m/>
    <m/>
    <m/>
    <n v="0"/>
    <d v="2018-12-01T00:00:00"/>
    <m/>
    <m/>
    <m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33" firstHeaderRow="1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31292"/>
  <sheetViews>
    <sheetView workbookViewId="0">
      <pane ySplit="2" topLeftCell="A356" activePane="bottomLeft" state="frozen"/>
      <selection pane="bottomLeft" activeCell="G377" sqref="G377"/>
    </sheetView>
  </sheetViews>
  <sheetFormatPr baseColWidth="10" defaultColWidth="11.44140625" defaultRowHeight="14.4" x14ac:dyDescent="0.3"/>
  <cols>
    <col min="1" max="1" width="11.109375" style="165" bestFit="1" customWidth="1"/>
    <col min="2" max="2" width="5.109375" style="50" bestFit="1" customWidth="1"/>
    <col min="3" max="3" width="10.6640625" style="50" bestFit="1" customWidth="1"/>
    <col min="4" max="4" width="6" style="50" bestFit="1" customWidth="1"/>
    <col min="5" max="5" width="6.6640625" style="50" bestFit="1" customWidth="1"/>
    <col min="6" max="6" width="7.21875" style="50" bestFit="1" customWidth="1"/>
    <col min="7" max="7" width="5.6640625" style="49" bestFit="1" customWidth="1"/>
    <col min="8" max="8" width="16.33203125" style="49" bestFit="1" customWidth="1"/>
    <col min="9" max="9" width="19.44140625" style="49" bestFit="1" customWidth="1"/>
    <col min="10" max="10" width="14.5546875" style="161" bestFit="1" customWidth="1"/>
    <col min="11" max="11" width="21.6640625" style="49" bestFit="1" customWidth="1"/>
    <col min="12" max="12" width="27.77734375" style="48" bestFit="1" customWidth="1"/>
    <col min="13" max="13" width="13.88671875" style="48" bestFit="1" customWidth="1"/>
    <col min="14" max="14" width="12.6640625" style="48" bestFit="1" customWidth="1"/>
    <col min="15" max="15" width="20" style="48" bestFit="1" customWidth="1"/>
    <col min="16" max="16" width="9.88671875" style="48" bestFit="1" customWidth="1"/>
    <col min="17" max="17" width="8.88671875" style="48" bestFit="1" customWidth="1"/>
    <col min="18" max="25" width="11.44140625" style="48"/>
    <col min="26" max="26" width="2" style="48" bestFit="1" customWidth="1"/>
    <col min="27" max="16384" width="11.44140625" style="48"/>
  </cols>
  <sheetData>
    <row r="1" spans="1:15" s="138" customFormat="1" ht="26.25" customHeight="1" x14ac:dyDescent="0.3">
      <c r="A1" s="279" t="s">
        <v>140</v>
      </c>
      <c r="B1" s="280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188" t="s">
        <v>214</v>
      </c>
      <c r="O1" s="179"/>
    </row>
    <row r="2" spans="1:15" s="138" customFormat="1" ht="26.25" customHeight="1" x14ac:dyDescent="0.3">
      <c r="A2" s="268" t="s">
        <v>139</v>
      </c>
      <c r="B2" s="58" t="s">
        <v>138</v>
      </c>
      <c r="C2" s="46" t="s">
        <v>3</v>
      </c>
      <c r="D2" s="47" t="s">
        <v>4</v>
      </c>
      <c r="E2" s="47" t="s">
        <v>5</v>
      </c>
      <c r="F2" s="46" t="s">
        <v>6</v>
      </c>
      <c r="G2" s="46" t="s">
        <v>0</v>
      </c>
      <c r="H2" s="46" t="s">
        <v>7</v>
      </c>
      <c r="I2" s="46" t="s">
        <v>8</v>
      </c>
      <c r="J2" s="160" t="s">
        <v>9</v>
      </c>
      <c r="K2" s="46" t="s">
        <v>10</v>
      </c>
      <c r="L2" s="46" t="s">
        <v>72</v>
      </c>
      <c r="M2" s="187" t="s">
        <v>213</v>
      </c>
      <c r="N2" s="189">
        <f>SOMME_SI_COULEUR(qtélot,O1)-SOMME_SI_COULEUR(FAIT,P1)</f>
        <v>1732</v>
      </c>
    </row>
    <row r="3" spans="1:15" s="51" customFormat="1" ht="18" customHeight="1" x14ac:dyDescent="0.3">
      <c r="A3" s="269">
        <v>43207</v>
      </c>
      <c r="B3" s="159">
        <v>1</v>
      </c>
      <c r="C3" s="267">
        <v>121370</v>
      </c>
      <c r="D3" s="88">
        <v>60311</v>
      </c>
      <c r="E3" s="87">
        <v>20</v>
      </c>
      <c r="F3" s="49"/>
      <c r="G3" s="48"/>
      <c r="H3" s="48" t="s">
        <v>13</v>
      </c>
      <c r="I3" s="48" t="s">
        <v>137</v>
      </c>
      <c r="J3" s="161">
        <v>43209</v>
      </c>
      <c r="K3" s="59"/>
    </row>
    <row r="4" spans="1:15" s="51" customFormat="1" x14ac:dyDescent="0.3">
      <c r="A4" s="269">
        <v>43207</v>
      </c>
      <c r="B4" s="159">
        <v>2</v>
      </c>
      <c r="C4" s="267">
        <v>121401</v>
      </c>
      <c r="D4" s="88">
        <v>60284</v>
      </c>
      <c r="E4" s="87">
        <v>11</v>
      </c>
      <c r="F4" s="49"/>
      <c r="G4" s="48"/>
      <c r="H4" s="48" t="s">
        <v>13</v>
      </c>
      <c r="I4" s="48" t="s">
        <v>15</v>
      </c>
      <c r="J4" s="161">
        <v>43215</v>
      </c>
      <c r="K4" s="59"/>
    </row>
    <row r="5" spans="1:15" s="51" customFormat="1" x14ac:dyDescent="0.3">
      <c r="A5" s="269">
        <v>43207</v>
      </c>
      <c r="B5" s="159">
        <v>3</v>
      </c>
      <c r="C5" s="267">
        <v>121400</v>
      </c>
      <c r="D5" s="88">
        <v>60259</v>
      </c>
      <c r="E5" s="87">
        <v>1</v>
      </c>
      <c r="F5" s="49"/>
      <c r="G5" s="48"/>
      <c r="H5" s="48" t="s">
        <v>23</v>
      </c>
      <c r="I5" s="48" t="s">
        <v>26</v>
      </c>
      <c r="J5" s="161">
        <v>43216</v>
      </c>
      <c r="K5" s="59"/>
    </row>
    <row r="6" spans="1:15" s="51" customFormat="1" x14ac:dyDescent="0.3">
      <c r="A6" s="269">
        <v>43207</v>
      </c>
      <c r="B6" s="159">
        <v>4</v>
      </c>
      <c r="C6" s="267">
        <v>121407</v>
      </c>
      <c r="D6" s="88">
        <v>60265</v>
      </c>
      <c r="E6" s="87">
        <v>3</v>
      </c>
      <c r="F6" s="49"/>
      <c r="G6" s="48"/>
      <c r="H6" s="48" t="s">
        <v>13</v>
      </c>
      <c r="I6" s="48" t="s">
        <v>14</v>
      </c>
      <c r="J6" s="161">
        <v>43213</v>
      </c>
      <c r="K6" s="59"/>
      <c r="L6" s="180"/>
    </row>
    <row r="7" spans="1:15" s="51" customFormat="1" x14ac:dyDescent="0.3">
      <c r="A7" s="269">
        <v>43207</v>
      </c>
      <c r="B7" s="159">
        <v>5</v>
      </c>
      <c r="C7" s="267">
        <v>121417</v>
      </c>
      <c r="D7" s="88">
        <v>60294</v>
      </c>
      <c r="E7" s="87">
        <v>1</v>
      </c>
      <c r="F7" s="49"/>
      <c r="G7" s="48"/>
      <c r="H7" s="48" t="s">
        <v>13</v>
      </c>
      <c r="I7" s="48" t="s">
        <v>15</v>
      </c>
      <c r="J7" s="161">
        <v>43215</v>
      </c>
      <c r="K7" s="59"/>
      <c r="L7" s="181"/>
    </row>
    <row r="8" spans="1:15" s="51" customFormat="1" x14ac:dyDescent="0.3">
      <c r="A8" s="269">
        <v>43207</v>
      </c>
      <c r="B8" s="159">
        <v>6</v>
      </c>
      <c r="C8" s="267">
        <v>121408</v>
      </c>
      <c r="D8" s="131">
        <v>60260</v>
      </c>
      <c r="E8" s="130">
        <v>8</v>
      </c>
      <c r="F8" s="52"/>
      <c r="G8" s="48"/>
      <c r="H8" s="48" t="s">
        <v>18</v>
      </c>
      <c r="I8" s="137" t="s">
        <v>136</v>
      </c>
      <c r="J8" s="161">
        <v>43216</v>
      </c>
      <c r="K8" s="59"/>
      <c r="L8" s="181"/>
    </row>
    <row r="9" spans="1:15" s="51" customFormat="1" x14ac:dyDescent="0.3">
      <c r="A9" s="269">
        <v>43207</v>
      </c>
      <c r="B9" s="159">
        <v>7</v>
      </c>
      <c r="C9" s="267" t="s">
        <v>135</v>
      </c>
      <c r="D9" s="88">
        <v>60323</v>
      </c>
      <c r="E9" s="87">
        <v>25</v>
      </c>
      <c r="F9" s="49"/>
      <c r="G9" s="48"/>
      <c r="H9" s="48" t="s">
        <v>13</v>
      </c>
      <c r="I9" s="48" t="s">
        <v>15</v>
      </c>
      <c r="J9" s="161">
        <v>43208</v>
      </c>
      <c r="K9" s="59"/>
      <c r="L9" s="181"/>
    </row>
    <row r="10" spans="1:15" s="51" customFormat="1" x14ac:dyDescent="0.3">
      <c r="A10" s="269">
        <v>43208</v>
      </c>
      <c r="B10" s="156">
        <v>1</v>
      </c>
      <c r="C10" s="267">
        <v>121442</v>
      </c>
      <c r="D10" s="131">
        <v>60324</v>
      </c>
      <c r="E10" s="130">
        <v>4</v>
      </c>
      <c r="F10" s="49"/>
      <c r="G10" s="48"/>
      <c r="H10" s="48" t="s">
        <v>13</v>
      </c>
      <c r="I10" s="48" t="s">
        <v>15</v>
      </c>
      <c r="J10" s="161">
        <v>43215</v>
      </c>
      <c r="K10" s="59"/>
      <c r="L10" s="181"/>
    </row>
    <row r="11" spans="1:15" s="51" customFormat="1" x14ac:dyDescent="0.3">
      <c r="A11" s="269">
        <v>43208</v>
      </c>
      <c r="B11" s="156">
        <v>2</v>
      </c>
      <c r="C11" s="267">
        <v>121134</v>
      </c>
      <c r="D11" s="131">
        <v>60054</v>
      </c>
      <c r="E11" s="130">
        <v>24</v>
      </c>
      <c r="F11" s="52"/>
      <c r="H11" s="51" t="s">
        <v>13</v>
      </c>
      <c r="I11" s="51" t="s">
        <v>19</v>
      </c>
      <c r="J11" s="162">
        <v>43213</v>
      </c>
      <c r="K11" s="90"/>
      <c r="L11" s="181"/>
    </row>
    <row r="12" spans="1:15" s="51" customFormat="1" x14ac:dyDescent="0.3">
      <c r="A12" s="269">
        <v>43208</v>
      </c>
      <c r="B12" s="156">
        <v>3</v>
      </c>
      <c r="C12" s="267">
        <v>121335</v>
      </c>
      <c r="D12" s="131">
        <v>60230</v>
      </c>
      <c r="E12" s="130">
        <v>21</v>
      </c>
      <c r="F12" s="49"/>
      <c r="G12" s="48"/>
      <c r="H12" s="48" t="s">
        <v>13</v>
      </c>
      <c r="I12" s="48" t="s">
        <v>19</v>
      </c>
      <c r="J12" s="161">
        <v>43213</v>
      </c>
      <c r="K12" s="59"/>
      <c r="L12" s="181"/>
    </row>
    <row r="13" spans="1:15" s="51" customFormat="1" x14ac:dyDescent="0.3">
      <c r="A13" s="269">
        <v>43208</v>
      </c>
      <c r="B13" s="156">
        <v>4</v>
      </c>
      <c r="C13" s="267">
        <v>121182</v>
      </c>
      <c r="D13" s="131">
        <v>60099</v>
      </c>
      <c r="E13" s="130">
        <v>1</v>
      </c>
      <c r="F13" s="49"/>
      <c r="G13" s="48"/>
      <c r="H13" s="48" t="s">
        <v>34</v>
      </c>
      <c r="I13" s="48" t="s">
        <v>19</v>
      </c>
      <c r="J13" s="161">
        <v>43216</v>
      </c>
      <c r="K13" s="59"/>
      <c r="L13" s="138"/>
    </row>
    <row r="14" spans="1:15" s="51" customFormat="1" x14ac:dyDescent="0.3">
      <c r="A14" s="269">
        <v>43208</v>
      </c>
      <c r="B14" s="156">
        <v>5</v>
      </c>
      <c r="C14" s="267">
        <v>121164</v>
      </c>
      <c r="D14" s="131">
        <v>60081</v>
      </c>
      <c r="E14" s="130">
        <v>1</v>
      </c>
      <c r="F14" s="49"/>
      <c r="G14" s="48"/>
      <c r="H14" s="48" t="s">
        <v>13</v>
      </c>
      <c r="I14" s="48" t="s">
        <v>134</v>
      </c>
      <c r="J14" s="161">
        <v>43216</v>
      </c>
      <c r="K14" s="59"/>
      <c r="L14" s="181"/>
    </row>
    <row r="15" spans="1:15" s="51" customFormat="1" x14ac:dyDescent="0.3">
      <c r="A15" s="269">
        <v>43208</v>
      </c>
      <c r="B15" s="156">
        <v>6</v>
      </c>
      <c r="C15" s="267">
        <v>121160</v>
      </c>
      <c r="D15" s="88">
        <v>60050</v>
      </c>
      <c r="E15" s="87">
        <v>1</v>
      </c>
      <c r="F15" s="49"/>
      <c r="G15" s="48"/>
      <c r="H15" s="48" t="s">
        <v>18</v>
      </c>
      <c r="I15" s="48" t="s">
        <v>19</v>
      </c>
      <c r="J15" s="161">
        <v>43213</v>
      </c>
      <c r="K15" s="59"/>
      <c r="L15" s="181"/>
    </row>
    <row r="16" spans="1:15" s="51" customFormat="1" x14ac:dyDescent="0.3">
      <c r="A16" s="269">
        <v>43208</v>
      </c>
      <c r="B16" s="156">
        <v>7</v>
      </c>
      <c r="C16" s="267">
        <v>121247</v>
      </c>
      <c r="D16" s="131">
        <v>60135</v>
      </c>
      <c r="E16" s="130">
        <v>2</v>
      </c>
      <c r="F16" s="49"/>
      <c r="G16" s="48"/>
      <c r="H16" s="48" t="s">
        <v>13</v>
      </c>
      <c r="I16" s="48" t="s">
        <v>19</v>
      </c>
      <c r="J16" s="161">
        <v>43214</v>
      </c>
      <c r="K16" s="59"/>
      <c r="L16" s="181"/>
    </row>
    <row r="17" spans="1:13" s="51" customFormat="1" x14ac:dyDescent="0.3">
      <c r="A17" s="269">
        <v>43208</v>
      </c>
      <c r="B17" s="156">
        <v>8</v>
      </c>
      <c r="C17" s="267">
        <v>121245</v>
      </c>
      <c r="D17" s="131">
        <v>60129</v>
      </c>
      <c r="E17" s="130">
        <v>10</v>
      </c>
      <c r="F17" s="49"/>
      <c r="G17" s="48"/>
      <c r="H17" s="48" t="s">
        <v>23</v>
      </c>
      <c r="I17" s="48" t="s">
        <v>19</v>
      </c>
      <c r="J17" s="161">
        <v>43216</v>
      </c>
      <c r="K17" s="59"/>
      <c r="L17" s="181"/>
    </row>
    <row r="18" spans="1:13" s="51" customFormat="1" x14ac:dyDescent="0.3">
      <c r="A18" s="269">
        <v>43208</v>
      </c>
      <c r="B18" s="156">
        <v>9</v>
      </c>
      <c r="C18" s="267">
        <v>121236</v>
      </c>
      <c r="D18" s="131">
        <v>60124</v>
      </c>
      <c r="E18" s="130">
        <v>1</v>
      </c>
      <c r="F18" s="49"/>
      <c r="G18" s="48"/>
      <c r="H18" s="48" t="s">
        <v>18</v>
      </c>
      <c r="I18" s="48" t="s">
        <v>26</v>
      </c>
      <c r="J18" s="161">
        <v>43215</v>
      </c>
      <c r="K18" s="59"/>
      <c r="L18" s="181"/>
    </row>
    <row r="19" spans="1:13" s="51" customFormat="1" x14ac:dyDescent="0.3">
      <c r="A19" s="269">
        <v>43208</v>
      </c>
      <c r="B19" s="156">
        <v>10</v>
      </c>
      <c r="C19" s="267">
        <v>121246</v>
      </c>
      <c r="D19" s="131">
        <v>60130</v>
      </c>
      <c r="E19" s="130">
        <v>1</v>
      </c>
      <c r="F19" s="49"/>
      <c r="G19" s="48"/>
      <c r="H19" s="48" t="s">
        <v>23</v>
      </c>
      <c r="I19" s="48" t="s">
        <v>15</v>
      </c>
      <c r="J19" s="161">
        <v>43215</v>
      </c>
      <c r="K19" s="59"/>
      <c r="L19" s="181"/>
    </row>
    <row r="20" spans="1:13" s="51" customFormat="1" x14ac:dyDescent="0.3">
      <c r="A20" s="269">
        <v>43208</v>
      </c>
      <c r="B20" s="156">
        <v>11</v>
      </c>
      <c r="C20" s="267">
        <v>121259</v>
      </c>
      <c r="D20" s="88">
        <v>60140</v>
      </c>
      <c r="E20" s="87">
        <v>2</v>
      </c>
      <c r="F20" s="49"/>
      <c r="G20" s="48"/>
      <c r="H20" s="48" t="s">
        <v>18</v>
      </c>
      <c r="I20" s="48" t="s">
        <v>19</v>
      </c>
      <c r="J20" s="161">
        <v>43216</v>
      </c>
      <c r="K20" s="59"/>
      <c r="L20" s="181"/>
    </row>
    <row r="21" spans="1:13" s="51" customFormat="1" x14ac:dyDescent="0.3">
      <c r="A21" s="269">
        <v>43208</v>
      </c>
      <c r="B21" s="156">
        <v>12</v>
      </c>
      <c r="C21" s="267">
        <v>121241</v>
      </c>
      <c r="D21" s="88">
        <v>60128</v>
      </c>
      <c r="E21" s="87">
        <v>1</v>
      </c>
      <c r="F21" s="49"/>
      <c r="G21" s="48"/>
      <c r="H21" s="48" t="s">
        <v>18</v>
      </c>
      <c r="I21" s="48" t="s">
        <v>19</v>
      </c>
      <c r="J21" s="161">
        <v>43216</v>
      </c>
      <c r="K21" s="59"/>
      <c r="L21" s="181"/>
    </row>
    <row r="22" spans="1:13" s="51" customFormat="1" x14ac:dyDescent="0.3">
      <c r="A22" s="269">
        <v>43208</v>
      </c>
      <c r="B22" s="156">
        <v>13</v>
      </c>
      <c r="C22" s="267">
        <v>121262</v>
      </c>
      <c r="D22" s="131">
        <v>60153</v>
      </c>
      <c r="E22" s="130">
        <v>1</v>
      </c>
      <c r="F22" s="49"/>
      <c r="G22" s="48"/>
      <c r="H22" s="48" t="s">
        <v>18</v>
      </c>
      <c r="I22" s="48" t="s">
        <v>26</v>
      </c>
      <c r="J22" s="161">
        <v>43216</v>
      </c>
      <c r="K22" s="59"/>
      <c r="L22" s="180"/>
    </row>
    <row r="23" spans="1:13" s="51" customFormat="1" x14ac:dyDescent="0.3">
      <c r="A23" s="269">
        <v>43208</v>
      </c>
      <c r="B23" s="156">
        <v>14</v>
      </c>
      <c r="C23" s="267">
        <v>121240</v>
      </c>
      <c r="D23" s="88">
        <v>60127</v>
      </c>
      <c r="E23" s="87">
        <v>1</v>
      </c>
      <c r="F23" s="49"/>
      <c r="G23" s="48"/>
      <c r="H23" s="48" t="s">
        <v>18</v>
      </c>
      <c r="I23" s="48" t="s">
        <v>19</v>
      </c>
      <c r="J23" s="161">
        <v>43216</v>
      </c>
      <c r="K23" s="59"/>
      <c r="L23" s="48"/>
    </row>
    <row r="24" spans="1:13" s="51" customFormat="1" x14ac:dyDescent="0.3">
      <c r="A24" s="269">
        <v>43208</v>
      </c>
      <c r="B24" s="156">
        <v>15</v>
      </c>
      <c r="C24" s="267">
        <v>121275</v>
      </c>
      <c r="D24" s="131">
        <v>60163</v>
      </c>
      <c r="E24" s="130">
        <v>2</v>
      </c>
      <c r="F24" s="49"/>
      <c r="G24" s="48"/>
      <c r="H24" s="48" t="s">
        <v>23</v>
      </c>
      <c r="I24" s="48" t="s">
        <v>26</v>
      </c>
      <c r="J24" s="161">
        <v>43215</v>
      </c>
      <c r="K24" s="59"/>
      <c r="L24" s="48"/>
    </row>
    <row r="25" spans="1:13" s="51" customFormat="1" x14ac:dyDescent="0.3">
      <c r="A25" s="269">
        <v>43208</v>
      </c>
      <c r="B25" s="156">
        <v>16</v>
      </c>
      <c r="C25" s="267">
        <v>121276</v>
      </c>
      <c r="D25" s="131">
        <v>60164</v>
      </c>
      <c r="E25" s="130">
        <v>2</v>
      </c>
      <c r="F25" s="49"/>
      <c r="G25" s="48"/>
      <c r="H25" s="48" t="s">
        <v>18</v>
      </c>
      <c r="I25" s="48" t="s">
        <v>26</v>
      </c>
      <c r="J25" s="161">
        <v>43215</v>
      </c>
      <c r="K25" s="59"/>
      <c r="L25" s="48"/>
    </row>
    <row r="26" spans="1:13" s="51" customFormat="1" x14ac:dyDescent="0.3">
      <c r="A26" s="269">
        <v>43208</v>
      </c>
      <c r="B26" s="156">
        <v>17</v>
      </c>
      <c r="C26" s="267">
        <v>121360</v>
      </c>
      <c r="D26" s="83">
        <v>60256</v>
      </c>
      <c r="E26" s="82">
        <v>2</v>
      </c>
      <c r="F26" s="49"/>
      <c r="G26" s="48"/>
      <c r="H26" s="48" t="s">
        <v>13</v>
      </c>
      <c r="I26" s="48" t="s">
        <v>19</v>
      </c>
      <c r="J26" s="161">
        <v>43215</v>
      </c>
      <c r="K26" s="59"/>
      <c r="L26" s="48" t="s">
        <v>133</v>
      </c>
      <c r="M26" s="51" t="s">
        <v>29</v>
      </c>
    </row>
    <row r="27" spans="1:13" s="51" customFormat="1" x14ac:dyDescent="0.3">
      <c r="A27" s="269">
        <v>43208</v>
      </c>
      <c r="B27" s="156">
        <v>18</v>
      </c>
      <c r="C27" s="267">
        <v>121376</v>
      </c>
      <c r="D27" s="136">
        <v>60254</v>
      </c>
      <c r="E27" s="135">
        <v>2</v>
      </c>
      <c r="F27" s="49"/>
      <c r="G27" s="48"/>
      <c r="H27" s="48" t="s">
        <v>13</v>
      </c>
      <c r="I27" s="48" t="s">
        <v>26</v>
      </c>
      <c r="J27" s="161">
        <v>43222</v>
      </c>
      <c r="K27" s="59"/>
      <c r="L27" s="48"/>
      <c r="M27" s="51" t="s">
        <v>132</v>
      </c>
    </row>
    <row r="28" spans="1:13" s="51" customFormat="1" x14ac:dyDescent="0.3">
      <c r="A28" s="269">
        <v>43208</v>
      </c>
      <c r="B28" s="156">
        <v>19</v>
      </c>
      <c r="C28" s="267">
        <v>121270</v>
      </c>
      <c r="D28" s="131">
        <v>60179</v>
      </c>
      <c r="E28" s="130">
        <v>26</v>
      </c>
      <c r="F28" s="49"/>
      <c r="G28" s="48"/>
      <c r="H28" s="48" t="s">
        <v>18</v>
      </c>
      <c r="I28" s="48" t="s">
        <v>19</v>
      </c>
      <c r="J28" s="161">
        <v>43216</v>
      </c>
      <c r="K28" s="59"/>
      <c r="L28" s="48"/>
    </row>
    <row r="29" spans="1:13" s="51" customFormat="1" x14ac:dyDescent="0.3">
      <c r="A29" s="269">
        <v>43209</v>
      </c>
      <c r="B29" s="157">
        <v>1</v>
      </c>
      <c r="C29" s="267">
        <v>121458</v>
      </c>
      <c r="D29" s="136">
        <v>60363</v>
      </c>
      <c r="E29" s="135">
        <v>1</v>
      </c>
      <c r="F29" s="49"/>
      <c r="G29" s="48"/>
      <c r="H29" s="48" t="s">
        <v>13</v>
      </c>
      <c r="I29" s="48" t="s">
        <v>14</v>
      </c>
      <c r="J29" s="161">
        <v>43221</v>
      </c>
      <c r="K29" s="59"/>
      <c r="L29" s="48"/>
    </row>
    <row r="30" spans="1:13" s="51" customFormat="1" x14ac:dyDescent="0.3">
      <c r="A30" s="269">
        <v>43209</v>
      </c>
      <c r="B30" s="157">
        <v>2</v>
      </c>
      <c r="C30" s="267">
        <v>121462</v>
      </c>
      <c r="D30" s="136">
        <v>60369</v>
      </c>
      <c r="E30" s="135">
        <v>2</v>
      </c>
      <c r="F30" s="49"/>
      <c r="G30" s="48"/>
      <c r="H30" s="48" t="s">
        <v>13</v>
      </c>
      <c r="I30" s="48" t="s">
        <v>15</v>
      </c>
      <c r="J30" s="161">
        <v>43215</v>
      </c>
      <c r="K30" s="59"/>
      <c r="L30" s="48"/>
    </row>
    <row r="31" spans="1:13" s="51" customFormat="1" x14ac:dyDescent="0.3">
      <c r="A31" s="269">
        <v>43209</v>
      </c>
      <c r="B31" s="157">
        <v>3</v>
      </c>
      <c r="C31" s="267">
        <v>121362</v>
      </c>
      <c r="D31" s="136">
        <v>60258</v>
      </c>
      <c r="E31" s="135">
        <v>2</v>
      </c>
      <c r="F31" s="49"/>
      <c r="G31" s="48"/>
      <c r="H31" s="48" t="s">
        <v>13</v>
      </c>
      <c r="I31" s="48" t="s">
        <v>26</v>
      </c>
      <c r="J31" s="161">
        <v>43215</v>
      </c>
      <c r="K31" s="59"/>
      <c r="L31" s="48"/>
      <c r="M31" s="48"/>
    </row>
    <row r="32" spans="1:13" s="51" customFormat="1" x14ac:dyDescent="0.3">
      <c r="A32" s="269">
        <v>43209</v>
      </c>
      <c r="B32" s="157">
        <v>4</v>
      </c>
      <c r="C32" s="267">
        <v>121271</v>
      </c>
      <c r="D32" s="136">
        <v>60154</v>
      </c>
      <c r="E32" s="135">
        <v>3</v>
      </c>
      <c r="F32" s="49"/>
      <c r="G32" s="48"/>
      <c r="H32" s="48" t="s">
        <v>18</v>
      </c>
      <c r="I32" s="48" t="s">
        <v>19</v>
      </c>
      <c r="J32" s="161">
        <v>43216</v>
      </c>
      <c r="K32" s="59"/>
      <c r="L32" s="48"/>
      <c r="M32" s="48"/>
    </row>
    <row r="33" spans="1:13" s="51" customFormat="1" x14ac:dyDescent="0.3">
      <c r="A33" s="269">
        <v>43209</v>
      </c>
      <c r="B33" s="157">
        <v>5</v>
      </c>
      <c r="C33" s="267">
        <v>120967</v>
      </c>
      <c r="D33" s="88">
        <v>59930</v>
      </c>
      <c r="E33" s="87">
        <v>1</v>
      </c>
      <c r="F33" s="49"/>
      <c r="G33" s="48"/>
      <c r="H33" s="48" t="s">
        <v>18</v>
      </c>
      <c r="I33" s="48" t="s">
        <v>19</v>
      </c>
      <c r="J33" s="161">
        <v>43216</v>
      </c>
      <c r="K33" s="59"/>
      <c r="L33" s="48" t="s">
        <v>131</v>
      </c>
      <c r="M33" s="59" t="s">
        <v>37</v>
      </c>
    </row>
    <row r="34" spans="1:13" s="51" customFormat="1" x14ac:dyDescent="0.3">
      <c r="A34" s="269">
        <v>43209</v>
      </c>
      <c r="B34" s="157">
        <v>6</v>
      </c>
      <c r="C34" s="267">
        <v>121316</v>
      </c>
      <c r="D34" s="88">
        <v>60193</v>
      </c>
      <c r="E34" s="87">
        <v>1</v>
      </c>
      <c r="F34" s="49"/>
      <c r="G34" s="48"/>
      <c r="H34" s="48" t="s">
        <v>23</v>
      </c>
      <c r="I34" s="48" t="s">
        <v>19</v>
      </c>
      <c r="J34" s="161">
        <v>43215</v>
      </c>
      <c r="K34" s="59"/>
      <c r="L34" s="48"/>
      <c r="M34" s="48"/>
    </row>
    <row r="35" spans="1:13" s="51" customFormat="1" x14ac:dyDescent="0.3">
      <c r="A35" s="269">
        <v>43209</v>
      </c>
      <c r="B35" s="157">
        <v>7</v>
      </c>
      <c r="C35" s="267">
        <v>121324</v>
      </c>
      <c r="D35" s="88">
        <v>60195</v>
      </c>
      <c r="E35" s="87">
        <v>5</v>
      </c>
      <c r="F35" s="49"/>
      <c r="G35" s="48"/>
      <c r="H35" s="48" t="s">
        <v>23</v>
      </c>
      <c r="I35" s="48" t="s">
        <v>26</v>
      </c>
      <c r="J35" s="161">
        <v>43216</v>
      </c>
      <c r="K35" s="59"/>
      <c r="L35" s="48"/>
      <c r="M35" s="48"/>
    </row>
    <row r="36" spans="1:13" s="51" customFormat="1" x14ac:dyDescent="0.3">
      <c r="A36" s="269">
        <v>43209</v>
      </c>
      <c r="B36" s="157">
        <v>8</v>
      </c>
      <c r="C36" s="267">
        <v>121355</v>
      </c>
      <c r="D36" s="136">
        <v>60229</v>
      </c>
      <c r="E36" s="135">
        <v>1</v>
      </c>
      <c r="F36" s="49"/>
      <c r="G36" s="48"/>
      <c r="H36" s="48" t="s">
        <v>13</v>
      </c>
      <c r="I36" s="48" t="s">
        <v>19</v>
      </c>
      <c r="J36" s="161">
        <v>43215</v>
      </c>
      <c r="K36" s="59"/>
      <c r="L36" s="48"/>
      <c r="M36" s="48"/>
    </row>
    <row r="37" spans="1:13" s="51" customFormat="1" x14ac:dyDescent="0.3">
      <c r="A37" s="269">
        <v>43209</v>
      </c>
      <c r="B37" s="157">
        <v>9</v>
      </c>
      <c r="C37" s="267">
        <v>121314</v>
      </c>
      <c r="D37" s="88">
        <v>60198</v>
      </c>
      <c r="E37" s="87">
        <v>1</v>
      </c>
      <c r="F37" s="49"/>
      <c r="H37" s="51" t="s">
        <v>13</v>
      </c>
      <c r="I37" s="51" t="s">
        <v>19</v>
      </c>
      <c r="J37" s="161">
        <v>43215</v>
      </c>
      <c r="K37" s="59"/>
      <c r="L37" s="51" t="s">
        <v>130</v>
      </c>
      <c r="M37" s="48"/>
    </row>
    <row r="38" spans="1:13" s="51" customFormat="1" x14ac:dyDescent="0.3">
      <c r="A38" s="269">
        <v>43209</v>
      </c>
      <c r="B38" s="157">
        <v>10</v>
      </c>
      <c r="C38" s="267">
        <v>121372</v>
      </c>
      <c r="D38" s="83">
        <v>60299</v>
      </c>
      <c r="E38" s="82">
        <v>43</v>
      </c>
      <c r="F38" s="52"/>
      <c r="H38" s="51" t="s">
        <v>13</v>
      </c>
      <c r="I38" s="51" t="s">
        <v>19</v>
      </c>
      <c r="J38" s="161">
        <v>43223</v>
      </c>
      <c r="K38" s="59"/>
      <c r="L38" s="51" t="s">
        <v>129</v>
      </c>
      <c r="M38" s="55"/>
    </row>
    <row r="39" spans="1:13" s="51" customFormat="1" x14ac:dyDescent="0.3">
      <c r="A39" s="269">
        <v>43209</v>
      </c>
      <c r="B39" s="157">
        <v>11</v>
      </c>
      <c r="C39" s="267">
        <v>121281</v>
      </c>
      <c r="D39" s="136">
        <v>60175</v>
      </c>
      <c r="E39" s="135">
        <v>1</v>
      </c>
      <c r="F39" s="49"/>
      <c r="G39" s="48"/>
      <c r="H39" s="48" t="s">
        <v>18</v>
      </c>
      <c r="I39" s="48" t="s">
        <v>15</v>
      </c>
      <c r="J39" s="161">
        <v>43220</v>
      </c>
      <c r="K39" s="59"/>
      <c r="L39" s="48"/>
    </row>
    <row r="40" spans="1:13" s="51" customFormat="1" x14ac:dyDescent="0.3">
      <c r="A40" s="269">
        <v>43209</v>
      </c>
      <c r="B40" s="157">
        <v>12</v>
      </c>
      <c r="C40" s="267">
        <v>121294</v>
      </c>
      <c r="D40" s="88">
        <v>60174</v>
      </c>
      <c r="E40" s="87">
        <v>2</v>
      </c>
      <c r="F40" s="49"/>
      <c r="G40" s="48"/>
      <c r="H40" s="48" t="s">
        <v>18</v>
      </c>
      <c r="I40" s="48" t="s">
        <v>27</v>
      </c>
      <c r="J40" s="161">
        <v>43220</v>
      </c>
      <c r="K40" s="59"/>
      <c r="L40" s="48"/>
    </row>
    <row r="41" spans="1:13" s="51" customFormat="1" x14ac:dyDescent="0.3">
      <c r="A41" s="269">
        <v>43209</v>
      </c>
      <c r="B41" s="157">
        <v>13</v>
      </c>
      <c r="C41" s="267">
        <v>121293</v>
      </c>
      <c r="D41" s="88">
        <v>60173</v>
      </c>
      <c r="E41" s="87">
        <v>4</v>
      </c>
      <c r="F41" s="49"/>
      <c r="G41" s="48"/>
      <c r="H41" s="48" t="s">
        <v>18</v>
      </c>
      <c r="I41" s="48" t="s">
        <v>27</v>
      </c>
      <c r="J41" s="161">
        <v>43220</v>
      </c>
      <c r="K41" s="59"/>
      <c r="L41" s="48"/>
    </row>
    <row r="42" spans="1:13" s="51" customFormat="1" x14ac:dyDescent="0.3">
      <c r="A42" s="269">
        <v>43209</v>
      </c>
      <c r="B42" s="157">
        <v>14</v>
      </c>
      <c r="C42" s="267">
        <v>121414</v>
      </c>
      <c r="D42" s="136">
        <v>60321</v>
      </c>
      <c r="E42" s="135">
        <v>2</v>
      </c>
      <c r="F42" s="49"/>
      <c r="G42" s="48"/>
      <c r="H42" s="48" t="s">
        <v>13</v>
      </c>
      <c r="I42" s="48" t="s">
        <v>68</v>
      </c>
      <c r="J42" s="161">
        <v>43220</v>
      </c>
      <c r="K42" s="59"/>
      <c r="L42" s="48"/>
    </row>
    <row r="43" spans="1:13" s="51" customFormat="1" x14ac:dyDescent="0.3">
      <c r="A43" s="269">
        <v>43209</v>
      </c>
      <c r="B43" s="157">
        <v>15</v>
      </c>
      <c r="C43" s="267">
        <v>121300</v>
      </c>
      <c r="D43" s="136">
        <v>60197</v>
      </c>
      <c r="E43" s="135">
        <v>14</v>
      </c>
      <c r="F43" s="49"/>
      <c r="G43" s="48"/>
      <c r="H43" s="48" t="s">
        <v>13</v>
      </c>
      <c r="I43" s="48" t="s">
        <v>19</v>
      </c>
      <c r="J43" s="161">
        <v>43220</v>
      </c>
      <c r="K43" s="59"/>
      <c r="L43" s="48"/>
      <c r="M43" s="51" t="s">
        <v>128</v>
      </c>
    </row>
    <row r="44" spans="1:13" s="51" customFormat="1" x14ac:dyDescent="0.3">
      <c r="A44" s="269">
        <v>43210</v>
      </c>
      <c r="B44" s="86">
        <v>1</v>
      </c>
      <c r="C44" s="267">
        <v>121178</v>
      </c>
      <c r="D44" s="88">
        <v>60077</v>
      </c>
      <c r="E44" s="87">
        <v>8</v>
      </c>
      <c r="F44" s="49"/>
      <c r="G44" s="48"/>
      <c r="H44" s="48" t="s">
        <v>18</v>
      </c>
      <c r="I44" s="48" t="s">
        <v>14</v>
      </c>
      <c r="J44" s="161">
        <v>43220</v>
      </c>
      <c r="K44" s="59"/>
      <c r="L44" s="48"/>
    </row>
    <row r="45" spans="1:13" s="51" customFormat="1" x14ac:dyDescent="0.3">
      <c r="A45" s="269">
        <v>43210</v>
      </c>
      <c r="B45" s="86">
        <v>2</v>
      </c>
      <c r="C45" s="267">
        <v>121177</v>
      </c>
      <c r="D45" s="88">
        <v>60076</v>
      </c>
      <c r="E45" s="87">
        <v>8</v>
      </c>
      <c r="F45" s="49"/>
      <c r="G45" s="48"/>
      <c r="H45" s="48" t="s">
        <v>18</v>
      </c>
      <c r="I45" s="48" t="s">
        <v>14</v>
      </c>
      <c r="J45" s="161">
        <v>43220</v>
      </c>
      <c r="K45" s="59"/>
      <c r="L45" s="48"/>
    </row>
    <row r="46" spans="1:13" s="51" customFormat="1" x14ac:dyDescent="0.3">
      <c r="A46" s="269">
        <v>43210</v>
      </c>
      <c r="B46" s="86">
        <v>3</v>
      </c>
      <c r="C46" s="267">
        <v>121176</v>
      </c>
      <c r="D46" s="88">
        <v>60075</v>
      </c>
      <c r="E46" s="87">
        <v>8</v>
      </c>
      <c r="F46" s="49"/>
      <c r="G46" s="48"/>
      <c r="H46" s="48" t="s">
        <v>18</v>
      </c>
      <c r="I46" s="48" t="s">
        <v>14</v>
      </c>
      <c r="J46" s="161">
        <v>43220</v>
      </c>
      <c r="K46" s="59"/>
      <c r="L46" s="48"/>
    </row>
    <row r="47" spans="1:13" s="51" customFormat="1" x14ac:dyDescent="0.3">
      <c r="A47" s="269">
        <v>43210</v>
      </c>
      <c r="B47" s="86">
        <v>4</v>
      </c>
      <c r="C47" s="267">
        <v>121169</v>
      </c>
      <c r="D47" s="88">
        <v>60060</v>
      </c>
      <c r="E47" s="87">
        <v>8</v>
      </c>
      <c r="F47" s="49"/>
      <c r="G47" s="48"/>
      <c r="H47" s="48" t="s">
        <v>18</v>
      </c>
      <c r="I47" s="48" t="s">
        <v>14</v>
      </c>
      <c r="J47" s="161">
        <v>43220</v>
      </c>
      <c r="K47" s="59"/>
      <c r="L47" s="48"/>
    </row>
    <row r="48" spans="1:13" s="51" customFormat="1" x14ac:dyDescent="0.3">
      <c r="A48" s="269">
        <v>43210</v>
      </c>
      <c r="B48" s="86">
        <v>5</v>
      </c>
      <c r="C48" s="267">
        <v>121168</v>
      </c>
      <c r="D48" s="88">
        <v>60059</v>
      </c>
      <c r="E48" s="87">
        <v>8</v>
      </c>
      <c r="F48" s="49"/>
      <c r="G48" s="48"/>
      <c r="H48" s="48" t="s">
        <v>18</v>
      </c>
      <c r="I48" s="48" t="s">
        <v>14</v>
      </c>
      <c r="J48" s="161">
        <v>43220</v>
      </c>
      <c r="K48" s="59"/>
      <c r="L48" s="48"/>
    </row>
    <row r="49" spans="1:13" s="51" customFormat="1" x14ac:dyDescent="0.3">
      <c r="A49" s="269">
        <v>43210</v>
      </c>
      <c r="B49" s="86">
        <v>6</v>
      </c>
      <c r="C49" s="267">
        <v>121167</v>
      </c>
      <c r="D49" s="88">
        <v>60095</v>
      </c>
      <c r="E49" s="87">
        <v>8</v>
      </c>
      <c r="F49" s="49"/>
      <c r="G49" s="48"/>
      <c r="H49" s="48" t="s">
        <v>18</v>
      </c>
      <c r="I49" s="48" t="s">
        <v>14</v>
      </c>
      <c r="J49" s="161">
        <v>43220</v>
      </c>
      <c r="K49" s="59"/>
      <c r="L49" s="48"/>
    </row>
    <row r="50" spans="1:13" s="51" customFormat="1" x14ac:dyDescent="0.3">
      <c r="A50" s="269">
        <v>43210</v>
      </c>
      <c r="B50" s="86">
        <v>7</v>
      </c>
      <c r="C50" s="267">
        <v>121157</v>
      </c>
      <c r="D50" s="88">
        <v>60049</v>
      </c>
      <c r="E50" s="87">
        <v>8</v>
      </c>
      <c r="F50" s="49"/>
      <c r="G50" s="48"/>
      <c r="H50" s="48" t="s">
        <v>18</v>
      </c>
      <c r="I50" s="48" t="s">
        <v>14</v>
      </c>
      <c r="J50" s="161">
        <v>43220</v>
      </c>
      <c r="K50" s="59"/>
      <c r="L50" s="48"/>
    </row>
    <row r="51" spans="1:13" s="51" customFormat="1" x14ac:dyDescent="0.3">
      <c r="A51" s="269">
        <v>43210</v>
      </c>
      <c r="B51" s="86">
        <v>8</v>
      </c>
      <c r="C51" s="267">
        <v>121504</v>
      </c>
      <c r="D51" s="88">
        <v>60375</v>
      </c>
      <c r="E51" s="87">
        <v>4</v>
      </c>
      <c r="F51" s="49"/>
      <c r="G51" s="48"/>
      <c r="H51" s="48" t="s">
        <v>18</v>
      </c>
      <c r="I51" s="48" t="s">
        <v>127</v>
      </c>
      <c r="J51" s="161">
        <v>43215</v>
      </c>
      <c r="K51" s="59"/>
      <c r="L51" s="48"/>
    </row>
    <row r="52" spans="1:13" s="51" customFormat="1" x14ac:dyDescent="0.3">
      <c r="A52" s="269">
        <v>43210</v>
      </c>
      <c r="B52" s="86">
        <v>9</v>
      </c>
      <c r="C52" s="267">
        <v>121499</v>
      </c>
      <c r="D52" s="88">
        <v>60378</v>
      </c>
      <c r="E52" s="87">
        <v>2</v>
      </c>
      <c r="F52" s="49"/>
      <c r="G52" s="48"/>
      <c r="H52" s="48" t="s">
        <v>18</v>
      </c>
      <c r="I52" s="48" t="s">
        <v>19</v>
      </c>
      <c r="J52" s="161">
        <v>43215</v>
      </c>
      <c r="K52" s="59"/>
      <c r="L52" s="48"/>
    </row>
    <row r="53" spans="1:13" s="51" customFormat="1" x14ac:dyDescent="0.3">
      <c r="A53" s="269">
        <v>43213</v>
      </c>
      <c r="B53" s="158">
        <v>1</v>
      </c>
      <c r="C53" s="267">
        <v>120817</v>
      </c>
      <c r="D53" s="88">
        <v>59799</v>
      </c>
      <c r="E53" s="87">
        <v>222</v>
      </c>
      <c r="F53" s="52"/>
      <c r="G53" s="48"/>
      <c r="H53" s="48" t="s">
        <v>13</v>
      </c>
      <c r="I53" s="48" t="s">
        <v>36</v>
      </c>
      <c r="J53" s="161">
        <v>43208</v>
      </c>
      <c r="K53" s="59"/>
      <c r="L53" s="48"/>
    </row>
    <row r="54" spans="1:13" s="51" customFormat="1" x14ac:dyDescent="0.3">
      <c r="A54" s="269">
        <v>43213</v>
      </c>
      <c r="B54" s="158">
        <v>2</v>
      </c>
      <c r="C54" s="267">
        <v>121368</v>
      </c>
      <c r="D54" s="88">
        <v>60405</v>
      </c>
      <c r="E54" s="87">
        <v>1</v>
      </c>
      <c r="F54" s="49"/>
      <c r="G54" s="48"/>
      <c r="H54" s="48" t="s">
        <v>13</v>
      </c>
      <c r="I54" s="48" t="s">
        <v>19</v>
      </c>
      <c r="J54" s="161">
        <v>43208</v>
      </c>
      <c r="K54" s="59"/>
      <c r="L54" s="48" t="s">
        <v>126</v>
      </c>
    </row>
    <row r="55" spans="1:13" s="51" customFormat="1" x14ac:dyDescent="0.3">
      <c r="A55" s="269">
        <v>43214</v>
      </c>
      <c r="B55" s="159">
        <v>1</v>
      </c>
      <c r="C55" s="267" t="s">
        <v>125</v>
      </c>
      <c r="D55" s="88">
        <v>60437</v>
      </c>
      <c r="E55" s="87">
        <v>8</v>
      </c>
      <c r="F55" s="52"/>
      <c r="G55" s="48"/>
      <c r="H55" s="48" t="s">
        <v>13</v>
      </c>
      <c r="I55" s="48" t="s">
        <v>124</v>
      </c>
      <c r="J55" s="161">
        <v>43217</v>
      </c>
      <c r="K55" s="59"/>
      <c r="L55" s="48"/>
    </row>
    <row r="56" spans="1:13" s="51" customFormat="1" x14ac:dyDescent="0.3">
      <c r="A56" s="269">
        <v>43214</v>
      </c>
      <c r="B56" s="159">
        <v>2</v>
      </c>
      <c r="C56" s="267">
        <v>121305</v>
      </c>
      <c r="D56" s="83">
        <v>60200</v>
      </c>
      <c r="E56" s="82">
        <v>47</v>
      </c>
      <c r="F56" s="49"/>
      <c r="G56" s="48"/>
      <c r="H56" s="48" t="s">
        <v>13</v>
      </c>
      <c r="I56" s="48" t="s">
        <v>19</v>
      </c>
      <c r="J56" s="161">
        <v>43220</v>
      </c>
      <c r="K56" s="59"/>
      <c r="L56" s="48" t="s">
        <v>29</v>
      </c>
      <c r="M56" s="51" t="s">
        <v>105</v>
      </c>
    </row>
    <row r="57" spans="1:13" s="51" customFormat="1" x14ac:dyDescent="0.3">
      <c r="A57" s="269">
        <v>43214</v>
      </c>
      <c r="B57" s="159">
        <v>3</v>
      </c>
      <c r="C57" s="267">
        <v>121303</v>
      </c>
      <c r="D57" s="88">
        <v>60183</v>
      </c>
      <c r="E57" s="87">
        <v>1</v>
      </c>
      <c r="F57" s="49"/>
      <c r="G57" s="48"/>
      <c r="H57" s="48" t="s">
        <v>18</v>
      </c>
      <c r="I57" s="48" t="s">
        <v>123</v>
      </c>
      <c r="J57" s="161">
        <v>43220</v>
      </c>
      <c r="K57" s="59"/>
      <c r="L57" s="48" t="s">
        <v>29</v>
      </c>
    </row>
    <row r="58" spans="1:13" s="51" customFormat="1" x14ac:dyDescent="0.3">
      <c r="A58" s="269">
        <v>43214</v>
      </c>
      <c r="B58" s="159">
        <v>4</v>
      </c>
      <c r="C58" s="267">
        <v>121287</v>
      </c>
      <c r="D58" s="83">
        <v>60166</v>
      </c>
      <c r="E58" s="82">
        <v>2</v>
      </c>
      <c r="F58" s="49"/>
      <c r="G58" s="48"/>
      <c r="H58" s="48" t="s">
        <v>18</v>
      </c>
      <c r="I58" s="48" t="s">
        <v>19</v>
      </c>
      <c r="J58" s="161">
        <v>43223</v>
      </c>
      <c r="K58" s="59"/>
      <c r="L58" s="48"/>
    </row>
    <row r="59" spans="1:13" s="51" customFormat="1" x14ac:dyDescent="0.3">
      <c r="A59" s="269">
        <v>43214</v>
      </c>
      <c r="B59" s="159">
        <v>5</v>
      </c>
      <c r="C59" s="267">
        <v>121327</v>
      </c>
      <c r="D59" s="83">
        <v>60202</v>
      </c>
      <c r="E59" s="82">
        <v>20</v>
      </c>
      <c r="F59" s="49"/>
      <c r="G59" s="48"/>
      <c r="H59" s="48" t="s">
        <v>18</v>
      </c>
      <c r="I59" s="48" t="s">
        <v>26</v>
      </c>
      <c r="J59" s="161">
        <v>43222</v>
      </c>
      <c r="K59" s="59"/>
      <c r="L59" s="48"/>
    </row>
    <row r="60" spans="1:13" s="51" customFormat="1" x14ac:dyDescent="0.3">
      <c r="A60" s="269">
        <v>43214</v>
      </c>
      <c r="B60" s="159">
        <v>6</v>
      </c>
      <c r="C60" s="267">
        <v>121537</v>
      </c>
      <c r="D60" s="88">
        <v>60397</v>
      </c>
      <c r="E60" s="87">
        <v>1</v>
      </c>
      <c r="F60" s="49"/>
      <c r="G60" s="48"/>
      <c r="H60" s="48" t="s">
        <v>13</v>
      </c>
      <c r="I60" s="48" t="s">
        <v>14</v>
      </c>
      <c r="J60" s="161">
        <v>43222</v>
      </c>
      <c r="K60" s="59"/>
      <c r="L60" s="48"/>
      <c r="M60" s="51" t="s">
        <v>122</v>
      </c>
    </row>
    <row r="61" spans="1:13" s="51" customFormat="1" x14ac:dyDescent="0.3">
      <c r="A61" s="269">
        <v>43214</v>
      </c>
      <c r="B61" s="159">
        <v>7</v>
      </c>
      <c r="C61" s="267">
        <v>121313</v>
      </c>
      <c r="D61" s="83">
        <v>60199</v>
      </c>
      <c r="E61" s="82">
        <v>1</v>
      </c>
      <c r="F61" s="52"/>
      <c r="H61" s="51" t="s">
        <v>13</v>
      </c>
      <c r="I61" s="51" t="s">
        <v>19</v>
      </c>
      <c r="J61" s="162">
        <v>43215</v>
      </c>
      <c r="K61" s="90"/>
      <c r="L61" s="51" t="s">
        <v>29</v>
      </c>
      <c r="M61" s="55"/>
    </row>
    <row r="62" spans="1:13" s="51" customFormat="1" x14ac:dyDescent="0.3">
      <c r="A62" s="269">
        <v>43215</v>
      </c>
      <c r="B62" s="156">
        <v>1</v>
      </c>
      <c r="C62" s="267">
        <v>121301</v>
      </c>
      <c r="D62" s="88">
        <v>60201</v>
      </c>
      <c r="E62" s="87">
        <v>13</v>
      </c>
      <c r="F62" s="49"/>
      <c r="G62" s="48"/>
      <c r="H62" s="48" t="s">
        <v>23</v>
      </c>
      <c r="I62" s="48" t="s">
        <v>17</v>
      </c>
      <c r="J62" s="161">
        <v>43220</v>
      </c>
      <c r="K62" s="59"/>
      <c r="L62" s="48" t="s">
        <v>29</v>
      </c>
      <c r="M62" s="48" t="s">
        <v>11</v>
      </c>
    </row>
    <row r="63" spans="1:13" s="51" customFormat="1" x14ac:dyDescent="0.3">
      <c r="A63" s="269">
        <v>43215</v>
      </c>
      <c r="B63" s="156">
        <v>2</v>
      </c>
      <c r="C63" s="267">
        <v>121311</v>
      </c>
      <c r="D63" s="88">
        <v>60191</v>
      </c>
      <c r="E63" s="87">
        <v>3</v>
      </c>
      <c r="F63" s="49"/>
      <c r="G63" s="48"/>
      <c r="H63" s="48" t="s">
        <v>18</v>
      </c>
      <c r="I63" s="48" t="s">
        <v>17</v>
      </c>
      <c r="J63" s="161">
        <v>43220</v>
      </c>
      <c r="K63" s="59"/>
      <c r="L63" s="48" t="s">
        <v>29</v>
      </c>
      <c r="M63" s="48" t="s">
        <v>11</v>
      </c>
    </row>
    <row r="64" spans="1:13" s="51" customFormat="1" x14ac:dyDescent="0.3">
      <c r="A64" s="269">
        <v>43215</v>
      </c>
      <c r="B64" s="156">
        <v>3</v>
      </c>
      <c r="C64" s="267">
        <v>121421</v>
      </c>
      <c r="D64" s="88">
        <v>60295</v>
      </c>
      <c r="E64" s="87">
        <v>4</v>
      </c>
      <c r="F64" s="49"/>
      <c r="G64" s="48"/>
      <c r="H64" s="48" t="s">
        <v>13</v>
      </c>
      <c r="I64" s="48" t="s">
        <v>19</v>
      </c>
      <c r="J64" s="161">
        <v>43222</v>
      </c>
      <c r="K64" s="59"/>
      <c r="L64" s="48" t="s">
        <v>121</v>
      </c>
      <c r="M64" s="48" t="s">
        <v>20</v>
      </c>
    </row>
    <row r="65" spans="1:14" s="51" customFormat="1" x14ac:dyDescent="0.3">
      <c r="A65" s="269">
        <v>43215</v>
      </c>
      <c r="B65" s="156">
        <v>4</v>
      </c>
      <c r="C65" s="267">
        <v>121507</v>
      </c>
      <c r="D65" s="83">
        <v>60376</v>
      </c>
      <c r="E65" s="82">
        <v>1</v>
      </c>
      <c r="F65" s="49"/>
      <c r="G65" s="48"/>
      <c r="H65" s="48" t="s">
        <v>18</v>
      </c>
      <c r="I65" s="48" t="s">
        <v>120</v>
      </c>
      <c r="J65" s="161">
        <v>43222</v>
      </c>
      <c r="K65" s="59"/>
      <c r="L65" s="48" t="s">
        <v>20</v>
      </c>
    </row>
    <row r="66" spans="1:14" s="51" customFormat="1" x14ac:dyDescent="0.3">
      <c r="A66" s="269">
        <v>43215</v>
      </c>
      <c r="B66" s="156">
        <v>5</v>
      </c>
      <c r="C66" s="267">
        <v>121576</v>
      </c>
      <c r="D66" s="83">
        <v>60439</v>
      </c>
      <c r="E66" s="82">
        <v>2</v>
      </c>
      <c r="F66" s="49"/>
      <c r="G66" s="48"/>
      <c r="H66" s="48" t="s">
        <v>119</v>
      </c>
      <c r="I66" s="48" t="s">
        <v>15</v>
      </c>
      <c r="J66" s="161">
        <v>43222</v>
      </c>
      <c r="K66" s="59"/>
      <c r="L66" s="48"/>
    </row>
    <row r="67" spans="1:14" s="51" customFormat="1" x14ac:dyDescent="0.3">
      <c r="A67" s="269">
        <v>43215</v>
      </c>
      <c r="B67" s="156">
        <v>6</v>
      </c>
      <c r="C67" s="267">
        <v>121413</v>
      </c>
      <c r="D67" s="83">
        <v>60312</v>
      </c>
      <c r="E67" s="82">
        <v>4</v>
      </c>
      <c r="F67" s="49"/>
      <c r="G67" s="48"/>
      <c r="H67" s="48" t="s">
        <v>23</v>
      </c>
      <c r="I67" s="48" t="s">
        <v>15</v>
      </c>
      <c r="J67" s="161">
        <v>43222</v>
      </c>
      <c r="K67" s="59"/>
      <c r="L67" s="48"/>
    </row>
    <row r="68" spans="1:14" s="51" customFormat="1" x14ac:dyDescent="0.3">
      <c r="A68" s="269">
        <v>43215</v>
      </c>
      <c r="B68" s="156">
        <v>7</v>
      </c>
      <c r="C68" s="267">
        <v>121436</v>
      </c>
      <c r="D68" s="83">
        <v>60328</v>
      </c>
      <c r="E68" s="82">
        <v>1</v>
      </c>
      <c r="F68" s="49"/>
      <c r="G68" s="48"/>
      <c r="H68" s="48" t="s">
        <v>23</v>
      </c>
      <c r="I68" s="48" t="s">
        <v>15</v>
      </c>
      <c r="J68" s="161">
        <v>43222</v>
      </c>
      <c r="K68" s="59"/>
      <c r="L68" s="48"/>
    </row>
    <row r="69" spans="1:14" s="51" customFormat="1" x14ac:dyDescent="0.3">
      <c r="A69" s="269">
        <v>43215</v>
      </c>
      <c r="B69" s="156">
        <v>8</v>
      </c>
      <c r="C69" s="267">
        <v>121334</v>
      </c>
      <c r="D69" s="83">
        <v>60232</v>
      </c>
      <c r="E69" s="82">
        <v>6</v>
      </c>
      <c r="F69" s="49"/>
      <c r="G69" s="48"/>
      <c r="H69" s="48" t="s">
        <v>23</v>
      </c>
      <c r="I69" s="48" t="s">
        <v>14</v>
      </c>
      <c r="J69" s="161">
        <v>43222</v>
      </c>
      <c r="K69" s="59"/>
      <c r="L69" s="48"/>
    </row>
    <row r="70" spans="1:14" s="51" customFormat="1" x14ac:dyDescent="0.3">
      <c r="A70" s="269">
        <v>43215</v>
      </c>
      <c r="B70" s="156">
        <v>9</v>
      </c>
      <c r="C70" s="267">
        <v>121494</v>
      </c>
      <c r="D70" s="83">
        <v>60347</v>
      </c>
      <c r="E70" s="82">
        <v>2</v>
      </c>
      <c r="F70" s="49"/>
      <c r="G70" s="48"/>
      <c r="H70" s="48" t="s">
        <v>18</v>
      </c>
      <c r="I70" s="48" t="s">
        <v>14</v>
      </c>
      <c r="J70" s="161">
        <v>43222</v>
      </c>
      <c r="K70" s="59"/>
      <c r="L70" s="48"/>
    </row>
    <row r="71" spans="1:14" s="51" customFormat="1" x14ac:dyDescent="0.3">
      <c r="A71" s="269">
        <v>43215</v>
      </c>
      <c r="B71" s="156">
        <v>10</v>
      </c>
      <c r="C71" s="267">
        <v>121510</v>
      </c>
      <c r="D71" s="83">
        <v>60380</v>
      </c>
      <c r="E71" s="82">
        <v>1</v>
      </c>
      <c r="F71" s="49"/>
      <c r="G71" s="48"/>
      <c r="H71" s="48" t="s">
        <v>18</v>
      </c>
      <c r="I71" s="48" t="s">
        <v>47</v>
      </c>
      <c r="J71" s="161">
        <v>43222</v>
      </c>
      <c r="K71" s="59"/>
      <c r="L71" s="48"/>
    </row>
    <row r="72" spans="1:14" s="51" customFormat="1" x14ac:dyDescent="0.3">
      <c r="A72" s="269">
        <v>43215</v>
      </c>
      <c r="B72" s="156">
        <v>11</v>
      </c>
      <c r="C72" s="267">
        <v>121382</v>
      </c>
      <c r="D72" s="88">
        <v>60285</v>
      </c>
      <c r="E72" s="87">
        <v>1</v>
      </c>
      <c r="F72" s="49"/>
      <c r="G72" s="48"/>
      <c r="H72" s="48" t="s">
        <v>13</v>
      </c>
      <c r="I72" s="48" t="s">
        <v>14</v>
      </c>
      <c r="J72" s="161">
        <v>43222</v>
      </c>
      <c r="K72" s="59"/>
      <c r="L72" s="48"/>
    </row>
    <row r="73" spans="1:14" s="51" customFormat="1" x14ac:dyDescent="0.3">
      <c r="A73" s="269">
        <v>43215</v>
      </c>
      <c r="B73" s="156">
        <v>12</v>
      </c>
      <c r="C73" s="267">
        <v>121076</v>
      </c>
      <c r="D73" s="131">
        <v>60016</v>
      </c>
      <c r="E73" s="130">
        <v>2</v>
      </c>
      <c r="F73" s="49"/>
      <c r="G73" s="48"/>
      <c r="H73" s="48" t="s">
        <v>13</v>
      </c>
      <c r="I73" s="48" t="s">
        <v>118</v>
      </c>
      <c r="J73" s="161">
        <v>43238</v>
      </c>
      <c r="K73" s="59"/>
      <c r="L73" s="48"/>
    </row>
    <row r="74" spans="1:14" s="51" customFormat="1" x14ac:dyDescent="0.3">
      <c r="A74" s="269">
        <v>43215</v>
      </c>
      <c r="B74" s="156">
        <v>13</v>
      </c>
      <c r="C74" s="267">
        <v>121022</v>
      </c>
      <c r="D74" s="134">
        <v>60010</v>
      </c>
      <c r="E74" s="133">
        <v>2</v>
      </c>
      <c r="F74" s="49"/>
      <c r="G74" s="48"/>
      <c r="H74" s="48" t="s">
        <v>13</v>
      </c>
      <c r="I74" s="48" t="s">
        <v>14</v>
      </c>
      <c r="J74" s="161">
        <v>43223</v>
      </c>
      <c r="K74" s="59"/>
      <c r="L74" s="48" t="s">
        <v>117</v>
      </c>
    </row>
    <row r="75" spans="1:14" s="51" customFormat="1" x14ac:dyDescent="0.3">
      <c r="A75" s="269">
        <v>43215</v>
      </c>
      <c r="B75" s="156">
        <v>14</v>
      </c>
      <c r="C75" s="267" t="s">
        <v>116</v>
      </c>
      <c r="D75" s="134">
        <v>60180</v>
      </c>
      <c r="E75" s="133">
        <v>17</v>
      </c>
      <c r="F75" s="52"/>
      <c r="G75" s="48"/>
      <c r="H75" s="48" t="s">
        <v>13</v>
      </c>
      <c r="I75" s="48" t="s">
        <v>14</v>
      </c>
      <c r="J75" s="161">
        <v>43223</v>
      </c>
      <c r="K75" s="59"/>
      <c r="L75" s="48" t="s">
        <v>115</v>
      </c>
      <c r="M75" s="48"/>
      <c r="N75" s="48"/>
    </row>
    <row r="76" spans="1:14" s="51" customFormat="1" x14ac:dyDescent="0.3">
      <c r="A76" s="269">
        <v>43157</v>
      </c>
      <c r="B76" s="157">
        <v>1</v>
      </c>
      <c r="C76" s="267">
        <v>121398</v>
      </c>
      <c r="D76" s="88">
        <v>60257</v>
      </c>
      <c r="E76" s="87">
        <v>2</v>
      </c>
      <c r="F76" s="49"/>
      <c r="G76" s="48"/>
      <c r="H76" s="48" t="s">
        <v>18</v>
      </c>
      <c r="I76" s="48" t="s">
        <v>19</v>
      </c>
      <c r="J76" s="161">
        <v>43222</v>
      </c>
      <c r="K76" s="59"/>
      <c r="L76" s="48"/>
      <c r="M76" s="48"/>
      <c r="N76" s="48"/>
    </row>
    <row r="77" spans="1:14" s="51" customFormat="1" x14ac:dyDescent="0.3">
      <c r="A77" s="269">
        <v>43157</v>
      </c>
      <c r="B77" s="157">
        <v>2</v>
      </c>
      <c r="C77" s="267">
        <v>121286</v>
      </c>
      <c r="D77" s="88">
        <v>60239</v>
      </c>
      <c r="E77" s="87">
        <v>6</v>
      </c>
      <c r="F77" s="49"/>
      <c r="G77" s="48"/>
      <c r="H77" s="48" t="s">
        <v>18</v>
      </c>
      <c r="I77" s="48" t="s">
        <v>19</v>
      </c>
      <c r="J77" s="161">
        <v>43223</v>
      </c>
      <c r="K77" s="59"/>
      <c r="L77" s="48"/>
      <c r="M77" s="48"/>
      <c r="N77" s="48"/>
    </row>
    <row r="78" spans="1:14" s="51" customFormat="1" x14ac:dyDescent="0.3">
      <c r="A78" s="269">
        <v>43157</v>
      </c>
      <c r="B78" s="157">
        <v>3</v>
      </c>
      <c r="C78" s="267">
        <v>121386</v>
      </c>
      <c r="D78" s="83">
        <v>60242</v>
      </c>
      <c r="E78" s="82">
        <v>5</v>
      </c>
      <c r="F78" s="49"/>
      <c r="G78" s="48"/>
      <c r="H78" s="48" t="s">
        <v>18</v>
      </c>
      <c r="I78" s="48" t="s">
        <v>26</v>
      </c>
      <c r="J78" s="161">
        <v>43222</v>
      </c>
      <c r="K78" s="59"/>
      <c r="L78" s="48"/>
      <c r="M78" s="48"/>
      <c r="N78" s="48"/>
    </row>
    <row r="79" spans="1:14" s="51" customFormat="1" x14ac:dyDescent="0.3">
      <c r="A79" s="269">
        <v>43157</v>
      </c>
      <c r="B79" s="157">
        <v>4</v>
      </c>
      <c r="C79" s="267">
        <v>121489</v>
      </c>
      <c r="D79" s="88">
        <v>60379</v>
      </c>
      <c r="E79" s="87">
        <v>22</v>
      </c>
      <c r="F79" s="49"/>
      <c r="G79" s="48"/>
      <c r="H79" s="48" t="s">
        <v>18</v>
      </c>
      <c r="I79" s="48" t="s">
        <v>26</v>
      </c>
      <c r="J79" s="161">
        <v>43223</v>
      </c>
      <c r="K79" s="59"/>
      <c r="L79" s="48"/>
      <c r="M79" s="48"/>
      <c r="N79" s="48"/>
    </row>
    <row r="80" spans="1:14" s="51" customFormat="1" x14ac:dyDescent="0.3">
      <c r="A80" s="269">
        <v>43157</v>
      </c>
      <c r="B80" s="157">
        <v>5</v>
      </c>
      <c r="C80" s="267">
        <v>121055</v>
      </c>
      <c r="D80" s="134">
        <v>59994</v>
      </c>
      <c r="E80" s="133">
        <v>1</v>
      </c>
      <c r="F80" s="49"/>
      <c r="G80" s="48"/>
      <c r="H80" s="48" t="s">
        <v>13</v>
      </c>
      <c r="I80" s="48" t="s">
        <v>14</v>
      </c>
      <c r="J80" s="161">
        <v>43223</v>
      </c>
      <c r="K80" s="59"/>
      <c r="L80" s="48"/>
      <c r="M80" s="48"/>
      <c r="N80" s="48"/>
    </row>
    <row r="81" spans="1:14" s="51" customFormat="1" x14ac:dyDescent="0.3">
      <c r="A81" s="269">
        <v>43157</v>
      </c>
      <c r="B81" s="157">
        <v>6</v>
      </c>
      <c r="C81" s="267">
        <v>121482</v>
      </c>
      <c r="D81" s="83">
        <v>60340</v>
      </c>
      <c r="E81" s="82">
        <v>2</v>
      </c>
      <c r="F81" s="49"/>
      <c r="G81" s="48"/>
      <c r="H81" s="48" t="s">
        <v>23</v>
      </c>
      <c r="I81" s="48" t="s">
        <v>47</v>
      </c>
      <c r="J81" s="161">
        <v>43222</v>
      </c>
      <c r="K81" s="59"/>
      <c r="L81" s="48"/>
      <c r="M81" s="48"/>
      <c r="N81" s="48"/>
    </row>
    <row r="82" spans="1:14" s="51" customFormat="1" x14ac:dyDescent="0.3">
      <c r="A82" s="269">
        <v>43157</v>
      </c>
      <c r="B82" s="157">
        <v>7</v>
      </c>
      <c r="C82" s="267">
        <v>121599</v>
      </c>
      <c r="D82" s="134">
        <v>60464</v>
      </c>
      <c r="E82" s="133">
        <v>1</v>
      </c>
      <c r="F82" s="49"/>
      <c r="G82" s="48"/>
      <c r="H82" s="48" t="s">
        <v>18</v>
      </c>
      <c r="I82" s="48" t="s">
        <v>19</v>
      </c>
      <c r="J82" s="161">
        <v>43223</v>
      </c>
      <c r="K82" s="59"/>
      <c r="L82" s="48"/>
      <c r="M82" s="48"/>
      <c r="N82" s="48"/>
    </row>
    <row r="83" spans="1:14" s="51" customFormat="1" x14ac:dyDescent="0.3">
      <c r="A83" s="269">
        <v>43157</v>
      </c>
      <c r="B83" s="157">
        <v>8</v>
      </c>
      <c r="C83" s="267">
        <v>121521</v>
      </c>
      <c r="D83" s="134">
        <v>60391</v>
      </c>
      <c r="E83" s="133">
        <v>4</v>
      </c>
      <c r="F83" s="49"/>
      <c r="G83" s="48"/>
      <c r="H83" s="48" t="s">
        <v>18</v>
      </c>
      <c r="I83" s="48" t="s">
        <v>14</v>
      </c>
      <c r="J83" s="161">
        <v>43223</v>
      </c>
      <c r="K83" s="59"/>
      <c r="L83" s="48"/>
      <c r="M83" s="48"/>
      <c r="N83" s="48"/>
    </row>
    <row r="84" spans="1:14" s="51" customFormat="1" x14ac:dyDescent="0.3">
      <c r="A84" s="269">
        <v>43157</v>
      </c>
      <c r="B84" s="157">
        <v>9</v>
      </c>
      <c r="C84" s="267">
        <v>121463</v>
      </c>
      <c r="D84" s="83">
        <v>60356</v>
      </c>
      <c r="E84" s="82">
        <v>9</v>
      </c>
      <c r="F84" s="49"/>
      <c r="G84" s="48"/>
      <c r="H84" s="48" t="s">
        <v>13</v>
      </c>
      <c r="I84" s="48" t="s">
        <v>26</v>
      </c>
      <c r="J84" s="161">
        <v>43224</v>
      </c>
      <c r="K84" s="59"/>
      <c r="L84" s="48"/>
      <c r="M84" s="48"/>
      <c r="N84" s="48"/>
    </row>
    <row r="85" spans="1:14" s="51" customFormat="1" x14ac:dyDescent="0.3">
      <c r="A85" s="269">
        <v>43157</v>
      </c>
      <c r="B85" s="157">
        <v>10</v>
      </c>
      <c r="C85" s="267">
        <v>121466</v>
      </c>
      <c r="D85" s="83">
        <v>60368</v>
      </c>
      <c r="E85" s="82">
        <v>3</v>
      </c>
      <c r="F85" s="49"/>
      <c r="G85" s="48"/>
      <c r="H85" s="48" t="s">
        <v>13</v>
      </c>
      <c r="I85" s="48" t="s">
        <v>26</v>
      </c>
      <c r="J85" s="161">
        <v>43224</v>
      </c>
      <c r="K85" s="59"/>
      <c r="L85" s="48"/>
      <c r="M85" s="48"/>
      <c r="N85" s="48"/>
    </row>
    <row r="86" spans="1:14" s="51" customFormat="1" x14ac:dyDescent="0.3">
      <c r="A86" s="269">
        <v>43157</v>
      </c>
      <c r="B86" s="157">
        <v>11</v>
      </c>
      <c r="C86" s="267">
        <v>121467</v>
      </c>
      <c r="D86" s="83">
        <v>60359</v>
      </c>
      <c r="E86" s="82">
        <v>2</v>
      </c>
      <c r="F86" s="49"/>
      <c r="G86" s="48"/>
      <c r="H86" s="48" t="s">
        <v>13</v>
      </c>
      <c r="I86" s="48" t="s">
        <v>26</v>
      </c>
      <c r="J86" s="161">
        <v>43224</v>
      </c>
      <c r="K86" s="59"/>
      <c r="L86" s="48"/>
      <c r="M86" s="48"/>
      <c r="N86" s="48"/>
    </row>
    <row r="87" spans="1:14" s="51" customFormat="1" x14ac:dyDescent="0.3">
      <c r="A87" s="269">
        <v>43157</v>
      </c>
      <c r="B87" s="157">
        <v>12</v>
      </c>
      <c r="C87" s="267">
        <v>121468</v>
      </c>
      <c r="D87" s="83">
        <v>60360</v>
      </c>
      <c r="E87" s="82">
        <v>2</v>
      </c>
      <c r="F87" s="49"/>
      <c r="G87" s="48"/>
      <c r="H87" s="48" t="s">
        <v>13</v>
      </c>
      <c r="I87" s="48" t="s">
        <v>26</v>
      </c>
      <c r="J87" s="161">
        <v>43224</v>
      </c>
      <c r="K87" s="59"/>
      <c r="L87" s="48"/>
      <c r="M87" s="48"/>
      <c r="N87" s="48"/>
    </row>
    <row r="88" spans="1:14" s="51" customFormat="1" x14ac:dyDescent="0.3">
      <c r="A88" s="269">
        <v>43157</v>
      </c>
      <c r="B88" s="157">
        <v>13</v>
      </c>
      <c r="C88" s="267">
        <v>121469</v>
      </c>
      <c r="D88" s="83">
        <v>60367</v>
      </c>
      <c r="E88" s="82">
        <v>16</v>
      </c>
      <c r="F88" s="52"/>
      <c r="G88" s="48"/>
      <c r="H88" s="48" t="s">
        <v>13</v>
      </c>
      <c r="I88" s="48" t="s">
        <v>26</v>
      </c>
      <c r="J88" s="161">
        <v>43224</v>
      </c>
      <c r="K88" s="59"/>
      <c r="L88" s="48"/>
      <c r="M88" s="48"/>
      <c r="N88" s="48"/>
    </row>
    <row r="89" spans="1:14" s="51" customFormat="1" x14ac:dyDescent="0.3">
      <c r="A89" s="269">
        <v>43157</v>
      </c>
      <c r="B89" s="157">
        <v>14</v>
      </c>
      <c r="C89" s="267">
        <v>121470</v>
      </c>
      <c r="D89" s="83">
        <v>60361</v>
      </c>
      <c r="E89" s="82">
        <v>18</v>
      </c>
      <c r="F89" s="49"/>
      <c r="G89" s="48"/>
      <c r="H89" s="48" t="s">
        <v>13</v>
      </c>
      <c r="I89" s="48" t="s">
        <v>26</v>
      </c>
      <c r="J89" s="161">
        <v>43224</v>
      </c>
      <c r="K89" s="59"/>
      <c r="L89" s="48"/>
      <c r="M89" s="48"/>
      <c r="N89" s="48"/>
    </row>
    <row r="90" spans="1:14" s="51" customFormat="1" x14ac:dyDescent="0.3">
      <c r="A90" s="269">
        <v>43157</v>
      </c>
      <c r="B90" s="157">
        <v>15</v>
      </c>
      <c r="C90" s="267">
        <v>121471</v>
      </c>
      <c r="D90" s="83">
        <v>60362</v>
      </c>
      <c r="E90" s="82">
        <v>6</v>
      </c>
      <c r="F90" s="49"/>
      <c r="G90" s="48"/>
      <c r="H90" s="48" t="s">
        <v>13</v>
      </c>
      <c r="I90" s="48" t="s">
        <v>26</v>
      </c>
      <c r="J90" s="161">
        <v>43224</v>
      </c>
      <c r="K90" s="59"/>
      <c r="L90" s="48"/>
      <c r="M90" s="48" t="s">
        <v>114</v>
      </c>
      <c r="N90" s="48"/>
    </row>
    <row r="91" spans="1:14" s="51" customFormat="1" x14ac:dyDescent="0.3">
      <c r="A91" s="269">
        <v>43217</v>
      </c>
      <c r="B91" s="86">
        <v>1</v>
      </c>
      <c r="C91" s="267">
        <v>121544</v>
      </c>
      <c r="D91" s="88">
        <v>60427</v>
      </c>
      <c r="E91" s="87">
        <v>17</v>
      </c>
      <c r="F91" s="49"/>
      <c r="G91" s="48"/>
      <c r="H91" s="48" t="s">
        <v>23</v>
      </c>
      <c r="I91" s="48" t="s">
        <v>15</v>
      </c>
      <c r="J91" s="161">
        <v>43229</v>
      </c>
      <c r="K91" s="59"/>
      <c r="L91" s="48"/>
      <c r="M91" s="48"/>
      <c r="N91" s="48"/>
    </row>
    <row r="92" spans="1:14" s="51" customFormat="1" x14ac:dyDescent="0.3">
      <c r="A92" s="269">
        <v>43217</v>
      </c>
      <c r="B92" s="86">
        <v>2</v>
      </c>
      <c r="C92" s="267">
        <v>121448</v>
      </c>
      <c r="D92" s="88">
        <v>60326</v>
      </c>
      <c r="E92" s="87">
        <v>12</v>
      </c>
      <c r="F92" s="49"/>
      <c r="G92" s="48"/>
      <c r="H92" s="48" t="s">
        <v>13</v>
      </c>
      <c r="I92" s="48" t="s">
        <v>109</v>
      </c>
      <c r="J92" s="161">
        <v>43229</v>
      </c>
      <c r="K92" s="59"/>
      <c r="L92" s="48"/>
    </row>
    <row r="93" spans="1:14" s="51" customFormat="1" x14ac:dyDescent="0.3">
      <c r="A93" s="269">
        <v>43217</v>
      </c>
      <c r="B93" s="86">
        <v>3</v>
      </c>
      <c r="C93" s="267">
        <v>121626</v>
      </c>
      <c r="D93" s="88">
        <v>60474</v>
      </c>
      <c r="E93" s="87">
        <v>2</v>
      </c>
      <c r="F93" s="49"/>
      <c r="G93" s="48"/>
      <c r="H93" s="48" t="s">
        <v>13</v>
      </c>
      <c r="I93" s="48" t="s">
        <v>14</v>
      </c>
      <c r="J93" s="161">
        <v>43231</v>
      </c>
      <c r="K93" s="59"/>
      <c r="L93" s="48"/>
    </row>
    <row r="94" spans="1:14" s="51" customFormat="1" x14ac:dyDescent="0.3">
      <c r="A94" s="269">
        <v>43217</v>
      </c>
      <c r="B94" s="86">
        <v>4</v>
      </c>
      <c r="C94" s="267">
        <v>121613</v>
      </c>
      <c r="D94" s="88">
        <v>60475</v>
      </c>
      <c r="E94" s="87">
        <v>2</v>
      </c>
      <c r="F94" s="49"/>
      <c r="G94" s="48"/>
      <c r="H94" s="48" t="s">
        <v>13</v>
      </c>
      <c r="I94" s="48" t="s">
        <v>14</v>
      </c>
      <c r="J94" s="161">
        <v>43231</v>
      </c>
      <c r="K94" s="59"/>
      <c r="L94" s="48"/>
    </row>
    <row r="95" spans="1:14" s="51" customFormat="1" x14ac:dyDescent="0.3">
      <c r="A95" s="269">
        <v>43217</v>
      </c>
      <c r="B95" s="86">
        <v>5</v>
      </c>
      <c r="C95" s="267">
        <v>121444</v>
      </c>
      <c r="D95" s="88">
        <v>60342</v>
      </c>
      <c r="E95" s="87">
        <v>11</v>
      </c>
      <c r="F95" s="52"/>
      <c r="G95" s="48"/>
      <c r="H95" s="48" t="s">
        <v>23</v>
      </c>
      <c r="I95" s="48" t="s">
        <v>19</v>
      </c>
      <c r="J95" s="161">
        <v>43229</v>
      </c>
      <c r="K95" s="59"/>
      <c r="L95" s="48"/>
    </row>
    <row r="96" spans="1:14" s="51" customFormat="1" x14ac:dyDescent="0.3">
      <c r="A96" s="269">
        <v>43217</v>
      </c>
      <c r="B96" s="86">
        <v>6</v>
      </c>
      <c r="C96" s="267">
        <v>121502</v>
      </c>
      <c r="D96" s="88">
        <v>60374</v>
      </c>
      <c r="E96" s="87">
        <v>1</v>
      </c>
      <c r="F96" s="49"/>
      <c r="G96" s="48"/>
      <c r="H96" s="48" t="s">
        <v>18</v>
      </c>
      <c r="I96" s="48" t="s">
        <v>19</v>
      </c>
      <c r="J96" s="161">
        <v>43230</v>
      </c>
      <c r="K96" s="59"/>
      <c r="L96" s="48"/>
    </row>
    <row r="97" spans="1:13" s="51" customFormat="1" x14ac:dyDescent="0.3">
      <c r="A97" s="269">
        <v>43217</v>
      </c>
      <c r="B97" s="86">
        <v>7</v>
      </c>
      <c r="C97" s="267">
        <v>121501</v>
      </c>
      <c r="D97" s="88">
        <v>60373</v>
      </c>
      <c r="E97" s="87">
        <v>16</v>
      </c>
      <c r="F97" s="49"/>
      <c r="G97" s="48"/>
      <c r="H97" s="48" t="s">
        <v>18</v>
      </c>
      <c r="I97" s="48" t="s">
        <v>26</v>
      </c>
      <c r="J97" s="161">
        <v>43230</v>
      </c>
      <c r="K97" s="59"/>
      <c r="L97" s="48"/>
    </row>
    <row r="98" spans="1:13" s="51" customFormat="1" x14ac:dyDescent="0.3">
      <c r="A98" s="269">
        <v>43217</v>
      </c>
      <c r="B98" s="86">
        <v>8</v>
      </c>
      <c r="C98" s="267">
        <v>121500</v>
      </c>
      <c r="D98" s="88">
        <v>60372</v>
      </c>
      <c r="E98" s="87">
        <v>19</v>
      </c>
      <c r="F98" s="49"/>
      <c r="G98" s="48"/>
      <c r="H98" s="48" t="s">
        <v>18</v>
      </c>
      <c r="I98" s="48" t="s">
        <v>26</v>
      </c>
      <c r="J98" s="161">
        <v>43237</v>
      </c>
      <c r="K98" s="59"/>
      <c r="L98" s="48"/>
      <c r="M98" s="51" t="s">
        <v>113</v>
      </c>
    </row>
    <row r="99" spans="1:13" s="51" customFormat="1" x14ac:dyDescent="0.3">
      <c r="A99" s="269">
        <v>43217</v>
      </c>
      <c r="B99" s="86">
        <v>9</v>
      </c>
      <c r="C99" s="267" t="s">
        <v>112</v>
      </c>
      <c r="D99" s="134">
        <v>60501</v>
      </c>
      <c r="E99" s="133">
        <v>25</v>
      </c>
      <c r="F99" s="49"/>
      <c r="G99" s="48"/>
      <c r="H99" s="48" t="s">
        <v>111</v>
      </c>
      <c r="I99" s="48" t="s">
        <v>19</v>
      </c>
      <c r="J99" s="161" t="s">
        <v>110</v>
      </c>
      <c r="K99" s="59"/>
      <c r="L99" s="48"/>
    </row>
    <row r="100" spans="1:13" s="51" customFormat="1" x14ac:dyDescent="0.3">
      <c r="A100" s="269">
        <v>43220</v>
      </c>
      <c r="B100" s="158">
        <v>1</v>
      </c>
      <c r="C100" s="267">
        <v>121652</v>
      </c>
      <c r="D100" s="88">
        <v>60497</v>
      </c>
      <c r="E100" s="87">
        <v>3</v>
      </c>
      <c r="F100" s="49"/>
      <c r="G100" s="48"/>
      <c r="H100" s="48" t="s">
        <v>23</v>
      </c>
      <c r="I100" s="48" t="s">
        <v>25</v>
      </c>
      <c r="J100" s="161">
        <v>43229</v>
      </c>
      <c r="K100" s="59"/>
      <c r="L100" s="48"/>
    </row>
    <row r="101" spans="1:13" s="51" customFormat="1" x14ac:dyDescent="0.3">
      <c r="A101" s="269">
        <v>43220</v>
      </c>
      <c r="B101" s="158">
        <v>2</v>
      </c>
      <c r="C101" s="267">
        <v>121641</v>
      </c>
      <c r="D101" s="88">
        <v>60471</v>
      </c>
      <c r="E101" s="87">
        <v>1</v>
      </c>
      <c r="F101" s="49"/>
      <c r="G101" s="48"/>
      <c r="H101" s="48" t="s">
        <v>18</v>
      </c>
      <c r="I101" s="48" t="s">
        <v>26</v>
      </c>
      <c r="J101" s="161">
        <v>43223</v>
      </c>
      <c r="K101" s="59"/>
      <c r="L101" s="48"/>
    </row>
    <row r="102" spans="1:13" s="51" customFormat="1" x14ac:dyDescent="0.3">
      <c r="A102" s="269">
        <v>43220</v>
      </c>
      <c r="B102" s="158">
        <v>3</v>
      </c>
      <c r="C102" s="267">
        <v>121477</v>
      </c>
      <c r="D102" s="88">
        <v>60337</v>
      </c>
      <c r="E102" s="87">
        <v>1</v>
      </c>
      <c r="F102" s="49"/>
      <c r="G102" s="48"/>
      <c r="H102" s="48" t="s">
        <v>18</v>
      </c>
      <c r="I102" s="48" t="s">
        <v>19</v>
      </c>
      <c r="J102" s="161">
        <v>43230</v>
      </c>
      <c r="K102" s="59"/>
      <c r="L102" s="48"/>
    </row>
    <row r="103" spans="1:13" s="51" customFormat="1" x14ac:dyDescent="0.3">
      <c r="A103" s="269">
        <v>43220</v>
      </c>
      <c r="B103" s="158">
        <v>4</v>
      </c>
      <c r="C103" s="267">
        <v>121410</v>
      </c>
      <c r="D103" s="88">
        <v>60262</v>
      </c>
      <c r="E103" s="87">
        <v>1</v>
      </c>
      <c r="F103" s="49"/>
      <c r="G103" s="48"/>
      <c r="H103" s="48" t="s">
        <v>18</v>
      </c>
      <c r="I103" s="48" t="s">
        <v>106</v>
      </c>
      <c r="J103" s="161">
        <v>43230</v>
      </c>
      <c r="K103" s="59"/>
      <c r="L103" s="48"/>
    </row>
    <row r="104" spans="1:13" s="51" customFormat="1" x14ac:dyDescent="0.3">
      <c r="A104" s="269">
        <v>43220</v>
      </c>
      <c r="B104" s="158">
        <v>5</v>
      </c>
      <c r="C104" s="267">
        <v>121419</v>
      </c>
      <c r="D104" s="88">
        <v>60280</v>
      </c>
      <c r="E104" s="87">
        <v>2</v>
      </c>
      <c r="F104" s="49"/>
      <c r="G104" s="48"/>
      <c r="H104" s="48" t="s">
        <v>18</v>
      </c>
      <c r="I104" s="48" t="s">
        <v>109</v>
      </c>
      <c r="J104" s="161">
        <v>43230</v>
      </c>
      <c r="K104" s="59"/>
      <c r="L104" s="48"/>
    </row>
    <row r="105" spans="1:13" s="51" customFormat="1" x14ac:dyDescent="0.3">
      <c r="A105" s="269">
        <v>43220</v>
      </c>
      <c r="B105" s="158">
        <v>6</v>
      </c>
      <c r="C105" s="267">
        <v>121445</v>
      </c>
      <c r="D105" s="88">
        <v>60327</v>
      </c>
      <c r="E105" s="87">
        <v>1</v>
      </c>
      <c r="F105" s="49"/>
      <c r="G105" s="48"/>
      <c r="H105" s="48" t="s">
        <v>18</v>
      </c>
      <c r="I105" s="48" t="s">
        <v>19</v>
      </c>
      <c r="J105" s="161">
        <v>43230</v>
      </c>
      <c r="K105" s="59"/>
      <c r="L105" s="48"/>
    </row>
    <row r="106" spans="1:13" s="51" customFormat="1" x14ac:dyDescent="0.3">
      <c r="A106" s="269">
        <v>43220</v>
      </c>
      <c r="B106" s="158">
        <v>7</v>
      </c>
      <c r="C106" s="267">
        <v>121479</v>
      </c>
      <c r="D106" s="111">
        <v>60338</v>
      </c>
      <c r="E106" s="110">
        <v>2</v>
      </c>
      <c r="F106" s="49"/>
      <c r="G106" s="48"/>
      <c r="H106" s="48" t="s">
        <v>18</v>
      </c>
      <c r="I106" s="48" t="s">
        <v>108</v>
      </c>
      <c r="J106" s="161">
        <v>43231</v>
      </c>
      <c r="K106" s="59"/>
      <c r="L106" s="48"/>
    </row>
    <row r="107" spans="1:13" s="51" customFormat="1" x14ac:dyDescent="0.3">
      <c r="A107" s="269">
        <v>43220</v>
      </c>
      <c r="B107" s="158">
        <v>8</v>
      </c>
      <c r="C107" s="267">
        <v>121480</v>
      </c>
      <c r="D107" s="111">
        <v>60339</v>
      </c>
      <c r="E107" s="110">
        <v>1</v>
      </c>
      <c r="F107" s="49"/>
      <c r="G107" s="48"/>
      <c r="H107" s="48" t="s">
        <v>18</v>
      </c>
      <c r="I107" s="48" t="s">
        <v>108</v>
      </c>
      <c r="J107" s="161">
        <v>43231</v>
      </c>
      <c r="K107" s="59"/>
      <c r="L107" s="48"/>
    </row>
    <row r="108" spans="1:13" s="51" customFormat="1" x14ac:dyDescent="0.3">
      <c r="A108" s="269">
        <v>43220</v>
      </c>
      <c r="B108" s="158">
        <v>9</v>
      </c>
      <c r="C108" s="267">
        <v>121553</v>
      </c>
      <c r="D108" s="88">
        <v>60416</v>
      </c>
      <c r="E108" s="87">
        <v>4</v>
      </c>
      <c r="F108" s="49"/>
      <c r="G108" s="48"/>
      <c r="H108" s="48" t="s">
        <v>18</v>
      </c>
      <c r="I108" s="48" t="s">
        <v>26</v>
      </c>
      <c r="J108" s="161">
        <v>43230</v>
      </c>
      <c r="K108" s="59"/>
      <c r="L108" s="48"/>
    </row>
    <row r="109" spans="1:13" s="51" customFormat="1" x14ac:dyDescent="0.3">
      <c r="A109" s="269">
        <v>43220</v>
      </c>
      <c r="B109" s="158">
        <v>10</v>
      </c>
      <c r="C109" s="267">
        <v>121577</v>
      </c>
      <c r="D109" s="88">
        <v>60440</v>
      </c>
      <c r="E109" s="87">
        <v>1</v>
      </c>
      <c r="F109" s="49"/>
      <c r="G109" s="48"/>
      <c r="H109" s="48" t="s">
        <v>107</v>
      </c>
      <c r="I109" s="48" t="s">
        <v>15</v>
      </c>
      <c r="J109" s="161">
        <v>43227</v>
      </c>
      <c r="K109" s="59"/>
      <c r="L109" s="48"/>
    </row>
    <row r="110" spans="1:13" s="51" customFormat="1" x14ac:dyDescent="0.3">
      <c r="A110" s="269">
        <v>43220</v>
      </c>
      <c r="B110" s="158">
        <v>11</v>
      </c>
      <c r="C110" s="267">
        <v>121611</v>
      </c>
      <c r="D110" s="131">
        <v>60456</v>
      </c>
      <c r="E110" s="130">
        <v>3</v>
      </c>
      <c r="F110" s="49"/>
      <c r="G110" s="48"/>
      <c r="H110" s="48" t="s">
        <v>18</v>
      </c>
      <c r="I110" s="48" t="s">
        <v>25</v>
      </c>
      <c r="J110" s="161">
        <v>43229</v>
      </c>
      <c r="K110" s="59"/>
      <c r="L110" s="48"/>
    </row>
    <row r="111" spans="1:13" s="51" customFormat="1" x14ac:dyDescent="0.3">
      <c r="A111" s="269">
        <v>43220</v>
      </c>
      <c r="B111" s="158">
        <v>12</v>
      </c>
      <c r="C111" s="267">
        <v>121627</v>
      </c>
      <c r="D111" s="88">
        <v>60478</v>
      </c>
      <c r="E111" s="87">
        <v>3</v>
      </c>
      <c r="F111" s="49"/>
      <c r="G111" s="48"/>
      <c r="H111" s="48" t="s">
        <v>34</v>
      </c>
      <c r="I111" s="48" t="s">
        <v>14</v>
      </c>
      <c r="J111" s="161">
        <v>43229</v>
      </c>
      <c r="K111" s="59"/>
      <c r="L111" s="48"/>
    </row>
    <row r="112" spans="1:13" s="51" customFormat="1" x14ac:dyDescent="0.3">
      <c r="A112" s="269">
        <v>43220</v>
      </c>
      <c r="B112" s="158">
        <v>13</v>
      </c>
      <c r="C112" s="267">
        <v>121487</v>
      </c>
      <c r="D112" s="88">
        <v>60341</v>
      </c>
      <c r="E112" s="87">
        <v>2</v>
      </c>
      <c r="F112" s="49"/>
      <c r="G112" s="48"/>
      <c r="H112" s="48" t="s">
        <v>18</v>
      </c>
      <c r="I112" s="48" t="s">
        <v>26</v>
      </c>
      <c r="J112" s="161">
        <v>43229</v>
      </c>
      <c r="K112" s="59"/>
      <c r="L112" s="48"/>
    </row>
    <row r="113" spans="1:16" s="51" customFormat="1" x14ac:dyDescent="0.3">
      <c r="A113" s="269">
        <v>43220</v>
      </c>
      <c r="B113" s="158">
        <v>14</v>
      </c>
      <c r="C113" s="267">
        <v>121460</v>
      </c>
      <c r="D113" s="88">
        <v>60325</v>
      </c>
      <c r="E113" s="87">
        <v>5</v>
      </c>
      <c r="F113" s="49"/>
      <c r="G113" s="48"/>
      <c r="H113" s="48" t="s">
        <v>18</v>
      </c>
      <c r="I113" s="48" t="s">
        <v>19</v>
      </c>
      <c r="J113" s="161">
        <v>43222</v>
      </c>
      <c r="K113" s="59"/>
      <c r="L113" s="48"/>
    </row>
    <row r="114" spans="1:16" s="51" customFormat="1" x14ac:dyDescent="0.3">
      <c r="A114" s="269">
        <v>43220</v>
      </c>
      <c r="B114" s="158">
        <v>15</v>
      </c>
      <c r="C114" s="267">
        <v>121455</v>
      </c>
      <c r="D114" s="88">
        <v>60320</v>
      </c>
      <c r="E114" s="87">
        <v>1</v>
      </c>
      <c r="F114" s="49"/>
      <c r="G114" s="48"/>
      <c r="H114" s="48" t="s">
        <v>18</v>
      </c>
      <c r="I114" s="48" t="s">
        <v>19</v>
      </c>
      <c r="J114" s="161">
        <v>43234</v>
      </c>
      <c r="K114" s="59"/>
      <c r="L114" s="48"/>
    </row>
    <row r="115" spans="1:16" s="51" customFormat="1" x14ac:dyDescent="0.3">
      <c r="A115" s="269">
        <v>43220</v>
      </c>
      <c r="B115" s="158">
        <v>16</v>
      </c>
      <c r="C115" s="267">
        <v>121433</v>
      </c>
      <c r="D115" s="83">
        <v>60300</v>
      </c>
      <c r="E115" s="82">
        <v>2</v>
      </c>
      <c r="F115" s="49"/>
      <c r="G115" s="48"/>
      <c r="H115" s="48" t="s">
        <v>18</v>
      </c>
      <c r="I115" s="48" t="s">
        <v>19</v>
      </c>
      <c r="J115" s="161">
        <v>43234</v>
      </c>
      <c r="K115" s="59"/>
      <c r="L115" s="48"/>
    </row>
    <row r="116" spans="1:16" s="51" customFormat="1" x14ac:dyDescent="0.3">
      <c r="A116" s="269">
        <v>43220</v>
      </c>
      <c r="B116" s="158">
        <v>17</v>
      </c>
      <c r="C116" s="267">
        <v>121434</v>
      </c>
      <c r="D116" s="83">
        <v>60314</v>
      </c>
      <c r="E116" s="82">
        <v>3</v>
      </c>
      <c r="F116" s="49"/>
      <c r="G116" s="48"/>
      <c r="H116" s="48" t="s">
        <v>18</v>
      </c>
      <c r="I116" s="48" t="s">
        <v>19</v>
      </c>
      <c r="J116" s="161">
        <v>43234</v>
      </c>
      <c r="K116" s="59"/>
      <c r="L116" s="48"/>
    </row>
    <row r="117" spans="1:16" s="51" customFormat="1" x14ac:dyDescent="0.3">
      <c r="A117" s="269">
        <v>43220</v>
      </c>
      <c r="B117" s="158">
        <v>18</v>
      </c>
      <c r="C117" s="267">
        <v>121601</v>
      </c>
      <c r="D117" s="83">
        <v>60466</v>
      </c>
      <c r="E117" s="82">
        <v>17</v>
      </c>
      <c r="F117" s="49"/>
      <c r="G117" s="48"/>
      <c r="H117" s="48" t="s">
        <v>18</v>
      </c>
      <c r="I117" s="48" t="s">
        <v>56</v>
      </c>
      <c r="J117" s="161">
        <v>43234</v>
      </c>
      <c r="K117" s="59"/>
      <c r="L117" s="48"/>
    </row>
    <row r="118" spans="1:16" s="51" customFormat="1" x14ac:dyDescent="0.3">
      <c r="A118" s="269">
        <v>43220</v>
      </c>
      <c r="B118" s="158">
        <v>19</v>
      </c>
      <c r="C118" s="267">
        <v>121457</v>
      </c>
      <c r="D118" s="88">
        <v>60322</v>
      </c>
      <c r="E118" s="87">
        <v>1</v>
      </c>
      <c r="F118" s="49"/>
      <c r="G118" s="48"/>
      <c r="H118" s="48" t="s">
        <v>18</v>
      </c>
      <c r="I118" s="48" t="s">
        <v>19</v>
      </c>
      <c r="J118" s="161">
        <v>43228</v>
      </c>
      <c r="K118" s="59"/>
      <c r="L118" s="48" t="s">
        <v>20</v>
      </c>
    </row>
    <row r="119" spans="1:16" s="51" customFormat="1" x14ac:dyDescent="0.3">
      <c r="A119" s="269">
        <v>43220</v>
      </c>
      <c r="B119" s="158">
        <v>20</v>
      </c>
      <c r="C119" s="267">
        <v>121420</v>
      </c>
      <c r="D119" s="88">
        <v>60281</v>
      </c>
      <c r="E119" s="87">
        <v>1</v>
      </c>
      <c r="F119" s="49"/>
      <c r="G119" s="48"/>
      <c r="H119" s="48" t="s">
        <v>18</v>
      </c>
      <c r="I119" s="48" t="s">
        <v>106</v>
      </c>
      <c r="J119" s="161">
        <v>43229</v>
      </c>
      <c r="K119" s="59"/>
      <c r="L119" s="48" t="s">
        <v>20</v>
      </c>
    </row>
    <row r="120" spans="1:16" s="51" customFormat="1" x14ac:dyDescent="0.3">
      <c r="A120" s="269">
        <v>43220</v>
      </c>
      <c r="B120" s="158">
        <v>21</v>
      </c>
      <c r="C120" s="267">
        <v>121593</v>
      </c>
      <c r="D120" s="88">
        <v>60465</v>
      </c>
      <c r="E120" s="87">
        <v>21</v>
      </c>
      <c r="F120" s="52"/>
      <c r="G120" s="48"/>
      <c r="H120" s="48" t="s">
        <v>18</v>
      </c>
      <c r="I120" s="48" t="s">
        <v>19</v>
      </c>
      <c r="J120" s="161">
        <v>43234</v>
      </c>
      <c r="K120" s="59"/>
      <c r="L120" s="51" t="s">
        <v>105</v>
      </c>
      <c r="M120" s="48"/>
      <c r="N120" s="48" t="s">
        <v>11</v>
      </c>
      <c r="O120" s="48" t="s">
        <v>104</v>
      </c>
      <c r="P120" s="48"/>
    </row>
    <row r="121" spans="1:16" s="51" customFormat="1" x14ac:dyDescent="0.3">
      <c r="A121" s="269">
        <v>43221</v>
      </c>
      <c r="B121" s="159">
        <v>1</v>
      </c>
      <c r="C121" s="267">
        <v>120961</v>
      </c>
      <c r="D121" s="88">
        <v>59914</v>
      </c>
      <c r="E121" s="87">
        <v>44</v>
      </c>
      <c r="F121" s="52"/>
      <c r="G121" s="48"/>
      <c r="H121" s="48" t="s">
        <v>87</v>
      </c>
      <c r="I121" s="48" t="s">
        <v>19</v>
      </c>
      <c r="J121" s="161">
        <v>43223</v>
      </c>
      <c r="K121" s="59"/>
      <c r="L121" s="48" t="s">
        <v>84</v>
      </c>
      <c r="M121" s="48" t="s">
        <v>103</v>
      </c>
      <c r="N121" s="48"/>
      <c r="O121" s="48"/>
      <c r="P121" s="48"/>
    </row>
    <row r="122" spans="1:16" s="51" customFormat="1" x14ac:dyDescent="0.3">
      <c r="A122" s="269">
        <v>43221</v>
      </c>
      <c r="B122" s="159">
        <v>2</v>
      </c>
      <c r="C122" s="267">
        <v>121643</v>
      </c>
      <c r="D122" s="88">
        <v>60496</v>
      </c>
      <c r="E122" s="87">
        <v>1</v>
      </c>
      <c r="F122" s="49"/>
      <c r="G122" s="48"/>
      <c r="H122" s="48" t="s">
        <v>13</v>
      </c>
      <c r="I122" s="48" t="s">
        <v>102</v>
      </c>
      <c r="J122" s="161">
        <v>43229</v>
      </c>
      <c r="K122" s="59"/>
      <c r="L122" s="48" t="s">
        <v>101</v>
      </c>
      <c r="M122" s="48"/>
      <c r="N122" s="48"/>
      <c r="O122" s="48"/>
      <c r="P122" s="48"/>
    </row>
    <row r="123" spans="1:16" s="51" customFormat="1" x14ac:dyDescent="0.3">
      <c r="A123" s="269">
        <v>43221</v>
      </c>
      <c r="B123" s="159">
        <v>3</v>
      </c>
      <c r="C123" s="267">
        <v>121612</v>
      </c>
      <c r="D123" s="131">
        <v>60479</v>
      </c>
      <c r="E123" s="130">
        <v>1</v>
      </c>
      <c r="F123" s="49"/>
      <c r="G123" s="48"/>
      <c r="H123" s="48" t="s">
        <v>13</v>
      </c>
      <c r="I123" s="48" t="s">
        <v>15</v>
      </c>
      <c r="J123" s="161">
        <v>43236</v>
      </c>
      <c r="K123" s="59"/>
      <c r="L123" s="48"/>
      <c r="M123" s="48"/>
      <c r="N123" s="48"/>
      <c r="O123" s="48"/>
      <c r="P123" s="48"/>
    </row>
    <row r="124" spans="1:16" s="51" customFormat="1" x14ac:dyDescent="0.3">
      <c r="A124" s="269">
        <v>43222</v>
      </c>
      <c r="B124" s="157">
        <v>1</v>
      </c>
      <c r="C124" s="267">
        <v>121695</v>
      </c>
      <c r="D124" s="88">
        <v>60528</v>
      </c>
      <c r="E124" s="87">
        <v>9</v>
      </c>
      <c r="F124" s="49"/>
      <c r="G124" s="48"/>
      <c r="H124" s="48" t="s">
        <v>13</v>
      </c>
      <c r="I124" s="48" t="s">
        <v>100</v>
      </c>
      <c r="J124" s="161">
        <v>43239</v>
      </c>
      <c r="K124" s="59"/>
      <c r="L124" s="48"/>
      <c r="M124" s="48"/>
      <c r="N124" s="48"/>
      <c r="O124" s="48"/>
      <c r="P124" s="48"/>
    </row>
    <row r="125" spans="1:16" s="51" customFormat="1" x14ac:dyDescent="0.3">
      <c r="A125" s="269">
        <v>43222</v>
      </c>
      <c r="B125" s="157">
        <v>2</v>
      </c>
      <c r="C125" s="267">
        <v>121681</v>
      </c>
      <c r="D125" s="128">
        <v>60531</v>
      </c>
      <c r="E125" s="127">
        <v>8</v>
      </c>
      <c r="F125" s="49"/>
      <c r="G125" s="48"/>
      <c r="H125" s="48" t="s">
        <v>99</v>
      </c>
      <c r="I125" s="48" t="s">
        <v>98</v>
      </c>
      <c r="J125" s="161">
        <v>43229</v>
      </c>
      <c r="K125" s="59"/>
      <c r="L125" s="48"/>
      <c r="M125" s="48"/>
      <c r="N125" s="48"/>
      <c r="O125" s="48"/>
      <c r="P125" s="48"/>
    </row>
    <row r="126" spans="1:16" s="51" customFormat="1" x14ac:dyDescent="0.3">
      <c r="A126" s="269">
        <v>43222</v>
      </c>
      <c r="B126" s="157">
        <v>3</v>
      </c>
      <c r="C126" s="267">
        <v>121694</v>
      </c>
      <c r="D126" s="131">
        <v>60524</v>
      </c>
      <c r="E126" s="130">
        <v>1</v>
      </c>
      <c r="F126" s="49"/>
      <c r="G126" s="48"/>
      <c r="H126" s="48" t="s">
        <v>18</v>
      </c>
      <c r="I126" s="48" t="s">
        <v>19</v>
      </c>
      <c r="J126" s="161">
        <v>43236</v>
      </c>
      <c r="K126" s="59"/>
      <c r="L126" s="48"/>
      <c r="M126" s="48"/>
      <c r="N126" s="48"/>
      <c r="O126" s="48"/>
      <c r="P126" s="48"/>
    </row>
    <row r="127" spans="1:16" x14ac:dyDescent="0.3">
      <c r="A127" s="273">
        <v>43222</v>
      </c>
      <c r="B127" s="157">
        <v>4</v>
      </c>
      <c r="C127" s="267">
        <v>121561</v>
      </c>
      <c r="D127" s="93">
        <v>60422</v>
      </c>
      <c r="E127" s="92">
        <v>12</v>
      </c>
      <c r="F127" s="52"/>
      <c r="G127" s="48"/>
      <c r="H127" s="48" t="s">
        <v>23</v>
      </c>
      <c r="I127" s="48" t="s">
        <v>19</v>
      </c>
      <c r="J127" s="161">
        <v>43234</v>
      </c>
      <c r="K127" s="59"/>
    </row>
    <row r="128" spans="1:16" x14ac:dyDescent="0.3">
      <c r="A128" s="273">
        <v>43222</v>
      </c>
      <c r="B128" s="157">
        <v>5</v>
      </c>
      <c r="C128" s="267">
        <v>121530</v>
      </c>
      <c r="D128" s="93">
        <v>60393</v>
      </c>
      <c r="E128" s="92">
        <v>8</v>
      </c>
      <c r="F128" s="52"/>
      <c r="G128" s="48"/>
      <c r="H128" s="48" t="s">
        <v>23</v>
      </c>
      <c r="I128" s="48" t="s">
        <v>19</v>
      </c>
      <c r="J128" s="161">
        <v>43234</v>
      </c>
      <c r="K128" s="59"/>
      <c r="N128" s="48">
        <f>E106+E107+E110+E115+E116+E117+E120+E123+E125+E126+E127+E128+E129+E130+E131+E132+E133+E134+E135+E136+E137+E138+E139+E140+E141+E142+E143</f>
        <v>200</v>
      </c>
    </row>
    <row r="129" spans="1:14" x14ac:dyDescent="0.3">
      <c r="A129" s="273">
        <v>43222</v>
      </c>
      <c r="B129" s="157">
        <v>6</v>
      </c>
      <c r="C129" s="267">
        <v>121549</v>
      </c>
      <c r="D129" s="93">
        <v>60412</v>
      </c>
      <c r="E129" s="92">
        <v>12</v>
      </c>
      <c r="F129" s="52"/>
      <c r="G129" s="48"/>
      <c r="H129" s="48" t="s">
        <v>23</v>
      </c>
      <c r="I129" s="48" t="s">
        <v>19</v>
      </c>
      <c r="J129" s="161">
        <v>43234</v>
      </c>
      <c r="K129" s="59"/>
    </row>
    <row r="130" spans="1:14" x14ac:dyDescent="0.3">
      <c r="A130" s="273">
        <v>43222</v>
      </c>
      <c r="B130" s="157">
        <v>7</v>
      </c>
      <c r="C130" s="267">
        <v>121543</v>
      </c>
      <c r="D130" s="93">
        <v>60408</v>
      </c>
      <c r="E130" s="92">
        <v>12</v>
      </c>
      <c r="F130" s="114"/>
      <c r="G130" s="48"/>
      <c r="H130" s="48" t="s">
        <v>23</v>
      </c>
      <c r="I130" s="48" t="s">
        <v>19</v>
      </c>
      <c r="J130" s="161">
        <v>43234</v>
      </c>
      <c r="K130" s="59"/>
    </row>
    <row r="131" spans="1:14" x14ac:dyDescent="0.3">
      <c r="A131" s="273">
        <v>43222</v>
      </c>
      <c r="B131" s="157">
        <v>8</v>
      </c>
      <c r="C131" s="267">
        <v>121556</v>
      </c>
      <c r="D131" s="131">
        <v>60417</v>
      </c>
      <c r="E131" s="130">
        <v>12</v>
      </c>
      <c r="F131" s="52"/>
      <c r="G131" s="48"/>
      <c r="H131" s="48" t="s">
        <v>23</v>
      </c>
      <c r="I131" s="48" t="s">
        <v>19</v>
      </c>
      <c r="J131" s="161">
        <v>43234</v>
      </c>
      <c r="K131" s="59"/>
    </row>
    <row r="132" spans="1:14" x14ac:dyDescent="0.3">
      <c r="A132" s="273">
        <v>43222</v>
      </c>
      <c r="B132" s="157">
        <v>9</v>
      </c>
      <c r="C132" s="267">
        <v>121678</v>
      </c>
      <c r="D132" s="131">
        <v>60527</v>
      </c>
      <c r="E132" s="130">
        <v>1</v>
      </c>
      <c r="F132" s="49"/>
      <c r="G132" s="48"/>
      <c r="H132" s="48" t="s">
        <v>13</v>
      </c>
      <c r="I132" s="48" t="s">
        <v>14</v>
      </c>
      <c r="J132" s="161">
        <v>43227</v>
      </c>
      <c r="K132" s="59"/>
    </row>
    <row r="133" spans="1:14" x14ac:dyDescent="0.3">
      <c r="A133" s="273">
        <v>43223</v>
      </c>
      <c r="B133" s="156">
        <v>1</v>
      </c>
      <c r="C133" s="267">
        <v>121515</v>
      </c>
      <c r="D133" s="126">
        <v>60383</v>
      </c>
      <c r="E133" s="125">
        <v>3</v>
      </c>
      <c r="F133" s="49"/>
      <c r="G133" s="51"/>
      <c r="H133" s="51" t="s">
        <v>34</v>
      </c>
      <c r="I133" s="51" t="s">
        <v>19</v>
      </c>
      <c r="J133" s="161">
        <v>43227</v>
      </c>
      <c r="K133" s="59"/>
      <c r="L133" s="51" t="s">
        <v>75</v>
      </c>
      <c r="M133" s="51" t="s">
        <v>35</v>
      </c>
      <c r="N133" s="51" t="s">
        <v>97</v>
      </c>
    </row>
    <row r="134" spans="1:14" x14ac:dyDescent="0.3">
      <c r="A134" s="273">
        <v>43223</v>
      </c>
      <c r="B134" s="156">
        <v>2</v>
      </c>
      <c r="C134" s="267">
        <v>121711</v>
      </c>
      <c r="D134" s="93">
        <v>60535</v>
      </c>
      <c r="E134" s="92">
        <v>1</v>
      </c>
      <c r="F134" s="49"/>
      <c r="G134" s="51"/>
      <c r="H134" s="51" t="s">
        <v>23</v>
      </c>
      <c r="I134" s="51" t="s">
        <v>26</v>
      </c>
      <c r="J134" s="161">
        <v>43229</v>
      </c>
      <c r="K134" s="59"/>
    </row>
    <row r="135" spans="1:14" x14ac:dyDescent="0.3">
      <c r="A135" s="273">
        <v>43223</v>
      </c>
      <c r="B135" s="156">
        <v>3</v>
      </c>
      <c r="C135" s="267">
        <v>121705</v>
      </c>
      <c r="D135" s="131">
        <v>60546</v>
      </c>
      <c r="E135" s="130">
        <v>4</v>
      </c>
      <c r="F135" s="49"/>
      <c r="G135" s="51"/>
      <c r="H135" s="51" t="s">
        <v>96</v>
      </c>
      <c r="I135" s="51" t="s">
        <v>36</v>
      </c>
      <c r="J135" s="161">
        <v>43229</v>
      </c>
      <c r="K135" s="59"/>
    </row>
    <row r="136" spans="1:14" x14ac:dyDescent="0.3">
      <c r="A136" s="273">
        <v>43223</v>
      </c>
      <c r="B136" s="156">
        <v>4</v>
      </c>
      <c r="C136" s="267">
        <v>121730</v>
      </c>
      <c r="D136" s="93">
        <v>60547</v>
      </c>
      <c r="E136" s="92">
        <v>2</v>
      </c>
      <c r="F136" s="49"/>
      <c r="G136" s="51"/>
      <c r="H136" s="51" t="s">
        <v>13</v>
      </c>
      <c r="I136" s="51" t="s">
        <v>55</v>
      </c>
      <c r="J136" s="161">
        <v>43229</v>
      </c>
      <c r="K136" s="59"/>
      <c r="L136" s="132"/>
    </row>
    <row r="137" spans="1:14" x14ac:dyDescent="0.3">
      <c r="A137" s="273">
        <v>43223</v>
      </c>
      <c r="B137" s="156">
        <v>5</v>
      </c>
      <c r="C137" s="267">
        <v>121727</v>
      </c>
      <c r="D137" s="131">
        <v>60548</v>
      </c>
      <c r="E137" s="130">
        <v>3</v>
      </c>
      <c r="F137" s="49"/>
      <c r="G137" s="51"/>
      <c r="H137" s="51" t="s">
        <v>13</v>
      </c>
      <c r="I137" s="51" t="s">
        <v>36</v>
      </c>
      <c r="J137" s="161">
        <v>43229</v>
      </c>
      <c r="K137" s="59"/>
    </row>
    <row r="138" spans="1:14" x14ac:dyDescent="0.3">
      <c r="A138" s="273">
        <v>43223</v>
      </c>
      <c r="B138" s="156">
        <v>6</v>
      </c>
      <c r="C138" s="267">
        <v>121529</v>
      </c>
      <c r="D138" s="131">
        <v>60392</v>
      </c>
      <c r="E138" s="130">
        <v>10</v>
      </c>
      <c r="F138" s="49"/>
      <c r="G138" s="48"/>
      <c r="H138" s="48" t="s">
        <v>18</v>
      </c>
      <c r="I138" s="48" t="s">
        <v>19</v>
      </c>
      <c r="J138" s="161">
        <v>43234</v>
      </c>
      <c r="K138" s="59"/>
    </row>
    <row r="139" spans="1:14" x14ac:dyDescent="0.3">
      <c r="A139" s="273">
        <v>43223</v>
      </c>
      <c r="B139" s="156">
        <v>7</v>
      </c>
      <c r="C139" s="267">
        <v>121541</v>
      </c>
      <c r="D139" s="131">
        <v>60407</v>
      </c>
      <c r="E139" s="130">
        <v>15</v>
      </c>
      <c r="F139" s="49"/>
      <c r="G139" s="48"/>
      <c r="H139" s="48" t="s">
        <v>18</v>
      </c>
      <c r="I139" s="48" t="s">
        <v>19</v>
      </c>
      <c r="J139" s="161">
        <v>43234</v>
      </c>
      <c r="K139" s="59"/>
    </row>
    <row r="140" spans="1:14" x14ac:dyDescent="0.3">
      <c r="A140" s="273">
        <v>43223</v>
      </c>
      <c r="B140" s="156">
        <v>8</v>
      </c>
      <c r="C140" s="267">
        <v>121547</v>
      </c>
      <c r="D140" s="93">
        <v>60411</v>
      </c>
      <c r="E140" s="92">
        <v>15</v>
      </c>
      <c r="F140" s="52"/>
      <c r="G140" s="48"/>
      <c r="H140" s="48" t="s">
        <v>18</v>
      </c>
      <c r="I140" s="48" t="s">
        <v>19</v>
      </c>
      <c r="J140" s="161">
        <v>43234</v>
      </c>
      <c r="K140" s="59"/>
    </row>
    <row r="141" spans="1:14" x14ac:dyDescent="0.3">
      <c r="A141" s="273">
        <v>43223</v>
      </c>
      <c r="B141" s="156">
        <v>9</v>
      </c>
      <c r="C141" s="267">
        <v>121554</v>
      </c>
      <c r="D141" s="93">
        <v>60426</v>
      </c>
      <c r="E141" s="92">
        <v>15</v>
      </c>
      <c r="F141" s="49"/>
      <c r="G141" s="48"/>
      <c r="H141" s="48" t="s">
        <v>18</v>
      </c>
      <c r="I141" s="48" t="s">
        <v>19</v>
      </c>
      <c r="J141" s="161">
        <v>43234</v>
      </c>
      <c r="K141" s="59"/>
    </row>
    <row r="142" spans="1:14" x14ac:dyDescent="0.3">
      <c r="A142" s="273">
        <v>43223</v>
      </c>
      <c r="B142" s="156">
        <v>10</v>
      </c>
      <c r="C142" s="267">
        <v>121560</v>
      </c>
      <c r="D142" s="93">
        <v>60421</v>
      </c>
      <c r="E142" s="92">
        <v>15</v>
      </c>
      <c r="F142" s="49"/>
      <c r="G142" s="48"/>
      <c r="H142" s="48" t="s">
        <v>18</v>
      </c>
      <c r="I142" s="48" t="s">
        <v>19</v>
      </c>
      <c r="J142" s="161">
        <v>43234</v>
      </c>
      <c r="K142" s="59"/>
    </row>
    <row r="143" spans="1:14" x14ac:dyDescent="0.3">
      <c r="A143" s="273">
        <v>43223</v>
      </c>
      <c r="B143" s="156">
        <v>11</v>
      </c>
      <c r="C143" s="267">
        <v>121318</v>
      </c>
      <c r="D143" s="128">
        <v>60194</v>
      </c>
      <c r="E143" s="127">
        <v>1</v>
      </c>
      <c r="F143" s="49"/>
      <c r="G143" s="51"/>
      <c r="H143" s="51" t="s">
        <v>18</v>
      </c>
      <c r="I143" s="51" t="s">
        <v>19</v>
      </c>
      <c r="J143" s="161">
        <v>43234</v>
      </c>
      <c r="K143" s="59"/>
      <c r="L143" s="51" t="s">
        <v>75</v>
      </c>
      <c r="M143" s="51"/>
      <c r="N143" s="48" t="s">
        <v>95</v>
      </c>
    </row>
    <row r="144" spans="1:14" x14ac:dyDescent="0.3">
      <c r="A144" s="273">
        <v>43224</v>
      </c>
      <c r="B144" s="129">
        <v>1</v>
      </c>
      <c r="C144" s="267">
        <v>121756</v>
      </c>
      <c r="D144" s="128">
        <v>60573</v>
      </c>
      <c r="E144" s="127">
        <v>2</v>
      </c>
      <c r="F144" s="49"/>
      <c r="G144" s="51"/>
      <c r="H144" s="51" t="s">
        <v>34</v>
      </c>
      <c r="I144" s="51" t="s">
        <v>19</v>
      </c>
      <c r="J144" s="161">
        <v>43230</v>
      </c>
      <c r="K144" s="59"/>
      <c r="L144" s="51"/>
      <c r="M144" s="51"/>
    </row>
    <row r="145" spans="1:15" x14ac:dyDescent="0.3">
      <c r="A145" s="273">
        <v>43224</v>
      </c>
      <c r="B145" s="129">
        <v>2</v>
      </c>
      <c r="C145" s="267">
        <v>121491</v>
      </c>
      <c r="D145" s="118">
        <v>60467</v>
      </c>
      <c r="E145" s="117">
        <v>5</v>
      </c>
      <c r="F145" s="49"/>
      <c r="G145" s="48"/>
      <c r="H145" s="48" t="s">
        <v>18</v>
      </c>
      <c r="I145" s="48" t="s">
        <v>47</v>
      </c>
      <c r="J145" s="161">
        <v>43237</v>
      </c>
      <c r="K145" s="59"/>
      <c r="L145" s="48" t="s">
        <v>94</v>
      </c>
    </row>
    <row r="146" spans="1:15" x14ac:dyDescent="0.3">
      <c r="A146" s="273">
        <v>43224</v>
      </c>
      <c r="B146" s="129">
        <v>3</v>
      </c>
      <c r="C146" s="267">
        <v>121728</v>
      </c>
      <c r="D146" s="118">
        <v>60540</v>
      </c>
      <c r="E146" s="117">
        <v>1</v>
      </c>
      <c r="F146" s="49"/>
      <c r="G146" s="48"/>
      <c r="H146" s="48" t="s">
        <v>18</v>
      </c>
      <c r="I146" s="48" t="s">
        <v>25</v>
      </c>
      <c r="J146" s="161">
        <v>43248</v>
      </c>
      <c r="K146" s="59"/>
      <c r="L146" s="48" t="s">
        <v>93</v>
      </c>
    </row>
    <row r="147" spans="1:15" x14ac:dyDescent="0.3">
      <c r="A147" s="273">
        <v>43224</v>
      </c>
      <c r="B147" s="129">
        <v>4</v>
      </c>
      <c r="C147" s="267">
        <v>121531</v>
      </c>
      <c r="D147" s="128">
        <v>60394</v>
      </c>
      <c r="E147" s="127">
        <v>6</v>
      </c>
      <c r="F147" s="49"/>
      <c r="G147" s="48"/>
      <c r="H147" s="48" t="s">
        <v>18</v>
      </c>
      <c r="I147" s="48" t="s">
        <v>19</v>
      </c>
      <c r="J147" s="161">
        <v>43234</v>
      </c>
      <c r="K147" s="59"/>
    </row>
    <row r="148" spans="1:15" x14ac:dyDescent="0.3">
      <c r="A148" s="273">
        <v>43224</v>
      </c>
      <c r="B148" s="129">
        <v>5</v>
      </c>
      <c r="C148" s="267">
        <v>121545</v>
      </c>
      <c r="D148" s="128">
        <v>60409</v>
      </c>
      <c r="E148" s="127">
        <v>10</v>
      </c>
      <c r="F148" s="49"/>
      <c r="G148" s="48"/>
      <c r="H148" s="48" t="s">
        <v>18</v>
      </c>
      <c r="I148" s="48" t="s">
        <v>19</v>
      </c>
      <c r="J148" s="161">
        <v>43234</v>
      </c>
      <c r="K148" s="59"/>
    </row>
    <row r="149" spans="1:15" x14ac:dyDescent="0.3">
      <c r="A149" s="273">
        <v>43224</v>
      </c>
      <c r="B149" s="129">
        <v>6</v>
      </c>
      <c r="C149" s="267">
        <v>121546</v>
      </c>
      <c r="D149" s="128">
        <v>60410</v>
      </c>
      <c r="E149" s="127">
        <v>2</v>
      </c>
      <c r="F149" s="49"/>
      <c r="G149" s="48"/>
      <c r="H149" s="48" t="s">
        <v>18</v>
      </c>
      <c r="I149" s="48" t="s">
        <v>19</v>
      </c>
      <c r="J149" s="161">
        <v>43234</v>
      </c>
      <c r="K149" s="59"/>
    </row>
    <row r="150" spans="1:15" x14ac:dyDescent="0.3">
      <c r="A150" s="273">
        <v>43224</v>
      </c>
      <c r="B150" s="129">
        <v>7</v>
      </c>
      <c r="C150" s="267">
        <v>121550</v>
      </c>
      <c r="D150" s="128">
        <v>60413</v>
      </c>
      <c r="E150" s="127">
        <v>10</v>
      </c>
      <c r="F150" s="49"/>
      <c r="G150" s="48"/>
      <c r="H150" s="48" t="s">
        <v>18</v>
      </c>
      <c r="I150" s="48" t="s">
        <v>19</v>
      </c>
      <c r="J150" s="161">
        <v>43234</v>
      </c>
      <c r="K150" s="59"/>
    </row>
    <row r="151" spans="1:15" x14ac:dyDescent="0.3">
      <c r="A151" s="273">
        <v>43224</v>
      </c>
      <c r="B151" s="129">
        <v>8</v>
      </c>
      <c r="C151" s="267">
        <v>121552</v>
      </c>
      <c r="D151" s="128">
        <v>60414</v>
      </c>
      <c r="E151" s="127">
        <v>2</v>
      </c>
      <c r="F151" s="49"/>
      <c r="G151" s="48"/>
      <c r="H151" s="48" t="s">
        <v>18</v>
      </c>
      <c r="I151" s="48" t="s">
        <v>19</v>
      </c>
      <c r="J151" s="161">
        <v>43234</v>
      </c>
      <c r="K151" s="59"/>
    </row>
    <row r="152" spans="1:15" x14ac:dyDescent="0.3">
      <c r="A152" s="273">
        <v>43224</v>
      </c>
      <c r="B152" s="129">
        <v>9</v>
      </c>
      <c r="C152" s="267">
        <v>121557</v>
      </c>
      <c r="D152" s="128">
        <v>60418</v>
      </c>
      <c r="E152" s="127">
        <v>6</v>
      </c>
      <c r="F152" s="49"/>
      <c r="G152" s="48"/>
      <c r="H152" s="48" t="s">
        <v>18</v>
      </c>
      <c r="I152" s="48" t="s">
        <v>19</v>
      </c>
      <c r="J152" s="161">
        <v>43234</v>
      </c>
      <c r="K152" s="59"/>
    </row>
    <row r="153" spans="1:15" x14ac:dyDescent="0.3">
      <c r="A153" s="273">
        <v>43224</v>
      </c>
      <c r="B153" s="129">
        <v>10</v>
      </c>
      <c r="C153" s="267">
        <v>121558</v>
      </c>
      <c r="D153" s="128">
        <v>60419</v>
      </c>
      <c r="E153" s="127">
        <v>4</v>
      </c>
      <c r="F153" s="49"/>
      <c r="G153" s="48"/>
      <c r="H153" s="48" t="s">
        <v>18</v>
      </c>
      <c r="I153" s="48" t="s">
        <v>19</v>
      </c>
      <c r="J153" s="161">
        <v>43234</v>
      </c>
      <c r="K153" s="59"/>
    </row>
    <row r="154" spans="1:15" x14ac:dyDescent="0.3">
      <c r="A154" s="273">
        <v>43224</v>
      </c>
      <c r="B154" s="129">
        <v>11</v>
      </c>
      <c r="C154" s="267">
        <v>121559</v>
      </c>
      <c r="D154" s="128">
        <v>60420</v>
      </c>
      <c r="E154" s="127">
        <v>2</v>
      </c>
      <c r="F154" s="49"/>
      <c r="G154" s="48"/>
      <c r="H154" s="48" t="s">
        <v>18</v>
      </c>
      <c r="I154" s="48" t="s">
        <v>19</v>
      </c>
      <c r="J154" s="161">
        <v>43234</v>
      </c>
      <c r="K154" s="59"/>
    </row>
    <row r="155" spans="1:15" x14ac:dyDescent="0.3">
      <c r="A155" s="273">
        <v>43224</v>
      </c>
      <c r="B155" s="129">
        <v>12</v>
      </c>
      <c r="C155" s="267">
        <v>121562</v>
      </c>
      <c r="D155" s="128">
        <v>60423</v>
      </c>
      <c r="E155" s="127">
        <v>2</v>
      </c>
      <c r="F155" s="49"/>
      <c r="G155" s="48"/>
      <c r="H155" s="48" t="s">
        <v>18</v>
      </c>
      <c r="I155" s="48" t="s">
        <v>19</v>
      </c>
      <c r="J155" s="161">
        <v>43234</v>
      </c>
      <c r="K155" s="59"/>
    </row>
    <row r="156" spans="1:15" x14ac:dyDescent="0.3">
      <c r="A156" s="273">
        <v>43224</v>
      </c>
      <c r="B156" s="129">
        <v>13</v>
      </c>
      <c r="C156" s="267">
        <v>121563</v>
      </c>
      <c r="D156" s="128">
        <v>60424</v>
      </c>
      <c r="E156" s="127">
        <v>6</v>
      </c>
      <c r="F156" s="49"/>
      <c r="G156" s="48"/>
      <c r="H156" s="48" t="s">
        <v>18</v>
      </c>
      <c r="I156" s="48" t="s">
        <v>19</v>
      </c>
      <c r="J156" s="161">
        <v>43234</v>
      </c>
      <c r="K156" s="59"/>
    </row>
    <row r="157" spans="1:15" x14ac:dyDescent="0.3">
      <c r="A157" s="273">
        <v>43224</v>
      </c>
      <c r="B157" s="129">
        <v>14</v>
      </c>
      <c r="C157" s="267">
        <v>121564</v>
      </c>
      <c r="D157" s="128">
        <v>60451</v>
      </c>
      <c r="E157" s="127">
        <v>4</v>
      </c>
      <c r="F157" s="49"/>
      <c r="G157" s="48"/>
      <c r="H157" s="48" t="s">
        <v>18</v>
      </c>
      <c r="I157" s="48" t="s">
        <v>19</v>
      </c>
      <c r="J157" s="161">
        <v>43234</v>
      </c>
      <c r="K157" s="59"/>
    </row>
    <row r="158" spans="1:15" x14ac:dyDescent="0.3">
      <c r="A158" s="273">
        <v>43224</v>
      </c>
      <c r="B158" s="129">
        <v>15</v>
      </c>
      <c r="C158" s="267">
        <v>121733</v>
      </c>
      <c r="D158" s="128">
        <v>60583</v>
      </c>
      <c r="E158" s="127">
        <v>1</v>
      </c>
      <c r="F158" s="49"/>
      <c r="G158" s="51"/>
      <c r="H158" s="51" t="s">
        <v>13</v>
      </c>
      <c r="I158" s="51" t="s">
        <v>14</v>
      </c>
      <c r="J158" s="161">
        <v>43230</v>
      </c>
      <c r="K158" s="59"/>
      <c r="L158" s="51"/>
      <c r="M158" s="51"/>
    </row>
    <row r="159" spans="1:15" x14ac:dyDescent="0.3">
      <c r="A159" s="273">
        <v>43224</v>
      </c>
      <c r="B159" s="129">
        <v>16</v>
      </c>
      <c r="C159" s="267">
        <v>121139</v>
      </c>
      <c r="D159" s="126">
        <v>60055</v>
      </c>
      <c r="E159" s="125">
        <v>5</v>
      </c>
      <c r="F159" s="49"/>
      <c r="G159" s="48"/>
      <c r="H159" s="48" t="s">
        <v>18</v>
      </c>
      <c r="I159" s="48" t="s">
        <v>19</v>
      </c>
      <c r="J159" s="161">
        <v>43227</v>
      </c>
      <c r="K159" s="59"/>
      <c r="L159" s="60" t="s">
        <v>92</v>
      </c>
      <c r="M159" s="60" t="s">
        <v>91</v>
      </c>
      <c r="O159" s="48" t="s">
        <v>52</v>
      </c>
    </row>
    <row r="160" spans="1:15" x14ac:dyDescent="0.3">
      <c r="A160" s="273">
        <v>43227</v>
      </c>
      <c r="B160" s="157">
        <v>1</v>
      </c>
      <c r="C160" s="267">
        <v>121619</v>
      </c>
      <c r="D160" s="128">
        <v>60463</v>
      </c>
      <c r="E160" s="127">
        <v>20</v>
      </c>
      <c r="F160" s="49"/>
      <c r="G160" s="48"/>
      <c r="H160" s="48" t="s">
        <v>18</v>
      </c>
      <c r="I160" s="48" t="s">
        <v>19</v>
      </c>
      <c r="J160" s="161">
        <v>43234</v>
      </c>
      <c r="K160" s="59"/>
      <c r="L160" s="51"/>
      <c r="M160" s="51"/>
    </row>
    <row r="161" spans="1:13" x14ac:dyDescent="0.3">
      <c r="A161" s="273">
        <v>43227</v>
      </c>
      <c r="B161" s="157">
        <v>2</v>
      </c>
      <c r="C161" s="267">
        <v>121795</v>
      </c>
      <c r="D161" s="126">
        <v>60592</v>
      </c>
      <c r="E161" s="125">
        <v>1</v>
      </c>
      <c r="F161" s="49"/>
      <c r="G161" s="48"/>
      <c r="H161" s="48" t="s">
        <v>18</v>
      </c>
      <c r="I161" s="48" t="s">
        <v>19</v>
      </c>
      <c r="J161" s="161">
        <v>43238</v>
      </c>
      <c r="K161" s="59"/>
      <c r="L161" s="89" t="s">
        <v>72</v>
      </c>
      <c r="M161" s="51"/>
    </row>
    <row r="162" spans="1:13" x14ac:dyDescent="0.3">
      <c r="A162" s="273">
        <v>43227</v>
      </c>
      <c r="B162" s="157">
        <v>3</v>
      </c>
      <c r="C162" s="267">
        <v>121794</v>
      </c>
      <c r="D162" s="83">
        <v>60591</v>
      </c>
      <c r="E162" s="82">
        <v>6</v>
      </c>
      <c r="F162" s="49"/>
      <c r="G162" s="48"/>
      <c r="H162" s="48" t="s">
        <v>18</v>
      </c>
      <c r="I162" s="48" t="s">
        <v>19</v>
      </c>
      <c r="J162" s="161">
        <v>43238</v>
      </c>
      <c r="K162" s="59"/>
      <c r="L162" s="89" t="s">
        <v>72</v>
      </c>
      <c r="M162" s="51"/>
    </row>
    <row r="163" spans="1:13" x14ac:dyDescent="0.3">
      <c r="A163" s="273">
        <v>43227</v>
      </c>
      <c r="B163" s="157">
        <v>4</v>
      </c>
      <c r="C163" s="267">
        <v>121791</v>
      </c>
      <c r="D163" s="126">
        <v>60589</v>
      </c>
      <c r="E163" s="125">
        <v>5</v>
      </c>
      <c r="F163" s="49"/>
      <c r="G163" s="48"/>
      <c r="H163" s="48" t="s">
        <v>18</v>
      </c>
      <c r="I163" s="48" t="s">
        <v>19</v>
      </c>
      <c r="J163" s="161">
        <v>43238</v>
      </c>
      <c r="K163" s="59"/>
      <c r="L163" s="89" t="s">
        <v>72</v>
      </c>
      <c r="M163" s="51"/>
    </row>
    <row r="164" spans="1:13" x14ac:dyDescent="0.3">
      <c r="A164" s="273">
        <v>43227</v>
      </c>
      <c r="B164" s="157">
        <v>5</v>
      </c>
      <c r="C164" s="267">
        <v>121669</v>
      </c>
      <c r="D164" s="124">
        <v>60511</v>
      </c>
      <c r="E164" s="123">
        <v>2</v>
      </c>
      <c r="F164" s="49"/>
      <c r="G164" s="48"/>
      <c r="H164" s="48" t="s">
        <v>18</v>
      </c>
      <c r="I164" s="48" t="s">
        <v>19</v>
      </c>
      <c r="J164" s="161">
        <v>43234</v>
      </c>
      <c r="K164" s="59"/>
      <c r="L164" s="51"/>
      <c r="M164" s="51"/>
    </row>
    <row r="165" spans="1:13" x14ac:dyDescent="0.3">
      <c r="A165" s="273">
        <v>43227</v>
      </c>
      <c r="B165" s="157">
        <v>6</v>
      </c>
      <c r="C165" s="267">
        <v>121668</v>
      </c>
      <c r="D165" s="126">
        <v>60509</v>
      </c>
      <c r="E165" s="125">
        <v>1</v>
      </c>
      <c r="F165" s="49"/>
      <c r="G165" s="48"/>
      <c r="H165" s="48" t="s">
        <v>18</v>
      </c>
      <c r="I165" s="48" t="s">
        <v>19</v>
      </c>
      <c r="J165" s="161">
        <v>43234</v>
      </c>
      <c r="K165" s="59"/>
      <c r="L165" s="51"/>
      <c r="M165" s="51"/>
    </row>
    <row r="166" spans="1:13" x14ac:dyDescent="0.3">
      <c r="A166" s="273">
        <v>43227</v>
      </c>
      <c r="B166" s="157">
        <v>7</v>
      </c>
      <c r="C166" s="267">
        <v>121761</v>
      </c>
      <c r="D166" s="88">
        <v>60599</v>
      </c>
      <c r="E166" s="87">
        <v>4</v>
      </c>
      <c r="F166" s="57"/>
      <c r="G166" s="48"/>
      <c r="H166" s="48" t="s">
        <v>18</v>
      </c>
      <c r="I166" s="48" t="s">
        <v>19</v>
      </c>
      <c r="J166" s="161">
        <v>43238</v>
      </c>
      <c r="K166" s="59"/>
      <c r="L166" s="51"/>
      <c r="M166" s="51"/>
    </row>
    <row r="167" spans="1:13" x14ac:dyDescent="0.3">
      <c r="A167" s="273">
        <v>43227</v>
      </c>
      <c r="B167" s="157">
        <v>8</v>
      </c>
      <c r="C167" s="267">
        <v>121497</v>
      </c>
      <c r="D167" s="128">
        <v>60396</v>
      </c>
      <c r="E167" s="127">
        <v>5</v>
      </c>
      <c r="F167" s="49"/>
      <c r="G167" s="48"/>
      <c r="H167" s="48" t="s">
        <v>13</v>
      </c>
      <c r="I167" s="48" t="s">
        <v>19</v>
      </c>
      <c r="J167" s="161">
        <v>43236</v>
      </c>
      <c r="K167" s="59"/>
      <c r="L167" s="51"/>
      <c r="M167" s="51"/>
    </row>
    <row r="168" spans="1:13" x14ac:dyDescent="0.3">
      <c r="A168" s="273">
        <v>43227</v>
      </c>
      <c r="B168" s="157">
        <v>9</v>
      </c>
      <c r="C168" s="267">
        <v>121498</v>
      </c>
      <c r="D168" s="83">
        <v>60370</v>
      </c>
      <c r="E168" s="82">
        <v>1</v>
      </c>
      <c r="F168" s="49"/>
      <c r="G168" s="48"/>
      <c r="H168" s="48" t="s">
        <v>18</v>
      </c>
      <c r="I168" s="48" t="s">
        <v>19</v>
      </c>
      <c r="J168" s="161">
        <v>43236</v>
      </c>
      <c r="K168" s="59"/>
      <c r="L168" s="51"/>
      <c r="M168" s="51"/>
    </row>
    <row r="169" spans="1:13" x14ac:dyDescent="0.3">
      <c r="A169" s="273">
        <v>43227</v>
      </c>
      <c r="B169" s="157">
        <v>10</v>
      </c>
      <c r="C169" s="267">
        <v>121511</v>
      </c>
      <c r="D169" s="126">
        <v>60381</v>
      </c>
      <c r="E169" s="125">
        <v>1</v>
      </c>
      <c r="F169" s="49"/>
      <c r="G169" s="48"/>
      <c r="H169" s="48" t="s">
        <v>18</v>
      </c>
      <c r="I169" s="48" t="s">
        <v>19</v>
      </c>
      <c r="J169" s="161">
        <v>43236</v>
      </c>
      <c r="K169" s="59"/>
      <c r="L169" s="51" t="s">
        <v>35</v>
      </c>
      <c r="M169" s="51"/>
    </row>
    <row r="170" spans="1:13" x14ac:dyDescent="0.3">
      <c r="A170" s="273">
        <v>43227</v>
      </c>
      <c r="B170" s="157">
        <v>11</v>
      </c>
      <c r="C170" s="267">
        <v>121592</v>
      </c>
      <c r="D170" s="126">
        <v>60443</v>
      </c>
      <c r="E170" s="125">
        <v>2</v>
      </c>
      <c r="F170" s="49"/>
      <c r="G170" s="48"/>
      <c r="H170" s="48" t="s">
        <v>18</v>
      </c>
      <c r="I170" s="48" t="s">
        <v>19</v>
      </c>
      <c r="J170" s="161">
        <v>43235</v>
      </c>
      <c r="K170" s="59"/>
      <c r="L170" s="51"/>
      <c r="M170" s="51"/>
    </row>
    <row r="171" spans="1:13" x14ac:dyDescent="0.3">
      <c r="A171" s="273">
        <v>43227</v>
      </c>
      <c r="B171" s="157">
        <v>12</v>
      </c>
      <c r="C171" s="267">
        <v>121590</v>
      </c>
      <c r="D171" s="128">
        <v>60442</v>
      </c>
      <c r="E171" s="127">
        <v>4</v>
      </c>
      <c r="F171" s="49"/>
      <c r="G171" s="48"/>
      <c r="H171" s="48" t="s">
        <v>18</v>
      </c>
      <c r="I171" s="48" t="s">
        <v>19</v>
      </c>
      <c r="J171" s="161">
        <v>43236</v>
      </c>
      <c r="K171" s="59"/>
      <c r="L171" s="51"/>
      <c r="M171" s="51"/>
    </row>
    <row r="172" spans="1:13" x14ac:dyDescent="0.3">
      <c r="A172" s="273">
        <v>43227</v>
      </c>
      <c r="B172" s="157">
        <v>13</v>
      </c>
      <c r="C172" s="267">
        <v>121647</v>
      </c>
      <c r="D172" s="128">
        <v>60485</v>
      </c>
      <c r="E172" s="127">
        <v>2</v>
      </c>
      <c r="F172" s="49"/>
      <c r="G172" s="48"/>
      <c r="H172" s="48" t="s">
        <v>18</v>
      </c>
      <c r="I172" s="48" t="s">
        <v>19</v>
      </c>
      <c r="J172" s="161">
        <v>43237</v>
      </c>
      <c r="K172" s="59"/>
      <c r="L172" s="51"/>
      <c r="M172" s="51"/>
    </row>
    <row r="173" spans="1:13" x14ac:dyDescent="0.3">
      <c r="A173" s="273">
        <v>43227</v>
      </c>
      <c r="B173" s="157">
        <v>14</v>
      </c>
      <c r="C173" s="267">
        <v>121709</v>
      </c>
      <c r="D173" s="128">
        <v>60600</v>
      </c>
      <c r="E173" s="127">
        <v>6</v>
      </c>
      <c r="F173" s="49"/>
      <c r="G173" s="51"/>
      <c r="H173" s="51" t="s">
        <v>13</v>
      </c>
      <c r="I173" s="51" t="s">
        <v>26</v>
      </c>
      <c r="J173" s="161">
        <v>43230</v>
      </c>
      <c r="K173" s="59"/>
      <c r="L173" s="51"/>
      <c r="M173" s="51"/>
    </row>
    <row r="174" spans="1:13" x14ac:dyDescent="0.3">
      <c r="A174" s="273">
        <v>43228</v>
      </c>
      <c r="B174" s="158">
        <v>1</v>
      </c>
      <c r="C174" s="267">
        <v>121181</v>
      </c>
      <c r="D174" s="126">
        <v>60161</v>
      </c>
      <c r="E174" s="125">
        <v>1</v>
      </c>
      <c r="F174" s="52"/>
      <c r="G174" s="51"/>
      <c r="H174" s="51" t="s">
        <v>18</v>
      </c>
      <c r="I174" s="51" t="s">
        <v>19</v>
      </c>
      <c r="J174" s="162">
        <v>43216</v>
      </c>
      <c r="K174" s="90"/>
      <c r="L174" s="55" t="s">
        <v>82</v>
      </c>
      <c r="M174" s="55" t="s">
        <v>90</v>
      </c>
    </row>
    <row r="175" spans="1:13" x14ac:dyDescent="0.3">
      <c r="A175" s="273">
        <v>43228</v>
      </c>
      <c r="B175" s="158">
        <v>2</v>
      </c>
      <c r="C175" s="267">
        <v>121492</v>
      </c>
      <c r="D175" s="118">
        <v>60522</v>
      </c>
      <c r="E175" s="117">
        <v>1</v>
      </c>
      <c r="F175" s="49"/>
      <c r="G175" s="48"/>
      <c r="H175" s="48" t="s">
        <v>18</v>
      </c>
      <c r="I175" s="48" t="s">
        <v>47</v>
      </c>
      <c r="J175" s="161">
        <v>43237</v>
      </c>
      <c r="K175" s="59"/>
    </row>
    <row r="176" spans="1:13" x14ac:dyDescent="0.3">
      <c r="A176" s="273">
        <v>43228</v>
      </c>
      <c r="B176" s="158">
        <v>3</v>
      </c>
      <c r="C176" s="267">
        <v>121578</v>
      </c>
      <c r="D176" s="126">
        <v>60441</v>
      </c>
      <c r="E176" s="125">
        <v>8</v>
      </c>
      <c r="F176" s="49"/>
      <c r="G176" s="48"/>
      <c r="H176" s="48" t="s">
        <v>23</v>
      </c>
      <c r="I176" s="48" t="s">
        <v>15</v>
      </c>
      <c r="J176" s="161">
        <v>43236</v>
      </c>
      <c r="K176" s="59"/>
      <c r="L176" s="48" t="s">
        <v>89</v>
      </c>
    </row>
    <row r="177" spans="1:15" x14ac:dyDescent="0.3">
      <c r="A177" s="273">
        <v>43228</v>
      </c>
      <c r="B177" s="158">
        <v>4</v>
      </c>
      <c r="C177" s="267">
        <v>121655</v>
      </c>
      <c r="D177" s="126">
        <v>60492</v>
      </c>
      <c r="E177" s="125">
        <v>1</v>
      </c>
      <c r="F177" s="49"/>
      <c r="G177" s="48"/>
      <c r="H177" s="48" t="s">
        <v>23</v>
      </c>
      <c r="I177" s="48" t="s">
        <v>27</v>
      </c>
      <c r="J177" s="161">
        <v>43236</v>
      </c>
      <c r="K177" s="59"/>
    </row>
    <row r="178" spans="1:15" x14ac:dyDescent="0.3">
      <c r="A178" s="273">
        <v>43228</v>
      </c>
      <c r="B178" s="158">
        <v>5</v>
      </c>
      <c r="C178" s="267">
        <v>121656</v>
      </c>
      <c r="D178" s="126">
        <v>60499</v>
      </c>
      <c r="E178" s="125">
        <v>10</v>
      </c>
      <c r="F178" s="49"/>
      <c r="G178" s="48"/>
      <c r="H178" s="48" t="s">
        <v>23</v>
      </c>
      <c r="I178" s="48" t="s">
        <v>76</v>
      </c>
      <c r="J178" s="161">
        <v>43236</v>
      </c>
      <c r="K178" s="59"/>
      <c r="L178" s="48" t="s">
        <v>35</v>
      </c>
    </row>
    <row r="179" spans="1:15" x14ac:dyDescent="0.3">
      <c r="A179" s="273">
        <v>43228</v>
      </c>
      <c r="B179" s="158">
        <v>6</v>
      </c>
      <c r="C179" s="267">
        <v>121793</v>
      </c>
      <c r="D179" s="126">
        <v>60590</v>
      </c>
      <c r="E179" s="125">
        <v>1</v>
      </c>
      <c r="F179" s="49"/>
      <c r="G179" s="48"/>
      <c r="H179" s="48" t="s">
        <v>18</v>
      </c>
      <c r="I179" s="48" t="s">
        <v>15</v>
      </c>
      <c r="J179" s="161">
        <v>43236</v>
      </c>
      <c r="K179" s="59"/>
    </row>
    <row r="180" spans="1:15" x14ac:dyDescent="0.3">
      <c r="A180" s="273">
        <v>43228</v>
      </c>
      <c r="B180" s="158">
        <v>7</v>
      </c>
      <c r="C180" s="267">
        <v>121783</v>
      </c>
      <c r="D180" s="126">
        <v>60581</v>
      </c>
      <c r="E180" s="125">
        <v>1</v>
      </c>
      <c r="F180" s="49"/>
      <c r="G180" s="48"/>
      <c r="H180" s="48" t="s">
        <v>18</v>
      </c>
      <c r="I180" s="48" t="s">
        <v>88</v>
      </c>
      <c r="J180" s="161">
        <v>43236</v>
      </c>
      <c r="K180" s="59"/>
      <c r="L180" s="48" t="s">
        <v>52</v>
      </c>
    </row>
    <row r="181" spans="1:15" x14ac:dyDescent="0.3">
      <c r="A181" s="273">
        <v>43228</v>
      </c>
      <c r="B181" s="158">
        <v>8</v>
      </c>
      <c r="C181" s="267">
        <v>121781</v>
      </c>
      <c r="D181" s="126">
        <v>60579</v>
      </c>
      <c r="E181" s="125">
        <v>4</v>
      </c>
      <c r="F181" s="49"/>
      <c r="G181" s="48"/>
      <c r="H181" s="48" t="s">
        <v>18</v>
      </c>
      <c r="I181" s="48" t="s">
        <v>15</v>
      </c>
      <c r="J181" s="161">
        <v>43236</v>
      </c>
      <c r="K181" s="59"/>
    </row>
    <row r="182" spans="1:15" x14ac:dyDescent="0.3">
      <c r="A182" s="273">
        <v>43228</v>
      </c>
      <c r="B182" s="158">
        <v>9</v>
      </c>
      <c r="C182" s="267">
        <v>121782</v>
      </c>
      <c r="D182" s="126">
        <v>60580</v>
      </c>
      <c r="E182" s="125">
        <v>3</v>
      </c>
      <c r="F182" s="49"/>
      <c r="G182" s="48"/>
      <c r="H182" s="48" t="s">
        <v>18</v>
      </c>
      <c r="I182" s="48" t="s">
        <v>15</v>
      </c>
      <c r="J182" s="161">
        <v>43236</v>
      </c>
      <c r="K182" s="59"/>
    </row>
    <row r="183" spans="1:15" x14ac:dyDescent="0.3">
      <c r="A183" s="273">
        <v>43228</v>
      </c>
      <c r="B183" s="158">
        <v>10</v>
      </c>
      <c r="C183" s="267">
        <v>120979</v>
      </c>
      <c r="D183" s="124">
        <v>59917</v>
      </c>
      <c r="E183" s="123">
        <v>43</v>
      </c>
      <c r="F183" s="49"/>
      <c r="G183" s="48"/>
      <c r="H183" s="48" t="s">
        <v>87</v>
      </c>
      <c r="I183" s="48" t="s">
        <v>19</v>
      </c>
      <c r="J183" s="161">
        <v>43231</v>
      </c>
      <c r="K183" s="89" t="s">
        <v>83</v>
      </c>
      <c r="L183" s="51"/>
      <c r="M183" s="55" t="s">
        <v>86</v>
      </c>
      <c r="N183" s="48" t="s">
        <v>85</v>
      </c>
      <c r="O183" s="48" t="s">
        <v>84</v>
      </c>
    </row>
    <row r="184" spans="1:15" x14ac:dyDescent="0.3">
      <c r="A184" s="273">
        <v>43228</v>
      </c>
      <c r="B184" s="158">
        <v>11</v>
      </c>
      <c r="C184" s="267">
        <v>121754</v>
      </c>
      <c r="D184" s="83">
        <v>60649</v>
      </c>
      <c r="E184" s="82">
        <v>2</v>
      </c>
      <c r="F184" s="49"/>
      <c r="G184" s="51"/>
      <c r="H184" s="51" t="s">
        <v>13</v>
      </c>
      <c r="I184" s="51" t="s">
        <v>12</v>
      </c>
      <c r="J184" s="161">
        <v>43237</v>
      </c>
      <c r="K184" s="59"/>
      <c r="L184" s="51"/>
      <c r="M184" s="51"/>
    </row>
    <row r="185" spans="1:15" x14ac:dyDescent="0.3">
      <c r="A185" s="273">
        <v>43228</v>
      </c>
      <c r="B185" s="158">
        <v>12</v>
      </c>
      <c r="C185" s="267">
        <v>121860</v>
      </c>
      <c r="D185" s="126">
        <v>60654</v>
      </c>
      <c r="E185" s="125">
        <v>1</v>
      </c>
      <c r="F185" s="49"/>
      <c r="G185" s="51"/>
      <c r="H185" s="51" t="s">
        <v>18</v>
      </c>
      <c r="I185" s="51" t="s">
        <v>19</v>
      </c>
      <c r="J185" s="161">
        <v>43234</v>
      </c>
      <c r="K185" s="89" t="s">
        <v>83</v>
      </c>
      <c r="L185" s="51"/>
      <c r="M185" s="51"/>
    </row>
    <row r="186" spans="1:15" x14ac:dyDescent="0.3">
      <c r="A186" s="273">
        <v>43229</v>
      </c>
      <c r="B186" s="122">
        <v>1</v>
      </c>
      <c r="C186" s="267">
        <v>121852</v>
      </c>
      <c r="D186" s="83">
        <v>60655</v>
      </c>
      <c r="E186" s="82">
        <v>1</v>
      </c>
      <c r="F186" s="49"/>
      <c r="G186" s="48"/>
      <c r="H186" s="48" t="s">
        <v>13</v>
      </c>
      <c r="I186" s="48" t="s">
        <v>15</v>
      </c>
      <c r="J186" s="161">
        <v>43236</v>
      </c>
      <c r="K186" s="59"/>
    </row>
    <row r="187" spans="1:15" x14ac:dyDescent="0.3">
      <c r="A187" s="273">
        <v>43229</v>
      </c>
      <c r="B187" s="122">
        <v>2</v>
      </c>
      <c r="C187" s="267">
        <v>121607</v>
      </c>
      <c r="D187" s="83">
        <v>60454</v>
      </c>
      <c r="E187" s="82">
        <v>55</v>
      </c>
      <c r="F187" s="52"/>
      <c r="G187" s="48"/>
      <c r="H187" s="48" t="s">
        <v>18</v>
      </c>
      <c r="I187" s="48" t="s">
        <v>27</v>
      </c>
      <c r="J187" s="161">
        <v>43244</v>
      </c>
      <c r="K187" s="59"/>
    </row>
    <row r="188" spans="1:15" x14ac:dyDescent="0.3">
      <c r="A188" s="273">
        <v>43229</v>
      </c>
      <c r="B188" s="122">
        <v>3</v>
      </c>
      <c r="C188" s="267">
        <v>121609</v>
      </c>
      <c r="D188" s="124">
        <v>60455</v>
      </c>
      <c r="E188" s="123">
        <v>10</v>
      </c>
      <c r="F188" s="49"/>
      <c r="G188" s="48"/>
      <c r="H188" s="48" t="s">
        <v>18</v>
      </c>
      <c r="I188" s="48" t="s">
        <v>27</v>
      </c>
      <c r="J188" s="161">
        <v>43244</v>
      </c>
      <c r="K188" s="59"/>
    </row>
    <row r="189" spans="1:15" x14ac:dyDescent="0.3">
      <c r="A189" s="273">
        <v>43229</v>
      </c>
      <c r="B189" s="122">
        <v>4</v>
      </c>
      <c r="C189" s="270">
        <v>121717</v>
      </c>
      <c r="D189" s="77">
        <v>60538</v>
      </c>
      <c r="E189" s="76">
        <v>2</v>
      </c>
      <c r="F189" s="65"/>
      <c r="G189" s="61"/>
      <c r="H189" s="61" t="s">
        <v>23</v>
      </c>
      <c r="I189" s="61" t="s">
        <v>15</v>
      </c>
      <c r="J189" s="163">
        <v>43243</v>
      </c>
      <c r="K189" s="70" t="s">
        <v>79</v>
      </c>
      <c r="L189" s="60" t="s">
        <v>82</v>
      </c>
      <c r="M189" s="60"/>
    </row>
    <row r="190" spans="1:15" x14ac:dyDescent="0.3">
      <c r="A190" s="273">
        <v>43229</v>
      </c>
      <c r="B190" s="122">
        <v>5</v>
      </c>
      <c r="C190" s="270">
        <v>121787</v>
      </c>
      <c r="D190" s="77">
        <v>60587</v>
      </c>
      <c r="E190" s="76">
        <v>6</v>
      </c>
      <c r="F190" s="65"/>
      <c r="G190" s="61"/>
      <c r="H190" s="61" t="s">
        <v>18</v>
      </c>
      <c r="I190" s="61" t="s">
        <v>81</v>
      </c>
      <c r="J190" s="163">
        <v>43243</v>
      </c>
      <c r="K190" s="70"/>
      <c r="L190" s="60"/>
      <c r="M190" s="60"/>
    </row>
    <row r="191" spans="1:15" x14ac:dyDescent="0.3">
      <c r="A191" s="273">
        <v>43230</v>
      </c>
      <c r="B191" s="119">
        <v>1</v>
      </c>
      <c r="C191" s="267">
        <v>121896</v>
      </c>
      <c r="D191" s="83">
        <v>60684</v>
      </c>
      <c r="E191" s="82">
        <v>1</v>
      </c>
      <c r="F191" s="49"/>
      <c r="G191" s="48"/>
      <c r="H191" s="48" t="s">
        <v>13</v>
      </c>
      <c r="I191" s="48" t="s">
        <v>80</v>
      </c>
      <c r="J191" s="161">
        <v>43236</v>
      </c>
      <c r="K191" s="59"/>
      <c r="M191" s="55"/>
      <c r="O191" s="51"/>
    </row>
    <row r="192" spans="1:15" x14ac:dyDescent="0.3">
      <c r="A192" s="273">
        <v>43230</v>
      </c>
      <c r="B192" s="119">
        <v>2</v>
      </c>
      <c r="C192" s="270">
        <v>121676</v>
      </c>
      <c r="D192" s="77">
        <v>60514</v>
      </c>
      <c r="E192" s="76">
        <v>36</v>
      </c>
      <c r="F192" s="65"/>
      <c r="G192" s="61"/>
      <c r="H192" s="61" t="s">
        <v>18</v>
      </c>
      <c r="I192" s="61" t="s">
        <v>19</v>
      </c>
      <c r="J192" s="163">
        <v>43241</v>
      </c>
      <c r="K192" s="70"/>
      <c r="M192" s="60"/>
    </row>
    <row r="193" spans="1:15" x14ac:dyDescent="0.3">
      <c r="A193" s="273">
        <v>43230</v>
      </c>
      <c r="B193" s="119">
        <v>3</v>
      </c>
      <c r="C193" s="267">
        <v>121716</v>
      </c>
      <c r="D193" s="88">
        <v>60537</v>
      </c>
      <c r="E193" s="87">
        <v>1</v>
      </c>
      <c r="F193" s="49"/>
      <c r="G193" s="48"/>
      <c r="H193" s="48" t="s">
        <v>18</v>
      </c>
      <c r="I193" s="48" t="s">
        <v>19</v>
      </c>
      <c r="J193" s="161">
        <v>43241</v>
      </c>
      <c r="K193" s="59" t="s">
        <v>79</v>
      </c>
      <c r="L193" s="48" t="s">
        <v>78</v>
      </c>
    </row>
    <row r="194" spans="1:15" x14ac:dyDescent="0.3">
      <c r="A194" s="274">
        <v>43230</v>
      </c>
      <c r="B194" s="119">
        <v>4</v>
      </c>
      <c r="C194" s="270">
        <v>121895</v>
      </c>
      <c r="D194" s="121">
        <v>60667</v>
      </c>
      <c r="E194" s="120">
        <v>3</v>
      </c>
      <c r="F194" s="65"/>
      <c r="G194" s="61"/>
      <c r="H194" s="61" t="s">
        <v>23</v>
      </c>
      <c r="I194" s="61" t="s">
        <v>19</v>
      </c>
      <c r="J194" s="163">
        <v>43248</v>
      </c>
      <c r="K194" s="70"/>
      <c r="L194" s="61"/>
      <c r="M194" s="61"/>
    </row>
    <row r="195" spans="1:15" x14ac:dyDescent="0.3">
      <c r="A195" s="274">
        <v>43230</v>
      </c>
      <c r="B195" s="119">
        <v>5</v>
      </c>
      <c r="C195" s="270">
        <v>121911</v>
      </c>
      <c r="D195" s="77">
        <v>60671</v>
      </c>
      <c r="E195" s="76">
        <v>6</v>
      </c>
      <c r="F195" s="65"/>
      <c r="G195" s="61"/>
      <c r="H195" s="48" t="s">
        <v>13</v>
      </c>
      <c r="I195" s="61" t="s">
        <v>77</v>
      </c>
      <c r="J195" s="163">
        <v>43237</v>
      </c>
      <c r="K195" s="70"/>
      <c r="L195" s="61"/>
      <c r="M195" s="61"/>
    </row>
    <row r="196" spans="1:15" x14ac:dyDescent="0.3">
      <c r="A196" s="273">
        <v>43230</v>
      </c>
      <c r="B196" s="119">
        <v>6</v>
      </c>
      <c r="C196" s="270">
        <v>121540</v>
      </c>
      <c r="D196" s="79">
        <v>60406</v>
      </c>
      <c r="E196" s="78">
        <v>2</v>
      </c>
      <c r="F196" s="65"/>
      <c r="G196" s="56"/>
      <c r="H196" s="56" t="s">
        <v>18</v>
      </c>
      <c r="I196" s="56" t="s">
        <v>76</v>
      </c>
      <c r="J196" s="163">
        <v>43248</v>
      </c>
      <c r="K196" s="116" t="s">
        <v>72</v>
      </c>
      <c r="L196" s="55" t="s">
        <v>64</v>
      </c>
      <c r="M196" s="55" t="s">
        <v>75</v>
      </c>
      <c r="N196" s="55" t="s">
        <v>74</v>
      </c>
      <c r="O196" s="56" t="s">
        <v>52</v>
      </c>
    </row>
    <row r="197" spans="1:15" x14ac:dyDescent="0.3">
      <c r="A197" s="273">
        <v>43231</v>
      </c>
      <c r="B197" s="69">
        <v>1</v>
      </c>
      <c r="C197" s="267">
        <v>121618</v>
      </c>
      <c r="D197" s="111">
        <v>60462</v>
      </c>
      <c r="E197" s="110">
        <v>50</v>
      </c>
      <c r="F197" s="52"/>
      <c r="G197" s="48"/>
      <c r="H197" s="48" t="s">
        <v>18</v>
      </c>
      <c r="I197" s="48" t="s">
        <v>19</v>
      </c>
      <c r="J197" s="161">
        <v>43243</v>
      </c>
      <c r="K197" s="59"/>
    </row>
    <row r="198" spans="1:15" x14ac:dyDescent="0.3">
      <c r="A198" s="273">
        <v>43231</v>
      </c>
      <c r="B198" s="69">
        <v>2</v>
      </c>
      <c r="C198" s="267">
        <v>121962</v>
      </c>
      <c r="D198" s="118">
        <v>60701</v>
      </c>
      <c r="E198" s="117">
        <v>2</v>
      </c>
      <c r="F198" s="49"/>
      <c r="G198" s="48"/>
      <c r="H198" s="48" t="s">
        <v>18</v>
      </c>
      <c r="I198" s="48" t="s">
        <v>15</v>
      </c>
      <c r="J198" s="161">
        <v>43243</v>
      </c>
      <c r="K198" s="59"/>
    </row>
    <row r="199" spans="1:15" x14ac:dyDescent="0.3">
      <c r="A199" s="273">
        <v>43231</v>
      </c>
      <c r="B199" s="69">
        <v>3</v>
      </c>
      <c r="C199" s="267">
        <v>121690</v>
      </c>
      <c r="D199" s="118">
        <v>60698</v>
      </c>
      <c r="E199" s="117">
        <v>1</v>
      </c>
      <c r="F199" s="49"/>
      <c r="G199" s="48"/>
      <c r="H199" s="48" t="s">
        <v>18</v>
      </c>
      <c r="I199" s="48" t="s">
        <v>15</v>
      </c>
      <c r="J199" s="161">
        <v>43243</v>
      </c>
      <c r="K199" s="59"/>
    </row>
    <row r="200" spans="1:15" x14ac:dyDescent="0.3">
      <c r="A200" s="273">
        <v>43231</v>
      </c>
      <c r="B200" s="69">
        <v>4</v>
      </c>
      <c r="C200" s="267">
        <v>121958</v>
      </c>
      <c r="D200" s="111">
        <v>60697</v>
      </c>
      <c r="E200" s="110">
        <v>1</v>
      </c>
      <c r="F200" s="49"/>
      <c r="G200" s="48"/>
      <c r="H200" s="48" t="s">
        <v>18</v>
      </c>
      <c r="I200" s="48" t="s">
        <v>17</v>
      </c>
      <c r="J200" s="161">
        <v>43243</v>
      </c>
      <c r="K200" s="59"/>
    </row>
    <row r="201" spans="1:15" x14ac:dyDescent="0.3">
      <c r="A201" s="273">
        <v>43231</v>
      </c>
      <c r="B201" s="69">
        <v>5</v>
      </c>
      <c r="C201" s="270">
        <v>121968</v>
      </c>
      <c r="D201" s="85">
        <v>60723</v>
      </c>
      <c r="E201" s="84">
        <v>2</v>
      </c>
      <c r="F201" s="65"/>
      <c r="G201" s="61"/>
      <c r="H201" s="61" t="s">
        <v>13</v>
      </c>
      <c r="I201" s="61" t="s">
        <v>15</v>
      </c>
      <c r="J201" s="163">
        <v>43243</v>
      </c>
      <c r="K201" s="70"/>
      <c r="L201" s="60"/>
      <c r="M201" s="60"/>
    </row>
    <row r="202" spans="1:15" x14ac:dyDescent="0.3">
      <c r="A202" s="273">
        <v>43231</v>
      </c>
      <c r="B202" s="69">
        <v>6</v>
      </c>
      <c r="C202" s="271">
        <v>121931</v>
      </c>
      <c r="D202" s="67">
        <v>60722</v>
      </c>
      <c r="E202" s="67">
        <v>2</v>
      </c>
      <c r="F202" s="65"/>
      <c r="G202" s="61"/>
      <c r="H202" s="61" t="s">
        <v>34</v>
      </c>
      <c r="I202" s="61" t="s">
        <v>19</v>
      </c>
      <c r="J202" s="163">
        <v>43237</v>
      </c>
      <c r="K202" s="70"/>
      <c r="L202" s="60"/>
      <c r="M202" s="60"/>
    </row>
    <row r="203" spans="1:15" x14ac:dyDescent="0.3">
      <c r="A203" s="273">
        <v>43231</v>
      </c>
      <c r="B203" s="69">
        <v>7</v>
      </c>
      <c r="C203" s="267">
        <v>121777</v>
      </c>
      <c r="D203" s="111">
        <v>60577</v>
      </c>
      <c r="E203" s="110">
        <v>5</v>
      </c>
      <c r="F203" s="49"/>
      <c r="G203" s="48"/>
      <c r="H203" s="48" t="s">
        <v>34</v>
      </c>
      <c r="I203" s="48" t="s">
        <v>17</v>
      </c>
      <c r="J203" s="161">
        <v>43243</v>
      </c>
      <c r="K203" s="59"/>
      <c r="L203" s="59" t="s">
        <v>52</v>
      </c>
    </row>
    <row r="204" spans="1:15" x14ac:dyDescent="0.3">
      <c r="A204" s="273">
        <v>43231</v>
      </c>
      <c r="B204" s="69">
        <v>8</v>
      </c>
      <c r="C204" s="267">
        <v>121776</v>
      </c>
      <c r="D204" s="111">
        <v>60576</v>
      </c>
      <c r="E204" s="110">
        <v>12</v>
      </c>
      <c r="F204" s="49"/>
      <c r="G204" s="48"/>
      <c r="H204" s="48" t="s">
        <v>34</v>
      </c>
      <c r="I204" s="48" t="s">
        <v>17</v>
      </c>
      <c r="J204" s="161">
        <v>43243</v>
      </c>
      <c r="K204" s="59"/>
      <c r="L204" s="59" t="s">
        <v>52</v>
      </c>
    </row>
    <row r="205" spans="1:15" x14ac:dyDescent="0.3">
      <c r="A205" s="273">
        <v>43231</v>
      </c>
      <c r="B205" s="69">
        <v>9</v>
      </c>
      <c r="C205" s="267">
        <v>121790</v>
      </c>
      <c r="D205" s="99">
        <v>60598</v>
      </c>
      <c r="E205" s="98">
        <v>4</v>
      </c>
      <c r="F205" s="49"/>
      <c r="G205" s="48"/>
      <c r="H205" s="48" t="s">
        <v>23</v>
      </c>
      <c r="I205" s="48" t="s">
        <v>19</v>
      </c>
      <c r="J205" s="161">
        <v>43243</v>
      </c>
      <c r="K205" s="59"/>
      <c r="L205" s="59" t="s">
        <v>73</v>
      </c>
    </row>
    <row r="206" spans="1:15" x14ac:dyDescent="0.3">
      <c r="A206" s="273">
        <v>43234</v>
      </c>
      <c r="B206" s="113">
        <v>1</v>
      </c>
      <c r="C206" s="267">
        <v>121775</v>
      </c>
      <c r="D206" s="111">
        <v>60575</v>
      </c>
      <c r="E206" s="110">
        <v>19</v>
      </c>
      <c r="F206" s="49"/>
      <c r="G206" s="48"/>
      <c r="H206" s="48" t="s">
        <v>34</v>
      </c>
      <c r="I206" s="48" t="s">
        <v>17</v>
      </c>
      <c r="J206" s="161">
        <v>43243</v>
      </c>
      <c r="K206" s="59"/>
      <c r="L206" s="59" t="s">
        <v>52</v>
      </c>
    </row>
    <row r="207" spans="1:15" x14ac:dyDescent="0.3">
      <c r="A207" s="273">
        <v>43234</v>
      </c>
      <c r="B207" s="113">
        <v>2</v>
      </c>
      <c r="C207" s="267">
        <v>121598</v>
      </c>
      <c r="D207" s="111">
        <v>60500</v>
      </c>
      <c r="E207" s="110">
        <v>2</v>
      </c>
      <c r="F207" s="52"/>
      <c r="G207" s="48"/>
      <c r="H207" s="48" t="s">
        <v>18</v>
      </c>
      <c r="I207" s="48" t="s">
        <v>19</v>
      </c>
      <c r="J207" s="161">
        <v>43241</v>
      </c>
      <c r="K207" s="59"/>
    </row>
    <row r="208" spans="1:15" x14ac:dyDescent="0.3">
      <c r="A208" s="273">
        <v>43234</v>
      </c>
      <c r="B208" s="113">
        <v>3</v>
      </c>
      <c r="C208" s="267">
        <v>121654</v>
      </c>
      <c r="D208" s="111">
        <v>60498</v>
      </c>
      <c r="E208" s="110">
        <v>1</v>
      </c>
      <c r="F208" s="49"/>
      <c r="G208" s="48"/>
      <c r="H208" s="48" t="s">
        <v>13</v>
      </c>
      <c r="I208" s="48" t="s">
        <v>17</v>
      </c>
      <c r="J208" s="161">
        <v>43241</v>
      </c>
      <c r="K208" s="59"/>
      <c r="L208" s="48" t="s">
        <v>35</v>
      </c>
    </row>
    <row r="209" spans="1:15" x14ac:dyDescent="0.3">
      <c r="A209" s="273">
        <v>43234</v>
      </c>
      <c r="B209" s="113">
        <v>4</v>
      </c>
      <c r="C209" s="267">
        <v>121662</v>
      </c>
      <c r="D209" s="111">
        <v>60502</v>
      </c>
      <c r="E209" s="111">
        <v>4</v>
      </c>
      <c r="F209" s="49"/>
      <c r="G209" s="48"/>
      <c r="H209" s="48" t="s">
        <v>18</v>
      </c>
      <c r="I209" s="48" t="s">
        <v>19</v>
      </c>
      <c r="J209" s="161">
        <v>43242</v>
      </c>
      <c r="K209" s="59"/>
    </row>
    <row r="210" spans="1:15" x14ac:dyDescent="0.3">
      <c r="A210" s="273">
        <v>43234</v>
      </c>
      <c r="B210" s="113">
        <v>5</v>
      </c>
      <c r="C210" s="270">
        <v>121925</v>
      </c>
      <c r="D210" s="68">
        <v>60686</v>
      </c>
      <c r="E210" s="67">
        <v>15</v>
      </c>
      <c r="F210" s="65"/>
      <c r="G210" s="61"/>
      <c r="H210" s="61" t="s">
        <v>23</v>
      </c>
      <c r="I210" s="61" t="s">
        <v>51</v>
      </c>
      <c r="J210" s="163">
        <v>43238</v>
      </c>
      <c r="K210" s="116" t="s">
        <v>72</v>
      </c>
      <c r="L210" s="61" t="s">
        <v>52</v>
      </c>
      <c r="M210" s="61">
        <f>E225+E227+E228+E230</f>
        <v>24</v>
      </c>
      <c r="N210" s="61"/>
    </row>
    <row r="211" spans="1:15" x14ac:dyDescent="0.3">
      <c r="A211" s="274">
        <v>43234</v>
      </c>
      <c r="B211" s="113">
        <v>6</v>
      </c>
      <c r="C211" s="270">
        <v>121924</v>
      </c>
      <c r="D211" s="68">
        <v>60685</v>
      </c>
      <c r="E211" s="67">
        <v>8</v>
      </c>
      <c r="F211" s="65"/>
      <c r="G211" s="61"/>
      <c r="H211" s="61" t="s">
        <v>23</v>
      </c>
      <c r="I211" s="61" t="s">
        <v>19</v>
      </c>
      <c r="J211" s="163">
        <v>43238</v>
      </c>
      <c r="K211" s="115" t="s">
        <v>72</v>
      </c>
      <c r="L211" s="61" t="s">
        <v>52</v>
      </c>
      <c r="M211" s="61"/>
    </row>
    <row r="212" spans="1:15" x14ac:dyDescent="0.3">
      <c r="A212" s="273">
        <v>43234</v>
      </c>
      <c r="B212" s="113">
        <v>7</v>
      </c>
      <c r="C212" s="267">
        <v>121657</v>
      </c>
      <c r="D212" s="88">
        <v>60494</v>
      </c>
      <c r="E212" s="87">
        <v>2</v>
      </c>
      <c r="F212" s="49"/>
      <c r="G212" s="48"/>
      <c r="H212" s="48" t="s">
        <v>18</v>
      </c>
      <c r="I212" s="48" t="s">
        <v>19</v>
      </c>
      <c r="J212" s="161">
        <v>43243</v>
      </c>
      <c r="K212" s="59"/>
    </row>
    <row r="213" spans="1:15" x14ac:dyDescent="0.3">
      <c r="A213" s="273">
        <v>43234</v>
      </c>
      <c r="B213" s="113">
        <v>8</v>
      </c>
      <c r="C213" s="267">
        <v>121658</v>
      </c>
      <c r="D213" s="88">
        <v>60495</v>
      </c>
      <c r="E213" s="87">
        <v>1</v>
      </c>
      <c r="F213" s="49"/>
      <c r="G213" s="48"/>
      <c r="H213" s="48" t="s">
        <v>18</v>
      </c>
      <c r="I213" s="48" t="s">
        <v>19</v>
      </c>
      <c r="J213" s="161">
        <v>43243</v>
      </c>
      <c r="K213" s="59"/>
    </row>
    <row r="214" spans="1:15" x14ac:dyDescent="0.3">
      <c r="A214" s="273">
        <v>43234</v>
      </c>
      <c r="B214" s="113">
        <v>9</v>
      </c>
      <c r="C214" s="267">
        <v>121650</v>
      </c>
      <c r="D214" s="111">
        <v>60487</v>
      </c>
      <c r="E214" s="110">
        <v>5</v>
      </c>
      <c r="F214" s="114"/>
      <c r="G214" s="48"/>
      <c r="H214" s="48" t="s">
        <v>18</v>
      </c>
      <c r="I214" s="48" t="s">
        <v>19</v>
      </c>
      <c r="J214" s="161">
        <v>43243</v>
      </c>
      <c r="K214" s="59"/>
      <c r="L214" s="48" t="s">
        <v>35</v>
      </c>
    </row>
    <row r="215" spans="1:15" x14ac:dyDescent="0.3">
      <c r="A215" s="273">
        <v>43234</v>
      </c>
      <c r="B215" s="113">
        <v>10</v>
      </c>
      <c r="C215" s="267">
        <v>121648</v>
      </c>
      <c r="D215" s="88">
        <v>60486</v>
      </c>
      <c r="E215" s="87">
        <v>1</v>
      </c>
      <c r="F215" s="49"/>
      <c r="G215" s="48"/>
      <c r="H215" s="48" t="s">
        <v>18</v>
      </c>
      <c r="I215" s="48" t="s">
        <v>19</v>
      </c>
      <c r="J215" s="161">
        <v>43243</v>
      </c>
      <c r="K215" s="59"/>
    </row>
    <row r="216" spans="1:15" x14ac:dyDescent="0.3">
      <c r="A216" s="273">
        <v>43234</v>
      </c>
      <c r="B216" s="113">
        <v>11</v>
      </c>
      <c r="C216" s="267">
        <v>121649</v>
      </c>
      <c r="D216" s="99">
        <v>60512</v>
      </c>
      <c r="E216" s="98">
        <v>2</v>
      </c>
      <c r="F216" s="49"/>
      <c r="G216" s="48"/>
      <c r="H216" s="48" t="s">
        <v>18</v>
      </c>
      <c r="I216" s="48" t="s">
        <v>19</v>
      </c>
      <c r="J216" s="161">
        <v>43243</v>
      </c>
      <c r="K216" s="59"/>
    </row>
    <row r="217" spans="1:15" x14ac:dyDescent="0.3">
      <c r="A217" s="273">
        <v>43234</v>
      </c>
      <c r="B217" s="113">
        <v>12</v>
      </c>
      <c r="C217" s="267">
        <v>121725</v>
      </c>
      <c r="D217" s="111">
        <v>60539</v>
      </c>
      <c r="E217" s="110">
        <v>1</v>
      </c>
      <c r="F217" s="49"/>
      <c r="G217" s="48"/>
      <c r="H217" s="48" t="s">
        <v>23</v>
      </c>
      <c r="I217" s="48" t="s">
        <v>19</v>
      </c>
      <c r="J217" s="161">
        <v>43243</v>
      </c>
      <c r="K217" s="59"/>
    </row>
    <row r="218" spans="1:15" x14ac:dyDescent="0.3">
      <c r="A218" s="273">
        <v>43234</v>
      </c>
      <c r="B218" s="113">
        <v>13</v>
      </c>
      <c r="C218" s="267">
        <v>121850</v>
      </c>
      <c r="D218" s="111">
        <v>60652</v>
      </c>
      <c r="E218" s="111">
        <v>2</v>
      </c>
      <c r="F218" s="49"/>
      <c r="G218" s="48"/>
      <c r="H218" s="48" t="s">
        <v>13</v>
      </c>
      <c r="I218" s="48" t="s">
        <v>19</v>
      </c>
      <c r="J218" s="161">
        <v>43243</v>
      </c>
      <c r="K218" s="59"/>
      <c r="L218" s="48" t="s">
        <v>71</v>
      </c>
    </row>
    <row r="219" spans="1:15" x14ac:dyDescent="0.3">
      <c r="A219" s="273">
        <v>43234</v>
      </c>
      <c r="B219" s="113">
        <v>14</v>
      </c>
      <c r="C219" s="267">
        <v>121851</v>
      </c>
      <c r="D219" s="111">
        <v>60645</v>
      </c>
      <c r="E219" s="111">
        <v>4</v>
      </c>
      <c r="F219" s="49"/>
      <c r="G219" s="48"/>
      <c r="H219" s="48" t="s">
        <v>23</v>
      </c>
      <c r="I219" s="48" t="s">
        <v>19</v>
      </c>
      <c r="J219" s="161">
        <v>43244</v>
      </c>
      <c r="K219" s="59"/>
    </row>
    <row r="220" spans="1:15" x14ac:dyDescent="0.3">
      <c r="A220" s="273">
        <v>43234</v>
      </c>
      <c r="B220" s="113">
        <v>15</v>
      </c>
      <c r="C220" s="267">
        <v>121634</v>
      </c>
      <c r="D220" s="88">
        <v>60476</v>
      </c>
      <c r="E220" s="87">
        <v>1</v>
      </c>
      <c r="F220" s="49"/>
      <c r="G220" s="48"/>
      <c r="H220" s="48" t="s">
        <v>18</v>
      </c>
      <c r="I220" s="48" t="s">
        <v>36</v>
      </c>
      <c r="J220" s="161">
        <v>43244</v>
      </c>
      <c r="K220" s="59"/>
    </row>
    <row r="221" spans="1:15" x14ac:dyDescent="0.3">
      <c r="A221" s="273">
        <v>43234</v>
      </c>
      <c r="B221" s="113">
        <v>16</v>
      </c>
      <c r="C221" s="267">
        <v>121635</v>
      </c>
      <c r="D221" s="111">
        <v>60477</v>
      </c>
      <c r="E221" s="110">
        <v>9</v>
      </c>
      <c r="F221" s="49"/>
      <c r="G221" s="48"/>
      <c r="H221" s="48" t="s">
        <v>18</v>
      </c>
      <c r="I221" s="48" t="s">
        <v>36</v>
      </c>
      <c r="J221" s="161">
        <v>43244</v>
      </c>
      <c r="K221" s="59"/>
    </row>
    <row r="222" spans="1:15" x14ac:dyDescent="0.3">
      <c r="A222" s="273">
        <v>43235</v>
      </c>
      <c r="B222" s="66">
        <v>1</v>
      </c>
      <c r="C222" s="267">
        <v>121666</v>
      </c>
      <c r="D222" s="88">
        <v>60574</v>
      </c>
      <c r="E222" s="88">
        <v>40</v>
      </c>
      <c r="F222" s="49"/>
      <c r="G222" s="48"/>
      <c r="H222" s="48" t="s">
        <v>13</v>
      </c>
      <c r="I222" s="48" t="s">
        <v>70</v>
      </c>
      <c r="J222" s="161">
        <v>43243</v>
      </c>
      <c r="K222" s="59"/>
      <c r="L222" s="48" t="s">
        <v>67</v>
      </c>
      <c r="M222" s="48" t="s">
        <v>69</v>
      </c>
    </row>
    <row r="223" spans="1:15" x14ac:dyDescent="0.3">
      <c r="A223" s="273">
        <v>43235</v>
      </c>
      <c r="B223" s="66">
        <v>2</v>
      </c>
      <c r="C223" s="267">
        <v>121752</v>
      </c>
      <c r="D223" s="88">
        <v>60612</v>
      </c>
      <c r="E223" s="88">
        <v>24</v>
      </c>
      <c r="F223" s="49"/>
      <c r="G223" s="48"/>
      <c r="H223" s="48" t="s">
        <v>13</v>
      </c>
      <c r="I223" s="48" t="s">
        <v>68</v>
      </c>
      <c r="J223" s="161">
        <v>43243</v>
      </c>
      <c r="K223" s="59"/>
      <c r="L223" s="48" t="s">
        <v>67</v>
      </c>
      <c r="M223" s="48" t="s">
        <v>66</v>
      </c>
      <c r="O223" s="112"/>
    </row>
    <row r="224" spans="1:15" x14ac:dyDescent="0.3">
      <c r="A224" s="273">
        <v>43235</v>
      </c>
      <c r="B224" s="66">
        <v>3</v>
      </c>
      <c r="C224" s="267"/>
      <c r="D224" s="88"/>
      <c r="E224" s="88"/>
      <c r="F224" s="49"/>
      <c r="G224" s="48"/>
      <c r="H224" s="48"/>
      <c r="I224" s="48"/>
      <c r="K224" s="59"/>
    </row>
    <row r="225" spans="1:14" x14ac:dyDescent="0.3">
      <c r="A225" s="273">
        <v>43235</v>
      </c>
      <c r="B225" s="66">
        <v>4</v>
      </c>
      <c r="C225" s="267">
        <v>121163</v>
      </c>
      <c r="D225" s="111">
        <v>60066</v>
      </c>
      <c r="E225" s="110">
        <v>8</v>
      </c>
      <c r="F225" s="52"/>
      <c r="G225" s="51"/>
      <c r="H225" s="51" t="s">
        <v>13</v>
      </c>
      <c r="I225" s="51" t="s">
        <v>14</v>
      </c>
      <c r="J225" s="162">
        <v>43247</v>
      </c>
      <c r="K225" s="90"/>
      <c r="L225" s="51"/>
      <c r="M225" s="51" t="s">
        <v>64</v>
      </c>
      <c r="N225" s="51"/>
    </row>
    <row r="226" spans="1:14" x14ac:dyDescent="0.3">
      <c r="A226" s="273">
        <v>43235</v>
      </c>
      <c r="B226" s="66">
        <v>5</v>
      </c>
      <c r="C226" s="267">
        <v>121156</v>
      </c>
      <c r="D226" s="88">
        <v>60071</v>
      </c>
      <c r="E226" s="87">
        <v>2</v>
      </c>
      <c r="F226" s="52"/>
      <c r="G226" s="51"/>
      <c r="H226" s="51" t="s">
        <v>13</v>
      </c>
      <c r="I226" s="51" t="s">
        <v>14</v>
      </c>
      <c r="J226" s="162">
        <v>43247</v>
      </c>
      <c r="K226" s="90"/>
      <c r="L226" s="51"/>
      <c r="M226" s="51" t="s">
        <v>64</v>
      </c>
      <c r="N226" s="51"/>
    </row>
    <row r="227" spans="1:14" x14ac:dyDescent="0.3">
      <c r="A227" s="273">
        <v>43235</v>
      </c>
      <c r="B227" s="66">
        <v>6</v>
      </c>
      <c r="C227" s="267">
        <v>122019</v>
      </c>
      <c r="D227" s="88">
        <v>60751</v>
      </c>
      <c r="E227" s="87">
        <v>2</v>
      </c>
      <c r="F227" s="49"/>
      <c r="G227" s="48"/>
      <c r="H227" s="48" t="s">
        <v>18</v>
      </c>
      <c r="I227" s="48" t="s">
        <v>19</v>
      </c>
      <c r="J227" s="161">
        <v>43244</v>
      </c>
      <c r="K227" s="59"/>
    </row>
    <row r="228" spans="1:14" x14ac:dyDescent="0.3">
      <c r="A228" s="273">
        <v>43235</v>
      </c>
      <c r="B228" s="66">
        <v>7</v>
      </c>
      <c r="C228" s="272">
        <v>122022</v>
      </c>
      <c r="D228" s="109">
        <v>60738</v>
      </c>
      <c r="E228" s="108">
        <v>1</v>
      </c>
      <c r="F228" s="103"/>
      <c r="G228" s="102"/>
      <c r="H228" s="102" t="s">
        <v>18</v>
      </c>
      <c r="I228" s="102" t="s">
        <v>15</v>
      </c>
      <c r="J228" s="164">
        <v>43243</v>
      </c>
      <c r="K228" s="64"/>
      <c r="M228" s="60"/>
    </row>
    <row r="229" spans="1:14" x14ac:dyDescent="0.3">
      <c r="A229" s="273">
        <v>43235</v>
      </c>
      <c r="B229" s="66">
        <v>8</v>
      </c>
      <c r="C229" s="272">
        <v>122019</v>
      </c>
      <c r="D229" s="107">
        <v>60751</v>
      </c>
      <c r="E229" s="106">
        <v>2</v>
      </c>
      <c r="F229" s="103"/>
      <c r="G229" s="102"/>
      <c r="H229" s="102" t="s">
        <v>18</v>
      </c>
      <c r="I229" s="102" t="s">
        <v>19</v>
      </c>
      <c r="J229" s="164">
        <v>43244</v>
      </c>
      <c r="K229" s="59"/>
    </row>
    <row r="230" spans="1:14" x14ac:dyDescent="0.3">
      <c r="A230" s="273">
        <v>43235</v>
      </c>
      <c r="B230" s="66">
        <v>9</v>
      </c>
      <c r="C230" s="272">
        <v>122017</v>
      </c>
      <c r="D230" s="105">
        <v>60730</v>
      </c>
      <c r="E230" s="104">
        <v>13</v>
      </c>
      <c r="F230" s="103"/>
      <c r="G230" s="102"/>
      <c r="H230" s="102" t="s">
        <v>18</v>
      </c>
      <c r="I230" s="102" t="s">
        <v>54</v>
      </c>
      <c r="J230" s="164">
        <v>43243</v>
      </c>
      <c r="K230" s="59"/>
    </row>
    <row r="231" spans="1:14" x14ac:dyDescent="0.3">
      <c r="A231" s="273">
        <v>43236</v>
      </c>
      <c r="B231" s="97">
        <v>1</v>
      </c>
      <c r="C231" s="267">
        <v>122042</v>
      </c>
      <c r="D231" s="88">
        <v>60776</v>
      </c>
      <c r="E231" s="87">
        <v>2</v>
      </c>
      <c r="F231" s="49"/>
      <c r="G231" s="48"/>
      <c r="H231" s="48" t="s">
        <v>13</v>
      </c>
      <c r="I231" s="48" t="s">
        <v>15</v>
      </c>
      <c r="J231" s="162">
        <v>43243</v>
      </c>
      <c r="K231" s="48"/>
    </row>
    <row r="232" spans="1:14" x14ac:dyDescent="0.3">
      <c r="A232" s="273">
        <v>43236</v>
      </c>
      <c r="B232" s="97">
        <v>2</v>
      </c>
      <c r="C232" s="267">
        <v>121138</v>
      </c>
      <c r="D232" s="88">
        <v>60045</v>
      </c>
      <c r="E232" s="87">
        <v>43</v>
      </c>
      <c r="F232" s="52"/>
      <c r="G232" s="51"/>
      <c r="H232" s="51" t="s">
        <v>18</v>
      </c>
      <c r="I232" s="51" t="s">
        <v>19</v>
      </c>
      <c r="J232" s="162">
        <v>43247</v>
      </c>
      <c r="K232" s="90"/>
      <c r="L232" s="51" t="s">
        <v>65</v>
      </c>
      <c r="M232" s="51" t="s">
        <v>64</v>
      </c>
      <c r="N232" s="51" t="s">
        <v>63</v>
      </c>
    </row>
    <row r="233" spans="1:14" x14ac:dyDescent="0.3">
      <c r="A233" s="273">
        <v>43236</v>
      </c>
      <c r="B233" s="97">
        <v>3</v>
      </c>
      <c r="C233" s="267">
        <v>121729</v>
      </c>
      <c r="D233" s="101">
        <v>60549</v>
      </c>
      <c r="E233" s="100">
        <v>2</v>
      </c>
      <c r="F233" s="49"/>
      <c r="G233" s="48"/>
      <c r="H233" s="48" t="s">
        <v>13</v>
      </c>
      <c r="I233" s="48" t="s">
        <v>15</v>
      </c>
      <c r="J233" s="161">
        <v>43248</v>
      </c>
      <c r="K233" s="59"/>
    </row>
    <row r="234" spans="1:14" x14ac:dyDescent="0.3">
      <c r="A234" s="274">
        <v>43236</v>
      </c>
      <c r="B234" s="97">
        <v>4</v>
      </c>
      <c r="C234" s="270">
        <v>121914</v>
      </c>
      <c r="D234" s="79">
        <v>60679</v>
      </c>
      <c r="E234" s="78">
        <v>16</v>
      </c>
      <c r="F234" s="65"/>
      <c r="G234" s="61"/>
      <c r="H234" s="61" t="s">
        <v>23</v>
      </c>
      <c r="I234" s="61" t="s">
        <v>12</v>
      </c>
      <c r="J234" s="163">
        <v>43248</v>
      </c>
      <c r="K234" s="61"/>
      <c r="L234" s="61"/>
      <c r="M234" s="61"/>
    </row>
    <row r="235" spans="1:14" x14ac:dyDescent="0.3">
      <c r="A235" s="274">
        <v>43236</v>
      </c>
      <c r="B235" s="97">
        <v>5</v>
      </c>
      <c r="C235" s="270">
        <v>121993</v>
      </c>
      <c r="D235" s="96">
        <v>60713</v>
      </c>
      <c r="E235" s="95">
        <v>1</v>
      </c>
      <c r="F235" s="65"/>
      <c r="G235" s="61"/>
      <c r="H235" s="61" t="s">
        <v>62</v>
      </c>
      <c r="I235" s="61" t="s">
        <v>19</v>
      </c>
      <c r="J235" s="163">
        <v>43248</v>
      </c>
      <c r="K235" s="61"/>
      <c r="L235" s="61" t="s">
        <v>61</v>
      </c>
      <c r="M235" s="61"/>
    </row>
    <row r="236" spans="1:14" ht="15.75" customHeight="1" x14ac:dyDescent="0.3">
      <c r="A236" s="274">
        <v>43236</v>
      </c>
      <c r="B236" s="97">
        <v>6</v>
      </c>
      <c r="C236" s="270">
        <v>121998</v>
      </c>
      <c r="D236" s="79">
        <v>60724</v>
      </c>
      <c r="E236" s="78">
        <v>4</v>
      </c>
      <c r="F236" s="65"/>
      <c r="G236" s="61"/>
      <c r="H236" s="61" t="s">
        <v>18</v>
      </c>
      <c r="I236" s="61" t="s">
        <v>19</v>
      </c>
      <c r="J236" s="163">
        <v>43248</v>
      </c>
      <c r="K236" s="61"/>
      <c r="L236" s="61"/>
      <c r="M236" s="61"/>
    </row>
    <row r="237" spans="1:14" x14ac:dyDescent="0.3">
      <c r="A237" s="273">
        <v>43236</v>
      </c>
      <c r="B237" s="97">
        <v>7</v>
      </c>
      <c r="C237" s="267">
        <v>121875</v>
      </c>
      <c r="D237" s="99">
        <v>60656</v>
      </c>
      <c r="E237" s="98">
        <v>4</v>
      </c>
      <c r="F237" s="52"/>
      <c r="G237" s="48"/>
      <c r="H237" s="48" t="s">
        <v>23</v>
      </c>
      <c r="I237" s="48" t="s">
        <v>26</v>
      </c>
      <c r="J237" s="161">
        <v>43248</v>
      </c>
      <c r="K237" s="59"/>
    </row>
    <row r="238" spans="1:14" x14ac:dyDescent="0.3">
      <c r="A238" s="273">
        <v>43236</v>
      </c>
      <c r="B238" s="97">
        <v>8</v>
      </c>
      <c r="C238" s="270">
        <v>122089</v>
      </c>
      <c r="D238" s="96">
        <v>60785</v>
      </c>
      <c r="E238" s="95">
        <v>5</v>
      </c>
      <c r="F238" s="49"/>
      <c r="G238" s="61"/>
      <c r="H238" s="61" t="s">
        <v>18</v>
      </c>
      <c r="I238" s="61" t="s">
        <v>54</v>
      </c>
      <c r="J238" s="161">
        <v>43243</v>
      </c>
      <c r="K238" s="48"/>
    </row>
    <row r="239" spans="1:14" ht="13.5" customHeight="1" x14ac:dyDescent="0.3">
      <c r="A239" s="273">
        <v>43237</v>
      </c>
      <c r="B239" s="86">
        <v>1</v>
      </c>
      <c r="C239" s="270">
        <v>122075</v>
      </c>
      <c r="D239" s="79">
        <v>60769</v>
      </c>
      <c r="E239" s="78">
        <v>1</v>
      </c>
      <c r="F239" s="49"/>
      <c r="H239" s="61" t="s">
        <v>18</v>
      </c>
      <c r="I239" s="61" t="s">
        <v>51</v>
      </c>
      <c r="J239" s="163">
        <v>43255</v>
      </c>
      <c r="K239" s="59"/>
    </row>
    <row r="240" spans="1:14" ht="13.5" customHeight="1" x14ac:dyDescent="0.3">
      <c r="A240" s="273">
        <v>43237</v>
      </c>
      <c r="B240" s="86">
        <v>2</v>
      </c>
      <c r="C240" s="267">
        <v>121688</v>
      </c>
      <c r="D240" s="88">
        <v>60520</v>
      </c>
      <c r="E240" s="87">
        <v>7</v>
      </c>
      <c r="F240" s="52"/>
      <c r="G240" s="48"/>
      <c r="H240" s="48" t="s">
        <v>18</v>
      </c>
      <c r="I240" s="48" t="s">
        <v>17</v>
      </c>
      <c r="J240" s="161">
        <v>43250</v>
      </c>
      <c r="K240" s="59"/>
      <c r="L240" s="48" t="s">
        <v>35</v>
      </c>
    </row>
    <row r="241" spans="1:13" ht="13.5" customHeight="1" x14ac:dyDescent="0.3">
      <c r="A241" s="273">
        <v>43237</v>
      </c>
      <c r="B241" s="86">
        <v>3</v>
      </c>
      <c r="C241" s="267">
        <v>121832</v>
      </c>
      <c r="D241" s="88">
        <v>60651</v>
      </c>
      <c r="E241" s="87">
        <v>8</v>
      </c>
      <c r="F241" s="49"/>
      <c r="G241" s="48"/>
      <c r="H241" s="48" t="s">
        <v>13</v>
      </c>
      <c r="I241" s="48" t="s">
        <v>14</v>
      </c>
      <c r="J241" s="161">
        <v>43250</v>
      </c>
      <c r="K241" s="59"/>
    </row>
    <row r="242" spans="1:13" ht="13.5" customHeight="1" x14ac:dyDescent="0.3">
      <c r="A242" s="273">
        <v>43237</v>
      </c>
      <c r="B242" s="86">
        <v>4</v>
      </c>
      <c r="C242" s="270">
        <v>121881</v>
      </c>
      <c r="D242" s="85">
        <v>60658</v>
      </c>
      <c r="E242" s="84">
        <v>1</v>
      </c>
      <c r="F242" s="65"/>
      <c r="G242" s="61"/>
      <c r="H242" s="61" t="s">
        <v>18</v>
      </c>
      <c r="I242" s="61" t="s">
        <v>19</v>
      </c>
      <c r="J242" s="163">
        <v>43250</v>
      </c>
      <c r="K242" s="59"/>
    </row>
    <row r="243" spans="1:13" ht="13.5" customHeight="1" x14ac:dyDescent="0.3">
      <c r="A243" s="273">
        <v>43237</v>
      </c>
      <c r="B243" s="86">
        <v>5</v>
      </c>
      <c r="C243" s="270">
        <v>121955</v>
      </c>
      <c r="D243" s="85">
        <v>60696</v>
      </c>
      <c r="E243" s="84">
        <v>2</v>
      </c>
      <c r="F243" s="65"/>
      <c r="G243" s="61"/>
      <c r="H243" s="61" t="s">
        <v>18</v>
      </c>
      <c r="I243" s="61" t="s">
        <v>54</v>
      </c>
      <c r="J243" s="163">
        <v>43250</v>
      </c>
      <c r="K243" s="59"/>
    </row>
    <row r="244" spans="1:13" ht="13.5" customHeight="1" x14ac:dyDescent="0.3">
      <c r="A244" s="273">
        <v>43237</v>
      </c>
      <c r="B244" s="86">
        <v>6</v>
      </c>
      <c r="C244" s="267">
        <v>122058</v>
      </c>
      <c r="D244" s="88">
        <v>60773</v>
      </c>
      <c r="E244" s="87">
        <v>1</v>
      </c>
      <c r="F244" s="49"/>
      <c r="G244" s="48"/>
      <c r="H244" s="48" t="s">
        <v>18</v>
      </c>
      <c r="I244" s="48" t="s">
        <v>60</v>
      </c>
      <c r="J244" s="163">
        <v>43250</v>
      </c>
      <c r="K244" s="59"/>
    </row>
    <row r="245" spans="1:13" ht="13.5" customHeight="1" x14ac:dyDescent="0.3">
      <c r="A245" s="273">
        <v>43237</v>
      </c>
      <c r="B245" s="86">
        <v>7</v>
      </c>
      <c r="C245" s="270">
        <v>122093</v>
      </c>
      <c r="D245" s="79">
        <v>60824</v>
      </c>
      <c r="E245" s="78">
        <v>1</v>
      </c>
      <c r="F245" s="49"/>
      <c r="G245" s="61"/>
      <c r="H245" s="61" t="s">
        <v>13</v>
      </c>
      <c r="I245" s="61" t="s">
        <v>36</v>
      </c>
      <c r="J245" s="163">
        <v>43257</v>
      </c>
      <c r="K245" s="59"/>
    </row>
    <row r="246" spans="1:13" ht="13.5" customHeight="1" x14ac:dyDescent="0.3">
      <c r="A246" s="273">
        <v>43237</v>
      </c>
      <c r="B246" s="86">
        <v>8</v>
      </c>
      <c r="C246" s="270">
        <v>122085</v>
      </c>
      <c r="D246" s="79">
        <v>60825</v>
      </c>
      <c r="E246" s="78">
        <v>1</v>
      </c>
      <c r="F246" s="49"/>
      <c r="G246" s="61"/>
      <c r="H246" s="61" t="s">
        <v>13</v>
      </c>
      <c r="I246" s="61" t="s">
        <v>59</v>
      </c>
      <c r="J246" s="163">
        <v>43257</v>
      </c>
      <c r="K246" s="59"/>
    </row>
    <row r="247" spans="1:13" ht="13.5" customHeight="1" x14ac:dyDescent="0.3">
      <c r="A247" s="273">
        <v>43237</v>
      </c>
      <c r="B247" s="86">
        <v>9</v>
      </c>
      <c r="C247" s="270">
        <v>122087</v>
      </c>
      <c r="D247" s="79">
        <v>60826</v>
      </c>
      <c r="E247" s="78">
        <v>3</v>
      </c>
      <c r="F247" s="49"/>
      <c r="G247" s="61"/>
      <c r="H247" s="61" t="s">
        <v>13</v>
      </c>
      <c r="I247" s="61" t="s">
        <v>36</v>
      </c>
      <c r="J247" s="163">
        <v>43257</v>
      </c>
      <c r="K247" s="59"/>
    </row>
    <row r="248" spans="1:13" ht="13.5" customHeight="1" x14ac:dyDescent="0.3">
      <c r="A248" s="273">
        <v>43237</v>
      </c>
      <c r="B248" s="86">
        <v>10</v>
      </c>
      <c r="C248" s="270">
        <v>122098</v>
      </c>
      <c r="D248" s="79">
        <v>60827</v>
      </c>
      <c r="E248" s="78">
        <v>6</v>
      </c>
      <c r="F248" s="49"/>
      <c r="G248" s="61"/>
      <c r="H248" s="61" t="s">
        <v>13</v>
      </c>
      <c r="I248" s="61" t="s">
        <v>12</v>
      </c>
      <c r="J248" s="163">
        <v>43248</v>
      </c>
      <c r="K248" s="59"/>
    </row>
    <row r="249" spans="1:13" ht="13.5" customHeight="1" x14ac:dyDescent="0.3">
      <c r="A249" s="273">
        <v>43237</v>
      </c>
      <c r="B249" s="86">
        <v>11</v>
      </c>
      <c r="C249" s="270">
        <v>122090</v>
      </c>
      <c r="D249" s="79">
        <v>60786</v>
      </c>
      <c r="E249" s="78">
        <v>1</v>
      </c>
      <c r="F249" s="49"/>
      <c r="G249" s="61"/>
      <c r="H249" s="61" t="s">
        <v>18</v>
      </c>
      <c r="I249" s="61" t="s">
        <v>15</v>
      </c>
      <c r="J249" s="163">
        <v>43255</v>
      </c>
      <c r="K249" s="59"/>
    </row>
    <row r="250" spans="1:13" ht="17.25" customHeight="1" x14ac:dyDescent="0.3">
      <c r="A250" s="273">
        <v>43237</v>
      </c>
      <c r="B250" s="86">
        <v>12</v>
      </c>
      <c r="C250" s="270">
        <v>121929</v>
      </c>
      <c r="D250" s="85">
        <v>60817</v>
      </c>
      <c r="E250" s="84">
        <v>11</v>
      </c>
      <c r="F250" s="49"/>
      <c r="H250" s="61" t="s">
        <v>13</v>
      </c>
      <c r="I250" s="61" t="s">
        <v>15</v>
      </c>
      <c r="J250" s="163">
        <v>43250</v>
      </c>
      <c r="K250" s="59"/>
    </row>
    <row r="251" spans="1:13" x14ac:dyDescent="0.3">
      <c r="A251" s="273">
        <v>43237</v>
      </c>
      <c r="B251" s="86">
        <v>13</v>
      </c>
      <c r="C251" s="270">
        <v>121932</v>
      </c>
      <c r="D251" s="85">
        <v>60815</v>
      </c>
      <c r="E251" s="84">
        <v>1</v>
      </c>
      <c r="F251" s="49"/>
      <c r="H251" s="61" t="s">
        <v>13</v>
      </c>
      <c r="I251" s="61" t="s">
        <v>15</v>
      </c>
      <c r="J251" s="163">
        <v>43250</v>
      </c>
      <c r="K251" s="59"/>
    </row>
    <row r="252" spans="1:13" x14ac:dyDescent="0.3">
      <c r="A252" s="273">
        <v>43237</v>
      </c>
      <c r="B252" s="86">
        <v>14</v>
      </c>
      <c r="C252" s="270">
        <v>121933</v>
      </c>
      <c r="D252" s="79">
        <v>60814</v>
      </c>
      <c r="E252" s="78">
        <v>14</v>
      </c>
      <c r="F252" s="49"/>
      <c r="H252" s="61" t="s">
        <v>13</v>
      </c>
      <c r="I252" s="61" t="s">
        <v>15</v>
      </c>
      <c r="J252" s="163">
        <v>43250</v>
      </c>
      <c r="K252" s="59"/>
    </row>
    <row r="253" spans="1:13" x14ac:dyDescent="0.3">
      <c r="A253" s="273">
        <v>43237</v>
      </c>
      <c r="B253" s="86">
        <v>15</v>
      </c>
      <c r="C253" s="270">
        <v>121936</v>
      </c>
      <c r="D253" s="79">
        <v>60813</v>
      </c>
      <c r="E253" s="78">
        <v>9</v>
      </c>
      <c r="F253" s="49"/>
      <c r="H253" s="61" t="s">
        <v>13</v>
      </c>
      <c r="I253" s="61" t="s">
        <v>15</v>
      </c>
      <c r="J253" s="163">
        <v>43250</v>
      </c>
      <c r="K253" s="59"/>
    </row>
    <row r="254" spans="1:13" x14ac:dyDescent="0.3">
      <c r="A254" s="273">
        <v>43237</v>
      </c>
      <c r="B254" s="86">
        <v>16</v>
      </c>
      <c r="C254" s="270">
        <v>121946</v>
      </c>
      <c r="D254" s="79">
        <v>60812</v>
      </c>
      <c r="E254" s="78">
        <v>7</v>
      </c>
      <c r="F254" s="49"/>
      <c r="H254" s="61" t="s">
        <v>13</v>
      </c>
      <c r="I254" s="61" t="s">
        <v>15</v>
      </c>
      <c r="J254" s="163">
        <v>43250</v>
      </c>
      <c r="K254" s="59"/>
    </row>
    <row r="255" spans="1:13" x14ac:dyDescent="0.3">
      <c r="A255" s="273">
        <v>43237</v>
      </c>
      <c r="B255" s="86">
        <v>17</v>
      </c>
      <c r="C255" s="270">
        <v>121948</v>
      </c>
      <c r="D255" s="79">
        <v>60811</v>
      </c>
      <c r="E255" s="78">
        <v>8</v>
      </c>
      <c r="F255" s="49"/>
      <c r="H255" s="61" t="s">
        <v>13</v>
      </c>
      <c r="I255" s="61" t="s">
        <v>15</v>
      </c>
      <c r="J255" s="163">
        <v>43250</v>
      </c>
      <c r="K255" s="59"/>
    </row>
    <row r="256" spans="1:13" x14ac:dyDescent="0.3">
      <c r="A256" s="273">
        <v>43237</v>
      </c>
      <c r="B256" s="86">
        <v>18</v>
      </c>
      <c r="C256" s="267">
        <v>121712</v>
      </c>
      <c r="D256" s="88">
        <v>60536</v>
      </c>
      <c r="E256" s="87">
        <v>2</v>
      </c>
      <c r="F256" s="49"/>
      <c r="G256" s="48"/>
      <c r="H256" s="48" t="s">
        <v>18</v>
      </c>
      <c r="I256" s="48" t="s">
        <v>50</v>
      </c>
      <c r="J256" s="161">
        <v>43243</v>
      </c>
      <c r="K256" s="59" t="s">
        <v>58</v>
      </c>
      <c r="L256" s="48" t="s">
        <v>57</v>
      </c>
      <c r="M256" s="48" t="s">
        <v>35</v>
      </c>
    </row>
    <row r="257" spans="1:13" x14ac:dyDescent="0.3">
      <c r="A257" s="273">
        <v>43237</v>
      </c>
      <c r="B257" s="86">
        <v>19</v>
      </c>
      <c r="C257" s="270">
        <v>122047</v>
      </c>
      <c r="D257" s="79">
        <v>60754</v>
      </c>
      <c r="E257" s="78">
        <v>1</v>
      </c>
      <c r="F257" s="65"/>
      <c r="G257" s="61"/>
      <c r="H257" s="61" t="s">
        <v>23</v>
      </c>
      <c r="I257" s="61" t="s">
        <v>15</v>
      </c>
      <c r="J257" s="163">
        <v>43250</v>
      </c>
      <c r="K257" s="59" t="s">
        <v>29</v>
      </c>
    </row>
    <row r="258" spans="1:13" x14ac:dyDescent="0.3">
      <c r="A258" s="273">
        <v>43237</v>
      </c>
      <c r="B258" s="86">
        <v>20</v>
      </c>
      <c r="C258" s="270">
        <v>121513</v>
      </c>
      <c r="D258" s="79">
        <v>60382</v>
      </c>
      <c r="E258" s="78">
        <v>2</v>
      </c>
      <c r="F258" s="65"/>
      <c r="G258" s="61"/>
      <c r="H258" s="61" t="s">
        <v>23</v>
      </c>
      <c r="I258" s="61" t="s">
        <v>14</v>
      </c>
      <c r="J258" s="163">
        <v>43234</v>
      </c>
      <c r="K258" s="59"/>
    </row>
    <row r="259" spans="1:13" x14ac:dyDescent="0.3">
      <c r="A259" s="273">
        <v>43238</v>
      </c>
      <c r="B259" s="157">
        <v>1</v>
      </c>
      <c r="C259" s="270"/>
      <c r="D259" s="77">
        <v>60854</v>
      </c>
      <c r="E259" s="76">
        <v>7</v>
      </c>
      <c r="F259" s="57"/>
      <c r="G259" s="61"/>
      <c r="H259" s="61" t="s">
        <v>13</v>
      </c>
      <c r="I259" s="61" t="s">
        <v>15</v>
      </c>
      <c r="J259" s="163">
        <v>43238</v>
      </c>
      <c r="K259" s="59"/>
    </row>
    <row r="260" spans="1:13" x14ac:dyDescent="0.3">
      <c r="A260" s="273">
        <v>43238</v>
      </c>
      <c r="B260" s="157">
        <v>2</v>
      </c>
      <c r="C260" s="270">
        <v>122140</v>
      </c>
      <c r="D260" s="79">
        <v>60853</v>
      </c>
      <c r="E260" s="78">
        <v>4</v>
      </c>
      <c r="F260" s="65"/>
      <c r="G260" s="61"/>
      <c r="H260" s="61" t="s">
        <v>13</v>
      </c>
      <c r="I260" s="61" t="s">
        <v>56</v>
      </c>
      <c r="J260" s="163">
        <v>43244</v>
      </c>
      <c r="K260" s="59"/>
    </row>
    <row r="261" spans="1:13" x14ac:dyDescent="0.3">
      <c r="A261" s="273">
        <v>43238</v>
      </c>
      <c r="B261" s="157">
        <v>3</v>
      </c>
      <c r="C261" s="267"/>
      <c r="D261" s="79">
        <v>60858</v>
      </c>
      <c r="E261" s="78">
        <v>9</v>
      </c>
      <c r="F261" s="49"/>
      <c r="G261" s="61"/>
      <c r="H261" s="61" t="s">
        <v>18</v>
      </c>
      <c r="I261" s="61" t="s">
        <v>36</v>
      </c>
      <c r="J261" s="161">
        <v>43243</v>
      </c>
      <c r="K261" s="59"/>
    </row>
    <row r="262" spans="1:13" x14ac:dyDescent="0.3">
      <c r="A262" s="273">
        <v>43242</v>
      </c>
      <c r="B262" s="159">
        <v>1</v>
      </c>
      <c r="C262" s="270">
        <v>122141</v>
      </c>
      <c r="D262" s="85">
        <v>60850</v>
      </c>
      <c r="E262" s="84">
        <v>4</v>
      </c>
      <c r="F262" s="65"/>
      <c r="G262" s="61"/>
      <c r="H262" s="61" t="s">
        <v>13</v>
      </c>
      <c r="I262" s="61" t="s">
        <v>55</v>
      </c>
      <c r="J262" s="163">
        <v>43248</v>
      </c>
      <c r="K262" s="59"/>
    </row>
    <row r="263" spans="1:13" x14ac:dyDescent="0.3">
      <c r="A263" s="273">
        <v>43242</v>
      </c>
      <c r="B263" s="159">
        <v>2</v>
      </c>
      <c r="C263" s="267">
        <v>121879</v>
      </c>
      <c r="D263" s="88">
        <v>60657</v>
      </c>
      <c r="E263" s="87">
        <v>27</v>
      </c>
      <c r="F263" s="49"/>
      <c r="G263" s="48"/>
      <c r="H263" s="48" t="s">
        <v>18</v>
      </c>
      <c r="I263" s="48" t="s">
        <v>19</v>
      </c>
      <c r="J263" s="161">
        <v>43249</v>
      </c>
      <c r="K263" s="59" t="s">
        <v>29</v>
      </c>
    </row>
    <row r="264" spans="1:13" x14ac:dyDescent="0.3">
      <c r="A264" s="273">
        <v>43242</v>
      </c>
      <c r="B264" s="159">
        <v>3</v>
      </c>
      <c r="C264" s="270">
        <v>122119</v>
      </c>
      <c r="D264" s="79">
        <v>60851</v>
      </c>
      <c r="E264" s="78">
        <v>4</v>
      </c>
      <c r="F264" s="65"/>
      <c r="G264" s="61"/>
      <c r="H264" s="61" t="s">
        <v>18</v>
      </c>
      <c r="I264" s="61" t="s">
        <v>15</v>
      </c>
      <c r="J264" s="163">
        <v>43250</v>
      </c>
      <c r="K264" s="59"/>
    </row>
    <row r="265" spans="1:13" x14ac:dyDescent="0.3">
      <c r="A265" s="273">
        <v>43242</v>
      </c>
      <c r="B265" s="159">
        <v>4</v>
      </c>
      <c r="C265" s="270">
        <v>121969</v>
      </c>
      <c r="D265" s="79">
        <v>60707</v>
      </c>
      <c r="E265" s="78">
        <v>26</v>
      </c>
      <c r="F265" s="65"/>
      <c r="G265" s="61"/>
      <c r="H265" s="61" t="s">
        <v>18</v>
      </c>
      <c r="I265" s="61" t="s">
        <v>54</v>
      </c>
      <c r="J265" s="163">
        <v>43251</v>
      </c>
      <c r="K265" s="59" t="s">
        <v>29</v>
      </c>
    </row>
    <row r="266" spans="1:13" x14ac:dyDescent="0.3">
      <c r="A266" s="273">
        <v>43242</v>
      </c>
      <c r="B266" s="159">
        <v>5</v>
      </c>
      <c r="C266" s="270">
        <v>122118</v>
      </c>
      <c r="D266" s="79">
        <v>60852</v>
      </c>
      <c r="E266" s="78">
        <v>18</v>
      </c>
      <c r="F266" s="65"/>
      <c r="G266" s="61"/>
      <c r="H266" s="61" t="s">
        <v>18</v>
      </c>
      <c r="I266" s="61" t="s">
        <v>15</v>
      </c>
      <c r="J266" s="163">
        <v>43250</v>
      </c>
      <c r="K266" s="59"/>
    </row>
    <row r="267" spans="1:13" x14ac:dyDescent="0.3">
      <c r="A267" s="273">
        <v>43241</v>
      </c>
      <c r="B267" s="94">
        <v>1</v>
      </c>
      <c r="C267" s="267">
        <v>121779</v>
      </c>
      <c r="D267" s="88">
        <v>60578</v>
      </c>
      <c r="E267" s="87">
        <v>12</v>
      </c>
      <c r="F267" s="49"/>
      <c r="G267" s="48"/>
      <c r="H267" s="48" t="s">
        <v>34</v>
      </c>
      <c r="I267" s="48" t="s">
        <v>17</v>
      </c>
      <c r="J267" s="161">
        <v>43243</v>
      </c>
      <c r="K267" s="59" t="s">
        <v>53</v>
      </c>
      <c r="L267" s="59" t="s">
        <v>52</v>
      </c>
    </row>
    <row r="268" spans="1:13" x14ac:dyDescent="0.3">
      <c r="A268" s="273">
        <v>43241</v>
      </c>
      <c r="B268" s="94">
        <v>2</v>
      </c>
      <c r="C268" s="270">
        <v>121983</v>
      </c>
      <c r="D268" s="79">
        <v>60712</v>
      </c>
      <c r="E268" s="78">
        <v>4</v>
      </c>
      <c r="F268" s="65"/>
      <c r="G268" s="61"/>
      <c r="H268" s="61" t="s">
        <v>18</v>
      </c>
      <c r="I268" s="61" t="s">
        <v>19</v>
      </c>
      <c r="J268" s="163">
        <v>43250</v>
      </c>
      <c r="K268" s="48"/>
    </row>
    <row r="269" spans="1:13" x14ac:dyDescent="0.3">
      <c r="A269" s="273">
        <v>43241</v>
      </c>
      <c r="B269" s="94">
        <v>3</v>
      </c>
      <c r="C269" s="267">
        <v>122086</v>
      </c>
      <c r="D269" s="83">
        <v>60777</v>
      </c>
      <c r="E269" s="82">
        <v>2</v>
      </c>
      <c r="F269" s="49"/>
      <c r="H269" s="48" t="s">
        <v>18</v>
      </c>
      <c r="I269" s="48" t="s">
        <v>51</v>
      </c>
      <c r="J269" s="163">
        <v>43262</v>
      </c>
      <c r="K269" s="48"/>
    </row>
    <row r="270" spans="1:13" x14ac:dyDescent="0.3">
      <c r="A270" s="273">
        <v>43241</v>
      </c>
      <c r="B270" s="94">
        <v>4</v>
      </c>
      <c r="C270" s="267">
        <v>121842</v>
      </c>
      <c r="D270" s="88">
        <v>60641</v>
      </c>
      <c r="E270" s="87">
        <v>1</v>
      </c>
      <c r="F270" s="49"/>
      <c r="G270" s="48"/>
      <c r="H270" s="48" t="s">
        <v>18</v>
      </c>
      <c r="I270" s="48" t="s">
        <v>50</v>
      </c>
      <c r="J270" s="161">
        <v>43251</v>
      </c>
      <c r="K270" s="59" t="s">
        <v>20</v>
      </c>
    </row>
    <row r="271" spans="1:13" x14ac:dyDescent="0.3">
      <c r="A271" s="273">
        <v>43241</v>
      </c>
      <c r="B271" s="94">
        <v>5</v>
      </c>
      <c r="C271" s="270">
        <v>121982</v>
      </c>
      <c r="D271" s="63">
        <v>60829</v>
      </c>
      <c r="E271" s="62">
        <v>4</v>
      </c>
      <c r="F271" s="65"/>
      <c r="G271" s="61"/>
      <c r="H271" s="61" t="s">
        <v>18</v>
      </c>
      <c r="I271" s="61" t="s">
        <v>49</v>
      </c>
      <c r="J271" s="163">
        <v>43251</v>
      </c>
      <c r="K271" s="59" t="s">
        <v>32</v>
      </c>
      <c r="L271" s="61" t="s">
        <v>48</v>
      </c>
      <c r="M271" s="61"/>
    </row>
    <row r="272" spans="1:13" x14ac:dyDescent="0.3">
      <c r="A272" s="273">
        <v>43243</v>
      </c>
      <c r="B272" s="156">
        <v>1</v>
      </c>
      <c r="C272" s="267">
        <v>121838</v>
      </c>
      <c r="D272" s="93">
        <v>60642</v>
      </c>
      <c r="E272" s="92">
        <v>57</v>
      </c>
      <c r="F272" s="91"/>
      <c r="G272" s="48"/>
      <c r="H272" s="48" t="s">
        <v>13</v>
      </c>
      <c r="I272" s="48" t="s">
        <v>19</v>
      </c>
      <c r="J272" s="161">
        <v>43248</v>
      </c>
      <c r="K272" s="59"/>
    </row>
    <row r="273" spans="1:14" x14ac:dyDescent="0.3">
      <c r="A273" s="273">
        <v>43243</v>
      </c>
      <c r="B273" s="156">
        <v>2</v>
      </c>
      <c r="C273" s="270">
        <v>122154</v>
      </c>
      <c r="D273" s="79">
        <v>60889</v>
      </c>
      <c r="E273" s="78">
        <v>10</v>
      </c>
      <c r="F273" s="57"/>
      <c r="G273" s="61"/>
      <c r="H273" s="48" t="s">
        <v>13</v>
      </c>
      <c r="I273" s="48" t="s">
        <v>19</v>
      </c>
      <c r="J273" s="161">
        <v>43248</v>
      </c>
      <c r="K273" s="59"/>
    </row>
    <row r="274" spans="1:14" x14ac:dyDescent="0.3">
      <c r="A274" s="273">
        <v>43243</v>
      </c>
      <c r="B274" s="156">
        <v>3</v>
      </c>
      <c r="C274" s="270">
        <v>121892</v>
      </c>
      <c r="D274" s="79">
        <v>60683</v>
      </c>
      <c r="E274" s="78">
        <v>12</v>
      </c>
      <c r="F274" s="57"/>
      <c r="G274" s="61"/>
      <c r="H274" s="61" t="s">
        <v>18</v>
      </c>
      <c r="I274" s="61" t="s">
        <v>19</v>
      </c>
      <c r="J274" s="163">
        <v>43255</v>
      </c>
      <c r="K274" s="59"/>
    </row>
    <row r="275" spans="1:14" x14ac:dyDescent="0.3">
      <c r="A275" s="273">
        <v>43243</v>
      </c>
      <c r="B275" s="156">
        <v>4</v>
      </c>
      <c r="C275" s="270">
        <v>122177</v>
      </c>
      <c r="D275" s="79">
        <v>60926</v>
      </c>
      <c r="E275" s="78">
        <v>4</v>
      </c>
      <c r="F275" s="49"/>
      <c r="H275" s="48" t="s">
        <v>13</v>
      </c>
      <c r="I275" s="48" t="s">
        <v>15</v>
      </c>
      <c r="J275" s="163">
        <v>43250</v>
      </c>
      <c r="K275" s="59"/>
    </row>
    <row r="276" spans="1:14" x14ac:dyDescent="0.3">
      <c r="A276" s="273">
        <v>43243</v>
      </c>
      <c r="B276" s="156">
        <v>5</v>
      </c>
      <c r="C276" s="267">
        <v>122038</v>
      </c>
      <c r="D276" s="88">
        <v>60752</v>
      </c>
      <c r="E276" s="87">
        <v>1</v>
      </c>
      <c r="F276" s="49"/>
      <c r="H276" s="48" t="s">
        <v>18</v>
      </c>
      <c r="I276" s="48" t="s">
        <v>19</v>
      </c>
      <c r="J276" s="163">
        <v>43255</v>
      </c>
      <c r="K276" s="59"/>
    </row>
    <row r="277" spans="1:14" x14ac:dyDescent="0.3">
      <c r="A277" s="273">
        <v>43243</v>
      </c>
      <c r="B277" s="156">
        <v>6</v>
      </c>
      <c r="C277" s="270">
        <v>122165</v>
      </c>
      <c r="D277" s="79">
        <v>60884</v>
      </c>
      <c r="E277" s="78">
        <v>1</v>
      </c>
      <c r="F277" s="49"/>
      <c r="H277" s="48" t="s">
        <v>18</v>
      </c>
      <c r="I277" s="48" t="s">
        <v>19</v>
      </c>
      <c r="J277" s="163">
        <v>43255</v>
      </c>
      <c r="K277" s="59"/>
    </row>
    <row r="278" spans="1:14" x14ac:dyDescent="0.3">
      <c r="A278" s="273">
        <v>43243</v>
      </c>
      <c r="B278" s="156">
        <v>7</v>
      </c>
      <c r="C278" s="270">
        <v>122217</v>
      </c>
      <c r="D278" s="79">
        <v>60930</v>
      </c>
      <c r="E278" s="78">
        <v>1</v>
      </c>
      <c r="F278" s="65"/>
      <c r="G278" s="61"/>
      <c r="H278" s="61" t="s">
        <v>13</v>
      </c>
      <c r="I278" s="61" t="s">
        <v>47</v>
      </c>
      <c r="J278" s="163">
        <v>43250</v>
      </c>
      <c r="K278" s="59"/>
    </row>
    <row r="279" spans="1:14" x14ac:dyDescent="0.3">
      <c r="A279" s="273">
        <v>43243</v>
      </c>
      <c r="B279" s="156">
        <v>8</v>
      </c>
      <c r="C279" s="270">
        <v>121886</v>
      </c>
      <c r="D279" s="79">
        <v>60929</v>
      </c>
      <c r="E279" s="78">
        <v>1</v>
      </c>
      <c r="F279" s="65"/>
      <c r="G279" s="61"/>
      <c r="H279" s="61" t="s">
        <v>13</v>
      </c>
      <c r="I279" s="61" t="s">
        <v>47</v>
      </c>
      <c r="J279" s="163">
        <v>43244</v>
      </c>
      <c r="K279" s="59"/>
    </row>
    <row r="280" spans="1:14" x14ac:dyDescent="0.3">
      <c r="A280" s="273">
        <v>43243</v>
      </c>
      <c r="B280" s="156">
        <v>9</v>
      </c>
      <c r="C280" s="270">
        <v>121607</v>
      </c>
      <c r="D280" s="79">
        <v>60944</v>
      </c>
      <c r="E280" s="78">
        <v>1</v>
      </c>
      <c r="F280" s="65"/>
      <c r="G280" s="61"/>
      <c r="H280" s="61" t="s">
        <v>18</v>
      </c>
      <c r="I280" s="61" t="s">
        <v>27</v>
      </c>
      <c r="J280" s="163">
        <v>43244</v>
      </c>
      <c r="K280" s="59"/>
    </row>
    <row r="281" spans="1:14" x14ac:dyDescent="0.3">
      <c r="A281" s="273">
        <v>43244</v>
      </c>
      <c r="B281" s="69">
        <v>1</v>
      </c>
      <c r="C281" s="270">
        <v>122189</v>
      </c>
      <c r="D281" s="79">
        <v>60913</v>
      </c>
      <c r="E281" s="78">
        <v>31</v>
      </c>
      <c r="F281" s="49"/>
      <c r="H281" s="48" t="s">
        <v>34</v>
      </c>
      <c r="I281" s="48" t="s">
        <v>19</v>
      </c>
      <c r="J281" s="163">
        <v>43251</v>
      </c>
      <c r="K281" s="59"/>
    </row>
    <row r="282" spans="1:14" x14ac:dyDescent="0.3">
      <c r="A282" s="273">
        <v>43244</v>
      </c>
      <c r="B282" s="69">
        <v>2</v>
      </c>
      <c r="C282" s="270">
        <v>122238</v>
      </c>
      <c r="D282" s="79">
        <v>60959</v>
      </c>
      <c r="E282" s="78">
        <v>8</v>
      </c>
      <c r="F282" s="65"/>
      <c r="G282" s="61"/>
      <c r="H282" s="61" t="s">
        <v>13</v>
      </c>
      <c r="I282" s="61" t="s">
        <v>21</v>
      </c>
      <c r="J282" s="163">
        <v>43250</v>
      </c>
      <c r="K282" s="59" t="s">
        <v>40</v>
      </c>
    </row>
    <row r="283" spans="1:14" x14ac:dyDescent="0.3">
      <c r="A283" s="273">
        <v>43244</v>
      </c>
      <c r="B283" s="69">
        <v>3</v>
      </c>
      <c r="C283" s="270">
        <v>122218</v>
      </c>
      <c r="D283" s="79">
        <v>60951</v>
      </c>
      <c r="E283" s="78">
        <v>1</v>
      </c>
      <c r="F283" s="65"/>
      <c r="G283" s="61"/>
      <c r="H283" s="61" t="s">
        <v>13</v>
      </c>
      <c r="I283" s="61" t="s">
        <v>14</v>
      </c>
      <c r="J283" s="163">
        <v>43250</v>
      </c>
      <c r="K283" s="59"/>
    </row>
    <row r="284" spans="1:14" x14ac:dyDescent="0.3">
      <c r="A284" s="273">
        <v>43244</v>
      </c>
      <c r="B284" s="69">
        <v>4</v>
      </c>
      <c r="C284" s="270">
        <v>122225</v>
      </c>
      <c r="D284" s="79">
        <v>60956</v>
      </c>
      <c r="E284" s="78">
        <v>11</v>
      </c>
      <c r="F284" s="65"/>
      <c r="G284" s="61"/>
      <c r="H284" s="61" t="s">
        <v>13</v>
      </c>
      <c r="I284" s="61" t="s">
        <v>36</v>
      </c>
      <c r="J284" s="163">
        <v>43251</v>
      </c>
      <c r="K284" s="59"/>
    </row>
    <row r="285" spans="1:14" x14ac:dyDescent="0.3">
      <c r="A285" s="273">
        <v>43244</v>
      </c>
      <c r="B285" s="69">
        <v>5</v>
      </c>
      <c r="C285" s="267">
        <v>120833</v>
      </c>
      <c r="D285" s="88">
        <v>59806</v>
      </c>
      <c r="E285" s="87">
        <v>1</v>
      </c>
      <c r="F285" s="52"/>
      <c r="G285" s="51"/>
      <c r="H285" s="51" t="s">
        <v>18</v>
      </c>
      <c r="I285" s="51" t="s">
        <v>19</v>
      </c>
      <c r="J285" s="162">
        <v>43209</v>
      </c>
      <c r="K285" s="90"/>
      <c r="L285" s="51" t="s">
        <v>46</v>
      </c>
      <c r="M285" s="51"/>
      <c r="N285" s="51"/>
    </row>
    <row r="286" spans="1:14" x14ac:dyDescent="0.3">
      <c r="A286" s="273">
        <v>43244</v>
      </c>
      <c r="B286" s="69">
        <v>6</v>
      </c>
      <c r="C286" s="270">
        <v>121883</v>
      </c>
      <c r="D286" s="79">
        <v>60660</v>
      </c>
      <c r="E286" s="78">
        <v>1</v>
      </c>
      <c r="F286" s="65"/>
      <c r="G286" s="61"/>
      <c r="H286" s="61" t="s">
        <v>18</v>
      </c>
      <c r="I286" s="61" t="s">
        <v>19</v>
      </c>
      <c r="J286" s="163">
        <v>43257</v>
      </c>
      <c r="K286" s="59"/>
    </row>
    <row r="287" spans="1:14" x14ac:dyDescent="0.3">
      <c r="A287" s="273">
        <v>43244</v>
      </c>
      <c r="B287" s="69">
        <v>7</v>
      </c>
      <c r="C287" s="270">
        <v>121882</v>
      </c>
      <c r="D287" s="79">
        <v>60659</v>
      </c>
      <c r="E287" s="78">
        <v>1</v>
      </c>
      <c r="F287" s="65"/>
      <c r="G287" s="61"/>
      <c r="H287" s="61" t="s">
        <v>18</v>
      </c>
      <c r="I287" s="61" t="s">
        <v>30</v>
      </c>
      <c r="J287" s="163">
        <v>43257</v>
      </c>
      <c r="K287" s="70" t="s">
        <v>45</v>
      </c>
    </row>
    <row r="288" spans="1:14" x14ac:dyDescent="0.3">
      <c r="A288" s="273">
        <v>43244</v>
      </c>
      <c r="B288" s="69">
        <v>8</v>
      </c>
      <c r="C288" s="270">
        <v>122149</v>
      </c>
      <c r="D288" s="79">
        <v>60857</v>
      </c>
      <c r="E288" s="78">
        <v>1</v>
      </c>
      <c r="F288" s="65"/>
      <c r="G288" s="61"/>
      <c r="H288" s="61" t="s">
        <v>18</v>
      </c>
      <c r="I288" s="61" t="s">
        <v>19</v>
      </c>
      <c r="J288" s="163">
        <v>43265</v>
      </c>
      <c r="K288" s="70" t="s">
        <v>44</v>
      </c>
    </row>
    <row r="289" spans="1:11" x14ac:dyDescent="0.3">
      <c r="A289" s="273">
        <v>43244</v>
      </c>
      <c r="B289" s="69">
        <v>9</v>
      </c>
      <c r="C289" s="270">
        <v>121947</v>
      </c>
      <c r="D289" s="79">
        <v>60695</v>
      </c>
      <c r="E289" s="78">
        <v>2</v>
      </c>
      <c r="F289" s="65"/>
      <c r="G289" s="61"/>
      <c r="H289" s="61" t="s">
        <v>18</v>
      </c>
      <c r="I289" s="61" t="s">
        <v>43</v>
      </c>
      <c r="J289" s="163">
        <v>43257</v>
      </c>
      <c r="K289" s="70"/>
    </row>
    <row r="290" spans="1:11" x14ac:dyDescent="0.3">
      <c r="A290" s="273">
        <v>43244</v>
      </c>
      <c r="B290" s="69">
        <v>10</v>
      </c>
      <c r="C290" s="270">
        <v>121940</v>
      </c>
      <c r="D290" s="79">
        <v>60694</v>
      </c>
      <c r="E290" s="78">
        <v>6</v>
      </c>
      <c r="F290" s="65"/>
      <c r="G290" s="61"/>
      <c r="H290" s="61" t="s">
        <v>18</v>
      </c>
      <c r="I290" s="61" t="s">
        <v>43</v>
      </c>
      <c r="J290" s="163">
        <v>43257</v>
      </c>
      <c r="K290" s="70"/>
    </row>
    <row r="291" spans="1:11" x14ac:dyDescent="0.3">
      <c r="A291" s="273">
        <v>43244</v>
      </c>
      <c r="B291" s="69">
        <v>11</v>
      </c>
      <c r="C291" s="270">
        <v>121995</v>
      </c>
      <c r="D291" s="79">
        <v>60715</v>
      </c>
      <c r="E291" s="78">
        <v>8</v>
      </c>
      <c r="F291" s="65"/>
      <c r="G291" s="61"/>
      <c r="H291" s="61" t="s">
        <v>18</v>
      </c>
      <c r="I291" s="61" t="s">
        <v>19</v>
      </c>
      <c r="J291" s="163">
        <v>43257</v>
      </c>
      <c r="K291" s="70"/>
    </row>
    <row r="292" spans="1:11" x14ac:dyDescent="0.3">
      <c r="A292" s="273">
        <v>43244</v>
      </c>
      <c r="B292" s="69">
        <v>12</v>
      </c>
      <c r="C292" s="270">
        <v>122233</v>
      </c>
      <c r="D292" s="74">
        <v>60957</v>
      </c>
      <c r="E292" s="73">
        <v>1</v>
      </c>
      <c r="F292" s="49"/>
      <c r="H292" s="61" t="s">
        <v>23</v>
      </c>
      <c r="I292" s="61" t="s">
        <v>25</v>
      </c>
      <c r="J292" s="163">
        <v>43257</v>
      </c>
      <c r="K292" s="70"/>
    </row>
    <row r="293" spans="1:11" x14ac:dyDescent="0.3">
      <c r="A293" s="273">
        <v>43244</v>
      </c>
      <c r="B293" s="69">
        <v>13</v>
      </c>
      <c r="C293" s="270">
        <v>122180</v>
      </c>
      <c r="D293" s="79">
        <v>60901</v>
      </c>
      <c r="E293" s="78">
        <v>9</v>
      </c>
      <c r="F293" s="49"/>
      <c r="H293" s="61" t="s">
        <v>23</v>
      </c>
      <c r="I293" s="61" t="s">
        <v>42</v>
      </c>
      <c r="J293" s="163">
        <v>43257</v>
      </c>
      <c r="K293" s="59" t="s">
        <v>40</v>
      </c>
    </row>
    <row r="294" spans="1:11" x14ac:dyDescent="0.3">
      <c r="A294" s="273">
        <v>43244</v>
      </c>
      <c r="B294" s="69">
        <v>14</v>
      </c>
      <c r="C294" s="270">
        <v>121996</v>
      </c>
      <c r="D294" s="79">
        <v>60714</v>
      </c>
      <c r="E294" s="78">
        <v>2</v>
      </c>
      <c r="F294" s="65"/>
      <c r="G294" s="61"/>
      <c r="H294" s="61" t="s">
        <v>18</v>
      </c>
      <c r="I294" s="61" t="s">
        <v>19</v>
      </c>
      <c r="J294" s="163">
        <v>43257</v>
      </c>
      <c r="K294" s="59"/>
    </row>
    <row r="295" spans="1:11" x14ac:dyDescent="0.3">
      <c r="A295" s="273">
        <v>43244</v>
      </c>
      <c r="B295" s="69">
        <v>15</v>
      </c>
      <c r="C295" s="270">
        <v>121691</v>
      </c>
      <c r="D295" s="79">
        <v>61026</v>
      </c>
      <c r="E295" s="78">
        <v>2</v>
      </c>
      <c r="F295" s="65"/>
      <c r="G295" s="61"/>
      <c r="H295" s="61" t="s">
        <v>18</v>
      </c>
      <c r="I295" s="61" t="s">
        <v>30</v>
      </c>
      <c r="J295" s="163">
        <v>43243</v>
      </c>
      <c r="K295" s="70"/>
    </row>
    <row r="296" spans="1:11" x14ac:dyDescent="0.3">
      <c r="A296" s="273">
        <v>43245</v>
      </c>
      <c r="B296" s="86">
        <v>1</v>
      </c>
      <c r="C296" s="270">
        <v>122227</v>
      </c>
      <c r="D296" s="79">
        <v>60931</v>
      </c>
      <c r="E296" s="78">
        <v>17</v>
      </c>
      <c r="F296" s="65"/>
      <c r="G296" s="61"/>
      <c r="H296" s="61" t="s">
        <v>23</v>
      </c>
      <c r="I296" s="61" t="s">
        <v>19</v>
      </c>
      <c r="J296" s="163">
        <v>43256</v>
      </c>
      <c r="K296" s="59"/>
    </row>
    <row r="297" spans="1:11" x14ac:dyDescent="0.3">
      <c r="A297" s="273">
        <v>43245</v>
      </c>
      <c r="B297" s="86">
        <v>2</v>
      </c>
      <c r="C297" s="270">
        <v>122221</v>
      </c>
      <c r="D297" s="77">
        <v>60952</v>
      </c>
      <c r="E297" s="76">
        <v>4</v>
      </c>
      <c r="F297" s="65"/>
      <c r="G297" s="61"/>
      <c r="H297" s="61" t="s">
        <v>13</v>
      </c>
      <c r="I297" s="61" t="s">
        <v>19</v>
      </c>
      <c r="J297" s="163">
        <v>43258</v>
      </c>
      <c r="K297" s="59" t="s">
        <v>35</v>
      </c>
    </row>
    <row r="298" spans="1:11" x14ac:dyDescent="0.3">
      <c r="A298" s="273">
        <v>43245</v>
      </c>
      <c r="B298" s="86">
        <v>3</v>
      </c>
      <c r="C298" s="267">
        <v>121451</v>
      </c>
      <c r="D298" s="88">
        <v>60924</v>
      </c>
      <c r="E298" s="87">
        <v>70</v>
      </c>
      <c r="F298" s="52"/>
      <c r="H298" s="48" t="s">
        <v>18</v>
      </c>
      <c r="I298" s="48" t="s">
        <v>41</v>
      </c>
      <c r="J298" s="163">
        <v>43252</v>
      </c>
      <c r="K298" s="59" t="s">
        <v>40</v>
      </c>
    </row>
    <row r="299" spans="1:11" x14ac:dyDescent="0.3">
      <c r="A299" s="273">
        <v>43245</v>
      </c>
      <c r="B299" s="86">
        <v>4</v>
      </c>
      <c r="C299" s="267">
        <v>121453</v>
      </c>
      <c r="D299" s="88">
        <v>60925</v>
      </c>
      <c r="E299" s="87">
        <v>2</v>
      </c>
      <c r="F299" s="52"/>
      <c r="H299" s="48" t="s">
        <v>18</v>
      </c>
      <c r="I299" s="48" t="s">
        <v>41</v>
      </c>
      <c r="J299" s="163">
        <v>43252</v>
      </c>
      <c r="K299" s="59" t="s">
        <v>40</v>
      </c>
    </row>
    <row r="300" spans="1:11" x14ac:dyDescent="0.3">
      <c r="A300" s="273">
        <v>43245</v>
      </c>
      <c r="B300" s="86">
        <v>5</v>
      </c>
      <c r="C300" s="267" t="s">
        <v>39</v>
      </c>
      <c r="D300" s="79">
        <v>60962</v>
      </c>
      <c r="E300" s="78">
        <v>1</v>
      </c>
      <c r="F300" s="49"/>
      <c r="H300" s="61" t="s">
        <v>13</v>
      </c>
      <c r="I300" s="61" t="s">
        <v>36</v>
      </c>
      <c r="J300" s="163">
        <v>43243</v>
      </c>
      <c r="K300" s="59"/>
    </row>
    <row r="301" spans="1:11" x14ac:dyDescent="0.3">
      <c r="A301" s="273">
        <v>43248</v>
      </c>
      <c r="B301" s="158">
        <v>1</v>
      </c>
      <c r="C301" s="270">
        <v>121823</v>
      </c>
      <c r="D301" s="85">
        <v>60624</v>
      </c>
      <c r="E301" s="84">
        <v>2</v>
      </c>
      <c r="F301" s="65"/>
      <c r="G301" s="61"/>
      <c r="H301" s="61" t="s">
        <v>18</v>
      </c>
      <c r="I301" s="61" t="s">
        <v>19</v>
      </c>
      <c r="J301" s="163">
        <v>43257</v>
      </c>
      <c r="K301" s="59"/>
    </row>
    <row r="302" spans="1:11" x14ac:dyDescent="0.3">
      <c r="A302" s="273">
        <v>43248</v>
      </c>
      <c r="B302" s="158">
        <v>2</v>
      </c>
      <c r="C302" s="270">
        <v>121822</v>
      </c>
      <c r="D302" s="85">
        <v>60625</v>
      </c>
      <c r="E302" s="84">
        <v>12</v>
      </c>
      <c r="F302" s="57"/>
      <c r="G302" s="61"/>
      <c r="H302" s="61" t="s">
        <v>23</v>
      </c>
      <c r="I302" s="61" t="s">
        <v>19</v>
      </c>
      <c r="J302" s="163">
        <v>43257</v>
      </c>
      <c r="K302" s="59"/>
    </row>
    <row r="303" spans="1:11" x14ac:dyDescent="0.3">
      <c r="A303" s="273">
        <v>43248</v>
      </c>
      <c r="B303" s="158">
        <v>3</v>
      </c>
      <c r="C303" s="270">
        <v>121821</v>
      </c>
      <c r="D303" s="85">
        <v>60623</v>
      </c>
      <c r="E303" s="84">
        <v>10</v>
      </c>
      <c r="F303" s="65"/>
      <c r="G303" s="61"/>
      <c r="H303" s="61" t="s">
        <v>18</v>
      </c>
      <c r="I303" s="61" t="s">
        <v>19</v>
      </c>
      <c r="J303" s="163">
        <v>43257</v>
      </c>
      <c r="K303" s="59"/>
    </row>
    <row r="304" spans="1:11" x14ac:dyDescent="0.3">
      <c r="A304" s="273">
        <v>43248</v>
      </c>
      <c r="B304" s="158">
        <v>4</v>
      </c>
      <c r="C304" s="270">
        <v>121820</v>
      </c>
      <c r="D304" s="79">
        <v>60622</v>
      </c>
      <c r="E304" s="78">
        <v>15</v>
      </c>
      <c r="F304" s="65"/>
      <c r="G304" s="61"/>
      <c r="H304" s="61" t="s">
        <v>18</v>
      </c>
      <c r="I304" s="61" t="s">
        <v>19</v>
      </c>
      <c r="J304" s="163">
        <v>43257</v>
      </c>
      <c r="K304" s="59" t="s">
        <v>37</v>
      </c>
    </row>
    <row r="305" spans="1:11" x14ac:dyDescent="0.3">
      <c r="A305" s="273">
        <v>43248</v>
      </c>
      <c r="B305" s="158">
        <v>5</v>
      </c>
      <c r="C305" s="270">
        <v>121819</v>
      </c>
      <c r="D305" s="85">
        <v>60620</v>
      </c>
      <c r="E305" s="84">
        <v>2</v>
      </c>
      <c r="F305" s="65"/>
      <c r="G305" s="61"/>
      <c r="H305" s="61" t="s">
        <v>18</v>
      </c>
      <c r="I305" s="61" t="s">
        <v>19</v>
      </c>
      <c r="J305" s="163">
        <v>43257</v>
      </c>
      <c r="K305" s="59"/>
    </row>
    <row r="306" spans="1:11" x14ac:dyDescent="0.3">
      <c r="A306" s="273">
        <v>43248</v>
      </c>
      <c r="B306" s="158">
        <v>6</v>
      </c>
      <c r="C306" s="270">
        <v>121818</v>
      </c>
      <c r="D306" s="79">
        <v>60621</v>
      </c>
      <c r="E306" s="78">
        <v>15</v>
      </c>
      <c r="F306" s="65"/>
      <c r="G306" s="61"/>
      <c r="H306" s="61" t="s">
        <v>18</v>
      </c>
      <c r="I306" s="61" t="s">
        <v>19</v>
      </c>
      <c r="J306" s="163">
        <v>43257</v>
      </c>
      <c r="K306" s="59" t="s">
        <v>37</v>
      </c>
    </row>
    <row r="307" spans="1:11" x14ac:dyDescent="0.3">
      <c r="A307" s="273">
        <v>43248</v>
      </c>
      <c r="B307" s="158">
        <v>7</v>
      </c>
      <c r="C307" s="270">
        <v>121817</v>
      </c>
      <c r="D307" s="85">
        <v>60619</v>
      </c>
      <c r="E307" s="84">
        <v>4</v>
      </c>
      <c r="F307" s="65"/>
      <c r="G307" s="61"/>
      <c r="H307" s="61" t="s">
        <v>18</v>
      </c>
      <c r="I307" s="61" t="s">
        <v>19</v>
      </c>
      <c r="J307" s="163">
        <v>43257</v>
      </c>
      <c r="K307" s="59"/>
    </row>
    <row r="308" spans="1:11" x14ac:dyDescent="0.3">
      <c r="A308" s="273">
        <v>43248</v>
      </c>
      <c r="B308" s="158">
        <v>8</v>
      </c>
      <c r="C308" s="270">
        <v>121816</v>
      </c>
      <c r="D308" s="85">
        <v>60618</v>
      </c>
      <c r="E308" s="84">
        <v>6</v>
      </c>
      <c r="F308" s="65"/>
      <c r="G308" s="61"/>
      <c r="H308" s="61" t="s">
        <v>18</v>
      </c>
      <c r="I308" s="61" t="s">
        <v>19</v>
      </c>
      <c r="J308" s="163">
        <v>43257</v>
      </c>
      <c r="K308" s="59"/>
    </row>
    <row r="309" spans="1:11" x14ac:dyDescent="0.3">
      <c r="A309" s="273">
        <v>43248</v>
      </c>
      <c r="B309" s="158">
        <v>9</v>
      </c>
      <c r="C309" s="270">
        <v>121813</v>
      </c>
      <c r="D309" s="68">
        <v>60617</v>
      </c>
      <c r="E309" s="67">
        <v>12</v>
      </c>
      <c r="F309" s="57"/>
      <c r="G309" s="61"/>
      <c r="H309" s="61" t="s">
        <v>23</v>
      </c>
      <c r="I309" s="61" t="s">
        <v>19</v>
      </c>
      <c r="J309" s="163">
        <v>43257</v>
      </c>
      <c r="K309" s="59"/>
    </row>
    <row r="310" spans="1:11" x14ac:dyDescent="0.3">
      <c r="A310" s="273">
        <v>43248</v>
      </c>
      <c r="B310" s="158">
        <v>10</v>
      </c>
      <c r="C310" s="270">
        <v>121824</v>
      </c>
      <c r="D310" s="85">
        <v>60626</v>
      </c>
      <c r="E310" s="84">
        <v>2</v>
      </c>
      <c r="F310" s="65"/>
      <c r="G310" s="61"/>
      <c r="H310" s="61" t="s">
        <v>18</v>
      </c>
      <c r="I310" s="61" t="s">
        <v>19</v>
      </c>
      <c r="J310" s="163">
        <v>43257</v>
      </c>
      <c r="K310" s="59"/>
    </row>
    <row r="311" spans="1:11" x14ac:dyDescent="0.3">
      <c r="A311" s="273">
        <v>43248</v>
      </c>
      <c r="B311" s="158">
        <v>11</v>
      </c>
      <c r="C311" s="270">
        <v>121807</v>
      </c>
      <c r="D311" s="85">
        <v>60615</v>
      </c>
      <c r="E311" s="84">
        <v>2</v>
      </c>
      <c r="F311" s="65"/>
      <c r="G311" s="61"/>
      <c r="H311" s="61" t="s">
        <v>18</v>
      </c>
      <c r="I311" s="61" t="s">
        <v>19</v>
      </c>
      <c r="J311" s="163">
        <v>43257</v>
      </c>
      <c r="K311" s="59"/>
    </row>
    <row r="312" spans="1:11" x14ac:dyDescent="0.3">
      <c r="A312" s="273">
        <v>43248</v>
      </c>
      <c r="B312" s="158">
        <v>12</v>
      </c>
      <c r="C312" s="270">
        <v>121806</v>
      </c>
      <c r="D312" s="79">
        <v>60616</v>
      </c>
      <c r="E312" s="78">
        <v>15</v>
      </c>
      <c r="F312" s="65"/>
      <c r="G312" s="61"/>
      <c r="H312" s="61" t="s">
        <v>18</v>
      </c>
      <c r="I312" s="61" t="s">
        <v>19</v>
      </c>
      <c r="J312" s="163">
        <v>43257</v>
      </c>
      <c r="K312" s="59" t="s">
        <v>38</v>
      </c>
    </row>
    <row r="313" spans="1:11" x14ac:dyDescent="0.3">
      <c r="A313" s="273">
        <v>43248</v>
      </c>
      <c r="B313" s="158">
        <v>13</v>
      </c>
      <c r="C313" s="270">
        <v>121805</v>
      </c>
      <c r="D313" s="72">
        <v>60614</v>
      </c>
      <c r="E313" s="71">
        <v>12</v>
      </c>
      <c r="F313" s="57"/>
      <c r="G313" s="61"/>
      <c r="H313" s="61" t="s">
        <v>23</v>
      </c>
      <c r="I313" s="61" t="s">
        <v>19</v>
      </c>
      <c r="J313" s="163">
        <v>43257</v>
      </c>
      <c r="K313" s="59"/>
    </row>
    <row r="314" spans="1:11" x14ac:dyDescent="0.3">
      <c r="A314" s="273">
        <v>43248</v>
      </c>
      <c r="B314" s="158">
        <v>14</v>
      </c>
      <c r="C314" s="270">
        <v>121804</v>
      </c>
      <c r="D314" s="85">
        <v>60613</v>
      </c>
      <c r="E314" s="84">
        <v>10</v>
      </c>
      <c r="F314" s="65"/>
      <c r="G314" s="61"/>
      <c r="H314" s="61" t="s">
        <v>18</v>
      </c>
      <c r="I314" s="61" t="s">
        <v>19</v>
      </c>
      <c r="J314" s="163">
        <v>43257</v>
      </c>
      <c r="K314" s="59"/>
    </row>
    <row r="315" spans="1:11" x14ac:dyDescent="0.3">
      <c r="A315" s="273">
        <v>43248</v>
      </c>
      <c r="B315" s="158">
        <v>15</v>
      </c>
      <c r="C315" s="270">
        <v>121803</v>
      </c>
      <c r="D315" s="85">
        <v>60611</v>
      </c>
      <c r="E315" s="84">
        <v>2</v>
      </c>
      <c r="F315" s="65"/>
      <c r="G315" s="61"/>
      <c r="H315" s="61" t="s">
        <v>18</v>
      </c>
      <c r="I315" s="61" t="s">
        <v>19</v>
      </c>
      <c r="J315" s="163">
        <v>43257</v>
      </c>
      <c r="K315" s="59"/>
    </row>
    <row r="316" spans="1:11" x14ac:dyDescent="0.3">
      <c r="A316" s="273">
        <v>43248</v>
      </c>
      <c r="B316" s="158">
        <v>16</v>
      </c>
      <c r="C316" s="270">
        <v>121802</v>
      </c>
      <c r="D316" s="79">
        <v>60610</v>
      </c>
      <c r="E316" s="78">
        <v>15</v>
      </c>
      <c r="F316" s="65"/>
      <c r="G316" s="61"/>
      <c r="H316" s="61" t="s">
        <v>18</v>
      </c>
      <c r="I316" s="61" t="s">
        <v>19</v>
      </c>
      <c r="J316" s="163">
        <v>43257</v>
      </c>
      <c r="K316" s="59" t="s">
        <v>37</v>
      </c>
    </row>
    <row r="317" spans="1:11" x14ac:dyDescent="0.3">
      <c r="A317" s="273">
        <v>43248</v>
      </c>
      <c r="B317" s="158">
        <v>17</v>
      </c>
      <c r="C317" s="270">
        <v>121801</v>
      </c>
      <c r="D317" s="68">
        <v>60609</v>
      </c>
      <c r="E317" s="67">
        <v>12</v>
      </c>
      <c r="F317" s="57"/>
      <c r="G317" s="61"/>
      <c r="H317" s="61" t="s">
        <v>23</v>
      </c>
      <c r="I317" s="61" t="s">
        <v>19</v>
      </c>
      <c r="J317" s="163">
        <v>43257</v>
      </c>
      <c r="K317" s="59"/>
    </row>
    <row r="318" spans="1:11" x14ac:dyDescent="0.3">
      <c r="A318" s="273">
        <v>43248</v>
      </c>
      <c r="B318" s="158">
        <v>18</v>
      </c>
      <c r="C318" s="270">
        <v>121800</v>
      </c>
      <c r="D318" s="85">
        <v>60608</v>
      </c>
      <c r="E318" s="84">
        <v>10</v>
      </c>
      <c r="F318" s="65"/>
      <c r="G318" s="61"/>
      <c r="H318" s="61" t="s">
        <v>18</v>
      </c>
      <c r="I318" s="61" t="s">
        <v>19</v>
      </c>
      <c r="J318" s="163">
        <v>43257</v>
      </c>
      <c r="K318" s="59"/>
    </row>
    <row r="319" spans="1:11" x14ac:dyDescent="0.3">
      <c r="A319" s="273">
        <v>43248</v>
      </c>
      <c r="B319" s="158">
        <v>19</v>
      </c>
      <c r="C319" s="270">
        <v>121799</v>
      </c>
      <c r="D319" s="79">
        <v>60607</v>
      </c>
      <c r="E319" s="78">
        <v>26</v>
      </c>
      <c r="F319" s="57"/>
      <c r="G319" s="61"/>
      <c r="H319" s="61" t="s">
        <v>23</v>
      </c>
      <c r="I319" s="61" t="s">
        <v>19</v>
      </c>
      <c r="J319" s="163">
        <v>43257</v>
      </c>
      <c r="K319" s="59"/>
    </row>
    <row r="320" spans="1:11" x14ac:dyDescent="0.3">
      <c r="A320" s="273">
        <v>43249</v>
      </c>
      <c r="B320" s="159">
        <v>1</v>
      </c>
      <c r="C320" s="270">
        <v>122240</v>
      </c>
      <c r="D320" s="74">
        <v>61001</v>
      </c>
      <c r="E320" s="73">
        <v>1</v>
      </c>
      <c r="F320" s="65"/>
      <c r="G320" s="61"/>
      <c r="H320" s="61" t="s">
        <v>13</v>
      </c>
      <c r="I320" s="61" t="s">
        <v>21</v>
      </c>
      <c r="J320" s="163">
        <v>43257</v>
      </c>
      <c r="K320" s="59"/>
    </row>
    <row r="321" spans="1:12" x14ac:dyDescent="0.3">
      <c r="A321" s="273">
        <v>43249</v>
      </c>
      <c r="B321" s="159">
        <v>2</v>
      </c>
      <c r="C321" s="270">
        <v>121984</v>
      </c>
      <c r="D321" s="72">
        <v>60822</v>
      </c>
      <c r="E321" s="71">
        <v>11</v>
      </c>
      <c r="F321" s="49"/>
      <c r="H321" s="61" t="s">
        <v>13</v>
      </c>
      <c r="I321" s="61" t="s">
        <v>15</v>
      </c>
      <c r="J321" s="163">
        <v>43257</v>
      </c>
      <c r="K321" s="59"/>
    </row>
    <row r="322" spans="1:12" x14ac:dyDescent="0.3">
      <c r="A322" s="273">
        <v>43249</v>
      </c>
      <c r="B322" s="159">
        <v>3</v>
      </c>
      <c r="C322" s="270">
        <v>121987</v>
      </c>
      <c r="D322" s="74">
        <v>60820</v>
      </c>
      <c r="E322" s="73">
        <v>1</v>
      </c>
      <c r="F322" s="49"/>
      <c r="H322" s="61" t="s">
        <v>13</v>
      </c>
      <c r="I322" s="61" t="s">
        <v>15</v>
      </c>
      <c r="J322" s="163">
        <v>43257</v>
      </c>
      <c r="K322" s="59"/>
    </row>
    <row r="323" spans="1:12" x14ac:dyDescent="0.3">
      <c r="A323" s="273">
        <v>43249</v>
      </c>
      <c r="B323" s="159">
        <v>4</v>
      </c>
      <c r="C323" s="270">
        <v>121988</v>
      </c>
      <c r="D323" s="79">
        <v>60819</v>
      </c>
      <c r="E323" s="78">
        <v>14</v>
      </c>
      <c r="F323" s="49"/>
      <c r="H323" s="61" t="s">
        <v>13</v>
      </c>
      <c r="I323" s="61" t="s">
        <v>15</v>
      </c>
      <c r="J323" s="163">
        <v>43257</v>
      </c>
      <c r="K323" s="59"/>
    </row>
    <row r="324" spans="1:12" x14ac:dyDescent="0.3">
      <c r="A324" s="273">
        <v>43249</v>
      </c>
      <c r="B324" s="159">
        <v>5</v>
      </c>
      <c r="C324" s="270">
        <v>121989</v>
      </c>
      <c r="D324" s="74">
        <v>60818</v>
      </c>
      <c r="E324" s="73">
        <v>9</v>
      </c>
      <c r="F324" s="49"/>
      <c r="H324" s="61" t="s">
        <v>13</v>
      </c>
      <c r="I324" s="61" t="s">
        <v>15</v>
      </c>
      <c r="J324" s="163">
        <v>43257</v>
      </c>
      <c r="K324" s="59"/>
    </row>
    <row r="325" spans="1:12" x14ac:dyDescent="0.3">
      <c r="A325" s="273">
        <v>43249</v>
      </c>
      <c r="B325" s="159">
        <v>6</v>
      </c>
      <c r="C325" s="270">
        <v>121990</v>
      </c>
      <c r="D325" s="79">
        <v>60823</v>
      </c>
      <c r="E325" s="78">
        <v>7</v>
      </c>
      <c r="F325" s="49"/>
      <c r="H325" s="61" t="s">
        <v>13</v>
      </c>
      <c r="I325" s="61" t="s">
        <v>15</v>
      </c>
      <c r="J325" s="163">
        <v>43257</v>
      </c>
      <c r="K325" s="59"/>
    </row>
    <row r="326" spans="1:12" x14ac:dyDescent="0.3">
      <c r="A326" s="273">
        <v>43249</v>
      </c>
      <c r="B326" s="159">
        <v>7</v>
      </c>
      <c r="C326" s="270">
        <v>121992</v>
      </c>
      <c r="D326" s="79">
        <v>60821</v>
      </c>
      <c r="E326" s="78">
        <v>8</v>
      </c>
      <c r="F326" s="49"/>
      <c r="H326" s="61" t="s">
        <v>13</v>
      </c>
      <c r="I326" s="61" t="s">
        <v>15</v>
      </c>
      <c r="J326" s="163">
        <v>43257</v>
      </c>
      <c r="K326" s="59"/>
    </row>
    <row r="327" spans="1:12" x14ac:dyDescent="0.3">
      <c r="A327" s="273">
        <v>43249</v>
      </c>
      <c r="B327" s="159">
        <v>8</v>
      </c>
      <c r="C327" s="270">
        <v>122203</v>
      </c>
      <c r="D327" s="79">
        <v>61000</v>
      </c>
      <c r="E327" s="78">
        <v>1</v>
      </c>
      <c r="F327" s="49"/>
      <c r="H327" s="61" t="s">
        <v>13</v>
      </c>
      <c r="I327" s="61" t="s">
        <v>21</v>
      </c>
      <c r="J327" s="163">
        <v>43257</v>
      </c>
      <c r="K327" s="59"/>
    </row>
    <row r="328" spans="1:12" x14ac:dyDescent="0.3">
      <c r="A328" s="273">
        <v>43249</v>
      </c>
      <c r="B328" s="159">
        <v>9</v>
      </c>
      <c r="C328" s="270">
        <v>122206</v>
      </c>
      <c r="D328" s="79">
        <v>60999</v>
      </c>
      <c r="E328" s="78">
        <v>2</v>
      </c>
      <c r="F328" s="49"/>
      <c r="H328" s="61" t="s">
        <v>13</v>
      </c>
      <c r="I328" s="61" t="s">
        <v>21</v>
      </c>
      <c r="J328" s="163">
        <v>43257</v>
      </c>
      <c r="K328" s="59"/>
    </row>
    <row r="329" spans="1:12" x14ac:dyDescent="0.3">
      <c r="A329" s="273">
        <v>43249</v>
      </c>
      <c r="B329" s="159">
        <v>10</v>
      </c>
      <c r="C329" s="270">
        <v>122204</v>
      </c>
      <c r="D329" s="79">
        <v>60998</v>
      </c>
      <c r="E329" s="78">
        <v>1</v>
      </c>
      <c r="F329" s="49"/>
      <c r="H329" s="61" t="s">
        <v>13</v>
      </c>
      <c r="I329" s="61" t="s">
        <v>21</v>
      </c>
      <c r="J329" s="163">
        <v>43257</v>
      </c>
      <c r="K329" s="59"/>
    </row>
    <row r="330" spans="1:12" x14ac:dyDescent="0.3">
      <c r="A330" s="273">
        <v>43249</v>
      </c>
      <c r="B330" s="159">
        <v>11</v>
      </c>
      <c r="C330" s="270">
        <v>122155</v>
      </c>
      <c r="D330" s="74">
        <v>60891</v>
      </c>
      <c r="E330" s="73">
        <v>2</v>
      </c>
      <c r="F330" s="49"/>
      <c r="H330" s="61" t="s">
        <v>13</v>
      </c>
      <c r="I330" s="61" t="s">
        <v>36</v>
      </c>
      <c r="J330" s="163">
        <v>43257</v>
      </c>
      <c r="K330" s="59"/>
    </row>
    <row r="331" spans="1:12" x14ac:dyDescent="0.3">
      <c r="A331" s="273">
        <v>43250</v>
      </c>
      <c r="B331" s="156">
        <v>1</v>
      </c>
      <c r="C331" s="270">
        <v>122275</v>
      </c>
      <c r="D331" s="68">
        <v>60965</v>
      </c>
      <c r="E331" s="67">
        <v>2</v>
      </c>
      <c r="F331" s="65"/>
      <c r="G331" s="61"/>
      <c r="H331" s="61" t="s">
        <v>18</v>
      </c>
      <c r="I331" s="61" t="s">
        <v>19</v>
      </c>
      <c r="J331" s="163">
        <v>43255</v>
      </c>
      <c r="K331" s="59"/>
    </row>
    <row r="332" spans="1:12" x14ac:dyDescent="0.3">
      <c r="A332" s="273">
        <v>43250</v>
      </c>
      <c r="B332" s="156">
        <v>2</v>
      </c>
      <c r="C332" s="270">
        <v>122329</v>
      </c>
      <c r="D332" s="72">
        <v>61075</v>
      </c>
      <c r="E332" s="71">
        <v>5</v>
      </c>
      <c r="F332" s="49"/>
      <c r="H332" s="61" t="s">
        <v>18</v>
      </c>
      <c r="I332" s="61" t="s">
        <v>19</v>
      </c>
      <c r="J332" s="163">
        <v>43255</v>
      </c>
      <c r="K332" s="59"/>
    </row>
    <row r="333" spans="1:12" x14ac:dyDescent="0.3">
      <c r="A333" s="273">
        <v>43250</v>
      </c>
      <c r="B333" s="156">
        <v>3</v>
      </c>
      <c r="C333" s="267">
        <v>121972</v>
      </c>
      <c r="D333" s="83">
        <v>60708</v>
      </c>
      <c r="E333" s="82">
        <v>1</v>
      </c>
      <c r="F333" s="49"/>
      <c r="G333" s="48"/>
      <c r="H333" s="48" t="s">
        <v>18</v>
      </c>
      <c r="I333" s="48" t="s">
        <v>26</v>
      </c>
      <c r="J333" s="161">
        <v>43257</v>
      </c>
      <c r="K333" s="64" t="s">
        <v>35</v>
      </c>
    </row>
    <row r="334" spans="1:12" x14ac:dyDescent="0.3">
      <c r="A334" s="273">
        <v>43250</v>
      </c>
      <c r="B334" s="156">
        <v>4</v>
      </c>
      <c r="C334" s="270">
        <v>122024</v>
      </c>
      <c r="D334" s="72">
        <v>60740</v>
      </c>
      <c r="E334" s="71">
        <v>11</v>
      </c>
      <c r="F334" s="65"/>
      <c r="G334" s="61"/>
      <c r="H334" s="61" t="s">
        <v>18</v>
      </c>
      <c r="I334" s="61" t="s">
        <v>28</v>
      </c>
      <c r="J334" s="163">
        <v>43257</v>
      </c>
      <c r="K334" s="70" t="s">
        <v>33</v>
      </c>
      <c r="L334" s="60" t="s">
        <v>29</v>
      </c>
    </row>
    <row r="335" spans="1:12" x14ac:dyDescent="0.3">
      <c r="A335" s="273">
        <v>43250</v>
      </c>
      <c r="B335" s="156">
        <v>5</v>
      </c>
      <c r="C335" s="270">
        <v>122021</v>
      </c>
      <c r="D335" s="68">
        <v>60737</v>
      </c>
      <c r="E335" s="67">
        <v>46</v>
      </c>
      <c r="F335" s="57"/>
      <c r="G335" s="61"/>
      <c r="H335" s="61" t="s">
        <v>34</v>
      </c>
      <c r="I335" s="61" t="s">
        <v>19</v>
      </c>
      <c r="J335" s="163">
        <v>43257</v>
      </c>
      <c r="K335" s="70" t="s">
        <v>33</v>
      </c>
      <c r="L335" s="60" t="s">
        <v>32</v>
      </c>
    </row>
    <row r="336" spans="1:12" x14ac:dyDescent="0.3">
      <c r="A336" s="273">
        <v>43250</v>
      </c>
      <c r="B336" s="156">
        <v>6</v>
      </c>
      <c r="C336" s="270">
        <v>122020</v>
      </c>
      <c r="D336" s="81">
        <v>60778</v>
      </c>
      <c r="E336" s="80">
        <v>46</v>
      </c>
      <c r="F336" s="52"/>
      <c r="H336" s="61" t="s">
        <v>13</v>
      </c>
      <c r="I336" s="61" t="s">
        <v>19</v>
      </c>
      <c r="J336" s="163">
        <v>43257</v>
      </c>
      <c r="K336" s="64" t="s">
        <v>32</v>
      </c>
      <c r="L336" s="48" t="s">
        <v>31</v>
      </c>
    </row>
    <row r="337" spans="1:11" x14ac:dyDescent="0.3">
      <c r="A337" s="273">
        <v>43250</v>
      </c>
      <c r="B337" s="156">
        <v>7</v>
      </c>
      <c r="C337" s="270">
        <v>122262</v>
      </c>
      <c r="D337" s="79">
        <v>60989</v>
      </c>
      <c r="E337" s="78">
        <v>3</v>
      </c>
      <c r="F337" s="49"/>
      <c r="H337" s="61" t="s">
        <v>13</v>
      </c>
      <c r="I337" s="61" t="s">
        <v>21</v>
      </c>
      <c r="J337" s="163">
        <v>43257</v>
      </c>
      <c r="K337" s="64"/>
    </row>
    <row r="338" spans="1:11" x14ac:dyDescent="0.3">
      <c r="A338" s="273">
        <v>43250</v>
      </c>
      <c r="B338" s="156">
        <v>8</v>
      </c>
      <c r="C338" s="270">
        <v>122261</v>
      </c>
      <c r="D338" s="79">
        <v>60961</v>
      </c>
      <c r="E338" s="78">
        <v>1</v>
      </c>
      <c r="F338" s="49"/>
      <c r="G338" s="61"/>
      <c r="H338" s="61" t="s">
        <v>23</v>
      </c>
      <c r="I338" s="61" t="s">
        <v>21</v>
      </c>
      <c r="J338" s="163">
        <v>43257</v>
      </c>
      <c r="K338" s="70"/>
    </row>
    <row r="339" spans="1:11" x14ac:dyDescent="0.3">
      <c r="A339" s="273">
        <v>43250</v>
      </c>
      <c r="B339" s="156">
        <v>9</v>
      </c>
      <c r="C339" s="270">
        <v>122260</v>
      </c>
      <c r="D339" s="79">
        <v>60992</v>
      </c>
      <c r="E339" s="78">
        <v>2</v>
      </c>
      <c r="F339" s="49"/>
      <c r="H339" s="61" t="s">
        <v>13</v>
      </c>
      <c r="I339" s="61" t="s">
        <v>21</v>
      </c>
      <c r="J339" s="163">
        <v>43257</v>
      </c>
      <c r="K339" s="70"/>
    </row>
    <row r="340" spans="1:11" x14ac:dyDescent="0.3">
      <c r="A340" s="273">
        <v>43250</v>
      </c>
      <c r="B340" s="156">
        <v>10</v>
      </c>
      <c r="C340" s="270">
        <v>122253</v>
      </c>
      <c r="D340" s="72">
        <v>60960</v>
      </c>
      <c r="E340" s="71">
        <v>5</v>
      </c>
      <c r="F340" s="49"/>
      <c r="H340" s="61" t="s">
        <v>23</v>
      </c>
      <c r="I340" s="61" t="s">
        <v>21</v>
      </c>
      <c r="J340" s="163">
        <v>43257</v>
      </c>
      <c r="K340" s="70"/>
    </row>
    <row r="341" spans="1:11" x14ac:dyDescent="0.3">
      <c r="A341" s="273">
        <v>43251</v>
      </c>
      <c r="B341" s="69">
        <v>1</v>
      </c>
      <c r="C341" s="270">
        <v>121963</v>
      </c>
      <c r="D341" s="79">
        <v>60725</v>
      </c>
      <c r="E341" s="78">
        <v>16</v>
      </c>
      <c r="F341" s="65"/>
      <c r="G341" s="61"/>
      <c r="H341" s="61" t="s">
        <v>18</v>
      </c>
      <c r="I341" s="61" t="s">
        <v>21</v>
      </c>
      <c r="J341" s="163">
        <v>43257</v>
      </c>
      <c r="K341" s="70"/>
    </row>
    <row r="342" spans="1:11" x14ac:dyDescent="0.3">
      <c r="A342" s="273">
        <v>43251</v>
      </c>
      <c r="B342" s="69">
        <v>2</v>
      </c>
      <c r="C342" s="270">
        <v>122273</v>
      </c>
      <c r="D342" s="77">
        <v>60964</v>
      </c>
      <c r="E342" s="76">
        <v>1</v>
      </c>
      <c r="F342" s="49"/>
      <c r="G342" s="61"/>
      <c r="H342" s="61" t="s">
        <v>23</v>
      </c>
      <c r="I342" s="61" t="s">
        <v>21</v>
      </c>
      <c r="J342" s="163">
        <v>43257</v>
      </c>
      <c r="K342" s="70"/>
    </row>
    <row r="343" spans="1:11" x14ac:dyDescent="0.3">
      <c r="A343" s="273">
        <v>43251</v>
      </c>
      <c r="B343" s="69">
        <v>3</v>
      </c>
      <c r="C343" s="270">
        <v>122274</v>
      </c>
      <c r="D343" s="77">
        <v>60997</v>
      </c>
      <c r="E343" s="76">
        <v>10</v>
      </c>
      <c r="F343" s="52"/>
      <c r="G343" s="61"/>
      <c r="H343" s="61" t="s">
        <v>13</v>
      </c>
      <c r="I343" s="61" t="s">
        <v>21</v>
      </c>
      <c r="J343" s="163">
        <v>43257</v>
      </c>
      <c r="K343" s="70"/>
    </row>
    <row r="344" spans="1:11" x14ac:dyDescent="0.3">
      <c r="A344" s="273">
        <v>43251</v>
      </c>
      <c r="B344" s="69">
        <v>4</v>
      </c>
      <c r="C344" s="270">
        <v>122308</v>
      </c>
      <c r="D344" s="77">
        <v>61028</v>
      </c>
      <c r="E344" s="76">
        <v>2</v>
      </c>
      <c r="F344" s="65"/>
      <c r="G344" s="61"/>
      <c r="H344" s="61" t="s">
        <v>13</v>
      </c>
      <c r="I344" s="61" t="s">
        <v>12</v>
      </c>
      <c r="J344" s="163">
        <v>43257</v>
      </c>
      <c r="K344" s="70"/>
    </row>
    <row r="345" spans="1:11" x14ac:dyDescent="0.3">
      <c r="A345" s="273">
        <v>43251</v>
      </c>
      <c r="B345" s="69">
        <v>5</v>
      </c>
      <c r="C345" s="270">
        <v>122272</v>
      </c>
      <c r="D345" s="77">
        <v>60995</v>
      </c>
      <c r="E345" s="76">
        <v>4</v>
      </c>
      <c r="F345" s="65"/>
      <c r="G345" s="61"/>
      <c r="H345" s="61" t="s">
        <v>13</v>
      </c>
      <c r="I345" s="61" t="s">
        <v>26</v>
      </c>
      <c r="J345" s="163">
        <v>43257</v>
      </c>
      <c r="K345" s="59"/>
    </row>
    <row r="346" spans="1:11" x14ac:dyDescent="0.3">
      <c r="A346" s="273">
        <v>43251</v>
      </c>
      <c r="B346" s="69">
        <v>6</v>
      </c>
      <c r="C346" s="270">
        <v>122268</v>
      </c>
      <c r="D346" s="77">
        <v>60996</v>
      </c>
      <c r="E346" s="76">
        <v>12</v>
      </c>
      <c r="F346" s="65"/>
      <c r="G346" s="61"/>
      <c r="H346" s="61" t="s">
        <v>13</v>
      </c>
      <c r="I346" s="61" t="s">
        <v>26</v>
      </c>
      <c r="J346" s="163">
        <v>43257</v>
      </c>
      <c r="K346" s="59"/>
    </row>
    <row r="347" spans="1:11" x14ac:dyDescent="0.3">
      <c r="A347" s="273">
        <v>43251</v>
      </c>
      <c r="B347" s="69">
        <v>7</v>
      </c>
      <c r="C347" s="270">
        <v>122146</v>
      </c>
      <c r="D347" s="77">
        <v>60890</v>
      </c>
      <c r="E347" s="76">
        <v>3</v>
      </c>
      <c r="F347" s="49"/>
      <c r="H347" s="61" t="s">
        <v>13</v>
      </c>
      <c r="I347" s="61" t="s">
        <v>30</v>
      </c>
      <c r="J347" s="163">
        <v>43257</v>
      </c>
      <c r="K347" s="64" t="s">
        <v>29</v>
      </c>
    </row>
    <row r="348" spans="1:11" x14ac:dyDescent="0.3">
      <c r="A348" s="273">
        <v>43251</v>
      </c>
      <c r="B348" s="69">
        <v>8</v>
      </c>
      <c r="C348" s="270">
        <v>122265</v>
      </c>
      <c r="D348" s="63">
        <v>60988</v>
      </c>
      <c r="E348" s="54">
        <v>2</v>
      </c>
      <c r="F348" s="49"/>
      <c r="H348" s="61" t="s">
        <v>13</v>
      </c>
      <c r="I348" s="61" t="s">
        <v>28</v>
      </c>
      <c r="J348" s="163">
        <v>43257</v>
      </c>
      <c r="K348" s="70"/>
    </row>
    <row r="349" spans="1:11" x14ac:dyDescent="0.3">
      <c r="A349" s="273">
        <v>43251</v>
      </c>
      <c r="B349" s="69">
        <v>9</v>
      </c>
      <c r="C349" s="270">
        <v>122253</v>
      </c>
      <c r="D349" s="63">
        <v>60960</v>
      </c>
      <c r="E349" s="54">
        <v>5</v>
      </c>
      <c r="F349" s="49"/>
      <c r="H349" s="61" t="s">
        <v>23</v>
      </c>
      <c r="I349" s="61" t="s">
        <v>27</v>
      </c>
      <c r="J349" s="163">
        <v>43257</v>
      </c>
      <c r="K349" s="70"/>
    </row>
    <row r="350" spans="1:11" x14ac:dyDescent="0.3">
      <c r="A350" s="273">
        <v>43251</v>
      </c>
      <c r="B350" s="69">
        <v>10</v>
      </c>
      <c r="C350" s="270">
        <v>122209</v>
      </c>
      <c r="D350" s="75">
        <v>60994</v>
      </c>
      <c r="E350" s="54">
        <v>3</v>
      </c>
      <c r="F350" s="65"/>
      <c r="G350" s="61"/>
      <c r="H350" s="61" t="s">
        <v>13</v>
      </c>
      <c r="I350" s="61" t="s">
        <v>19</v>
      </c>
      <c r="J350" s="163">
        <v>43257</v>
      </c>
      <c r="K350" s="64" t="s">
        <v>20</v>
      </c>
    </row>
    <row r="351" spans="1:11" x14ac:dyDescent="0.3">
      <c r="A351" s="273">
        <v>43251</v>
      </c>
      <c r="B351" s="69">
        <v>11</v>
      </c>
      <c r="C351" s="270">
        <v>122219</v>
      </c>
      <c r="D351" s="63">
        <v>60928</v>
      </c>
      <c r="E351" s="54">
        <v>1</v>
      </c>
      <c r="F351" s="65"/>
      <c r="G351" s="61"/>
      <c r="H351" s="61" t="s">
        <v>23</v>
      </c>
      <c r="I351" s="61" t="s">
        <v>14</v>
      </c>
      <c r="J351" s="163">
        <v>43257</v>
      </c>
      <c r="K351" s="70"/>
    </row>
    <row r="352" spans="1:11" x14ac:dyDescent="0.3">
      <c r="A352" s="273">
        <v>43251</v>
      </c>
      <c r="B352" s="69">
        <v>12</v>
      </c>
      <c r="C352" s="270">
        <v>122061</v>
      </c>
      <c r="D352" s="72">
        <v>60766</v>
      </c>
      <c r="E352" s="54">
        <v>4</v>
      </c>
      <c r="F352" s="65"/>
      <c r="G352" s="61"/>
      <c r="H352" s="61" t="s">
        <v>18</v>
      </c>
      <c r="I352" s="61" t="s">
        <v>26</v>
      </c>
      <c r="J352" s="163">
        <v>43257</v>
      </c>
      <c r="K352" s="70"/>
    </row>
    <row r="353" spans="1:11" x14ac:dyDescent="0.3">
      <c r="A353" s="273">
        <v>43251</v>
      </c>
      <c r="B353" s="69">
        <v>13</v>
      </c>
      <c r="C353" s="270">
        <v>122111</v>
      </c>
      <c r="D353" s="74">
        <v>60804</v>
      </c>
      <c r="E353" s="54">
        <v>15</v>
      </c>
      <c r="F353" s="49"/>
      <c r="H353" s="61" t="s">
        <v>23</v>
      </c>
      <c r="I353" s="61" t="s">
        <v>26</v>
      </c>
      <c r="J353" s="163">
        <v>43257</v>
      </c>
      <c r="K353" s="70"/>
    </row>
    <row r="354" spans="1:11" x14ac:dyDescent="0.3">
      <c r="A354" s="273">
        <v>43251</v>
      </c>
      <c r="B354" s="69">
        <v>14</v>
      </c>
      <c r="C354" s="270">
        <v>122201</v>
      </c>
      <c r="D354" s="72">
        <v>60915</v>
      </c>
      <c r="E354" s="54">
        <v>4</v>
      </c>
      <c r="F354" s="49"/>
      <c r="H354" s="61" t="s">
        <v>23</v>
      </c>
      <c r="I354" s="61" t="s">
        <v>26</v>
      </c>
      <c r="J354" s="163">
        <v>43257</v>
      </c>
      <c r="K354" s="70"/>
    </row>
    <row r="355" spans="1:11" x14ac:dyDescent="0.3">
      <c r="A355" s="273">
        <v>43251</v>
      </c>
      <c r="B355" s="69">
        <v>15</v>
      </c>
      <c r="C355" s="270">
        <v>122200</v>
      </c>
      <c r="D355" s="74">
        <v>60914</v>
      </c>
      <c r="E355" s="54">
        <v>3</v>
      </c>
      <c r="F355" s="49"/>
      <c r="H355" s="61" t="s">
        <v>23</v>
      </c>
      <c r="I355" s="61" t="s">
        <v>26</v>
      </c>
      <c r="J355" s="163">
        <v>43257</v>
      </c>
      <c r="K355" s="70"/>
    </row>
    <row r="356" spans="1:11" x14ac:dyDescent="0.3">
      <c r="A356" s="273">
        <v>43251</v>
      </c>
      <c r="B356" s="69">
        <v>16</v>
      </c>
      <c r="C356" s="270">
        <v>122248</v>
      </c>
      <c r="D356" s="72">
        <v>60945</v>
      </c>
      <c r="E356" s="54">
        <v>4</v>
      </c>
      <c r="F356" s="49"/>
      <c r="G356" s="61"/>
      <c r="H356" s="61" t="s">
        <v>18</v>
      </c>
      <c r="I356" s="61" t="s">
        <v>26</v>
      </c>
      <c r="J356" s="163">
        <v>43257</v>
      </c>
      <c r="K356" s="70"/>
    </row>
    <row r="357" spans="1:11" x14ac:dyDescent="0.3">
      <c r="A357" s="273">
        <v>43251</v>
      </c>
      <c r="B357" s="69">
        <v>17</v>
      </c>
      <c r="C357" s="270">
        <v>122354</v>
      </c>
      <c r="D357" s="63">
        <v>61050</v>
      </c>
      <c r="E357" s="54">
        <v>2</v>
      </c>
      <c r="F357" s="49"/>
      <c r="H357" s="61" t="s">
        <v>18</v>
      </c>
      <c r="I357" s="61" t="s">
        <v>14</v>
      </c>
      <c r="J357" s="163">
        <v>43257</v>
      </c>
      <c r="K357" s="70"/>
    </row>
    <row r="358" spans="1:11" x14ac:dyDescent="0.3">
      <c r="A358" s="273">
        <v>43251</v>
      </c>
      <c r="B358" s="69">
        <v>18</v>
      </c>
      <c r="C358" s="267">
        <v>122318</v>
      </c>
      <c r="D358" s="68">
        <v>61027</v>
      </c>
      <c r="E358" s="54">
        <v>1</v>
      </c>
      <c r="F358" s="49"/>
      <c r="H358" s="61" t="s">
        <v>18</v>
      </c>
      <c r="I358" s="61" t="s">
        <v>25</v>
      </c>
      <c r="J358" s="163">
        <v>43265</v>
      </c>
      <c r="K358" s="64" t="s">
        <v>24</v>
      </c>
    </row>
    <row r="359" spans="1:11" x14ac:dyDescent="0.3">
      <c r="A359" s="273">
        <v>43252</v>
      </c>
      <c r="B359" s="66">
        <v>1</v>
      </c>
      <c r="C359" s="267">
        <v>122396</v>
      </c>
      <c r="D359" s="88">
        <v>61092</v>
      </c>
      <c r="E359" s="53">
        <v>65</v>
      </c>
      <c r="F359" s="49"/>
      <c r="H359" s="48" t="s">
        <v>18</v>
      </c>
      <c r="I359" s="48" t="s">
        <v>19</v>
      </c>
      <c r="J359" s="163">
        <v>43262</v>
      </c>
      <c r="K359" s="64"/>
    </row>
    <row r="360" spans="1:11" x14ac:dyDescent="0.3">
      <c r="A360" s="273">
        <v>43252</v>
      </c>
      <c r="B360" s="66">
        <v>2</v>
      </c>
      <c r="C360" s="267">
        <v>122412</v>
      </c>
      <c r="D360" s="183">
        <v>61093</v>
      </c>
      <c r="E360" s="53">
        <v>65</v>
      </c>
      <c r="F360" s="49"/>
      <c r="G360" s="48"/>
      <c r="H360" s="48" t="s">
        <v>18</v>
      </c>
      <c r="I360" s="48" t="s">
        <v>19</v>
      </c>
      <c r="J360" s="161">
        <v>43272</v>
      </c>
      <c r="K360" s="64"/>
    </row>
    <row r="361" spans="1:11" x14ac:dyDescent="0.3">
      <c r="A361" s="273">
        <v>43255</v>
      </c>
      <c r="B361" s="158">
        <v>1</v>
      </c>
      <c r="C361" s="267">
        <v>121954</v>
      </c>
      <c r="D361" s="183">
        <v>60726</v>
      </c>
      <c r="E361" s="53">
        <v>16</v>
      </c>
      <c r="F361" s="49"/>
      <c r="G361" s="48"/>
      <c r="H361" s="48" t="s">
        <v>18</v>
      </c>
      <c r="I361" s="60" t="s">
        <v>21</v>
      </c>
      <c r="J361" s="161">
        <v>43264</v>
      </c>
      <c r="K361" s="64"/>
    </row>
    <row r="362" spans="1:11" x14ac:dyDescent="0.3">
      <c r="A362" s="273">
        <v>43255</v>
      </c>
      <c r="B362" s="158">
        <v>2</v>
      </c>
      <c r="C362" s="267">
        <v>122276</v>
      </c>
      <c r="D362" s="183">
        <v>61029</v>
      </c>
      <c r="E362" s="53">
        <v>3</v>
      </c>
      <c r="F362" s="49"/>
      <c r="G362" s="48"/>
      <c r="H362" s="48" t="s">
        <v>13</v>
      </c>
      <c r="I362" s="60" t="s">
        <v>21</v>
      </c>
      <c r="J362" s="161">
        <v>43264</v>
      </c>
      <c r="K362" s="64"/>
    </row>
    <row r="363" spans="1:11" x14ac:dyDescent="0.3">
      <c r="A363" s="273">
        <v>43255</v>
      </c>
      <c r="B363" s="158">
        <v>3</v>
      </c>
      <c r="C363" s="267">
        <v>122300</v>
      </c>
      <c r="D363" s="184">
        <v>61009</v>
      </c>
      <c r="E363" s="54">
        <v>18</v>
      </c>
      <c r="F363" s="49"/>
      <c r="H363" s="61" t="s">
        <v>23</v>
      </c>
      <c r="I363" s="60" t="s">
        <v>21</v>
      </c>
      <c r="J363" s="163">
        <v>43264</v>
      </c>
      <c r="K363" s="59"/>
    </row>
    <row r="364" spans="1:11" x14ac:dyDescent="0.3">
      <c r="A364" s="273">
        <v>43255</v>
      </c>
      <c r="B364" s="158">
        <v>4</v>
      </c>
      <c r="C364" s="267">
        <v>122358</v>
      </c>
      <c r="D364" s="184">
        <v>61053</v>
      </c>
      <c r="E364" s="54">
        <v>2</v>
      </c>
      <c r="F364" s="49"/>
      <c r="H364" s="61" t="s">
        <v>22</v>
      </c>
      <c r="I364" s="60" t="s">
        <v>21</v>
      </c>
      <c r="J364" s="163">
        <v>43264</v>
      </c>
      <c r="K364" s="59"/>
    </row>
    <row r="365" spans="1:11" x14ac:dyDescent="0.3">
      <c r="A365" s="273">
        <v>43255</v>
      </c>
      <c r="B365" s="158">
        <v>5</v>
      </c>
      <c r="C365" s="267">
        <v>122117</v>
      </c>
      <c r="D365" s="183">
        <v>60828</v>
      </c>
      <c r="E365" s="53">
        <v>1</v>
      </c>
      <c r="F365" s="49"/>
      <c r="H365" s="48" t="s">
        <v>18</v>
      </c>
      <c r="I365" s="48" t="s">
        <v>19</v>
      </c>
      <c r="J365" s="163">
        <v>43264</v>
      </c>
      <c r="K365" s="64" t="s">
        <v>20</v>
      </c>
    </row>
    <row r="366" spans="1:11" x14ac:dyDescent="0.3">
      <c r="A366" s="273">
        <v>43255</v>
      </c>
      <c r="B366" s="158">
        <v>6</v>
      </c>
      <c r="C366" s="270">
        <v>122153</v>
      </c>
      <c r="D366" s="184">
        <v>60859</v>
      </c>
      <c r="E366" s="54">
        <v>1</v>
      </c>
      <c r="F366" s="65"/>
      <c r="G366" s="61"/>
      <c r="H366" s="61" t="s">
        <v>18</v>
      </c>
      <c r="I366" s="61" t="s">
        <v>19</v>
      </c>
      <c r="J366" s="163">
        <v>43264</v>
      </c>
      <c r="K366" s="64" t="s">
        <v>16</v>
      </c>
    </row>
    <row r="367" spans="1:11" x14ac:dyDescent="0.3">
      <c r="A367" s="273">
        <v>43255</v>
      </c>
      <c r="B367" s="158">
        <v>7</v>
      </c>
      <c r="C367" s="267">
        <v>122054</v>
      </c>
      <c r="D367" s="183">
        <v>60756</v>
      </c>
      <c r="E367" s="53">
        <v>1</v>
      </c>
      <c r="F367" s="49"/>
      <c r="H367" s="48" t="s">
        <v>18</v>
      </c>
      <c r="I367" s="48" t="s">
        <v>17</v>
      </c>
      <c r="J367" s="163">
        <v>43264</v>
      </c>
      <c r="K367" s="64" t="s">
        <v>16</v>
      </c>
    </row>
    <row r="368" spans="1:11" x14ac:dyDescent="0.3">
      <c r="A368" s="273">
        <v>43255</v>
      </c>
      <c r="B368" s="158">
        <v>8</v>
      </c>
      <c r="C368" s="267">
        <v>122363</v>
      </c>
      <c r="D368" s="184">
        <v>61133</v>
      </c>
      <c r="E368" s="54">
        <v>8</v>
      </c>
      <c r="F368" s="49"/>
      <c r="H368" s="61" t="s">
        <v>13</v>
      </c>
      <c r="I368" s="48" t="s">
        <v>15</v>
      </c>
      <c r="J368" s="163">
        <v>43264</v>
      </c>
      <c r="K368" s="59"/>
    </row>
    <row r="369" spans="1:13" x14ac:dyDescent="0.3">
      <c r="A369" s="273">
        <v>43255</v>
      </c>
      <c r="B369" s="158">
        <v>9</v>
      </c>
      <c r="C369" s="267">
        <v>122445</v>
      </c>
      <c r="D369" s="184">
        <v>61134</v>
      </c>
      <c r="E369" s="54">
        <v>2</v>
      </c>
      <c r="F369" s="49"/>
      <c r="H369" s="61" t="s">
        <v>13</v>
      </c>
      <c r="I369" s="48" t="s">
        <v>15</v>
      </c>
      <c r="J369" s="163">
        <v>43264</v>
      </c>
      <c r="K369" s="59"/>
    </row>
    <row r="370" spans="1:13" x14ac:dyDescent="0.3">
      <c r="A370" s="273">
        <v>43255</v>
      </c>
      <c r="B370" s="158">
        <v>10</v>
      </c>
      <c r="C370" s="267">
        <v>12152</v>
      </c>
      <c r="D370" s="184">
        <v>64542</v>
      </c>
      <c r="E370" s="54">
        <v>500</v>
      </c>
      <c r="F370" s="49"/>
      <c r="H370" s="61"/>
      <c r="I370" s="48"/>
      <c r="J370" s="163"/>
      <c r="K370" s="59"/>
    </row>
    <row r="371" spans="1:13" x14ac:dyDescent="0.3">
      <c r="A371" s="273">
        <v>43256</v>
      </c>
      <c r="B371" s="158">
        <v>1</v>
      </c>
      <c r="C371" s="267"/>
      <c r="D371" s="184"/>
      <c r="E371" s="54">
        <v>1000</v>
      </c>
      <c r="F371" s="49"/>
      <c r="H371" s="61"/>
      <c r="I371" s="48"/>
      <c r="J371" s="163"/>
      <c r="K371" s="59"/>
    </row>
    <row r="372" spans="1:13" x14ac:dyDescent="0.3">
      <c r="A372" s="273">
        <v>43263</v>
      </c>
      <c r="B372" s="158">
        <v>1</v>
      </c>
      <c r="C372" s="267">
        <v>122464</v>
      </c>
      <c r="D372" s="184">
        <v>61163</v>
      </c>
      <c r="E372" s="54">
        <v>2</v>
      </c>
      <c r="F372" s="49"/>
      <c r="H372" s="61" t="s">
        <v>13</v>
      </c>
      <c r="I372" s="48" t="s">
        <v>14</v>
      </c>
      <c r="J372" s="163">
        <v>43259</v>
      </c>
      <c r="K372" s="59"/>
    </row>
    <row r="373" spans="1:13" x14ac:dyDescent="0.3">
      <c r="A373" s="278">
        <v>43271</v>
      </c>
      <c r="B373" s="50">
        <v>1</v>
      </c>
      <c r="C373" s="267">
        <v>25</v>
      </c>
      <c r="D373" s="50">
        <v>25</v>
      </c>
      <c r="E373" s="276">
        <v>25</v>
      </c>
      <c r="H373" s="49" t="s">
        <v>144</v>
      </c>
      <c r="I373" s="49" t="s">
        <v>215</v>
      </c>
      <c r="J373" s="161">
        <v>43276</v>
      </c>
      <c r="K373" s="49" t="s">
        <v>78</v>
      </c>
      <c r="M373" s="48" t="s">
        <v>78</v>
      </c>
    </row>
    <row r="374" spans="1:13" x14ac:dyDescent="0.3">
      <c r="A374" s="278">
        <v>43271</v>
      </c>
      <c r="B374" s="50">
        <v>2</v>
      </c>
      <c r="C374" s="267">
        <v>158958</v>
      </c>
      <c r="D374" s="50">
        <v>12569</v>
      </c>
      <c r="E374" s="276"/>
      <c r="I374" s="49" t="s">
        <v>234</v>
      </c>
      <c r="J374" s="161">
        <v>43255</v>
      </c>
    </row>
    <row r="375" spans="1:13" x14ac:dyDescent="0.3">
      <c r="A375" s="278">
        <v>43271</v>
      </c>
      <c r="C375" s="267"/>
      <c r="D375" s="190"/>
      <c r="E375" s="276"/>
      <c r="H375" s="49" t="s">
        <v>142</v>
      </c>
      <c r="I375" s="49" t="s">
        <v>235</v>
      </c>
      <c r="J375" s="161">
        <v>43255</v>
      </c>
    </row>
    <row r="376" spans="1:13" x14ac:dyDescent="0.3">
      <c r="A376" s="273"/>
      <c r="C376" s="267"/>
      <c r="E376" s="276"/>
    </row>
    <row r="377" spans="1:13" x14ac:dyDescent="0.3">
      <c r="A377" s="273"/>
      <c r="C377" s="267"/>
      <c r="E377" s="276"/>
    </row>
    <row r="378" spans="1:13" x14ac:dyDescent="0.3">
      <c r="A378" s="273"/>
      <c r="C378" s="267"/>
      <c r="E378" s="276"/>
    </row>
    <row r="379" spans="1:13" x14ac:dyDescent="0.3">
      <c r="A379" s="273"/>
      <c r="C379" s="267"/>
      <c r="E379" s="276"/>
    </row>
    <row r="380" spans="1:13" x14ac:dyDescent="0.3">
      <c r="A380" s="273"/>
      <c r="C380" s="267"/>
      <c r="E380" s="276"/>
    </row>
    <row r="381" spans="1:13" x14ac:dyDescent="0.3">
      <c r="A381" s="273"/>
      <c r="C381" s="267"/>
      <c r="E381" s="276"/>
    </row>
    <row r="382" spans="1:13" x14ac:dyDescent="0.3">
      <c r="A382" s="273"/>
      <c r="C382" s="267"/>
      <c r="E382" s="276"/>
    </row>
    <row r="383" spans="1:13" x14ac:dyDescent="0.3">
      <c r="A383" s="273"/>
      <c r="C383" s="267"/>
    </row>
    <row r="384" spans="1:13" x14ac:dyDescent="0.3">
      <c r="A384" s="273"/>
      <c r="C384" s="267"/>
    </row>
    <row r="385" spans="1:3" x14ac:dyDescent="0.3">
      <c r="A385" s="273"/>
      <c r="C385" s="267"/>
    </row>
    <row r="386" spans="1:3" x14ac:dyDescent="0.3">
      <c r="A386" s="273"/>
      <c r="C386" s="267"/>
    </row>
    <row r="387" spans="1:3" x14ac:dyDescent="0.3">
      <c r="A387" s="273"/>
      <c r="C387" s="267"/>
    </row>
    <row r="388" spans="1:3" x14ac:dyDescent="0.3">
      <c r="A388" s="273"/>
      <c r="C388" s="267"/>
    </row>
    <row r="389" spans="1:3" x14ac:dyDescent="0.3">
      <c r="A389" s="273"/>
      <c r="C389" s="267"/>
    </row>
    <row r="390" spans="1:3" x14ac:dyDescent="0.3">
      <c r="A390" s="273"/>
      <c r="C390" s="267"/>
    </row>
    <row r="391" spans="1:3" x14ac:dyDescent="0.3">
      <c r="A391" s="273"/>
      <c r="C391" s="267"/>
    </row>
    <row r="392" spans="1:3" x14ac:dyDescent="0.3">
      <c r="A392" s="273"/>
      <c r="C392" s="267"/>
    </row>
    <row r="393" spans="1:3" x14ac:dyDescent="0.3">
      <c r="A393" s="273"/>
      <c r="C393" s="267"/>
    </row>
    <row r="394" spans="1:3" x14ac:dyDescent="0.3">
      <c r="A394" s="273"/>
      <c r="C394" s="267"/>
    </row>
    <row r="395" spans="1:3" x14ac:dyDescent="0.3">
      <c r="A395" s="273"/>
      <c r="C395" s="267"/>
    </row>
    <row r="396" spans="1:3" x14ac:dyDescent="0.3">
      <c r="A396" s="273"/>
      <c r="C396" s="267"/>
    </row>
    <row r="397" spans="1:3" x14ac:dyDescent="0.3">
      <c r="A397" s="273"/>
      <c r="C397" s="267"/>
    </row>
    <row r="398" spans="1:3" x14ac:dyDescent="0.3">
      <c r="A398" s="273"/>
      <c r="C398" s="267"/>
    </row>
    <row r="399" spans="1:3" x14ac:dyDescent="0.3">
      <c r="A399" s="273"/>
      <c r="C399" s="267"/>
    </row>
    <row r="400" spans="1:3" x14ac:dyDescent="0.3">
      <c r="A400" s="273"/>
      <c r="C400" s="267"/>
    </row>
    <row r="401" spans="1:3" x14ac:dyDescent="0.3">
      <c r="A401" s="273"/>
      <c r="C401" s="267"/>
    </row>
    <row r="402" spans="1:3" x14ac:dyDescent="0.3">
      <c r="A402" s="273"/>
      <c r="C402" s="267"/>
    </row>
    <row r="403" spans="1:3" x14ac:dyDescent="0.3">
      <c r="A403" s="273"/>
      <c r="C403" s="267"/>
    </row>
    <row r="404" spans="1:3" x14ac:dyDescent="0.3">
      <c r="A404" s="273"/>
      <c r="C404" s="267"/>
    </row>
    <row r="405" spans="1:3" x14ac:dyDescent="0.3">
      <c r="A405" s="273"/>
      <c r="C405" s="267"/>
    </row>
    <row r="406" spans="1:3" x14ac:dyDescent="0.3">
      <c r="A406" s="273"/>
      <c r="C406" s="267"/>
    </row>
    <row r="407" spans="1:3" x14ac:dyDescent="0.3">
      <c r="A407" s="273"/>
      <c r="C407" s="267"/>
    </row>
    <row r="408" spans="1:3" x14ac:dyDescent="0.3">
      <c r="A408" s="273"/>
      <c r="C408" s="267"/>
    </row>
    <row r="409" spans="1:3" x14ac:dyDescent="0.3">
      <c r="A409" s="273"/>
      <c r="C409" s="267"/>
    </row>
    <row r="410" spans="1:3" x14ac:dyDescent="0.3">
      <c r="A410" s="273"/>
      <c r="C410" s="267"/>
    </row>
    <row r="411" spans="1:3" x14ac:dyDescent="0.3">
      <c r="A411" s="273"/>
      <c r="C411" s="267"/>
    </row>
    <row r="412" spans="1:3" x14ac:dyDescent="0.3">
      <c r="A412" s="273"/>
      <c r="C412" s="267"/>
    </row>
    <row r="413" spans="1:3" x14ac:dyDescent="0.3">
      <c r="A413" s="273"/>
      <c r="C413" s="267"/>
    </row>
    <row r="414" spans="1:3" x14ac:dyDescent="0.3">
      <c r="A414" s="273"/>
      <c r="C414" s="267"/>
    </row>
    <row r="415" spans="1:3" x14ac:dyDescent="0.3">
      <c r="A415" s="273"/>
      <c r="C415" s="267"/>
    </row>
    <row r="416" spans="1:3" x14ac:dyDescent="0.3">
      <c r="A416" s="273"/>
      <c r="C416" s="267"/>
    </row>
    <row r="417" spans="1:3" x14ac:dyDescent="0.3">
      <c r="A417" s="273"/>
      <c r="C417" s="267"/>
    </row>
    <row r="418" spans="1:3" x14ac:dyDescent="0.3">
      <c r="A418" s="273"/>
      <c r="C418" s="267"/>
    </row>
    <row r="419" spans="1:3" x14ac:dyDescent="0.3">
      <c r="A419" s="273"/>
      <c r="C419" s="267"/>
    </row>
    <row r="420" spans="1:3" x14ac:dyDescent="0.3">
      <c r="A420" s="273"/>
      <c r="C420" s="267"/>
    </row>
    <row r="421" spans="1:3" x14ac:dyDescent="0.3">
      <c r="A421" s="273"/>
      <c r="C421" s="267"/>
    </row>
    <row r="422" spans="1:3" x14ac:dyDescent="0.3">
      <c r="A422" s="273"/>
      <c r="C422" s="267"/>
    </row>
    <row r="423" spans="1:3" x14ac:dyDescent="0.3">
      <c r="A423" s="273"/>
      <c r="C423" s="267"/>
    </row>
    <row r="424" spans="1:3" x14ac:dyDescent="0.3">
      <c r="A424" s="273"/>
      <c r="C424" s="267"/>
    </row>
    <row r="425" spans="1:3" x14ac:dyDescent="0.3">
      <c r="A425" s="273"/>
      <c r="C425" s="267"/>
    </row>
    <row r="426" spans="1:3" x14ac:dyDescent="0.3">
      <c r="A426" s="273"/>
      <c r="C426" s="267"/>
    </row>
    <row r="427" spans="1:3" x14ac:dyDescent="0.3">
      <c r="A427" s="273"/>
      <c r="C427" s="267"/>
    </row>
    <row r="428" spans="1:3" x14ac:dyDescent="0.3">
      <c r="A428" s="273"/>
      <c r="C428" s="267"/>
    </row>
    <row r="429" spans="1:3" x14ac:dyDescent="0.3">
      <c r="A429" s="273"/>
      <c r="C429" s="267"/>
    </row>
    <row r="430" spans="1:3" x14ac:dyDescent="0.3">
      <c r="A430" s="273"/>
      <c r="C430" s="267"/>
    </row>
    <row r="431" spans="1:3" x14ac:dyDescent="0.3">
      <c r="A431" s="273"/>
      <c r="C431" s="267"/>
    </row>
    <row r="432" spans="1:3" x14ac:dyDescent="0.3">
      <c r="A432" s="273"/>
      <c r="C432" s="267"/>
    </row>
    <row r="433" spans="1:3" x14ac:dyDescent="0.3">
      <c r="A433" s="273"/>
      <c r="C433" s="267"/>
    </row>
    <row r="434" spans="1:3" x14ac:dyDescent="0.3">
      <c r="A434" s="273"/>
      <c r="C434" s="267"/>
    </row>
    <row r="435" spans="1:3" x14ac:dyDescent="0.3">
      <c r="A435" s="273"/>
      <c r="C435" s="267"/>
    </row>
    <row r="436" spans="1:3" x14ac:dyDescent="0.3">
      <c r="A436" s="273"/>
      <c r="C436" s="267"/>
    </row>
    <row r="437" spans="1:3" x14ac:dyDescent="0.3">
      <c r="A437" s="273"/>
      <c r="C437" s="267"/>
    </row>
    <row r="438" spans="1:3" x14ac:dyDescent="0.3">
      <c r="A438" s="273"/>
      <c r="C438" s="267"/>
    </row>
    <row r="439" spans="1:3" x14ac:dyDescent="0.3">
      <c r="A439" s="273"/>
      <c r="C439" s="267"/>
    </row>
    <row r="440" spans="1:3" x14ac:dyDescent="0.3">
      <c r="A440" s="273"/>
      <c r="C440" s="267"/>
    </row>
    <row r="441" spans="1:3" x14ac:dyDescent="0.3">
      <c r="A441" s="273"/>
      <c r="C441" s="267"/>
    </row>
    <row r="442" spans="1:3" x14ac:dyDescent="0.3">
      <c r="A442" s="273"/>
      <c r="C442" s="267"/>
    </row>
    <row r="443" spans="1:3" x14ac:dyDescent="0.3">
      <c r="A443" s="273"/>
      <c r="C443" s="267"/>
    </row>
    <row r="444" spans="1:3" x14ac:dyDescent="0.3">
      <c r="A444" s="273"/>
      <c r="C444" s="267"/>
    </row>
    <row r="445" spans="1:3" x14ac:dyDescent="0.3">
      <c r="A445" s="273"/>
      <c r="C445" s="267"/>
    </row>
    <row r="446" spans="1:3" x14ac:dyDescent="0.3">
      <c r="A446" s="273"/>
      <c r="C446" s="267"/>
    </row>
    <row r="447" spans="1:3" x14ac:dyDescent="0.3">
      <c r="A447" s="273"/>
      <c r="C447" s="267"/>
    </row>
    <row r="448" spans="1:3" x14ac:dyDescent="0.3">
      <c r="A448" s="273"/>
      <c r="C448" s="267"/>
    </row>
    <row r="449" spans="1:3" x14ac:dyDescent="0.3">
      <c r="A449" s="273"/>
      <c r="C449" s="267"/>
    </row>
    <row r="450" spans="1:3" x14ac:dyDescent="0.3">
      <c r="A450" s="273"/>
      <c r="C450" s="267"/>
    </row>
    <row r="451" spans="1:3" x14ac:dyDescent="0.3">
      <c r="A451" s="273"/>
      <c r="C451" s="267"/>
    </row>
    <row r="452" spans="1:3" x14ac:dyDescent="0.3">
      <c r="A452" s="273"/>
      <c r="C452" s="267"/>
    </row>
    <row r="453" spans="1:3" x14ac:dyDescent="0.3">
      <c r="A453" s="273"/>
      <c r="C453" s="267"/>
    </row>
    <row r="454" spans="1:3" x14ac:dyDescent="0.3">
      <c r="A454" s="273"/>
      <c r="C454" s="267"/>
    </row>
    <row r="455" spans="1:3" x14ac:dyDescent="0.3">
      <c r="A455" s="273"/>
      <c r="C455" s="267"/>
    </row>
    <row r="456" spans="1:3" x14ac:dyDescent="0.3">
      <c r="A456" s="273"/>
      <c r="C456" s="267"/>
    </row>
    <row r="457" spans="1:3" x14ac:dyDescent="0.3">
      <c r="A457" s="273"/>
      <c r="C457" s="267"/>
    </row>
    <row r="458" spans="1:3" x14ac:dyDescent="0.3">
      <c r="A458" s="273"/>
      <c r="C458" s="267"/>
    </row>
    <row r="459" spans="1:3" x14ac:dyDescent="0.3">
      <c r="A459" s="273"/>
      <c r="C459" s="267"/>
    </row>
    <row r="460" spans="1:3" x14ac:dyDescent="0.3">
      <c r="A460" s="273"/>
      <c r="C460" s="267"/>
    </row>
    <row r="461" spans="1:3" x14ac:dyDescent="0.3">
      <c r="A461" s="273"/>
      <c r="C461" s="267"/>
    </row>
    <row r="462" spans="1:3" x14ac:dyDescent="0.3">
      <c r="A462" s="273"/>
      <c r="C462" s="267"/>
    </row>
    <row r="463" spans="1:3" x14ac:dyDescent="0.3">
      <c r="A463" s="273"/>
      <c r="C463" s="267"/>
    </row>
    <row r="464" spans="1:3" x14ac:dyDescent="0.3">
      <c r="A464" s="273"/>
      <c r="C464" s="267"/>
    </row>
    <row r="465" spans="1:3" x14ac:dyDescent="0.3">
      <c r="A465" s="273"/>
      <c r="C465" s="267"/>
    </row>
    <row r="466" spans="1:3" x14ac:dyDescent="0.3">
      <c r="A466" s="273"/>
      <c r="C466" s="267"/>
    </row>
    <row r="467" spans="1:3" x14ac:dyDescent="0.3">
      <c r="A467" s="273"/>
      <c r="C467" s="267"/>
    </row>
    <row r="468" spans="1:3" x14ac:dyDescent="0.3">
      <c r="A468" s="273"/>
      <c r="C468" s="267"/>
    </row>
    <row r="469" spans="1:3" x14ac:dyDescent="0.3">
      <c r="A469" s="273"/>
      <c r="C469" s="267"/>
    </row>
    <row r="470" spans="1:3" x14ac:dyDescent="0.3">
      <c r="A470" s="273"/>
      <c r="C470" s="267"/>
    </row>
    <row r="471" spans="1:3" x14ac:dyDescent="0.3">
      <c r="A471" s="273"/>
      <c r="C471" s="267"/>
    </row>
    <row r="472" spans="1:3" x14ac:dyDescent="0.3">
      <c r="A472" s="273"/>
      <c r="C472" s="267"/>
    </row>
    <row r="473" spans="1:3" x14ac:dyDescent="0.3">
      <c r="A473" s="273"/>
      <c r="C473" s="267"/>
    </row>
    <row r="474" spans="1:3" x14ac:dyDescent="0.3">
      <c r="A474" s="273"/>
      <c r="C474" s="267"/>
    </row>
    <row r="475" spans="1:3" x14ac:dyDescent="0.3">
      <c r="A475" s="273"/>
      <c r="C475" s="267"/>
    </row>
    <row r="476" spans="1:3" x14ac:dyDescent="0.3">
      <c r="A476" s="273"/>
      <c r="C476" s="267"/>
    </row>
    <row r="477" spans="1:3" x14ac:dyDescent="0.3">
      <c r="A477" s="273"/>
      <c r="C477" s="267"/>
    </row>
    <row r="478" spans="1:3" x14ac:dyDescent="0.3">
      <c r="A478" s="273"/>
      <c r="C478" s="267"/>
    </row>
    <row r="479" spans="1:3" x14ac:dyDescent="0.3">
      <c r="A479" s="273"/>
      <c r="C479" s="267"/>
    </row>
    <row r="480" spans="1:3" x14ac:dyDescent="0.3">
      <c r="A480" s="273"/>
      <c r="C480" s="267"/>
    </row>
    <row r="481" spans="1:3" x14ac:dyDescent="0.3">
      <c r="A481" s="273"/>
      <c r="C481" s="267"/>
    </row>
    <row r="482" spans="1:3" x14ac:dyDescent="0.3">
      <c r="A482" s="273"/>
      <c r="C482" s="267"/>
    </row>
    <row r="483" spans="1:3" x14ac:dyDescent="0.3">
      <c r="A483" s="273"/>
      <c r="C483" s="267"/>
    </row>
    <row r="484" spans="1:3" x14ac:dyDescent="0.3">
      <c r="A484" s="273"/>
      <c r="C484" s="267"/>
    </row>
    <row r="485" spans="1:3" x14ac:dyDescent="0.3">
      <c r="A485" s="273"/>
      <c r="C485" s="267"/>
    </row>
    <row r="486" spans="1:3" x14ac:dyDescent="0.3">
      <c r="A486" s="273"/>
      <c r="C486" s="267"/>
    </row>
    <row r="487" spans="1:3" x14ac:dyDescent="0.3">
      <c r="A487" s="273"/>
      <c r="C487" s="267"/>
    </row>
    <row r="488" spans="1:3" x14ac:dyDescent="0.3">
      <c r="A488" s="273"/>
      <c r="C488" s="267"/>
    </row>
    <row r="489" spans="1:3" x14ac:dyDescent="0.3">
      <c r="A489" s="273"/>
      <c r="C489" s="267"/>
    </row>
    <row r="490" spans="1:3" x14ac:dyDescent="0.3">
      <c r="A490" s="273"/>
      <c r="C490" s="267"/>
    </row>
    <row r="491" spans="1:3" x14ac:dyDescent="0.3">
      <c r="A491" s="273"/>
      <c r="C491" s="267"/>
    </row>
    <row r="492" spans="1:3" x14ac:dyDescent="0.3">
      <c r="A492" s="273"/>
      <c r="C492" s="267"/>
    </row>
    <row r="493" spans="1:3" x14ac:dyDescent="0.3">
      <c r="A493" s="273"/>
      <c r="C493" s="267"/>
    </row>
    <row r="494" spans="1:3" x14ac:dyDescent="0.3">
      <c r="A494" s="273"/>
      <c r="C494" s="267"/>
    </row>
    <row r="495" spans="1:3" x14ac:dyDescent="0.3">
      <c r="A495" s="273"/>
      <c r="C495" s="267"/>
    </row>
    <row r="496" spans="1:3" x14ac:dyDescent="0.3">
      <c r="A496" s="273"/>
      <c r="C496" s="267"/>
    </row>
    <row r="497" spans="1:3" x14ac:dyDescent="0.3">
      <c r="A497" s="273"/>
      <c r="C497" s="267"/>
    </row>
    <row r="498" spans="1:3" x14ac:dyDescent="0.3">
      <c r="A498" s="273"/>
      <c r="C498" s="267"/>
    </row>
    <row r="499" spans="1:3" x14ac:dyDescent="0.3">
      <c r="A499" s="273"/>
      <c r="C499" s="267"/>
    </row>
    <row r="500" spans="1:3" x14ac:dyDescent="0.3">
      <c r="A500" s="273"/>
      <c r="C500" s="267"/>
    </row>
    <row r="501" spans="1:3" x14ac:dyDescent="0.3">
      <c r="A501" s="273"/>
      <c r="C501" s="267"/>
    </row>
    <row r="502" spans="1:3" x14ac:dyDescent="0.3">
      <c r="A502" s="273"/>
      <c r="C502" s="267"/>
    </row>
    <row r="503" spans="1:3" x14ac:dyDescent="0.3">
      <c r="A503" s="273"/>
      <c r="C503" s="267"/>
    </row>
    <row r="504" spans="1:3" x14ac:dyDescent="0.3">
      <c r="A504" s="273"/>
      <c r="C504" s="267"/>
    </row>
    <row r="505" spans="1:3" x14ac:dyDescent="0.3">
      <c r="A505" s="273"/>
      <c r="C505" s="267"/>
    </row>
    <row r="506" spans="1:3" x14ac:dyDescent="0.3">
      <c r="A506" s="273"/>
      <c r="C506" s="267"/>
    </row>
    <row r="507" spans="1:3" x14ac:dyDescent="0.3">
      <c r="A507" s="273"/>
      <c r="C507" s="267"/>
    </row>
    <row r="508" spans="1:3" x14ac:dyDescent="0.3">
      <c r="A508" s="273"/>
      <c r="C508" s="267"/>
    </row>
    <row r="509" spans="1:3" x14ac:dyDescent="0.3">
      <c r="A509" s="273"/>
      <c r="C509" s="267"/>
    </row>
    <row r="510" spans="1:3" x14ac:dyDescent="0.3">
      <c r="A510" s="273"/>
      <c r="C510" s="267"/>
    </row>
    <row r="511" spans="1:3" x14ac:dyDescent="0.3">
      <c r="A511" s="273"/>
      <c r="C511" s="267"/>
    </row>
    <row r="512" spans="1:3" x14ac:dyDescent="0.3">
      <c r="A512" s="273"/>
      <c r="C512" s="267"/>
    </row>
    <row r="513" spans="1:3" x14ac:dyDescent="0.3">
      <c r="A513" s="273"/>
      <c r="C513" s="267"/>
    </row>
    <row r="514" spans="1:3" x14ac:dyDescent="0.3">
      <c r="A514" s="273"/>
      <c r="C514" s="267"/>
    </row>
    <row r="515" spans="1:3" x14ac:dyDescent="0.3">
      <c r="A515" s="273"/>
      <c r="C515" s="267"/>
    </row>
    <row r="516" spans="1:3" x14ac:dyDescent="0.3">
      <c r="A516" s="273"/>
      <c r="C516" s="267"/>
    </row>
    <row r="517" spans="1:3" x14ac:dyDescent="0.3">
      <c r="A517" s="273"/>
      <c r="C517" s="267"/>
    </row>
    <row r="518" spans="1:3" x14ac:dyDescent="0.3">
      <c r="A518" s="273"/>
      <c r="C518" s="267"/>
    </row>
    <row r="519" spans="1:3" x14ac:dyDescent="0.3">
      <c r="A519" s="273"/>
      <c r="C519" s="267"/>
    </row>
    <row r="520" spans="1:3" x14ac:dyDescent="0.3">
      <c r="A520" s="273"/>
      <c r="C520" s="267"/>
    </row>
    <row r="521" spans="1:3" x14ac:dyDescent="0.3">
      <c r="A521" s="273"/>
      <c r="C521" s="267"/>
    </row>
    <row r="522" spans="1:3" x14ac:dyDescent="0.3">
      <c r="A522" s="273"/>
      <c r="C522" s="267"/>
    </row>
    <row r="523" spans="1:3" x14ac:dyDescent="0.3">
      <c r="A523" s="273"/>
      <c r="C523" s="267"/>
    </row>
    <row r="524" spans="1:3" x14ac:dyDescent="0.3">
      <c r="A524" s="273"/>
      <c r="C524" s="267"/>
    </row>
    <row r="525" spans="1:3" x14ac:dyDescent="0.3">
      <c r="A525" s="273"/>
      <c r="C525" s="267"/>
    </row>
    <row r="526" spans="1:3" x14ac:dyDescent="0.3">
      <c r="A526" s="273"/>
      <c r="C526" s="267"/>
    </row>
    <row r="527" spans="1:3" x14ac:dyDescent="0.3">
      <c r="A527" s="273"/>
      <c r="C527" s="267"/>
    </row>
    <row r="528" spans="1:3" x14ac:dyDescent="0.3">
      <c r="A528" s="273"/>
      <c r="C528" s="267"/>
    </row>
    <row r="529" spans="1:3" x14ac:dyDescent="0.3">
      <c r="A529" s="273"/>
      <c r="C529" s="267"/>
    </row>
    <row r="530" spans="1:3" x14ac:dyDescent="0.3">
      <c r="A530" s="273"/>
      <c r="C530" s="267"/>
    </row>
    <row r="531" spans="1:3" x14ac:dyDescent="0.3">
      <c r="A531" s="273"/>
      <c r="C531" s="267"/>
    </row>
    <row r="532" spans="1:3" x14ac:dyDescent="0.3">
      <c r="A532" s="273"/>
      <c r="C532" s="267"/>
    </row>
    <row r="533" spans="1:3" x14ac:dyDescent="0.3">
      <c r="A533" s="273"/>
      <c r="C533" s="267"/>
    </row>
    <row r="534" spans="1:3" x14ac:dyDescent="0.3">
      <c r="A534" s="273"/>
      <c r="C534" s="267"/>
    </row>
    <row r="535" spans="1:3" x14ac:dyDescent="0.3">
      <c r="A535" s="273"/>
      <c r="C535" s="267"/>
    </row>
    <row r="536" spans="1:3" x14ac:dyDescent="0.3">
      <c r="A536" s="273"/>
      <c r="C536" s="267"/>
    </row>
    <row r="537" spans="1:3" x14ac:dyDescent="0.3">
      <c r="A537" s="273"/>
      <c r="C537" s="267"/>
    </row>
    <row r="538" spans="1:3" x14ac:dyDescent="0.3">
      <c r="A538" s="273"/>
      <c r="C538" s="267"/>
    </row>
    <row r="539" spans="1:3" x14ac:dyDescent="0.3">
      <c r="A539" s="273"/>
      <c r="C539" s="267"/>
    </row>
    <row r="540" spans="1:3" x14ac:dyDescent="0.3">
      <c r="A540" s="273"/>
      <c r="C540" s="267"/>
    </row>
    <row r="541" spans="1:3" x14ac:dyDescent="0.3">
      <c r="A541" s="273"/>
      <c r="C541" s="267"/>
    </row>
    <row r="542" spans="1:3" x14ac:dyDescent="0.3">
      <c r="A542" s="273"/>
      <c r="C542" s="267"/>
    </row>
    <row r="543" spans="1:3" x14ac:dyDescent="0.3">
      <c r="A543" s="273"/>
      <c r="C543" s="267"/>
    </row>
    <row r="544" spans="1:3" x14ac:dyDescent="0.3">
      <c r="A544" s="273"/>
      <c r="C544" s="267"/>
    </row>
    <row r="545" spans="1:3" x14ac:dyDescent="0.3">
      <c r="A545" s="273"/>
      <c r="C545" s="267"/>
    </row>
    <row r="546" spans="1:3" x14ac:dyDescent="0.3">
      <c r="A546" s="273"/>
      <c r="C546" s="267"/>
    </row>
    <row r="547" spans="1:3" x14ac:dyDescent="0.3">
      <c r="A547" s="273"/>
      <c r="C547" s="267"/>
    </row>
    <row r="548" spans="1:3" x14ac:dyDescent="0.3">
      <c r="A548" s="273"/>
      <c r="C548" s="267"/>
    </row>
    <row r="549" spans="1:3" x14ac:dyDescent="0.3">
      <c r="A549" s="273"/>
      <c r="C549" s="267"/>
    </row>
    <row r="550" spans="1:3" x14ac:dyDescent="0.3">
      <c r="A550" s="273"/>
      <c r="C550" s="267"/>
    </row>
    <row r="551" spans="1:3" x14ac:dyDescent="0.3">
      <c r="A551" s="273"/>
      <c r="C551" s="267"/>
    </row>
    <row r="552" spans="1:3" x14ac:dyDescent="0.3">
      <c r="A552" s="273"/>
      <c r="C552" s="267"/>
    </row>
    <row r="553" spans="1:3" x14ac:dyDescent="0.3">
      <c r="A553" s="273"/>
      <c r="C553" s="267"/>
    </row>
    <row r="554" spans="1:3" x14ac:dyDescent="0.3">
      <c r="A554" s="273"/>
      <c r="C554" s="267"/>
    </row>
    <row r="555" spans="1:3" x14ac:dyDescent="0.3">
      <c r="A555" s="273"/>
      <c r="C555" s="267"/>
    </row>
    <row r="556" spans="1:3" x14ac:dyDescent="0.3">
      <c r="A556" s="273"/>
      <c r="C556" s="267"/>
    </row>
    <row r="557" spans="1:3" x14ac:dyDescent="0.3">
      <c r="A557" s="273"/>
      <c r="C557" s="267"/>
    </row>
    <row r="558" spans="1:3" x14ac:dyDescent="0.3">
      <c r="A558" s="273"/>
      <c r="C558" s="267"/>
    </row>
    <row r="559" spans="1:3" x14ac:dyDescent="0.3">
      <c r="A559" s="273"/>
      <c r="C559" s="267"/>
    </row>
    <row r="560" spans="1:3" x14ac:dyDescent="0.3">
      <c r="A560" s="273"/>
      <c r="C560" s="267"/>
    </row>
    <row r="561" spans="1:3" x14ac:dyDescent="0.3">
      <c r="A561" s="273"/>
      <c r="C561" s="267"/>
    </row>
    <row r="562" spans="1:3" x14ac:dyDescent="0.3">
      <c r="A562" s="273"/>
      <c r="C562" s="267"/>
    </row>
    <row r="563" spans="1:3" x14ac:dyDescent="0.3">
      <c r="A563" s="273"/>
      <c r="C563" s="267"/>
    </row>
    <row r="564" spans="1:3" x14ac:dyDescent="0.3">
      <c r="A564" s="273"/>
      <c r="C564" s="267"/>
    </row>
    <row r="565" spans="1:3" x14ac:dyDescent="0.3">
      <c r="A565" s="273"/>
      <c r="C565" s="267"/>
    </row>
    <row r="566" spans="1:3" x14ac:dyDescent="0.3">
      <c r="A566" s="273"/>
      <c r="C566" s="267"/>
    </row>
    <row r="567" spans="1:3" x14ac:dyDescent="0.3">
      <c r="A567" s="273"/>
      <c r="C567" s="267"/>
    </row>
    <row r="568" spans="1:3" x14ac:dyDescent="0.3">
      <c r="A568" s="273"/>
      <c r="C568" s="267"/>
    </row>
    <row r="569" spans="1:3" x14ac:dyDescent="0.3">
      <c r="A569" s="273"/>
      <c r="C569" s="267"/>
    </row>
    <row r="570" spans="1:3" x14ac:dyDescent="0.3">
      <c r="A570" s="273"/>
      <c r="C570" s="267"/>
    </row>
    <row r="571" spans="1:3" x14ac:dyDescent="0.3">
      <c r="A571" s="273"/>
      <c r="C571" s="267"/>
    </row>
    <row r="572" spans="1:3" x14ac:dyDescent="0.3">
      <c r="A572" s="273"/>
      <c r="C572" s="267"/>
    </row>
    <row r="573" spans="1:3" x14ac:dyDescent="0.3">
      <c r="A573" s="273"/>
      <c r="C573" s="267"/>
    </row>
    <row r="574" spans="1:3" x14ac:dyDescent="0.3">
      <c r="A574" s="273"/>
      <c r="C574" s="267"/>
    </row>
    <row r="575" spans="1:3" x14ac:dyDescent="0.3">
      <c r="A575" s="273"/>
      <c r="C575" s="267"/>
    </row>
    <row r="576" spans="1:3" x14ac:dyDescent="0.3">
      <c r="A576" s="273"/>
      <c r="C576" s="267"/>
    </row>
    <row r="577" spans="1:3" x14ac:dyDescent="0.3">
      <c r="A577" s="273"/>
      <c r="C577" s="267"/>
    </row>
    <row r="578" spans="1:3" x14ac:dyDescent="0.3">
      <c r="A578" s="273"/>
      <c r="C578" s="267"/>
    </row>
    <row r="579" spans="1:3" x14ac:dyDescent="0.3">
      <c r="A579" s="273"/>
      <c r="C579" s="267"/>
    </row>
    <row r="580" spans="1:3" x14ac:dyDescent="0.3">
      <c r="A580" s="273"/>
      <c r="C580" s="267"/>
    </row>
    <row r="581" spans="1:3" x14ac:dyDescent="0.3">
      <c r="A581" s="273"/>
      <c r="C581" s="267"/>
    </row>
    <row r="582" spans="1:3" x14ac:dyDescent="0.3">
      <c r="A582" s="273"/>
      <c r="C582" s="267"/>
    </row>
    <row r="583" spans="1:3" x14ac:dyDescent="0.3">
      <c r="A583" s="273"/>
      <c r="C583" s="267"/>
    </row>
    <row r="584" spans="1:3" x14ac:dyDescent="0.3">
      <c r="A584" s="273"/>
      <c r="C584" s="267"/>
    </row>
    <row r="585" spans="1:3" x14ac:dyDescent="0.3">
      <c r="A585" s="273"/>
      <c r="C585" s="267"/>
    </row>
    <row r="586" spans="1:3" x14ac:dyDescent="0.3">
      <c r="A586" s="273"/>
      <c r="C586" s="267"/>
    </row>
    <row r="587" spans="1:3" x14ac:dyDescent="0.3">
      <c r="A587" s="273"/>
      <c r="C587" s="267"/>
    </row>
    <row r="588" spans="1:3" x14ac:dyDescent="0.3">
      <c r="A588" s="273"/>
      <c r="C588" s="267"/>
    </row>
    <row r="589" spans="1:3" x14ac:dyDescent="0.3">
      <c r="A589" s="273"/>
      <c r="C589" s="267"/>
    </row>
    <row r="590" spans="1:3" x14ac:dyDescent="0.3">
      <c r="A590" s="273"/>
      <c r="C590" s="267"/>
    </row>
    <row r="591" spans="1:3" x14ac:dyDescent="0.3">
      <c r="A591" s="273"/>
      <c r="C591" s="267"/>
    </row>
    <row r="592" spans="1:3" x14ac:dyDescent="0.3">
      <c r="A592" s="273"/>
      <c r="C592" s="267"/>
    </row>
    <row r="593" spans="1:3" x14ac:dyDescent="0.3">
      <c r="A593" s="273"/>
      <c r="C593" s="267"/>
    </row>
    <row r="594" spans="1:3" x14ac:dyDescent="0.3">
      <c r="A594" s="273"/>
      <c r="C594" s="267"/>
    </row>
    <row r="595" spans="1:3" x14ac:dyDescent="0.3">
      <c r="A595" s="273"/>
      <c r="C595" s="267"/>
    </row>
    <row r="596" spans="1:3" x14ac:dyDescent="0.3">
      <c r="A596" s="273"/>
      <c r="C596" s="267"/>
    </row>
    <row r="597" spans="1:3" x14ac:dyDescent="0.3">
      <c r="A597" s="273"/>
      <c r="C597" s="267"/>
    </row>
    <row r="598" spans="1:3" x14ac:dyDescent="0.3">
      <c r="A598" s="273"/>
      <c r="C598" s="267"/>
    </row>
    <row r="599" spans="1:3" x14ac:dyDescent="0.3">
      <c r="A599" s="273"/>
      <c r="C599" s="267"/>
    </row>
    <row r="600" spans="1:3" x14ac:dyDescent="0.3">
      <c r="A600" s="273"/>
      <c r="C600" s="267"/>
    </row>
    <row r="601" spans="1:3" x14ac:dyDescent="0.3">
      <c r="A601" s="273"/>
      <c r="C601" s="267"/>
    </row>
    <row r="602" spans="1:3" x14ac:dyDescent="0.3">
      <c r="A602" s="273"/>
      <c r="C602" s="267"/>
    </row>
    <row r="603" spans="1:3" x14ac:dyDescent="0.3">
      <c r="A603" s="273"/>
      <c r="C603" s="267"/>
    </row>
    <row r="604" spans="1:3" x14ac:dyDescent="0.3">
      <c r="A604" s="273"/>
      <c r="C604" s="267"/>
    </row>
    <row r="605" spans="1:3" x14ac:dyDescent="0.3">
      <c r="A605" s="273"/>
      <c r="C605" s="267"/>
    </row>
    <row r="606" spans="1:3" x14ac:dyDescent="0.3">
      <c r="A606" s="273"/>
      <c r="C606" s="267"/>
    </row>
    <row r="607" spans="1:3" x14ac:dyDescent="0.3">
      <c r="A607" s="273"/>
      <c r="C607" s="267"/>
    </row>
    <row r="608" spans="1:3" x14ac:dyDescent="0.3">
      <c r="A608" s="273"/>
      <c r="C608" s="267"/>
    </row>
    <row r="609" spans="1:3" x14ac:dyDescent="0.3">
      <c r="A609" s="273"/>
      <c r="C609" s="267"/>
    </row>
    <row r="610" spans="1:3" x14ac:dyDescent="0.3">
      <c r="A610" s="273"/>
      <c r="C610" s="267"/>
    </row>
    <row r="611" spans="1:3" x14ac:dyDescent="0.3">
      <c r="A611" s="273"/>
      <c r="C611" s="267"/>
    </row>
    <row r="612" spans="1:3" x14ac:dyDescent="0.3">
      <c r="A612" s="273"/>
      <c r="C612" s="267"/>
    </row>
    <row r="613" spans="1:3" x14ac:dyDescent="0.3">
      <c r="A613" s="273"/>
      <c r="C613" s="267"/>
    </row>
    <row r="614" spans="1:3" x14ac:dyDescent="0.3">
      <c r="A614" s="273"/>
      <c r="C614" s="267"/>
    </row>
    <row r="615" spans="1:3" x14ac:dyDescent="0.3">
      <c r="A615" s="273"/>
      <c r="C615" s="267"/>
    </row>
    <row r="616" spans="1:3" x14ac:dyDescent="0.3">
      <c r="A616" s="273"/>
      <c r="C616" s="267"/>
    </row>
    <row r="617" spans="1:3" x14ac:dyDescent="0.3">
      <c r="A617" s="273"/>
      <c r="C617" s="267"/>
    </row>
    <row r="618" spans="1:3" x14ac:dyDescent="0.3">
      <c r="A618" s="273"/>
      <c r="C618" s="267"/>
    </row>
    <row r="619" spans="1:3" x14ac:dyDescent="0.3">
      <c r="A619" s="273"/>
      <c r="C619" s="267"/>
    </row>
    <row r="620" spans="1:3" x14ac:dyDescent="0.3">
      <c r="A620" s="273"/>
      <c r="C620" s="267"/>
    </row>
    <row r="621" spans="1:3" x14ac:dyDescent="0.3">
      <c r="A621" s="273"/>
      <c r="C621" s="267"/>
    </row>
    <row r="622" spans="1:3" x14ac:dyDescent="0.3">
      <c r="A622" s="273"/>
      <c r="C622" s="267"/>
    </row>
    <row r="623" spans="1:3" x14ac:dyDescent="0.3">
      <c r="A623" s="273"/>
      <c r="C623" s="267"/>
    </row>
    <row r="624" spans="1:3" x14ac:dyDescent="0.3">
      <c r="A624" s="273"/>
      <c r="C624" s="267"/>
    </row>
    <row r="625" spans="1:3" x14ac:dyDescent="0.3">
      <c r="A625" s="273"/>
      <c r="C625" s="267"/>
    </row>
    <row r="626" spans="1:3" x14ac:dyDescent="0.3">
      <c r="A626" s="273"/>
      <c r="C626" s="267"/>
    </row>
    <row r="627" spans="1:3" x14ac:dyDescent="0.3">
      <c r="A627" s="273"/>
      <c r="C627" s="267"/>
    </row>
    <row r="628" spans="1:3" x14ac:dyDescent="0.3">
      <c r="A628" s="273"/>
      <c r="C628" s="267"/>
    </row>
    <row r="629" spans="1:3" x14ac:dyDescent="0.3">
      <c r="A629" s="273"/>
      <c r="C629" s="267"/>
    </row>
    <row r="630" spans="1:3" x14ac:dyDescent="0.3">
      <c r="A630" s="273"/>
      <c r="C630" s="267"/>
    </row>
    <row r="631" spans="1:3" x14ac:dyDescent="0.3">
      <c r="A631" s="273"/>
      <c r="C631" s="267"/>
    </row>
    <row r="632" spans="1:3" x14ac:dyDescent="0.3">
      <c r="A632" s="273"/>
      <c r="C632" s="267"/>
    </row>
    <row r="633" spans="1:3" x14ac:dyDescent="0.3">
      <c r="A633" s="273"/>
      <c r="C633" s="267"/>
    </row>
    <row r="634" spans="1:3" x14ac:dyDescent="0.3">
      <c r="A634" s="273"/>
      <c r="C634" s="267"/>
    </row>
    <row r="635" spans="1:3" x14ac:dyDescent="0.3">
      <c r="A635" s="273"/>
      <c r="C635" s="267"/>
    </row>
    <row r="636" spans="1:3" x14ac:dyDescent="0.3">
      <c r="A636" s="273"/>
      <c r="C636" s="267"/>
    </row>
    <row r="637" spans="1:3" x14ac:dyDescent="0.3">
      <c r="A637" s="273"/>
      <c r="C637" s="267"/>
    </row>
    <row r="638" spans="1:3" x14ac:dyDescent="0.3">
      <c r="A638" s="273"/>
      <c r="C638" s="267"/>
    </row>
    <row r="639" spans="1:3" x14ac:dyDescent="0.3">
      <c r="A639" s="273"/>
      <c r="C639" s="267"/>
    </row>
    <row r="640" spans="1:3" x14ac:dyDescent="0.3">
      <c r="A640" s="273"/>
      <c r="C640" s="267"/>
    </row>
    <row r="641" spans="1:3" x14ac:dyDescent="0.3">
      <c r="A641" s="273"/>
      <c r="C641" s="267"/>
    </row>
    <row r="642" spans="1:3" x14ac:dyDescent="0.3">
      <c r="A642" s="273"/>
      <c r="C642" s="267"/>
    </row>
    <row r="643" spans="1:3" x14ac:dyDescent="0.3">
      <c r="A643" s="273"/>
      <c r="C643" s="267"/>
    </row>
    <row r="644" spans="1:3" x14ac:dyDescent="0.3">
      <c r="A644" s="273"/>
      <c r="C644" s="267"/>
    </row>
    <row r="645" spans="1:3" x14ac:dyDescent="0.3">
      <c r="A645" s="273"/>
      <c r="C645" s="267"/>
    </row>
    <row r="646" spans="1:3" x14ac:dyDescent="0.3">
      <c r="A646" s="273"/>
      <c r="C646" s="267"/>
    </row>
    <row r="647" spans="1:3" x14ac:dyDescent="0.3">
      <c r="A647" s="273"/>
      <c r="C647" s="267"/>
    </row>
    <row r="648" spans="1:3" x14ac:dyDescent="0.3">
      <c r="A648" s="273"/>
      <c r="C648" s="267"/>
    </row>
    <row r="649" spans="1:3" x14ac:dyDescent="0.3">
      <c r="A649" s="273"/>
      <c r="C649" s="267"/>
    </row>
    <row r="650" spans="1:3" x14ac:dyDescent="0.3">
      <c r="A650" s="273"/>
      <c r="C650" s="267"/>
    </row>
    <row r="651" spans="1:3" x14ac:dyDescent="0.3">
      <c r="A651" s="273"/>
      <c r="C651" s="267"/>
    </row>
    <row r="652" spans="1:3" x14ac:dyDescent="0.3">
      <c r="A652" s="273"/>
      <c r="C652" s="267"/>
    </row>
    <row r="653" spans="1:3" x14ac:dyDescent="0.3">
      <c r="A653" s="273"/>
      <c r="C653" s="267"/>
    </row>
    <row r="654" spans="1:3" x14ac:dyDescent="0.3">
      <c r="A654" s="273"/>
      <c r="C654" s="267"/>
    </row>
    <row r="655" spans="1:3" x14ac:dyDescent="0.3">
      <c r="A655" s="273"/>
      <c r="C655" s="267"/>
    </row>
    <row r="656" spans="1:3" x14ac:dyDescent="0.3">
      <c r="A656" s="273"/>
      <c r="C656" s="267"/>
    </row>
    <row r="657" spans="1:3" x14ac:dyDescent="0.3">
      <c r="A657" s="273"/>
      <c r="C657" s="267"/>
    </row>
    <row r="658" spans="1:3" x14ac:dyDescent="0.3">
      <c r="A658" s="273"/>
      <c r="C658" s="267"/>
    </row>
    <row r="659" spans="1:3" x14ac:dyDescent="0.3">
      <c r="A659" s="273"/>
      <c r="C659" s="267"/>
    </row>
    <row r="660" spans="1:3" x14ac:dyDescent="0.3">
      <c r="A660" s="273"/>
      <c r="C660" s="267"/>
    </row>
    <row r="661" spans="1:3" x14ac:dyDescent="0.3">
      <c r="A661" s="273"/>
      <c r="C661" s="267"/>
    </row>
    <row r="662" spans="1:3" x14ac:dyDescent="0.3">
      <c r="A662" s="273"/>
      <c r="C662" s="267"/>
    </row>
    <row r="663" spans="1:3" x14ac:dyDescent="0.3">
      <c r="A663" s="273"/>
      <c r="C663" s="267"/>
    </row>
    <row r="664" spans="1:3" x14ac:dyDescent="0.3">
      <c r="A664" s="273"/>
      <c r="C664" s="267"/>
    </row>
    <row r="665" spans="1:3" x14ac:dyDescent="0.3">
      <c r="A665" s="273"/>
      <c r="C665" s="267"/>
    </row>
    <row r="666" spans="1:3" x14ac:dyDescent="0.3">
      <c r="A666" s="273"/>
      <c r="C666" s="267"/>
    </row>
    <row r="667" spans="1:3" x14ac:dyDescent="0.3">
      <c r="A667" s="273"/>
      <c r="C667" s="267"/>
    </row>
    <row r="668" spans="1:3" x14ac:dyDescent="0.3">
      <c r="A668" s="273"/>
      <c r="C668" s="267"/>
    </row>
    <row r="669" spans="1:3" x14ac:dyDescent="0.3">
      <c r="A669" s="273"/>
      <c r="C669" s="267"/>
    </row>
    <row r="670" spans="1:3" x14ac:dyDescent="0.3">
      <c r="A670" s="273"/>
      <c r="C670" s="267"/>
    </row>
    <row r="671" spans="1:3" x14ac:dyDescent="0.3">
      <c r="A671" s="273"/>
      <c r="C671" s="267"/>
    </row>
    <row r="672" spans="1:3" x14ac:dyDescent="0.3">
      <c r="A672" s="273"/>
      <c r="C672" s="267"/>
    </row>
    <row r="673" spans="1:3" x14ac:dyDescent="0.3">
      <c r="A673" s="273"/>
      <c r="C673" s="267"/>
    </row>
    <row r="674" spans="1:3" x14ac:dyDescent="0.3">
      <c r="A674" s="273"/>
      <c r="C674" s="267"/>
    </row>
    <row r="675" spans="1:3" x14ac:dyDescent="0.3">
      <c r="A675" s="273"/>
      <c r="C675" s="267"/>
    </row>
    <row r="676" spans="1:3" x14ac:dyDescent="0.3">
      <c r="A676" s="273"/>
      <c r="C676" s="267"/>
    </row>
    <row r="677" spans="1:3" x14ac:dyDescent="0.3">
      <c r="A677" s="273"/>
      <c r="C677" s="267"/>
    </row>
    <row r="678" spans="1:3" x14ac:dyDescent="0.3">
      <c r="A678" s="273"/>
      <c r="C678" s="267"/>
    </row>
    <row r="679" spans="1:3" x14ac:dyDescent="0.3">
      <c r="A679" s="273"/>
      <c r="C679" s="267"/>
    </row>
    <row r="680" spans="1:3" x14ac:dyDescent="0.3">
      <c r="A680" s="273"/>
      <c r="C680" s="267"/>
    </row>
    <row r="681" spans="1:3" x14ac:dyDescent="0.3">
      <c r="A681" s="273"/>
      <c r="C681" s="267"/>
    </row>
    <row r="682" spans="1:3" x14ac:dyDescent="0.3">
      <c r="A682" s="273"/>
      <c r="C682" s="267"/>
    </row>
    <row r="683" spans="1:3" x14ac:dyDescent="0.3">
      <c r="A683" s="273"/>
      <c r="C683" s="267"/>
    </row>
    <row r="684" spans="1:3" x14ac:dyDescent="0.3">
      <c r="A684" s="273"/>
      <c r="C684" s="267"/>
    </row>
    <row r="685" spans="1:3" x14ac:dyDescent="0.3">
      <c r="A685" s="273"/>
      <c r="C685" s="267"/>
    </row>
    <row r="686" spans="1:3" x14ac:dyDescent="0.3">
      <c r="A686" s="273"/>
      <c r="C686" s="267"/>
    </row>
    <row r="687" spans="1:3" x14ac:dyDescent="0.3">
      <c r="A687" s="273"/>
      <c r="C687" s="267"/>
    </row>
    <row r="688" spans="1:3" x14ac:dyDescent="0.3">
      <c r="A688" s="273"/>
      <c r="C688" s="267"/>
    </row>
    <row r="689" spans="1:3" x14ac:dyDescent="0.3">
      <c r="A689" s="273"/>
      <c r="C689" s="267"/>
    </row>
    <row r="690" spans="1:3" x14ac:dyDescent="0.3">
      <c r="A690" s="273"/>
      <c r="C690" s="267"/>
    </row>
    <row r="691" spans="1:3" x14ac:dyDescent="0.3">
      <c r="A691" s="273"/>
      <c r="C691" s="267"/>
    </row>
    <row r="692" spans="1:3" x14ac:dyDescent="0.3">
      <c r="A692" s="273"/>
      <c r="C692" s="267"/>
    </row>
    <row r="693" spans="1:3" x14ac:dyDescent="0.3">
      <c r="A693" s="273"/>
      <c r="C693" s="267"/>
    </row>
    <row r="694" spans="1:3" x14ac:dyDescent="0.3">
      <c r="A694" s="273"/>
      <c r="C694" s="267"/>
    </row>
    <row r="695" spans="1:3" x14ac:dyDescent="0.3">
      <c r="A695" s="273"/>
      <c r="C695" s="267"/>
    </row>
    <row r="696" spans="1:3" x14ac:dyDescent="0.3">
      <c r="A696" s="273"/>
      <c r="C696" s="267"/>
    </row>
    <row r="697" spans="1:3" x14ac:dyDescent="0.3">
      <c r="A697" s="273"/>
      <c r="C697" s="267"/>
    </row>
    <row r="698" spans="1:3" x14ac:dyDescent="0.3">
      <c r="A698" s="273"/>
      <c r="C698" s="267"/>
    </row>
    <row r="699" spans="1:3" x14ac:dyDescent="0.3">
      <c r="A699" s="273"/>
      <c r="C699" s="267"/>
    </row>
    <row r="700" spans="1:3" x14ac:dyDescent="0.3">
      <c r="A700" s="273"/>
      <c r="C700" s="267"/>
    </row>
    <row r="701" spans="1:3" x14ac:dyDescent="0.3">
      <c r="A701" s="273"/>
      <c r="C701" s="267"/>
    </row>
    <row r="702" spans="1:3" x14ac:dyDescent="0.3">
      <c r="A702" s="273"/>
      <c r="C702" s="267"/>
    </row>
    <row r="703" spans="1:3" x14ac:dyDescent="0.3">
      <c r="A703" s="273"/>
      <c r="C703" s="267"/>
    </row>
    <row r="704" spans="1:3" x14ac:dyDescent="0.3">
      <c r="A704" s="273"/>
      <c r="C704" s="267"/>
    </row>
    <row r="705" spans="1:3" x14ac:dyDescent="0.3">
      <c r="A705" s="273"/>
      <c r="C705" s="267"/>
    </row>
    <row r="706" spans="1:3" x14ac:dyDescent="0.3">
      <c r="A706" s="273"/>
      <c r="C706" s="267"/>
    </row>
    <row r="707" spans="1:3" x14ac:dyDescent="0.3">
      <c r="A707" s="273"/>
      <c r="C707" s="267"/>
    </row>
    <row r="708" spans="1:3" x14ac:dyDescent="0.3">
      <c r="A708" s="273"/>
      <c r="C708" s="267"/>
    </row>
    <row r="709" spans="1:3" x14ac:dyDescent="0.3">
      <c r="A709" s="273"/>
      <c r="C709" s="267"/>
    </row>
    <row r="710" spans="1:3" x14ac:dyDescent="0.3">
      <c r="A710" s="273"/>
      <c r="C710" s="267"/>
    </row>
    <row r="711" spans="1:3" x14ac:dyDescent="0.3">
      <c r="A711" s="273"/>
      <c r="C711" s="267"/>
    </row>
    <row r="712" spans="1:3" x14ac:dyDescent="0.3">
      <c r="A712" s="273"/>
      <c r="C712" s="267"/>
    </row>
    <row r="713" spans="1:3" x14ac:dyDescent="0.3">
      <c r="A713" s="273"/>
      <c r="C713" s="267"/>
    </row>
    <row r="714" spans="1:3" x14ac:dyDescent="0.3">
      <c r="A714" s="273"/>
      <c r="C714" s="267"/>
    </row>
    <row r="715" spans="1:3" x14ac:dyDescent="0.3">
      <c r="A715" s="273"/>
      <c r="C715" s="267"/>
    </row>
    <row r="716" spans="1:3" x14ac:dyDescent="0.3">
      <c r="A716" s="273"/>
      <c r="C716" s="267"/>
    </row>
    <row r="717" spans="1:3" x14ac:dyDescent="0.3">
      <c r="A717" s="273"/>
      <c r="C717" s="267"/>
    </row>
    <row r="718" spans="1:3" x14ac:dyDescent="0.3">
      <c r="A718" s="273"/>
      <c r="C718" s="267"/>
    </row>
    <row r="719" spans="1:3" x14ac:dyDescent="0.3">
      <c r="A719" s="273"/>
      <c r="C719" s="267"/>
    </row>
    <row r="720" spans="1:3" x14ac:dyDescent="0.3">
      <c r="A720" s="273"/>
      <c r="C720" s="267"/>
    </row>
    <row r="721" spans="1:3" x14ac:dyDescent="0.3">
      <c r="A721" s="273"/>
      <c r="C721" s="267"/>
    </row>
    <row r="722" spans="1:3" x14ac:dyDescent="0.3">
      <c r="A722" s="273"/>
      <c r="C722" s="267"/>
    </row>
    <row r="723" spans="1:3" x14ac:dyDescent="0.3">
      <c r="A723" s="273"/>
      <c r="C723" s="267"/>
    </row>
    <row r="724" spans="1:3" x14ac:dyDescent="0.3">
      <c r="A724" s="273"/>
      <c r="C724" s="267"/>
    </row>
    <row r="725" spans="1:3" x14ac:dyDescent="0.3">
      <c r="A725" s="273"/>
      <c r="C725" s="267"/>
    </row>
    <row r="726" spans="1:3" x14ac:dyDescent="0.3">
      <c r="A726" s="273"/>
      <c r="C726" s="267"/>
    </row>
    <row r="727" spans="1:3" x14ac:dyDescent="0.3">
      <c r="A727" s="273"/>
      <c r="C727" s="267"/>
    </row>
    <row r="728" spans="1:3" x14ac:dyDescent="0.3">
      <c r="A728" s="273"/>
      <c r="C728" s="267"/>
    </row>
    <row r="729" spans="1:3" x14ac:dyDescent="0.3">
      <c r="A729" s="273"/>
      <c r="C729" s="267"/>
    </row>
    <row r="730" spans="1:3" x14ac:dyDescent="0.3">
      <c r="A730" s="273"/>
      <c r="C730" s="267"/>
    </row>
    <row r="731" spans="1:3" x14ac:dyDescent="0.3">
      <c r="A731" s="273"/>
      <c r="C731" s="267"/>
    </row>
    <row r="732" spans="1:3" x14ac:dyDescent="0.3">
      <c r="A732" s="273"/>
      <c r="C732" s="267"/>
    </row>
    <row r="733" spans="1:3" x14ac:dyDescent="0.3">
      <c r="A733" s="273"/>
      <c r="C733" s="267"/>
    </row>
    <row r="734" spans="1:3" x14ac:dyDescent="0.3">
      <c r="A734" s="273"/>
      <c r="C734" s="267"/>
    </row>
    <row r="735" spans="1:3" x14ac:dyDescent="0.3">
      <c r="A735" s="273"/>
      <c r="C735" s="267"/>
    </row>
    <row r="736" spans="1:3" x14ac:dyDescent="0.3">
      <c r="A736" s="273"/>
      <c r="C736" s="267"/>
    </row>
    <row r="737" spans="1:3" x14ac:dyDescent="0.3">
      <c r="A737" s="273"/>
      <c r="C737" s="267"/>
    </row>
    <row r="738" spans="1:3" x14ac:dyDescent="0.3">
      <c r="A738" s="273"/>
      <c r="C738" s="267"/>
    </row>
    <row r="739" spans="1:3" x14ac:dyDescent="0.3">
      <c r="A739" s="273"/>
      <c r="C739" s="267"/>
    </row>
    <row r="740" spans="1:3" x14ac:dyDescent="0.3">
      <c r="A740" s="273"/>
      <c r="C740" s="267"/>
    </row>
    <row r="741" spans="1:3" x14ac:dyDescent="0.3">
      <c r="A741" s="273"/>
      <c r="C741" s="267"/>
    </row>
    <row r="742" spans="1:3" x14ac:dyDescent="0.3">
      <c r="A742" s="273"/>
      <c r="C742" s="267"/>
    </row>
    <row r="743" spans="1:3" x14ac:dyDescent="0.3">
      <c r="A743" s="273"/>
      <c r="C743" s="267"/>
    </row>
    <row r="744" spans="1:3" x14ac:dyDescent="0.3">
      <c r="A744" s="273"/>
      <c r="C744" s="267"/>
    </row>
    <row r="745" spans="1:3" x14ac:dyDescent="0.3">
      <c r="A745" s="273"/>
      <c r="C745" s="267"/>
    </row>
    <row r="746" spans="1:3" x14ac:dyDescent="0.3">
      <c r="A746" s="273"/>
      <c r="C746" s="267"/>
    </row>
    <row r="747" spans="1:3" x14ac:dyDescent="0.3">
      <c r="A747" s="273"/>
      <c r="C747" s="267"/>
    </row>
    <row r="748" spans="1:3" x14ac:dyDescent="0.3">
      <c r="A748" s="273"/>
      <c r="C748" s="267"/>
    </row>
    <row r="749" spans="1:3" x14ac:dyDescent="0.3">
      <c r="A749" s="273"/>
      <c r="C749" s="267"/>
    </row>
    <row r="750" spans="1:3" x14ac:dyDescent="0.3">
      <c r="A750" s="273"/>
      <c r="C750" s="267"/>
    </row>
    <row r="751" spans="1:3" x14ac:dyDescent="0.3">
      <c r="A751" s="273"/>
      <c r="C751" s="267"/>
    </row>
    <row r="752" spans="1:3" x14ac:dyDescent="0.3">
      <c r="A752" s="273"/>
      <c r="C752" s="267"/>
    </row>
    <row r="753" spans="1:3" x14ac:dyDescent="0.3">
      <c r="A753" s="273"/>
      <c r="C753" s="267"/>
    </row>
    <row r="754" spans="1:3" x14ac:dyDescent="0.3">
      <c r="A754" s="273"/>
      <c r="C754" s="267"/>
    </row>
    <row r="755" spans="1:3" x14ac:dyDescent="0.3">
      <c r="A755" s="273"/>
      <c r="C755" s="267"/>
    </row>
    <row r="756" spans="1:3" x14ac:dyDescent="0.3">
      <c r="A756" s="273"/>
      <c r="C756" s="267"/>
    </row>
    <row r="757" spans="1:3" x14ac:dyDescent="0.3">
      <c r="A757" s="273"/>
      <c r="C757" s="267"/>
    </row>
    <row r="758" spans="1:3" x14ac:dyDescent="0.3">
      <c r="A758" s="273"/>
      <c r="C758" s="267"/>
    </row>
    <row r="759" spans="1:3" x14ac:dyDescent="0.3">
      <c r="A759" s="273"/>
      <c r="C759" s="267"/>
    </row>
    <row r="760" spans="1:3" x14ac:dyDescent="0.3">
      <c r="A760" s="273"/>
      <c r="C760" s="267"/>
    </row>
    <row r="761" spans="1:3" x14ac:dyDescent="0.3">
      <c r="A761" s="273"/>
      <c r="C761" s="267"/>
    </row>
    <row r="762" spans="1:3" x14ac:dyDescent="0.3">
      <c r="A762" s="273"/>
      <c r="C762" s="267"/>
    </row>
    <row r="763" spans="1:3" x14ac:dyDescent="0.3">
      <c r="A763" s="273"/>
      <c r="C763" s="267"/>
    </row>
    <row r="764" spans="1:3" x14ac:dyDescent="0.3">
      <c r="A764" s="273"/>
      <c r="C764" s="267"/>
    </row>
    <row r="765" spans="1:3" x14ac:dyDescent="0.3">
      <c r="A765" s="273"/>
      <c r="C765" s="267"/>
    </row>
    <row r="766" spans="1:3" x14ac:dyDescent="0.3">
      <c r="A766" s="273"/>
      <c r="C766" s="267"/>
    </row>
    <row r="767" spans="1:3" x14ac:dyDescent="0.3">
      <c r="A767" s="273"/>
      <c r="C767" s="267"/>
    </row>
    <row r="768" spans="1:3" x14ac:dyDescent="0.3">
      <c r="A768" s="273"/>
      <c r="C768" s="267"/>
    </row>
    <row r="769" spans="1:3" x14ac:dyDescent="0.3">
      <c r="A769" s="273"/>
      <c r="C769" s="267"/>
    </row>
    <row r="770" spans="1:3" x14ac:dyDescent="0.3">
      <c r="A770" s="273"/>
      <c r="C770" s="267"/>
    </row>
    <row r="771" spans="1:3" x14ac:dyDescent="0.3">
      <c r="A771" s="273"/>
      <c r="C771" s="267"/>
    </row>
    <row r="772" spans="1:3" x14ac:dyDescent="0.3">
      <c r="A772" s="273"/>
      <c r="C772" s="267"/>
    </row>
    <row r="773" spans="1:3" x14ac:dyDescent="0.3">
      <c r="A773" s="273"/>
      <c r="C773" s="267"/>
    </row>
    <row r="774" spans="1:3" x14ac:dyDescent="0.3">
      <c r="A774" s="273"/>
      <c r="C774" s="267"/>
    </row>
    <row r="775" spans="1:3" x14ac:dyDescent="0.3">
      <c r="A775" s="273"/>
      <c r="C775" s="267"/>
    </row>
    <row r="776" spans="1:3" x14ac:dyDescent="0.3">
      <c r="A776" s="273"/>
      <c r="C776" s="267"/>
    </row>
    <row r="777" spans="1:3" x14ac:dyDescent="0.3">
      <c r="A777" s="273"/>
      <c r="C777" s="267"/>
    </row>
    <row r="778" spans="1:3" x14ac:dyDescent="0.3">
      <c r="A778" s="273"/>
      <c r="C778" s="267"/>
    </row>
    <row r="779" spans="1:3" x14ac:dyDescent="0.3">
      <c r="A779" s="273"/>
      <c r="C779" s="267"/>
    </row>
    <row r="780" spans="1:3" x14ac:dyDescent="0.3">
      <c r="A780" s="273"/>
      <c r="C780" s="267"/>
    </row>
    <row r="781" spans="1:3" x14ac:dyDescent="0.3">
      <c r="A781" s="273"/>
      <c r="C781" s="267"/>
    </row>
    <row r="782" spans="1:3" x14ac:dyDescent="0.3">
      <c r="A782" s="273"/>
      <c r="C782" s="267"/>
    </row>
    <row r="783" spans="1:3" x14ac:dyDescent="0.3">
      <c r="A783" s="273"/>
      <c r="C783" s="267"/>
    </row>
    <row r="784" spans="1:3" x14ac:dyDescent="0.3">
      <c r="A784" s="273"/>
      <c r="C784" s="267"/>
    </row>
    <row r="785" spans="1:3" x14ac:dyDescent="0.3">
      <c r="A785" s="273"/>
      <c r="C785" s="267"/>
    </row>
    <row r="786" spans="1:3" x14ac:dyDescent="0.3">
      <c r="A786" s="273"/>
      <c r="C786" s="267"/>
    </row>
    <row r="787" spans="1:3" x14ac:dyDescent="0.3">
      <c r="A787" s="273"/>
      <c r="C787" s="267"/>
    </row>
    <row r="788" spans="1:3" x14ac:dyDescent="0.3">
      <c r="A788" s="273"/>
      <c r="C788" s="267"/>
    </row>
    <row r="789" spans="1:3" x14ac:dyDescent="0.3">
      <c r="A789" s="273"/>
      <c r="C789" s="267"/>
    </row>
    <row r="790" spans="1:3" x14ac:dyDescent="0.3">
      <c r="A790" s="273"/>
      <c r="C790" s="267"/>
    </row>
    <row r="791" spans="1:3" x14ac:dyDescent="0.3">
      <c r="A791" s="273"/>
      <c r="C791" s="267"/>
    </row>
    <row r="792" spans="1:3" x14ac:dyDescent="0.3">
      <c r="A792" s="273"/>
      <c r="C792" s="267"/>
    </row>
    <row r="793" spans="1:3" x14ac:dyDescent="0.3">
      <c r="A793" s="273"/>
      <c r="C793" s="267"/>
    </row>
    <row r="794" spans="1:3" x14ac:dyDescent="0.3">
      <c r="A794" s="273"/>
      <c r="C794" s="267"/>
    </row>
    <row r="795" spans="1:3" x14ac:dyDescent="0.3">
      <c r="A795" s="273"/>
      <c r="C795" s="267"/>
    </row>
    <row r="796" spans="1:3" x14ac:dyDescent="0.3">
      <c r="A796" s="273"/>
      <c r="C796" s="267"/>
    </row>
    <row r="797" spans="1:3" x14ac:dyDescent="0.3">
      <c r="A797" s="273"/>
      <c r="C797" s="267"/>
    </row>
    <row r="798" spans="1:3" x14ac:dyDescent="0.3">
      <c r="A798" s="273"/>
      <c r="C798" s="267"/>
    </row>
    <row r="799" spans="1:3" x14ac:dyDescent="0.3">
      <c r="A799" s="273"/>
      <c r="C799" s="267"/>
    </row>
    <row r="800" spans="1:3" x14ac:dyDescent="0.3">
      <c r="A800" s="273"/>
      <c r="C800" s="267"/>
    </row>
    <row r="801" spans="1:3" x14ac:dyDescent="0.3">
      <c r="A801" s="273"/>
      <c r="C801" s="267"/>
    </row>
    <row r="802" spans="1:3" x14ac:dyDescent="0.3">
      <c r="A802" s="273"/>
      <c r="C802" s="267"/>
    </row>
    <row r="803" spans="1:3" x14ac:dyDescent="0.3">
      <c r="A803" s="273"/>
      <c r="C803" s="267"/>
    </row>
    <row r="804" spans="1:3" x14ac:dyDescent="0.3">
      <c r="A804" s="273"/>
      <c r="C804" s="267"/>
    </row>
    <row r="805" spans="1:3" x14ac:dyDescent="0.3">
      <c r="A805" s="273"/>
      <c r="C805" s="267"/>
    </row>
    <row r="806" spans="1:3" x14ac:dyDescent="0.3">
      <c r="A806" s="273"/>
      <c r="C806" s="267"/>
    </row>
    <row r="807" spans="1:3" x14ac:dyDescent="0.3">
      <c r="A807" s="273"/>
      <c r="C807" s="267"/>
    </row>
    <row r="808" spans="1:3" x14ac:dyDescent="0.3">
      <c r="A808" s="273"/>
      <c r="C808" s="267"/>
    </row>
    <row r="809" spans="1:3" x14ac:dyDescent="0.3">
      <c r="A809" s="273"/>
      <c r="C809" s="267"/>
    </row>
    <row r="810" spans="1:3" x14ac:dyDescent="0.3">
      <c r="A810" s="273"/>
      <c r="C810" s="267"/>
    </row>
    <row r="811" spans="1:3" x14ac:dyDescent="0.3">
      <c r="A811" s="273"/>
      <c r="C811" s="267"/>
    </row>
    <row r="812" spans="1:3" x14ac:dyDescent="0.3">
      <c r="A812" s="273"/>
      <c r="C812" s="267"/>
    </row>
    <row r="813" spans="1:3" x14ac:dyDescent="0.3">
      <c r="A813" s="273"/>
      <c r="C813" s="267"/>
    </row>
    <row r="814" spans="1:3" x14ac:dyDescent="0.3">
      <c r="A814" s="273"/>
      <c r="C814" s="267"/>
    </row>
    <row r="815" spans="1:3" x14ac:dyDescent="0.3">
      <c r="A815" s="273"/>
      <c r="C815" s="267"/>
    </row>
    <row r="816" spans="1:3" x14ac:dyDescent="0.3">
      <c r="A816" s="273"/>
      <c r="C816" s="267"/>
    </row>
    <row r="817" spans="1:3" x14ac:dyDescent="0.3">
      <c r="A817" s="273"/>
      <c r="C817" s="267"/>
    </row>
    <row r="818" spans="1:3" x14ac:dyDescent="0.3">
      <c r="A818" s="273"/>
      <c r="C818" s="267"/>
    </row>
    <row r="819" spans="1:3" x14ac:dyDescent="0.3">
      <c r="A819" s="273"/>
      <c r="C819" s="267"/>
    </row>
    <row r="820" spans="1:3" x14ac:dyDescent="0.3">
      <c r="A820" s="273"/>
      <c r="C820" s="267"/>
    </row>
    <row r="821" spans="1:3" x14ac:dyDescent="0.3">
      <c r="A821" s="273"/>
      <c r="C821" s="267"/>
    </row>
    <row r="822" spans="1:3" x14ac:dyDescent="0.3">
      <c r="A822" s="273"/>
      <c r="C822" s="267"/>
    </row>
    <row r="823" spans="1:3" x14ac:dyDescent="0.3">
      <c r="A823" s="273"/>
      <c r="C823" s="267"/>
    </row>
    <row r="824" spans="1:3" x14ac:dyDescent="0.3">
      <c r="A824" s="273"/>
      <c r="C824" s="267"/>
    </row>
    <row r="825" spans="1:3" x14ac:dyDescent="0.3">
      <c r="A825" s="273"/>
      <c r="C825" s="267"/>
    </row>
    <row r="826" spans="1:3" x14ac:dyDescent="0.3">
      <c r="A826" s="273"/>
      <c r="C826" s="267"/>
    </row>
    <row r="827" spans="1:3" x14ac:dyDescent="0.3">
      <c r="A827" s="273"/>
      <c r="C827" s="267"/>
    </row>
    <row r="828" spans="1:3" x14ac:dyDescent="0.3">
      <c r="A828" s="273"/>
      <c r="C828" s="267"/>
    </row>
    <row r="829" spans="1:3" x14ac:dyDescent="0.3">
      <c r="A829" s="273"/>
      <c r="C829" s="267"/>
    </row>
    <row r="830" spans="1:3" x14ac:dyDescent="0.3">
      <c r="A830" s="273"/>
      <c r="C830" s="267"/>
    </row>
    <row r="831" spans="1:3" x14ac:dyDescent="0.3">
      <c r="A831" s="273"/>
      <c r="C831" s="267"/>
    </row>
    <row r="832" spans="1:3" x14ac:dyDescent="0.3">
      <c r="A832" s="273"/>
      <c r="C832" s="267"/>
    </row>
    <row r="833" spans="1:3" x14ac:dyDescent="0.3">
      <c r="A833" s="273"/>
      <c r="C833" s="267"/>
    </row>
    <row r="834" spans="1:3" x14ac:dyDescent="0.3">
      <c r="A834" s="273"/>
      <c r="C834" s="267"/>
    </row>
    <row r="835" spans="1:3" x14ac:dyDescent="0.3">
      <c r="A835" s="273"/>
      <c r="C835" s="267"/>
    </row>
    <row r="836" spans="1:3" x14ac:dyDescent="0.3">
      <c r="A836" s="273"/>
      <c r="C836" s="267"/>
    </row>
    <row r="837" spans="1:3" x14ac:dyDescent="0.3">
      <c r="A837" s="273"/>
      <c r="C837" s="267"/>
    </row>
    <row r="838" spans="1:3" x14ac:dyDescent="0.3">
      <c r="A838" s="273"/>
      <c r="C838" s="267"/>
    </row>
    <row r="839" spans="1:3" x14ac:dyDescent="0.3">
      <c r="A839" s="273"/>
      <c r="C839" s="267"/>
    </row>
    <row r="840" spans="1:3" x14ac:dyDescent="0.3">
      <c r="A840" s="273"/>
      <c r="C840" s="267"/>
    </row>
    <row r="841" spans="1:3" x14ac:dyDescent="0.3">
      <c r="A841" s="273"/>
      <c r="C841" s="267"/>
    </row>
    <row r="842" spans="1:3" x14ac:dyDescent="0.3">
      <c r="A842" s="273"/>
      <c r="C842" s="267"/>
    </row>
    <row r="843" spans="1:3" x14ac:dyDescent="0.3">
      <c r="A843" s="273"/>
      <c r="C843" s="267"/>
    </row>
    <row r="844" spans="1:3" x14ac:dyDescent="0.3">
      <c r="A844" s="273"/>
      <c r="C844" s="267"/>
    </row>
    <row r="845" spans="1:3" x14ac:dyDescent="0.3">
      <c r="A845" s="273"/>
      <c r="C845" s="267"/>
    </row>
    <row r="846" spans="1:3" x14ac:dyDescent="0.3">
      <c r="A846" s="273"/>
      <c r="C846" s="267"/>
    </row>
    <row r="847" spans="1:3" x14ac:dyDescent="0.3">
      <c r="A847" s="273"/>
      <c r="C847" s="267"/>
    </row>
    <row r="848" spans="1:3" x14ac:dyDescent="0.3">
      <c r="A848" s="273"/>
      <c r="C848" s="267"/>
    </row>
    <row r="849" spans="1:3" x14ac:dyDescent="0.3">
      <c r="A849" s="273"/>
      <c r="C849" s="267"/>
    </row>
    <row r="850" spans="1:3" x14ac:dyDescent="0.3">
      <c r="A850" s="273"/>
      <c r="C850" s="267"/>
    </row>
    <row r="851" spans="1:3" x14ac:dyDescent="0.3">
      <c r="A851" s="273"/>
      <c r="C851" s="267"/>
    </row>
    <row r="852" spans="1:3" x14ac:dyDescent="0.3">
      <c r="A852" s="273"/>
      <c r="C852" s="267"/>
    </row>
    <row r="853" spans="1:3" x14ac:dyDescent="0.3">
      <c r="A853" s="273"/>
      <c r="C853" s="267"/>
    </row>
    <row r="854" spans="1:3" x14ac:dyDescent="0.3">
      <c r="A854" s="273"/>
      <c r="C854" s="267"/>
    </row>
    <row r="855" spans="1:3" x14ac:dyDescent="0.3">
      <c r="A855" s="273"/>
      <c r="C855" s="267"/>
    </row>
    <row r="856" spans="1:3" x14ac:dyDescent="0.3">
      <c r="A856" s="273"/>
      <c r="C856" s="267"/>
    </row>
    <row r="857" spans="1:3" x14ac:dyDescent="0.3">
      <c r="A857" s="273"/>
      <c r="C857" s="267"/>
    </row>
    <row r="858" spans="1:3" x14ac:dyDescent="0.3">
      <c r="A858" s="273"/>
      <c r="C858" s="267"/>
    </row>
    <row r="859" spans="1:3" x14ac:dyDescent="0.3">
      <c r="A859" s="273"/>
      <c r="C859" s="267"/>
    </row>
    <row r="860" spans="1:3" x14ac:dyDescent="0.3">
      <c r="A860" s="273"/>
      <c r="C860" s="267"/>
    </row>
    <row r="861" spans="1:3" x14ac:dyDescent="0.3">
      <c r="A861" s="273"/>
      <c r="C861" s="267"/>
    </row>
    <row r="862" spans="1:3" x14ac:dyDescent="0.3">
      <c r="A862" s="273"/>
      <c r="C862" s="267"/>
    </row>
    <row r="863" spans="1:3" x14ac:dyDescent="0.3">
      <c r="A863" s="273"/>
      <c r="C863" s="267"/>
    </row>
    <row r="864" spans="1:3" x14ac:dyDescent="0.3">
      <c r="A864" s="273"/>
      <c r="C864" s="267"/>
    </row>
    <row r="865" spans="1:3" x14ac:dyDescent="0.3">
      <c r="A865" s="273"/>
      <c r="C865" s="267"/>
    </row>
    <row r="866" spans="1:3" x14ac:dyDescent="0.3">
      <c r="A866" s="273"/>
      <c r="C866" s="267"/>
    </row>
    <row r="867" spans="1:3" x14ac:dyDescent="0.3">
      <c r="A867" s="273"/>
      <c r="C867" s="267"/>
    </row>
    <row r="868" spans="1:3" x14ac:dyDescent="0.3">
      <c r="A868" s="273"/>
      <c r="C868" s="267"/>
    </row>
    <row r="869" spans="1:3" x14ac:dyDescent="0.3">
      <c r="A869" s="273"/>
      <c r="C869" s="267"/>
    </row>
    <row r="870" spans="1:3" x14ac:dyDescent="0.3">
      <c r="A870" s="273"/>
      <c r="C870" s="267"/>
    </row>
    <row r="871" spans="1:3" x14ac:dyDescent="0.3">
      <c r="A871" s="273"/>
      <c r="C871" s="267"/>
    </row>
    <row r="872" spans="1:3" x14ac:dyDescent="0.3">
      <c r="A872" s="273"/>
      <c r="C872" s="267"/>
    </row>
    <row r="873" spans="1:3" x14ac:dyDescent="0.3">
      <c r="A873" s="273"/>
      <c r="C873" s="267"/>
    </row>
    <row r="874" spans="1:3" x14ac:dyDescent="0.3">
      <c r="A874" s="273"/>
      <c r="C874" s="267"/>
    </row>
    <row r="875" spans="1:3" x14ac:dyDescent="0.3">
      <c r="A875" s="273"/>
      <c r="C875" s="267"/>
    </row>
    <row r="876" spans="1:3" x14ac:dyDescent="0.3">
      <c r="A876" s="273"/>
      <c r="C876" s="267"/>
    </row>
    <row r="877" spans="1:3" x14ac:dyDescent="0.3">
      <c r="A877" s="273"/>
      <c r="C877" s="267"/>
    </row>
    <row r="878" spans="1:3" x14ac:dyDescent="0.3">
      <c r="A878" s="273"/>
      <c r="C878" s="267"/>
    </row>
    <row r="879" spans="1:3" x14ac:dyDescent="0.3">
      <c r="A879" s="273"/>
      <c r="C879" s="267"/>
    </row>
    <row r="880" spans="1:3" x14ac:dyDescent="0.3">
      <c r="A880" s="273"/>
      <c r="C880" s="267"/>
    </row>
    <row r="881" spans="1:3" x14ac:dyDescent="0.3">
      <c r="A881" s="273"/>
      <c r="C881" s="267"/>
    </row>
    <row r="882" spans="1:3" x14ac:dyDescent="0.3">
      <c r="A882" s="273"/>
      <c r="C882" s="267"/>
    </row>
    <row r="883" spans="1:3" x14ac:dyDescent="0.3">
      <c r="A883" s="273"/>
      <c r="C883" s="267"/>
    </row>
    <row r="884" spans="1:3" x14ac:dyDescent="0.3">
      <c r="A884" s="273"/>
      <c r="C884" s="267"/>
    </row>
    <row r="885" spans="1:3" x14ac:dyDescent="0.3">
      <c r="A885" s="273"/>
      <c r="C885" s="267"/>
    </row>
    <row r="886" spans="1:3" x14ac:dyDescent="0.3">
      <c r="A886" s="273"/>
      <c r="C886" s="267"/>
    </row>
    <row r="887" spans="1:3" x14ac:dyDescent="0.3">
      <c r="A887" s="273"/>
      <c r="C887" s="267"/>
    </row>
    <row r="888" spans="1:3" x14ac:dyDescent="0.3">
      <c r="A888" s="273"/>
      <c r="C888" s="267"/>
    </row>
    <row r="889" spans="1:3" x14ac:dyDescent="0.3">
      <c r="A889" s="273"/>
      <c r="C889" s="267"/>
    </row>
    <row r="890" spans="1:3" x14ac:dyDescent="0.3">
      <c r="A890" s="273"/>
      <c r="C890" s="267"/>
    </row>
    <row r="891" spans="1:3" x14ac:dyDescent="0.3">
      <c r="A891" s="273"/>
      <c r="C891" s="267"/>
    </row>
    <row r="892" spans="1:3" x14ac:dyDescent="0.3">
      <c r="A892" s="273"/>
      <c r="C892" s="267"/>
    </row>
    <row r="893" spans="1:3" x14ac:dyDescent="0.3">
      <c r="A893" s="273"/>
      <c r="C893" s="267"/>
    </row>
    <row r="894" spans="1:3" x14ac:dyDescent="0.3">
      <c r="A894" s="273"/>
      <c r="C894" s="267"/>
    </row>
    <row r="895" spans="1:3" x14ac:dyDescent="0.3">
      <c r="A895" s="273"/>
      <c r="C895" s="267"/>
    </row>
    <row r="896" spans="1:3" x14ac:dyDescent="0.3">
      <c r="A896" s="273"/>
      <c r="C896" s="267"/>
    </row>
    <row r="897" spans="1:3" x14ac:dyDescent="0.3">
      <c r="A897" s="273"/>
      <c r="C897" s="267"/>
    </row>
    <row r="898" spans="1:3" x14ac:dyDescent="0.3">
      <c r="A898" s="273"/>
      <c r="C898" s="267"/>
    </row>
    <row r="899" spans="1:3" x14ac:dyDescent="0.3">
      <c r="A899" s="273"/>
      <c r="C899" s="267"/>
    </row>
    <row r="900" spans="1:3" x14ac:dyDescent="0.3">
      <c r="A900" s="273"/>
      <c r="C900" s="267"/>
    </row>
    <row r="901" spans="1:3" x14ac:dyDescent="0.3">
      <c r="A901" s="273"/>
      <c r="C901" s="267"/>
    </row>
    <row r="902" spans="1:3" x14ac:dyDescent="0.3">
      <c r="A902" s="273"/>
      <c r="C902" s="267"/>
    </row>
    <row r="903" spans="1:3" x14ac:dyDescent="0.3">
      <c r="A903" s="273"/>
      <c r="C903" s="267"/>
    </row>
    <row r="904" spans="1:3" x14ac:dyDescent="0.3">
      <c r="A904" s="273"/>
      <c r="C904" s="267"/>
    </row>
    <row r="905" spans="1:3" x14ac:dyDescent="0.3">
      <c r="A905" s="273"/>
      <c r="C905" s="267"/>
    </row>
    <row r="906" spans="1:3" x14ac:dyDescent="0.3">
      <c r="A906" s="273"/>
      <c r="C906" s="267"/>
    </row>
    <row r="907" spans="1:3" x14ac:dyDescent="0.3">
      <c r="A907" s="273"/>
      <c r="C907" s="267"/>
    </row>
    <row r="908" spans="1:3" x14ac:dyDescent="0.3">
      <c r="A908" s="273"/>
      <c r="C908" s="267"/>
    </row>
    <row r="909" spans="1:3" x14ac:dyDescent="0.3">
      <c r="A909" s="273"/>
      <c r="C909" s="267"/>
    </row>
    <row r="910" spans="1:3" x14ac:dyDescent="0.3">
      <c r="A910" s="273"/>
      <c r="C910" s="267"/>
    </row>
    <row r="911" spans="1:3" x14ac:dyDescent="0.3">
      <c r="A911" s="273"/>
      <c r="C911" s="267"/>
    </row>
    <row r="912" spans="1:3" x14ac:dyDescent="0.3">
      <c r="A912" s="273"/>
      <c r="C912" s="267"/>
    </row>
    <row r="913" spans="1:3" x14ac:dyDescent="0.3">
      <c r="A913" s="273"/>
      <c r="C913" s="267"/>
    </row>
    <row r="914" spans="1:3" x14ac:dyDescent="0.3">
      <c r="A914" s="273"/>
      <c r="C914" s="267"/>
    </row>
    <row r="915" spans="1:3" x14ac:dyDescent="0.3">
      <c r="A915" s="273"/>
      <c r="C915" s="267"/>
    </row>
    <row r="916" spans="1:3" x14ac:dyDescent="0.3">
      <c r="A916" s="273"/>
      <c r="C916" s="267"/>
    </row>
    <row r="917" spans="1:3" x14ac:dyDescent="0.3">
      <c r="A917" s="273"/>
      <c r="C917" s="267"/>
    </row>
    <row r="918" spans="1:3" x14ac:dyDescent="0.3">
      <c r="A918" s="273"/>
      <c r="C918" s="267"/>
    </row>
    <row r="919" spans="1:3" x14ac:dyDescent="0.3">
      <c r="A919" s="273"/>
      <c r="C919" s="267"/>
    </row>
    <row r="920" spans="1:3" x14ac:dyDescent="0.3">
      <c r="A920" s="273"/>
      <c r="C920" s="267"/>
    </row>
    <row r="921" spans="1:3" x14ac:dyDescent="0.3">
      <c r="A921" s="273"/>
      <c r="C921" s="267"/>
    </row>
    <row r="922" spans="1:3" x14ac:dyDescent="0.3">
      <c r="A922" s="273"/>
      <c r="C922" s="267"/>
    </row>
    <row r="923" spans="1:3" x14ac:dyDescent="0.3">
      <c r="A923" s="273"/>
      <c r="C923" s="267"/>
    </row>
    <row r="924" spans="1:3" x14ac:dyDescent="0.3">
      <c r="A924" s="273"/>
      <c r="C924" s="267"/>
    </row>
    <row r="925" spans="1:3" x14ac:dyDescent="0.3">
      <c r="A925" s="273"/>
      <c r="C925" s="267"/>
    </row>
    <row r="926" spans="1:3" x14ac:dyDescent="0.3">
      <c r="A926" s="273"/>
      <c r="C926" s="267"/>
    </row>
    <row r="927" spans="1:3" x14ac:dyDescent="0.3">
      <c r="A927" s="273"/>
      <c r="C927" s="267"/>
    </row>
    <row r="928" spans="1:3" x14ac:dyDescent="0.3">
      <c r="A928" s="273"/>
      <c r="C928" s="267"/>
    </row>
    <row r="929" spans="1:3" x14ac:dyDescent="0.3">
      <c r="A929" s="273"/>
      <c r="C929" s="267"/>
    </row>
    <row r="930" spans="1:3" x14ac:dyDescent="0.3">
      <c r="A930" s="273"/>
      <c r="C930" s="267"/>
    </row>
    <row r="931" spans="1:3" x14ac:dyDescent="0.3">
      <c r="A931" s="273"/>
      <c r="C931" s="267"/>
    </row>
    <row r="932" spans="1:3" x14ac:dyDescent="0.3">
      <c r="A932" s="273"/>
      <c r="C932" s="267"/>
    </row>
    <row r="933" spans="1:3" x14ac:dyDescent="0.3">
      <c r="A933" s="273"/>
      <c r="C933" s="267"/>
    </row>
    <row r="934" spans="1:3" x14ac:dyDescent="0.3">
      <c r="A934" s="273"/>
      <c r="C934" s="267"/>
    </row>
    <row r="935" spans="1:3" x14ac:dyDescent="0.3">
      <c r="A935" s="273"/>
      <c r="C935" s="267"/>
    </row>
    <row r="936" spans="1:3" x14ac:dyDescent="0.3">
      <c r="A936" s="273"/>
      <c r="C936" s="267"/>
    </row>
    <row r="937" spans="1:3" x14ac:dyDescent="0.3">
      <c r="A937" s="273"/>
      <c r="C937" s="267"/>
    </row>
    <row r="938" spans="1:3" x14ac:dyDescent="0.3">
      <c r="A938" s="273"/>
      <c r="C938" s="267"/>
    </row>
    <row r="939" spans="1:3" x14ac:dyDescent="0.3">
      <c r="A939" s="273"/>
      <c r="C939" s="267"/>
    </row>
    <row r="940" spans="1:3" x14ac:dyDescent="0.3">
      <c r="A940" s="273"/>
      <c r="C940" s="267"/>
    </row>
    <row r="941" spans="1:3" x14ac:dyDescent="0.3">
      <c r="A941" s="273"/>
      <c r="C941" s="267"/>
    </row>
    <row r="942" spans="1:3" x14ac:dyDescent="0.3">
      <c r="A942" s="273"/>
      <c r="C942" s="267"/>
    </row>
    <row r="943" spans="1:3" x14ac:dyDescent="0.3">
      <c r="A943" s="273"/>
      <c r="C943" s="267"/>
    </row>
    <row r="944" spans="1:3" x14ac:dyDescent="0.3">
      <c r="A944" s="273"/>
      <c r="C944" s="267"/>
    </row>
    <row r="945" spans="1:3" x14ac:dyDescent="0.3">
      <c r="A945" s="273"/>
      <c r="C945" s="267"/>
    </row>
    <row r="946" spans="1:3" x14ac:dyDescent="0.3">
      <c r="A946" s="273"/>
      <c r="C946" s="267"/>
    </row>
    <row r="947" spans="1:3" x14ac:dyDescent="0.3">
      <c r="A947" s="273"/>
      <c r="C947" s="267"/>
    </row>
    <row r="948" spans="1:3" x14ac:dyDescent="0.3">
      <c r="A948" s="273"/>
      <c r="C948" s="267"/>
    </row>
    <row r="949" spans="1:3" x14ac:dyDescent="0.3">
      <c r="A949" s="273"/>
      <c r="C949" s="267"/>
    </row>
    <row r="950" spans="1:3" x14ac:dyDescent="0.3">
      <c r="A950" s="273"/>
      <c r="C950" s="267"/>
    </row>
    <row r="951" spans="1:3" x14ac:dyDescent="0.3">
      <c r="A951" s="273"/>
      <c r="C951" s="267"/>
    </row>
    <row r="952" spans="1:3" x14ac:dyDescent="0.3">
      <c r="A952" s="273"/>
      <c r="C952" s="267"/>
    </row>
    <row r="953" spans="1:3" x14ac:dyDescent="0.3">
      <c r="A953" s="273"/>
      <c r="C953" s="267"/>
    </row>
    <row r="954" spans="1:3" x14ac:dyDescent="0.3">
      <c r="A954" s="273"/>
      <c r="C954" s="267"/>
    </row>
    <row r="955" spans="1:3" x14ac:dyDescent="0.3">
      <c r="A955" s="273"/>
      <c r="C955" s="267"/>
    </row>
    <row r="956" spans="1:3" x14ac:dyDescent="0.3">
      <c r="A956" s="273"/>
      <c r="C956" s="267"/>
    </row>
    <row r="957" spans="1:3" x14ac:dyDescent="0.3">
      <c r="A957" s="273"/>
      <c r="C957" s="267"/>
    </row>
    <row r="958" spans="1:3" x14ac:dyDescent="0.3">
      <c r="A958" s="273"/>
      <c r="C958" s="267"/>
    </row>
    <row r="959" spans="1:3" x14ac:dyDescent="0.3">
      <c r="A959" s="273"/>
      <c r="C959" s="267"/>
    </row>
    <row r="960" spans="1:3" x14ac:dyDescent="0.3">
      <c r="A960" s="273"/>
      <c r="C960" s="267"/>
    </row>
    <row r="961" spans="1:3" x14ac:dyDescent="0.3">
      <c r="A961" s="273"/>
      <c r="C961" s="267"/>
    </row>
    <row r="962" spans="1:3" x14ac:dyDescent="0.3">
      <c r="A962" s="273"/>
      <c r="C962" s="267"/>
    </row>
    <row r="963" spans="1:3" x14ac:dyDescent="0.3">
      <c r="A963" s="273"/>
      <c r="C963" s="267"/>
    </row>
    <row r="964" spans="1:3" x14ac:dyDescent="0.3">
      <c r="A964" s="273"/>
      <c r="C964" s="267"/>
    </row>
    <row r="965" spans="1:3" x14ac:dyDescent="0.3">
      <c r="A965" s="273"/>
      <c r="C965" s="267"/>
    </row>
    <row r="966" spans="1:3" x14ac:dyDescent="0.3">
      <c r="A966" s="273"/>
      <c r="C966" s="267"/>
    </row>
    <row r="967" spans="1:3" x14ac:dyDescent="0.3">
      <c r="A967" s="273"/>
      <c r="C967" s="267"/>
    </row>
    <row r="968" spans="1:3" x14ac:dyDescent="0.3">
      <c r="A968" s="273"/>
      <c r="C968" s="267"/>
    </row>
    <row r="969" spans="1:3" x14ac:dyDescent="0.3">
      <c r="A969" s="273"/>
      <c r="C969" s="267"/>
    </row>
    <row r="970" spans="1:3" x14ac:dyDescent="0.3">
      <c r="A970" s="273"/>
      <c r="C970" s="267"/>
    </row>
    <row r="971" spans="1:3" x14ac:dyDescent="0.3">
      <c r="A971" s="273"/>
      <c r="C971" s="267"/>
    </row>
    <row r="972" spans="1:3" x14ac:dyDescent="0.3">
      <c r="A972" s="273"/>
      <c r="C972" s="267"/>
    </row>
    <row r="973" spans="1:3" x14ac:dyDescent="0.3">
      <c r="A973" s="273"/>
      <c r="C973" s="267"/>
    </row>
    <row r="974" spans="1:3" x14ac:dyDescent="0.3">
      <c r="A974" s="273"/>
      <c r="C974" s="267"/>
    </row>
    <row r="975" spans="1:3" x14ac:dyDescent="0.3">
      <c r="A975" s="273"/>
      <c r="C975" s="267"/>
    </row>
    <row r="976" spans="1:3" x14ac:dyDescent="0.3">
      <c r="A976" s="273"/>
      <c r="C976" s="267"/>
    </row>
    <row r="977" spans="1:3" x14ac:dyDescent="0.3">
      <c r="A977" s="273"/>
      <c r="C977" s="267"/>
    </row>
    <row r="978" spans="1:3" x14ac:dyDescent="0.3">
      <c r="A978" s="273"/>
      <c r="C978" s="267"/>
    </row>
    <row r="979" spans="1:3" x14ac:dyDescent="0.3">
      <c r="A979" s="273"/>
      <c r="C979" s="267"/>
    </row>
    <row r="980" spans="1:3" x14ac:dyDescent="0.3">
      <c r="A980" s="273"/>
      <c r="C980" s="267"/>
    </row>
    <row r="981" spans="1:3" x14ac:dyDescent="0.3">
      <c r="A981" s="273"/>
      <c r="C981" s="267"/>
    </row>
    <row r="982" spans="1:3" x14ac:dyDescent="0.3">
      <c r="A982" s="273"/>
      <c r="C982" s="267"/>
    </row>
    <row r="983" spans="1:3" x14ac:dyDescent="0.3">
      <c r="A983" s="273"/>
      <c r="C983" s="267"/>
    </row>
    <row r="984" spans="1:3" x14ac:dyDescent="0.3">
      <c r="A984" s="273"/>
      <c r="C984" s="267"/>
    </row>
    <row r="985" spans="1:3" x14ac:dyDescent="0.3">
      <c r="A985" s="273"/>
      <c r="C985" s="267"/>
    </row>
    <row r="986" spans="1:3" x14ac:dyDescent="0.3">
      <c r="A986" s="273"/>
      <c r="C986" s="267"/>
    </row>
    <row r="987" spans="1:3" x14ac:dyDescent="0.3">
      <c r="A987" s="273"/>
      <c r="C987" s="267"/>
    </row>
    <row r="988" spans="1:3" x14ac:dyDescent="0.3">
      <c r="A988" s="273"/>
      <c r="C988" s="267"/>
    </row>
    <row r="989" spans="1:3" x14ac:dyDescent="0.3">
      <c r="A989" s="273"/>
      <c r="C989" s="267"/>
    </row>
    <row r="990" spans="1:3" x14ac:dyDescent="0.3">
      <c r="A990" s="273"/>
      <c r="C990" s="267"/>
    </row>
    <row r="991" spans="1:3" x14ac:dyDescent="0.3">
      <c r="A991" s="273"/>
      <c r="C991" s="267"/>
    </row>
    <row r="992" spans="1:3" x14ac:dyDescent="0.3">
      <c r="A992" s="273"/>
      <c r="C992" s="267"/>
    </row>
    <row r="993" spans="1:3" x14ac:dyDescent="0.3">
      <c r="A993" s="273"/>
      <c r="C993" s="267"/>
    </row>
    <row r="994" spans="1:3" x14ac:dyDescent="0.3">
      <c r="A994" s="273"/>
      <c r="C994" s="267"/>
    </row>
    <row r="995" spans="1:3" x14ac:dyDescent="0.3">
      <c r="A995" s="273"/>
      <c r="C995" s="267"/>
    </row>
    <row r="996" spans="1:3" x14ac:dyDescent="0.3">
      <c r="A996" s="273"/>
      <c r="C996" s="267"/>
    </row>
    <row r="997" spans="1:3" x14ac:dyDescent="0.3">
      <c r="A997" s="273"/>
      <c r="C997" s="267"/>
    </row>
    <row r="998" spans="1:3" x14ac:dyDescent="0.3">
      <c r="A998" s="273"/>
      <c r="C998" s="267"/>
    </row>
    <row r="999" spans="1:3" x14ac:dyDescent="0.3">
      <c r="A999" s="273"/>
      <c r="C999" s="267"/>
    </row>
    <row r="1000" spans="1:3" x14ac:dyDescent="0.3">
      <c r="A1000" s="273"/>
      <c r="C1000" s="267"/>
    </row>
    <row r="1001" spans="1:3" x14ac:dyDescent="0.3">
      <c r="A1001" s="273"/>
      <c r="C1001" s="267"/>
    </row>
    <row r="1002" spans="1:3" x14ac:dyDescent="0.3">
      <c r="A1002" s="273"/>
      <c r="C1002" s="267"/>
    </row>
    <row r="1003" spans="1:3" x14ac:dyDescent="0.3">
      <c r="A1003" s="273"/>
      <c r="C1003" s="267"/>
    </row>
    <row r="1004" spans="1:3" x14ac:dyDescent="0.3">
      <c r="A1004" s="273"/>
      <c r="C1004" s="267"/>
    </row>
    <row r="1005" spans="1:3" x14ac:dyDescent="0.3">
      <c r="A1005" s="273"/>
      <c r="C1005" s="267"/>
    </row>
    <row r="1006" spans="1:3" x14ac:dyDescent="0.3">
      <c r="A1006" s="273"/>
      <c r="C1006" s="267"/>
    </row>
    <row r="1007" spans="1:3" x14ac:dyDescent="0.3">
      <c r="A1007" s="273"/>
      <c r="C1007" s="267"/>
    </row>
    <row r="1008" spans="1:3" x14ac:dyDescent="0.3">
      <c r="A1008" s="273"/>
      <c r="C1008" s="267"/>
    </row>
    <row r="1009" spans="1:3" x14ac:dyDescent="0.3">
      <c r="A1009" s="273"/>
      <c r="C1009" s="267"/>
    </row>
    <row r="1010" spans="1:3" x14ac:dyDescent="0.3">
      <c r="A1010" s="273"/>
      <c r="C1010" s="267"/>
    </row>
    <row r="1011" spans="1:3" x14ac:dyDescent="0.3">
      <c r="A1011" s="273"/>
      <c r="C1011" s="267"/>
    </row>
    <row r="1012" spans="1:3" x14ac:dyDescent="0.3">
      <c r="A1012" s="273"/>
      <c r="C1012" s="267"/>
    </row>
    <row r="1013" spans="1:3" x14ac:dyDescent="0.3">
      <c r="A1013" s="273"/>
      <c r="C1013" s="267"/>
    </row>
    <row r="1014" spans="1:3" x14ac:dyDescent="0.3">
      <c r="A1014" s="273"/>
      <c r="C1014" s="267"/>
    </row>
    <row r="1015" spans="1:3" x14ac:dyDescent="0.3">
      <c r="A1015" s="273"/>
      <c r="C1015" s="267"/>
    </row>
    <row r="1016" spans="1:3" x14ac:dyDescent="0.3">
      <c r="A1016" s="273"/>
      <c r="C1016" s="267"/>
    </row>
    <row r="1017" spans="1:3" x14ac:dyDescent="0.3">
      <c r="A1017" s="273"/>
      <c r="C1017" s="267"/>
    </row>
    <row r="1018" spans="1:3" x14ac:dyDescent="0.3">
      <c r="A1018" s="273"/>
      <c r="C1018" s="267"/>
    </row>
    <row r="1019" spans="1:3" x14ac:dyDescent="0.3">
      <c r="A1019" s="273"/>
      <c r="C1019" s="267"/>
    </row>
    <row r="1020" spans="1:3" x14ac:dyDescent="0.3">
      <c r="A1020" s="273"/>
      <c r="C1020" s="267"/>
    </row>
    <row r="1021" spans="1:3" x14ac:dyDescent="0.3">
      <c r="A1021" s="273"/>
      <c r="C1021" s="267"/>
    </row>
    <row r="1022" spans="1:3" x14ac:dyDescent="0.3">
      <c r="A1022" s="273"/>
      <c r="C1022" s="267"/>
    </row>
    <row r="1023" spans="1:3" x14ac:dyDescent="0.3">
      <c r="A1023" s="273"/>
      <c r="C1023" s="267"/>
    </row>
    <row r="1024" spans="1:3" x14ac:dyDescent="0.3">
      <c r="A1024" s="273"/>
      <c r="C1024" s="267"/>
    </row>
    <row r="1025" spans="1:3" x14ac:dyDescent="0.3">
      <c r="A1025" s="273"/>
      <c r="C1025" s="267"/>
    </row>
    <row r="1026" spans="1:3" x14ac:dyDescent="0.3">
      <c r="A1026" s="273"/>
      <c r="C1026" s="267"/>
    </row>
    <row r="1027" spans="1:3" x14ac:dyDescent="0.3">
      <c r="A1027" s="273"/>
      <c r="C1027" s="267"/>
    </row>
    <row r="1028" spans="1:3" x14ac:dyDescent="0.3">
      <c r="A1028" s="273"/>
      <c r="C1028" s="267"/>
    </row>
    <row r="1029" spans="1:3" x14ac:dyDescent="0.3">
      <c r="A1029" s="273"/>
      <c r="C1029" s="267"/>
    </row>
    <row r="1030" spans="1:3" x14ac:dyDescent="0.3">
      <c r="A1030" s="273"/>
      <c r="C1030" s="267"/>
    </row>
    <row r="1031" spans="1:3" x14ac:dyDescent="0.3">
      <c r="A1031" s="273"/>
      <c r="C1031" s="267"/>
    </row>
    <row r="1032" spans="1:3" x14ac:dyDescent="0.3">
      <c r="A1032" s="273"/>
      <c r="C1032" s="267"/>
    </row>
    <row r="1033" spans="1:3" x14ac:dyDescent="0.3">
      <c r="A1033" s="273"/>
      <c r="C1033" s="267"/>
    </row>
    <row r="1034" spans="1:3" x14ac:dyDescent="0.3">
      <c r="A1034" s="273"/>
      <c r="C1034" s="267"/>
    </row>
    <row r="1035" spans="1:3" x14ac:dyDescent="0.3">
      <c r="A1035" s="273"/>
      <c r="C1035" s="267"/>
    </row>
    <row r="1036" spans="1:3" x14ac:dyDescent="0.3">
      <c r="A1036" s="273"/>
      <c r="C1036" s="267"/>
    </row>
    <row r="1037" spans="1:3" x14ac:dyDescent="0.3">
      <c r="A1037" s="273"/>
      <c r="C1037" s="267"/>
    </row>
    <row r="1038" spans="1:3" x14ac:dyDescent="0.3">
      <c r="A1038" s="273"/>
      <c r="C1038" s="267"/>
    </row>
    <row r="1039" spans="1:3" x14ac:dyDescent="0.3">
      <c r="A1039" s="273"/>
      <c r="C1039" s="267"/>
    </row>
    <row r="1040" spans="1:3" x14ac:dyDescent="0.3">
      <c r="A1040" s="273"/>
      <c r="C1040" s="267"/>
    </row>
    <row r="1041" spans="1:3" x14ac:dyDescent="0.3">
      <c r="A1041" s="273"/>
      <c r="C1041" s="267"/>
    </row>
    <row r="1042" spans="1:3" x14ac:dyDescent="0.3">
      <c r="A1042" s="273"/>
      <c r="C1042" s="267"/>
    </row>
    <row r="1043" spans="1:3" x14ac:dyDescent="0.3">
      <c r="A1043" s="273"/>
      <c r="C1043" s="267"/>
    </row>
    <row r="1044" spans="1:3" x14ac:dyDescent="0.3">
      <c r="A1044" s="273"/>
      <c r="C1044" s="267"/>
    </row>
    <row r="1045" spans="1:3" x14ac:dyDescent="0.3">
      <c r="A1045" s="273"/>
      <c r="C1045" s="267"/>
    </row>
    <row r="1046" spans="1:3" x14ac:dyDescent="0.3">
      <c r="A1046" s="273"/>
      <c r="C1046" s="267"/>
    </row>
    <row r="1047" spans="1:3" x14ac:dyDescent="0.3">
      <c r="A1047" s="273"/>
      <c r="C1047" s="267"/>
    </row>
    <row r="1048" spans="1:3" x14ac:dyDescent="0.3">
      <c r="A1048" s="273"/>
      <c r="C1048" s="267"/>
    </row>
    <row r="1049" spans="1:3" x14ac:dyDescent="0.3">
      <c r="A1049" s="273"/>
      <c r="C1049" s="267"/>
    </row>
    <row r="1050" spans="1:3" x14ac:dyDescent="0.3">
      <c r="A1050" s="273"/>
      <c r="C1050" s="267"/>
    </row>
    <row r="1051" spans="1:3" x14ac:dyDescent="0.3">
      <c r="A1051" s="273"/>
      <c r="C1051" s="267"/>
    </row>
    <row r="1052" spans="1:3" x14ac:dyDescent="0.3">
      <c r="A1052" s="273"/>
      <c r="C1052" s="267"/>
    </row>
    <row r="1053" spans="1:3" x14ac:dyDescent="0.3">
      <c r="A1053" s="273"/>
      <c r="C1053" s="267"/>
    </row>
    <row r="1054" spans="1:3" x14ac:dyDescent="0.3">
      <c r="A1054" s="273"/>
      <c r="C1054" s="267"/>
    </row>
    <row r="1055" spans="1:3" x14ac:dyDescent="0.3">
      <c r="A1055" s="273"/>
      <c r="C1055" s="267"/>
    </row>
    <row r="1056" spans="1:3" x14ac:dyDescent="0.3">
      <c r="A1056" s="273"/>
      <c r="C1056" s="267"/>
    </row>
    <row r="1057" spans="1:3" x14ac:dyDescent="0.3">
      <c r="A1057" s="273"/>
      <c r="C1057" s="267"/>
    </row>
    <row r="1058" spans="1:3" x14ac:dyDescent="0.3">
      <c r="A1058" s="273"/>
      <c r="C1058" s="267"/>
    </row>
    <row r="1059" spans="1:3" x14ac:dyDescent="0.3">
      <c r="A1059" s="273"/>
      <c r="C1059" s="267"/>
    </row>
    <row r="1060" spans="1:3" x14ac:dyDescent="0.3">
      <c r="A1060" s="273"/>
      <c r="C1060" s="267"/>
    </row>
    <row r="1061" spans="1:3" x14ac:dyDescent="0.3">
      <c r="A1061" s="273"/>
      <c r="C1061" s="267"/>
    </row>
    <row r="1062" spans="1:3" x14ac:dyDescent="0.3">
      <c r="A1062" s="273"/>
      <c r="C1062" s="267"/>
    </row>
    <row r="1063" spans="1:3" x14ac:dyDescent="0.3">
      <c r="A1063" s="273"/>
      <c r="C1063" s="267"/>
    </row>
    <row r="1064" spans="1:3" x14ac:dyDescent="0.3">
      <c r="A1064" s="273"/>
      <c r="C1064" s="267"/>
    </row>
    <row r="1065" spans="1:3" x14ac:dyDescent="0.3">
      <c r="A1065" s="273"/>
      <c r="C1065" s="267"/>
    </row>
    <row r="1066" spans="1:3" x14ac:dyDescent="0.3">
      <c r="A1066" s="273"/>
      <c r="C1066" s="267"/>
    </row>
    <row r="1067" spans="1:3" x14ac:dyDescent="0.3">
      <c r="A1067" s="273"/>
      <c r="C1067" s="267"/>
    </row>
    <row r="1068" spans="1:3" x14ac:dyDescent="0.3">
      <c r="A1068" s="273"/>
      <c r="C1068" s="267"/>
    </row>
    <row r="1069" spans="1:3" x14ac:dyDescent="0.3">
      <c r="A1069" s="273"/>
      <c r="C1069" s="267"/>
    </row>
    <row r="1070" spans="1:3" x14ac:dyDescent="0.3">
      <c r="A1070" s="273"/>
      <c r="C1070" s="267"/>
    </row>
    <row r="1071" spans="1:3" x14ac:dyDescent="0.3">
      <c r="A1071" s="273"/>
      <c r="C1071" s="267"/>
    </row>
    <row r="1072" spans="1:3" x14ac:dyDescent="0.3">
      <c r="A1072" s="273"/>
      <c r="C1072" s="267"/>
    </row>
    <row r="1073" spans="1:3" x14ac:dyDescent="0.3">
      <c r="A1073" s="273"/>
      <c r="C1073" s="267"/>
    </row>
    <row r="1074" spans="1:3" x14ac:dyDescent="0.3">
      <c r="A1074" s="273"/>
      <c r="C1074" s="267"/>
    </row>
    <row r="1075" spans="1:3" x14ac:dyDescent="0.3">
      <c r="A1075" s="273"/>
      <c r="C1075" s="267"/>
    </row>
    <row r="1076" spans="1:3" x14ac:dyDescent="0.3">
      <c r="A1076" s="273"/>
      <c r="C1076" s="267"/>
    </row>
    <row r="1077" spans="1:3" x14ac:dyDescent="0.3">
      <c r="A1077" s="273"/>
      <c r="C1077" s="267"/>
    </row>
    <row r="1078" spans="1:3" x14ac:dyDescent="0.3">
      <c r="A1078" s="273"/>
      <c r="C1078" s="267"/>
    </row>
    <row r="1079" spans="1:3" x14ac:dyDescent="0.3">
      <c r="A1079" s="273"/>
      <c r="C1079" s="267"/>
    </row>
    <row r="1080" spans="1:3" x14ac:dyDescent="0.3">
      <c r="A1080" s="273"/>
      <c r="C1080" s="267"/>
    </row>
    <row r="1081" spans="1:3" x14ac:dyDescent="0.3">
      <c r="A1081" s="273"/>
      <c r="C1081" s="267"/>
    </row>
    <row r="1082" spans="1:3" x14ac:dyDescent="0.3">
      <c r="A1082" s="273"/>
      <c r="C1082" s="267"/>
    </row>
    <row r="1083" spans="1:3" x14ac:dyDescent="0.3">
      <c r="A1083" s="273"/>
      <c r="C1083" s="267"/>
    </row>
    <row r="1084" spans="1:3" x14ac:dyDescent="0.3">
      <c r="A1084" s="273"/>
      <c r="C1084" s="267"/>
    </row>
    <row r="1085" spans="1:3" x14ac:dyDescent="0.3">
      <c r="A1085" s="273"/>
      <c r="C1085" s="267"/>
    </row>
    <row r="1086" spans="1:3" x14ac:dyDescent="0.3">
      <c r="A1086" s="273"/>
      <c r="C1086" s="267"/>
    </row>
    <row r="1087" spans="1:3" x14ac:dyDescent="0.3">
      <c r="A1087" s="273"/>
      <c r="C1087" s="267"/>
    </row>
    <row r="1088" spans="1:3" x14ac:dyDescent="0.3">
      <c r="A1088" s="273"/>
      <c r="C1088" s="267"/>
    </row>
    <row r="1089" spans="1:3" x14ac:dyDescent="0.3">
      <c r="A1089" s="273"/>
      <c r="C1089" s="267"/>
    </row>
    <row r="1090" spans="1:3" x14ac:dyDescent="0.3">
      <c r="A1090" s="273"/>
      <c r="C1090" s="267"/>
    </row>
    <row r="1091" spans="1:3" x14ac:dyDescent="0.3">
      <c r="A1091" s="273"/>
      <c r="C1091" s="267"/>
    </row>
    <row r="1092" spans="1:3" x14ac:dyDescent="0.3">
      <c r="A1092" s="273"/>
      <c r="C1092" s="267"/>
    </row>
    <row r="1093" spans="1:3" x14ac:dyDescent="0.3">
      <c r="A1093" s="273"/>
      <c r="C1093" s="267"/>
    </row>
    <row r="1094" spans="1:3" x14ac:dyDescent="0.3">
      <c r="A1094" s="273"/>
      <c r="C1094" s="267"/>
    </row>
    <row r="1095" spans="1:3" x14ac:dyDescent="0.3">
      <c r="A1095" s="273"/>
      <c r="C1095" s="267"/>
    </row>
    <row r="1096" spans="1:3" x14ac:dyDescent="0.3">
      <c r="A1096" s="273"/>
      <c r="C1096" s="267"/>
    </row>
    <row r="1097" spans="1:3" x14ac:dyDescent="0.3">
      <c r="A1097" s="273"/>
      <c r="C1097" s="267"/>
    </row>
    <row r="1098" spans="1:3" x14ac:dyDescent="0.3">
      <c r="A1098" s="273"/>
      <c r="C1098" s="267"/>
    </row>
    <row r="1099" spans="1:3" x14ac:dyDescent="0.3">
      <c r="A1099" s="273"/>
      <c r="C1099" s="267"/>
    </row>
    <row r="1100" spans="1:3" x14ac:dyDescent="0.3">
      <c r="A1100" s="273"/>
      <c r="C1100" s="267"/>
    </row>
    <row r="1101" spans="1:3" x14ac:dyDescent="0.3">
      <c r="A1101" s="273"/>
      <c r="C1101" s="267"/>
    </row>
    <row r="1102" spans="1:3" x14ac:dyDescent="0.3">
      <c r="A1102" s="273"/>
      <c r="C1102" s="267"/>
    </row>
    <row r="1103" spans="1:3" x14ac:dyDescent="0.3">
      <c r="A1103" s="273"/>
      <c r="C1103" s="267"/>
    </row>
    <row r="1104" spans="1:3" x14ac:dyDescent="0.3">
      <c r="A1104" s="273"/>
      <c r="C1104" s="267"/>
    </row>
    <row r="1105" spans="1:3" x14ac:dyDescent="0.3">
      <c r="A1105" s="273"/>
      <c r="C1105" s="267"/>
    </row>
    <row r="1106" spans="1:3" x14ac:dyDescent="0.3">
      <c r="A1106" s="273"/>
      <c r="C1106" s="267"/>
    </row>
    <row r="1107" spans="1:3" x14ac:dyDescent="0.3">
      <c r="A1107" s="273"/>
      <c r="C1107" s="267"/>
    </row>
    <row r="1108" spans="1:3" x14ac:dyDescent="0.3">
      <c r="A1108" s="273"/>
      <c r="C1108" s="267"/>
    </row>
    <row r="1109" spans="1:3" x14ac:dyDescent="0.3">
      <c r="A1109" s="273"/>
      <c r="C1109" s="267"/>
    </row>
    <row r="1110" spans="1:3" x14ac:dyDescent="0.3">
      <c r="A1110" s="273"/>
      <c r="C1110" s="267"/>
    </row>
    <row r="1111" spans="1:3" x14ac:dyDescent="0.3">
      <c r="A1111" s="273"/>
      <c r="C1111" s="267"/>
    </row>
    <row r="1112" spans="1:3" x14ac:dyDescent="0.3">
      <c r="A1112" s="273"/>
      <c r="C1112" s="267"/>
    </row>
    <row r="1113" spans="1:3" x14ac:dyDescent="0.3">
      <c r="A1113" s="273"/>
      <c r="C1113" s="267"/>
    </row>
    <row r="1114" spans="1:3" x14ac:dyDescent="0.3">
      <c r="A1114" s="273"/>
      <c r="C1114" s="267"/>
    </row>
    <row r="1115" spans="1:3" x14ac:dyDescent="0.3">
      <c r="A1115" s="273"/>
      <c r="C1115" s="267"/>
    </row>
    <row r="1116" spans="1:3" x14ac:dyDescent="0.3">
      <c r="A1116" s="273"/>
      <c r="C1116" s="267"/>
    </row>
    <row r="1117" spans="1:3" x14ac:dyDescent="0.3">
      <c r="A1117" s="273"/>
      <c r="C1117" s="267"/>
    </row>
    <row r="1118" spans="1:3" x14ac:dyDescent="0.3">
      <c r="A1118" s="273"/>
      <c r="C1118" s="267"/>
    </row>
    <row r="1119" spans="1:3" x14ac:dyDescent="0.3">
      <c r="A1119" s="273"/>
      <c r="C1119" s="267"/>
    </row>
    <row r="1120" spans="1:3" x14ac:dyDescent="0.3">
      <c r="A1120" s="273"/>
      <c r="C1120" s="267"/>
    </row>
    <row r="1121" spans="1:3" x14ac:dyDescent="0.3">
      <c r="A1121" s="273"/>
      <c r="C1121" s="267"/>
    </row>
    <row r="1122" spans="1:3" x14ac:dyDescent="0.3">
      <c r="A1122" s="273"/>
      <c r="C1122" s="267"/>
    </row>
    <row r="1123" spans="1:3" x14ac:dyDescent="0.3">
      <c r="A1123" s="273"/>
      <c r="C1123" s="267"/>
    </row>
    <row r="1124" spans="1:3" x14ac:dyDescent="0.3">
      <c r="A1124" s="273"/>
      <c r="C1124" s="267"/>
    </row>
    <row r="1125" spans="1:3" x14ac:dyDescent="0.3">
      <c r="A1125" s="273"/>
      <c r="C1125" s="267"/>
    </row>
    <row r="1126" spans="1:3" x14ac:dyDescent="0.3">
      <c r="A1126" s="273"/>
      <c r="C1126" s="267"/>
    </row>
    <row r="1127" spans="1:3" x14ac:dyDescent="0.3">
      <c r="A1127" s="273"/>
      <c r="C1127" s="267"/>
    </row>
    <row r="1128" spans="1:3" x14ac:dyDescent="0.3">
      <c r="A1128" s="273"/>
      <c r="C1128" s="267"/>
    </row>
    <row r="1129" spans="1:3" x14ac:dyDescent="0.3">
      <c r="A1129" s="273"/>
      <c r="C1129" s="267"/>
    </row>
    <row r="1130" spans="1:3" x14ac:dyDescent="0.3">
      <c r="A1130" s="273"/>
      <c r="C1130" s="267"/>
    </row>
    <row r="1131" spans="1:3" x14ac:dyDescent="0.3">
      <c r="A1131" s="273"/>
      <c r="C1131" s="267"/>
    </row>
    <row r="1132" spans="1:3" x14ac:dyDescent="0.3">
      <c r="A1132" s="273"/>
      <c r="C1132" s="267"/>
    </row>
    <row r="1133" spans="1:3" x14ac:dyDescent="0.3">
      <c r="A1133" s="273"/>
      <c r="C1133" s="267"/>
    </row>
    <row r="1134" spans="1:3" x14ac:dyDescent="0.3">
      <c r="A1134" s="273"/>
      <c r="C1134" s="267"/>
    </row>
    <row r="1135" spans="1:3" x14ac:dyDescent="0.3">
      <c r="A1135" s="273"/>
      <c r="C1135" s="267"/>
    </row>
    <row r="1136" spans="1:3" x14ac:dyDescent="0.3">
      <c r="A1136" s="273"/>
      <c r="C1136" s="267"/>
    </row>
    <row r="1137" spans="1:3" x14ac:dyDescent="0.3">
      <c r="A1137" s="273"/>
      <c r="C1137" s="267"/>
    </row>
    <row r="1138" spans="1:3" x14ac:dyDescent="0.3">
      <c r="A1138" s="273"/>
      <c r="C1138" s="267"/>
    </row>
    <row r="1139" spans="1:3" x14ac:dyDescent="0.3">
      <c r="A1139" s="273"/>
      <c r="C1139" s="267"/>
    </row>
    <row r="1140" spans="1:3" x14ac:dyDescent="0.3">
      <c r="A1140" s="273"/>
      <c r="C1140" s="267"/>
    </row>
    <row r="1141" spans="1:3" x14ac:dyDescent="0.3">
      <c r="A1141" s="273"/>
      <c r="C1141" s="267"/>
    </row>
    <row r="1142" spans="1:3" x14ac:dyDescent="0.3">
      <c r="A1142" s="273"/>
      <c r="C1142" s="267"/>
    </row>
    <row r="1143" spans="1:3" x14ac:dyDescent="0.3">
      <c r="A1143" s="273"/>
      <c r="C1143" s="267"/>
    </row>
    <row r="1144" spans="1:3" x14ac:dyDescent="0.3">
      <c r="A1144" s="273"/>
      <c r="C1144" s="267"/>
    </row>
    <row r="1145" spans="1:3" x14ac:dyDescent="0.3">
      <c r="A1145" s="273"/>
      <c r="C1145" s="267"/>
    </row>
    <row r="1146" spans="1:3" x14ac:dyDescent="0.3">
      <c r="A1146" s="273"/>
      <c r="C1146" s="267"/>
    </row>
    <row r="1147" spans="1:3" x14ac:dyDescent="0.3">
      <c r="A1147" s="273"/>
      <c r="C1147" s="267"/>
    </row>
    <row r="1148" spans="1:3" x14ac:dyDescent="0.3">
      <c r="A1148" s="273"/>
      <c r="C1148" s="267"/>
    </row>
    <row r="1149" spans="1:3" x14ac:dyDescent="0.3">
      <c r="A1149" s="273"/>
      <c r="C1149" s="267"/>
    </row>
    <row r="1150" spans="1:3" x14ac:dyDescent="0.3">
      <c r="A1150" s="273"/>
      <c r="C1150" s="267"/>
    </row>
    <row r="1151" spans="1:3" x14ac:dyDescent="0.3">
      <c r="A1151" s="273"/>
      <c r="C1151" s="267"/>
    </row>
    <row r="1152" spans="1:3" x14ac:dyDescent="0.3">
      <c r="A1152" s="273"/>
      <c r="C1152" s="267"/>
    </row>
    <row r="1153" spans="1:3" x14ac:dyDescent="0.3">
      <c r="A1153" s="273"/>
      <c r="C1153" s="267"/>
    </row>
    <row r="1154" spans="1:3" x14ac:dyDescent="0.3">
      <c r="A1154" s="273"/>
      <c r="C1154" s="267"/>
    </row>
    <row r="1155" spans="1:3" x14ac:dyDescent="0.3">
      <c r="A1155" s="273"/>
      <c r="C1155" s="267"/>
    </row>
    <row r="1156" spans="1:3" x14ac:dyDescent="0.3">
      <c r="A1156" s="273"/>
      <c r="C1156" s="267"/>
    </row>
    <row r="1157" spans="1:3" x14ac:dyDescent="0.3">
      <c r="A1157" s="273"/>
      <c r="C1157" s="267"/>
    </row>
    <row r="1158" spans="1:3" x14ac:dyDescent="0.3">
      <c r="A1158" s="273"/>
      <c r="C1158" s="267"/>
    </row>
    <row r="1159" spans="1:3" x14ac:dyDescent="0.3">
      <c r="A1159" s="273"/>
      <c r="C1159" s="267"/>
    </row>
    <row r="1160" spans="1:3" x14ac:dyDescent="0.3">
      <c r="A1160" s="273"/>
      <c r="C1160" s="267"/>
    </row>
    <row r="1161" spans="1:3" x14ac:dyDescent="0.3">
      <c r="A1161" s="273"/>
      <c r="C1161" s="267"/>
    </row>
    <row r="1162" spans="1:3" x14ac:dyDescent="0.3">
      <c r="A1162" s="273"/>
      <c r="C1162" s="267"/>
    </row>
    <row r="1163" spans="1:3" x14ac:dyDescent="0.3">
      <c r="A1163" s="273"/>
      <c r="C1163" s="267"/>
    </row>
    <row r="1164" spans="1:3" x14ac:dyDescent="0.3">
      <c r="A1164" s="273"/>
      <c r="C1164" s="267"/>
    </row>
    <row r="1165" spans="1:3" x14ac:dyDescent="0.3">
      <c r="A1165" s="273"/>
      <c r="C1165" s="267"/>
    </row>
    <row r="1166" spans="1:3" x14ac:dyDescent="0.3">
      <c r="A1166" s="273"/>
      <c r="C1166" s="267"/>
    </row>
    <row r="1167" spans="1:3" x14ac:dyDescent="0.3">
      <c r="A1167" s="273"/>
      <c r="C1167" s="267"/>
    </row>
    <row r="1168" spans="1:3" x14ac:dyDescent="0.3">
      <c r="A1168" s="273"/>
      <c r="C1168" s="267"/>
    </row>
    <row r="1169" spans="1:3" x14ac:dyDescent="0.3">
      <c r="A1169" s="273"/>
      <c r="C1169" s="267"/>
    </row>
    <row r="1170" spans="1:3" x14ac:dyDescent="0.3">
      <c r="A1170" s="273"/>
      <c r="C1170" s="267"/>
    </row>
    <row r="1171" spans="1:3" x14ac:dyDescent="0.3">
      <c r="A1171" s="273"/>
      <c r="C1171" s="267"/>
    </row>
    <row r="1172" spans="1:3" x14ac:dyDescent="0.3">
      <c r="A1172" s="273"/>
      <c r="C1172" s="267"/>
    </row>
    <row r="1173" spans="1:3" x14ac:dyDescent="0.3">
      <c r="A1173" s="273"/>
      <c r="C1173" s="267"/>
    </row>
    <row r="1174" spans="1:3" x14ac:dyDescent="0.3">
      <c r="A1174" s="273"/>
      <c r="C1174" s="267"/>
    </row>
    <row r="1175" spans="1:3" x14ac:dyDescent="0.3">
      <c r="A1175" s="273"/>
      <c r="C1175" s="267"/>
    </row>
    <row r="1176" spans="1:3" x14ac:dyDescent="0.3">
      <c r="A1176" s="273"/>
      <c r="C1176" s="267"/>
    </row>
    <row r="1177" spans="1:3" x14ac:dyDescent="0.3">
      <c r="A1177" s="273"/>
      <c r="C1177" s="267"/>
    </row>
    <row r="1178" spans="1:3" x14ac:dyDescent="0.3">
      <c r="A1178" s="273"/>
      <c r="C1178" s="267"/>
    </row>
    <row r="1179" spans="1:3" x14ac:dyDescent="0.3">
      <c r="A1179" s="273"/>
      <c r="C1179" s="267"/>
    </row>
    <row r="1180" spans="1:3" x14ac:dyDescent="0.3">
      <c r="A1180" s="273"/>
      <c r="C1180" s="267"/>
    </row>
    <row r="1181" spans="1:3" x14ac:dyDescent="0.3">
      <c r="A1181" s="273"/>
      <c r="C1181" s="267"/>
    </row>
    <row r="1182" spans="1:3" x14ac:dyDescent="0.3">
      <c r="A1182" s="273"/>
      <c r="C1182" s="267"/>
    </row>
    <row r="1183" spans="1:3" x14ac:dyDescent="0.3">
      <c r="A1183" s="273"/>
      <c r="C1183" s="267"/>
    </row>
    <row r="1184" spans="1:3" x14ac:dyDescent="0.3">
      <c r="A1184" s="273"/>
      <c r="C1184" s="267"/>
    </row>
    <row r="1185" spans="1:3" x14ac:dyDescent="0.3">
      <c r="A1185" s="273"/>
      <c r="C1185" s="267"/>
    </row>
    <row r="1186" spans="1:3" x14ac:dyDescent="0.3">
      <c r="A1186" s="273"/>
      <c r="C1186" s="267"/>
    </row>
    <row r="1187" spans="1:3" x14ac:dyDescent="0.3">
      <c r="A1187" s="273"/>
      <c r="C1187" s="267"/>
    </row>
    <row r="1188" spans="1:3" x14ac:dyDescent="0.3">
      <c r="A1188" s="273"/>
      <c r="C1188" s="267"/>
    </row>
    <row r="1189" spans="1:3" x14ac:dyDescent="0.3">
      <c r="A1189" s="273"/>
      <c r="C1189" s="267"/>
    </row>
    <row r="1190" spans="1:3" x14ac:dyDescent="0.3">
      <c r="A1190" s="273"/>
      <c r="C1190" s="267"/>
    </row>
    <row r="1191" spans="1:3" x14ac:dyDescent="0.3">
      <c r="A1191" s="273"/>
      <c r="C1191" s="267"/>
    </row>
    <row r="1192" spans="1:3" x14ac:dyDescent="0.3">
      <c r="A1192" s="273"/>
      <c r="C1192" s="267"/>
    </row>
    <row r="1193" spans="1:3" x14ac:dyDescent="0.3">
      <c r="A1193" s="273"/>
      <c r="C1193" s="267"/>
    </row>
    <row r="1194" spans="1:3" x14ac:dyDescent="0.3">
      <c r="A1194" s="273"/>
      <c r="C1194" s="267"/>
    </row>
    <row r="1195" spans="1:3" x14ac:dyDescent="0.3">
      <c r="A1195" s="273"/>
      <c r="C1195" s="267"/>
    </row>
    <row r="1196" spans="1:3" x14ac:dyDescent="0.3">
      <c r="A1196" s="273"/>
      <c r="C1196" s="267"/>
    </row>
    <row r="1197" spans="1:3" x14ac:dyDescent="0.3">
      <c r="A1197" s="273"/>
      <c r="C1197" s="267"/>
    </row>
    <row r="1198" spans="1:3" x14ac:dyDescent="0.3">
      <c r="A1198" s="273"/>
      <c r="C1198" s="267"/>
    </row>
    <row r="1199" spans="1:3" x14ac:dyDescent="0.3">
      <c r="A1199" s="273"/>
      <c r="C1199" s="267"/>
    </row>
    <row r="1200" spans="1:3" x14ac:dyDescent="0.3">
      <c r="A1200" s="273"/>
      <c r="C1200" s="267"/>
    </row>
    <row r="1201" spans="1:3" x14ac:dyDescent="0.3">
      <c r="A1201" s="273"/>
      <c r="C1201" s="267"/>
    </row>
    <row r="1202" spans="1:3" x14ac:dyDescent="0.3">
      <c r="A1202" s="273"/>
      <c r="C1202" s="267"/>
    </row>
    <row r="1203" spans="1:3" x14ac:dyDescent="0.3">
      <c r="A1203" s="273"/>
      <c r="C1203" s="267"/>
    </row>
    <row r="1204" spans="1:3" x14ac:dyDescent="0.3">
      <c r="A1204" s="273"/>
      <c r="C1204" s="267"/>
    </row>
    <row r="1205" spans="1:3" x14ac:dyDescent="0.3">
      <c r="A1205" s="273"/>
      <c r="C1205" s="267"/>
    </row>
    <row r="1206" spans="1:3" x14ac:dyDescent="0.3">
      <c r="A1206" s="273"/>
      <c r="C1206" s="267"/>
    </row>
    <row r="1207" spans="1:3" x14ac:dyDescent="0.3">
      <c r="A1207" s="273"/>
      <c r="C1207" s="267"/>
    </row>
    <row r="1208" spans="1:3" x14ac:dyDescent="0.3">
      <c r="A1208" s="273"/>
      <c r="C1208" s="267"/>
    </row>
    <row r="1209" spans="1:3" x14ac:dyDescent="0.3">
      <c r="A1209" s="273"/>
      <c r="C1209" s="267"/>
    </row>
    <row r="1210" spans="1:3" x14ac:dyDescent="0.3">
      <c r="A1210" s="273"/>
      <c r="C1210" s="267"/>
    </row>
    <row r="1211" spans="1:3" x14ac:dyDescent="0.3">
      <c r="A1211" s="273"/>
      <c r="C1211" s="267"/>
    </row>
    <row r="1212" spans="1:3" x14ac:dyDescent="0.3">
      <c r="A1212" s="273"/>
      <c r="C1212" s="267"/>
    </row>
    <row r="1213" spans="1:3" x14ac:dyDescent="0.3">
      <c r="A1213" s="273"/>
      <c r="C1213" s="267"/>
    </row>
    <row r="1214" spans="1:3" x14ac:dyDescent="0.3">
      <c r="A1214" s="273"/>
      <c r="C1214" s="267"/>
    </row>
    <row r="1215" spans="1:3" x14ac:dyDescent="0.3">
      <c r="A1215" s="273"/>
      <c r="C1215" s="267"/>
    </row>
    <row r="1216" spans="1:3" x14ac:dyDescent="0.3">
      <c r="A1216" s="273"/>
      <c r="C1216" s="267"/>
    </row>
    <row r="1217" spans="1:3" x14ac:dyDescent="0.3">
      <c r="A1217" s="273"/>
      <c r="C1217" s="267"/>
    </row>
    <row r="1218" spans="1:3" x14ac:dyDescent="0.3">
      <c r="A1218" s="273"/>
      <c r="C1218" s="267"/>
    </row>
    <row r="1219" spans="1:3" x14ac:dyDescent="0.3">
      <c r="A1219" s="273"/>
      <c r="C1219" s="267"/>
    </row>
    <row r="1220" spans="1:3" x14ac:dyDescent="0.3">
      <c r="A1220" s="273"/>
      <c r="C1220" s="267"/>
    </row>
    <row r="1221" spans="1:3" x14ac:dyDescent="0.3">
      <c r="A1221" s="273"/>
      <c r="C1221" s="267"/>
    </row>
    <row r="1222" spans="1:3" x14ac:dyDescent="0.3">
      <c r="A1222" s="273"/>
      <c r="C1222" s="267"/>
    </row>
    <row r="1223" spans="1:3" x14ac:dyDescent="0.3">
      <c r="A1223" s="273"/>
      <c r="C1223" s="267"/>
    </row>
    <row r="1224" spans="1:3" x14ac:dyDescent="0.3">
      <c r="A1224" s="273"/>
      <c r="C1224" s="267"/>
    </row>
    <row r="1225" spans="1:3" x14ac:dyDescent="0.3">
      <c r="A1225" s="273"/>
      <c r="C1225" s="267"/>
    </row>
    <row r="1226" spans="1:3" x14ac:dyDescent="0.3">
      <c r="A1226" s="273"/>
      <c r="C1226" s="267"/>
    </row>
    <row r="1227" spans="1:3" x14ac:dyDescent="0.3">
      <c r="A1227" s="273"/>
      <c r="C1227" s="267"/>
    </row>
    <row r="1228" spans="1:3" x14ac:dyDescent="0.3">
      <c r="A1228" s="273"/>
      <c r="C1228" s="267"/>
    </row>
    <row r="1229" spans="1:3" x14ac:dyDescent="0.3">
      <c r="A1229" s="273"/>
      <c r="C1229" s="267"/>
    </row>
    <row r="1230" spans="1:3" x14ac:dyDescent="0.3">
      <c r="A1230" s="273"/>
      <c r="C1230" s="267"/>
    </row>
    <row r="1231" spans="1:3" x14ac:dyDescent="0.3">
      <c r="A1231" s="273"/>
      <c r="C1231" s="267"/>
    </row>
    <row r="1232" spans="1:3" x14ac:dyDescent="0.3">
      <c r="A1232" s="273"/>
      <c r="C1232" s="267"/>
    </row>
    <row r="1233" spans="1:3" x14ac:dyDescent="0.3">
      <c r="A1233" s="273"/>
      <c r="C1233" s="267"/>
    </row>
    <row r="1234" spans="1:3" x14ac:dyDescent="0.3">
      <c r="A1234" s="273"/>
      <c r="C1234" s="267"/>
    </row>
    <row r="1235" spans="1:3" x14ac:dyDescent="0.3">
      <c r="A1235" s="273"/>
      <c r="C1235" s="267"/>
    </row>
    <row r="1236" spans="1:3" x14ac:dyDescent="0.3">
      <c r="A1236" s="273"/>
      <c r="C1236" s="267"/>
    </row>
    <row r="1237" spans="1:3" x14ac:dyDescent="0.3">
      <c r="A1237" s="273"/>
      <c r="C1237" s="267"/>
    </row>
    <row r="1238" spans="1:3" x14ac:dyDescent="0.3">
      <c r="A1238" s="273"/>
      <c r="C1238" s="267"/>
    </row>
    <row r="1239" spans="1:3" x14ac:dyDescent="0.3">
      <c r="A1239" s="273"/>
      <c r="C1239" s="267"/>
    </row>
    <row r="1240" spans="1:3" x14ac:dyDescent="0.3">
      <c r="A1240" s="273"/>
      <c r="C1240" s="267"/>
    </row>
    <row r="1241" spans="1:3" x14ac:dyDescent="0.3">
      <c r="A1241" s="273"/>
      <c r="C1241" s="267"/>
    </row>
    <row r="1242" spans="1:3" x14ac:dyDescent="0.3">
      <c r="A1242" s="273"/>
      <c r="C1242" s="267"/>
    </row>
    <row r="1243" spans="1:3" x14ac:dyDescent="0.3">
      <c r="A1243" s="273"/>
      <c r="C1243" s="267"/>
    </row>
    <row r="1244" spans="1:3" x14ac:dyDescent="0.3">
      <c r="A1244" s="273"/>
      <c r="C1244" s="267"/>
    </row>
    <row r="1245" spans="1:3" x14ac:dyDescent="0.3">
      <c r="A1245" s="273"/>
      <c r="C1245" s="267"/>
    </row>
    <row r="1246" spans="1:3" x14ac:dyDescent="0.3">
      <c r="A1246" s="273"/>
      <c r="C1246" s="267"/>
    </row>
    <row r="1247" spans="1:3" x14ac:dyDescent="0.3">
      <c r="A1247" s="273"/>
      <c r="C1247" s="267"/>
    </row>
    <row r="1248" spans="1:3" x14ac:dyDescent="0.3">
      <c r="A1248" s="273"/>
      <c r="C1248" s="267"/>
    </row>
    <row r="1249" spans="1:3" x14ac:dyDescent="0.3">
      <c r="A1249" s="273"/>
      <c r="C1249" s="267"/>
    </row>
    <row r="1250" spans="1:3" x14ac:dyDescent="0.3">
      <c r="A1250" s="273"/>
      <c r="C1250" s="267"/>
    </row>
    <row r="1251" spans="1:3" x14ac:dyDescent="0.3">
      <c r="A1251" s="273"/>
      <c r="C1251" s="267"/>
    </row>
    <row r="1252" spans="1:3" x14ac:dyDescent="0.3">
      <c r="A1252" s="273"/>
      <c r="C1252" s="267"/>
    </row>
    <row r="1253" spans="1:3" x14ac:dyDescent="0.3">
      <c r="A1253" s="273"/>
      <c r="C1253" s="267"/>
    </row>
    <row r="1254" spans="1:3" x14ac:dyDescent="0.3">
      <c r="A1254" s="273"/>
      <c r="C1254" s="267"/>
    </row>
    <row r="1255" spans="1:3" x14ac:dyDescent="0.3">
      <c r="A1255" s="273"/>
      <c r="C1255" s="267"/>
    </row>
    <row r="1256" spans="1:3" x14ac:dyDescent="0.3">
      <c r="A1256" s="273"/>
      <c r="C1256" s="267"/>
    </row>
    <row r="1257" spans="1:3" x14ac:dyDescent="0.3">
      <c r="A1257" s="273"/>
      <c r="C1257" s="267"/>
    </row>
    <row r="1258" spans="1:3" x14ac:dyDescent="0.3">
      <c r="A1258" s="273"/>
      <c r="C1258" s="267"/>
    </row>
    <row r="1259" spans="1:3" x14ac:dyDescent="0.3">
      <c r="A1259" s="273"/>
      <c r="C1259" s="267"/>
    </row>
    <row r="1260" spans="1:3" x14ac:dyDescent="0.3">
      <c r="A1260" s="273"/>
      <c r="C1260" s="267"/>
    </row>
    <row r="1261" spans="1:3" x14ac:dyDescent="0.3">
      <c r="A1261" s="273"/>
      <c r="C1261" s="267"/>
    </row>
    <row r="1262" spans="1:3" x14ac:dyDescent="0.3">
      <c r="A1262" s="273"/>
      <c r="C1262" s="267"/>
    </row>
    <row r="1263" spans="1:3" x14ac:dyDescent="0.3">
      <c r="A1263" s="273"/>
      <c r="C1263" s="267"/>
    </row>
    <row r="1264" spans="1:3" x14ac:dyDescent="0.3">
      <c r="A1264" s="273"/>
      <c r="C1264" s="267"/>
    </row>
    <row r="1265" spans="1:3" x14ac:dyDescent="0.3">
      <c r="A1265" s="273"/>
      <c r="C1265" s="267"/>
    </row>
    <row r="1266" spans="1:3" x14ac:dyDescent="0.3">
      <c r="A1266" s="273"/>
      <c r="C1266" s="267"/>
    </row>
    <row r="1267" spans="1:3" x14ac:dyDescent="0.3">
      <c r="A1267" s="273"/>
      <c r="C1267" s="267"/>
    </row>
    <row r="1268" spans="1:3" x14ac:dyDescent="0.3">
      <c r="A1268" s="273"/>
      <c r="C1268" s="267"/>
    </row>
    <row r="1269" spans="1:3" x14ac:dyDescent="0.3">
      <c r="A1269" s="273"/>
      <c r="C1269" s="267"/>
    </row>
    <row r="1270" spans="1:3" x14ac:dyDescent="0.3">
      <c r="A1270" s="273"/>
      <c r="C1270" s="267"/>
    </row>
    <row r="1271" spans="1:3" x14ac:dyDescent="0.3">
      <c r="A1271" s="273"/>
      <c r="C1271" s="267"/>
    </row>
    <row r="1272" spans="1:3" x14ac:dyDescent="0.3">
      <c r="A1272" s="273"/>
      <c r="C1272" s="267"/>
    </row>
    <row r="1273" spans="1:3" x14ac:dyDescent="0.3">
      <c r="A1273" s="273"/>
      <c r="C1273" s="267"/>
    </row>
    <row r="1274" spans="1:3" x14ac:dyDescent="0.3">
      <c r="A1274" s="273"/>
      <c r="C1274" s="267"/>
    </row>
    <row r="1275" spans="1:3" x14ac:dyDescent="0.3">
      <c r="A1275" s="273"/>
      <c r="C1275" s="267"/>
    </row>
    <row r="1276" spans="1:3" x14ac:dyDescent="0.3">
      <c r="A1276" s="273"/>
      <c r="C1276" s="267"/>
    </row>
    <row r="1277" spans="1:3" x14ac:dyDescent="0.3">
      <c r="A1277" s="273"/>
      <c r="C1277" s="267"/>
    </row>
    <row r="1278" spans="1:3" x14ac:dyDescent="0.3">
      <c r="A1278" s="273"/>
      <c r="C1278" s="267"/>
    </row>
    <row r="1279" spans="1:3" x14ac:dyDescent="0.3">
      <c r="A1279" s="273"/>
      <c r="C1279" s="267"/>
    </row>
    <row r="1280" spans="1:3" x14ac:dyDescent="0.3">
      <c r="A1280" s="273"/>
      <c r="C1280" s="267"/>
    </row>
    <row r="1281" spans="1:3" x14ac:dyDescent="0.3">
      <c r="A1281" s="273"/>
      <c r="C1281" s="267"/>
    </row>
    <row r="1282" spans="1:3" x14ac:dyDescent="0.3">
      <c r="A1282" s="273"/>
      <c r="C1282" s="267"/>
    </row>
    <row r="1283" spans="1:3" x14ac:dyDescent="0.3">
      <c r="A1283" s="273"/>
      <c r="C1283" s="267"/>
    </row>
    <row r="1284" spans="1:3" x14ac:dyDescent="0.3">
      <c r="A1284" s="273"/>
      <c r="C1284" s="267"/>
    </row>
    <row r="1285" spans="1:3" x14ac:dyDescent="0.3">
      <c r="A1285" s="273"/>
      <c r="C1285" s="267"/>
    </row>
    <row r="1286" spans="1:3" x14ac:dyDescent="0.3">
      <c r="A1286" s="273"/>
      <c r="C1286" s="267"/>
    </row>
    <row r="1287" spans="1:3" x14ac:dyDescent="0.3">
      <c r="A1287" s="273"/>
      <c r="C1287" s="267"/>
    </row>
    <row r="1288" spans="1:3" x14ac:dyDescent="0.3">
      <c r="A1288" s="273"/>
      <c r="C1288" s="267"/>
    </row>
    <row r="1289" spans="1:3" x14ac:dyDescent="0.3">
      <c r="A1289" s="273"/>
      <c r="C1289" s="267"/>
    </row>
    <row r="1290" spans="1:3" x14ac:dyDescent="0.3">
      <c r="A1290" s="273"/>
      <c r="C1290" s="267"/>
    </row>
    <row r="1291" spans="1:3" x14ac:dyDescent="0.3">
      <c r="A1291" s="273"/>
      <c r="C1291" s="267"/>
    </row>
    <row r="1292" spans="1:3" x14ac:dyDescent="0.3">
      <c r="A1292" s="273"/>
      <c r="C1292" s="267"/>
    </row>
    <row r="1293" spans="1:3" x14ac:dyDescent="0.3">
      <c r="A1293" s="273"/>
      <c r="C1293" s="267"/>
    </row>
    <row r="1294" spans="1:3" x14ac:dyDescent="0.3">
      <c r="A1294" s="273"/>
      <c r="C1294" s="267"/>
    </row>
    <row r="1295" spans="1:3" x14ac:dyDescent="0.3">
      <c r="A1295" s="273"/>
      <c r="C1295" s="267"/>
    </row>
    <row r="1296" spans="1:3" x14ac:dyDescent="0.3">
      <c r="A1296" s="273"/>
      <c r="C1296" s="267"/>
    </row>
    <row r="1297" spans="1:3" x14ac:dyDescent="0.3">
      <c r="A1297" s="273"/>
      <c r="C1297" s="267"/>
    </row>
    <row r="1298" spans="1:3" x14ac:dyDescent="0.3">
      <c r="A1298" s="273"/>
      <c r="C1298" s="267"/>
    </row>
    <row r="1299" spans="1:3" x14ac:dyDescent="0.3">
      <c r="A1299" s="273"/>
      <c r="C1299" s="267"/>
    </row>
    <row r="1300" spans="1:3" x14ac:dyDescent="0.3">
      <c r="A1300" s="273"/>
      <c r="C1300" s="267"/>
    </row>
    <row r="1301" spans="1:3" x14ac:dyDescent="0.3">
      <c r="A1301" s="273"/>
      <c r="C1301" s="267"/>
    </row>
    <row r="1302" spans="1:3" x14ac:dyDescent="0.3">
      <c r="A1302" s="273"/>
      <c r="C1302" s="267"/>
    </row>
    <row r="1303" spans="1:3" x14ac:dyDescent="0.3">
      <c r="A1303" s="273"/>
      <c r="C1303" s="267"/>
    </row>
    <row r="1304" spans="1:3" x14ac:dyDescent="0.3">
      <c r="A1304" s="273"/>
      <c r="C1304" s="267"/>
    </row>
    <row r="1305" spans="1:3" x14ac:dyDescent="0.3">
      <c r="A1305" s="273"/>
      <c r="C1305" s="267"/>
    </row>
    <row r="1306" spans="1:3" x14ac:dyDescent="0.3">
      <c r="A1306" s="273"/>
      <c r="C1306" s="267"/>
    </row>
    <row r="1307" spans="1:3" x14ac:dyDescent="0.3">
      <c r="A1307" s="273"/>
      <c r="C1307" s="267"/>
    </row>
    <row r="1308" spans="1:3" x14ac:dyDescent="0.3">
      <c r="A1308" s="273"/>
      <c r="C1308" s="267"/>
    </row>
    <row r="1309" spans="1:3" x14ac:dyDescent="0.3">
      <c r="A1309" s="273"/>
      <c r="C1309" s="267"/>
    </row>
    <row r="1310" spans="1:3" x14ac:dyDescent="0.3">
      <c r="A1310" s="273"/>
      <c r="C1310" s="267"/>
    </row>
    <row r="1311" spans="1:3" x14ac:dyDescent="0.3">
      <c r="A1311" s="273"/>
      <c r="C1311" s="267"/>
    </row>
    <row r="1312" spans="1:3" x14ac:dyDescent="0.3">
      <c r="A1312" s="273"/>
      <c r="C1312" s="267"/>
    </row>
    <row r="1313" spans="1:3" x14ac:dyDescent="0.3">
      <c r="A1313" s="273"/>
      <c r="C1313" s="267"/>
    </row>
    <row r="1314" spans="1:3" x14ac:dyDescent="0.3">
      <c r="A1314" s="273"/>
      <c r="C1314" s="267"/>
    </row>
    <row r="1315" spans="1:3" x14ac:dyDescent="0.3">
      <c r="A1315" s="273"/>
      <c r="C1315" s="267"/>
    </row>
    <row r="1316" spans="1:3" x14ac:dyDescent="0.3">
      <c r="A1316" s="273"/>
      <c r="C1316" s="267"/>
    </row>
    <row r="1317" spans="1:3" x14ac:dyDescent="0.3">
      <c r="A1317" s="273"/>
      <c r="C1317" s="267"/>
    </row>
    <row r="1318" spans="1:3" x14ac:dyDescent="0.3">
      <c r="A1318" s="273"/>
      <c r="C1318" s="267"/>
    </row>
    <row r="1319" spans="1:3" x14ac:dyDescent="0.3">
      <c r="A1319" s="273"/>
      <c r="C1319" s="267"/>
    </row>
    <row r="1320" spans="1:3" x14ac:dyDescent="0.3">
      <c r="A1320" s="273"/>
      <c r="C1320" s="267"/>
    </row>
    <row r="1321" spans="1:3" x14ac:dyDescent="0.3">
      <c r="A1321" s="273"/>
      <c r="C1321" s="267"/>
    </row>
    <row r="1322" spans="1:3" x14ac:dyDescent="0.3">
      <c r="A1322" s="273"/>
      <c r="C1322" s="267"/>
    </row>
    <row r="1323" spans="1:3" x14ac:dyDescent="0.3">
      <c r="A1323" s="273"/>
      <c r="C1323" s="267"/>
    </row>
    <row r="1324" spans="1:3" x14ac:dyDescent="0.3">
      <c r="A1324" s="273"/>
      <c r="C1324" s="267"/>
    </row>
    <row r="1325" spans="1:3" x14ac:dyDescent="0.3">
      <c r="A1325" s="273"/>
      <c r="C1325" s="267"/>
    </row>
    <row r="1326" spans="1:3" x14ac:dyDescent="0.3">
      <c r="A1326" s="273"/>
      <c r="C1326" s="267"/>
    </row>
    <row r="1327" spans="1:3" x14ac:dyDescent="0.3">
      <c r="A1327" s="273"/>
      <c r="C1327" s="267"/>
    </row>
    <row r="1328" spans="1:3" x14ac:dyDescent="0.3">
      <c r="A1328" s="273"/>
      <c r="C1328" s="267"/>
    </row>
    <row r="1329" spans="1:3" x14ac:dyDescent="0.3">
      <c r="A1329" s="273"/>
      <c r="C1329" s="267"/>
    </row>
    <row r="1330" spans="1:3" x14ac:dyDescent="0.3">
      <c r="A1330" s="273"/>
      <c r="C1330" s="267"/>
    </row>
    <row r="1331" spans="1:3" x14ac:dyDescent="0.3">
      <c r="A1331" s="273"/>
      <c r="C1331" s="267"/>
    </row>
    <row r="1332" spans="1:3" x14ac:dyDescent="0.3">
      <c r="A1332" s="273"/>
      <c r="C1332" s="267"/>
    </row>
    <row r="1333" spans="1:3" x14ac:dyDescent="0.3">
      <c r="A1333" s="273"/>
      <c r="C1333" s="267"/>
    </row>
    <row r="1334" spans="1:3" x14ac:dyDescent="0.3">
      <c r="A1334" s="273"/>
      <c r="C1334" s="267"/>
    </row>
    <row r="1335" spans="1:3" x14ac:dyDescent="0.3">
      <c r="A1335" s="273"/>
      <c r="C1335" s="267"/>
    </row>
    <row r="1336" spans="1:3" x14ac:dyDescent="0.3">
      <c r="A1336" s="273"/>
      <c r="C1336" s="267"/>
    </row>
    <row r="1337" spans="1:3" x14ac:dyDescent="0.3">
      <c r="A1337" s="273"/>
      <c r="C1337" s="267"/>
    </row>
    <row r="1338" spans="1:3" x14ac:dyDescent="0.3">
      <c r="A1338" s="273"/>
      <c r="C1338" s="267"/>
    </row>
    <row r="1339" spans="1:3" x14ac:dyDescent="0.3">
      <c r="A1339" s="273"/>
      <c r="C1339" s="267"/>
    </row>
    <row r="1340" spans="1:3" x14ac:dyDescent="0.3">
      <c r="A1340" s="273"/>
      <c r="C1340" s="267"/>
    </row>
    <row r="1341" spans="1:3" x14ac:dyDescent="0.3">
      <c r="A1341" s="273"/>
      <c r="C1341" s="267"/>
    </row>
    <row r="1342" spans="1:3" x14ac:dyDescent="0.3">
      <c r="A1342" s="273"/>
      <c r="C1342" s="267"/>
    </row>
    <row r="1343" spans="1:3" x14ac:dyDescent="0.3">
      <c r="A1343" s="273"/>
      <c r="C1343" s="267"/>
    </row>
    <row r="1344" spans="1:3" x14ac:dyDescent="0.3">
      <c r="A1344" s="273"/>
      <c r="C1344" s="267"/>
    </row>
    <row r="1345" spans="1:3" x14ac:dyDescent="0.3">
      <c r="A1345" s="273"/>
      <c r="C1345" s="267"/>
    </row>
    <row r="1346" spans="1:3" x14ac:dyDescent="0.3">
      <c r="A1346" s="273"/>
      <c r="C1346" s="267"/>
    </row>
    <row r="1347" spans="1:3" x14ac:dyDescent="0.3">
      <c r="A1347" s="273"/>
      <c r="C1347" s="267"/>
    </row>
    <row r="1348" spans="1:3" x14ac:dyDescent="0.3">
      <c r="A1348" s="273"/>
      <c r="C1348" s="267"/>
    </row>
    <row r="1349" spans="1:3" x14ac:dyDescent="0.3">
      <c r="A1349" s="273"/>
      <c r="C1349" s="267"/>
    </row>
    <row r="1350" spans="1:3" x14ac:dyDescent="0.3">
      <c r="A1350" s="273"/>
      <c r="C1350" s="267"/>
    </row>
    <row r="1351" spans="1:3" x14ac:dyDescent="0.3">
      <c r="A1351" s="273"/>
      <c r="C1351" s="267"/>
    </row>
    <row r="1352" spans="1:3" x14ac:dyDescent="0.3">
      <c r="A1352" s="273"/>
      <c r="C1352" s="267"/>
    </row>
    <row r="1353" spans="1:3" x14ac:dyDescent="0.3">
      <c r="A1353" s="273"/>
      <c r="C1353" s="267"/>
    </row>
    <row r="1354" spans="1:3" x14ac:dyDescent="0.3">
      <c r="A1354" s="273"/>
      <c r="C1354" s="267"/>
    </row>
    <row r="1355" spans="1:3" x14ac:dyDescent="0.3">
      <c r="A1355" s="273"/>
      <c r="C1355" s="267"/>
    </row>
    <row r="1356" spans="1:3" x14ac:dyDescent="0.3">
      <c r="A1356" s="273"/>
      <c r="C1356" s="267"/>
    </row>
    <row r="1357" spans="1:3" x14ac:dyDescent="0.3">
      <c r="A1357" s="273"/>
      <c r="C1357" s="267"/>
    </row>
    <row r="1358" spans="1:3" x14ac:dyDescent="0.3">
      <c r="A1358" s="273"/>
      <c r="C1358" s="267"/>
    </row>
    <row r="1359" spans="1:3" x14ac:dyDescent="0.3">
      <c r="A1359" s="273"/>
      <c r="C1359" s="267"/>
    </row>
    <row r="1360" spans="1:3" x14ac:dyDescent="0.3">
      <c r="A1360" s="273"/>
      <c r="C1360" s="267"/>
    </row>
    <row r="1361" spans="1:3" x14ac:dyDescent="0.3">
      <c r="A1361" s="273"/>
      <c r="C1361" s="267"/>
    </row>
    <row r="1362" spans="1:3" x14ac:dyDescent="0.3">
      <c r="A1362" s="273"/>
      <c r="C1362" s="267"/>
    </row>
    <row r="1363" spans="1:3" x14ac:dyDescent="0.3">
      <c r="A1363" s="273"/>
      <c r="C1363" s="267"/>
    </row>
    <row r="1364" spans="1:3" x14ac:dyDescent="0.3">
      <c r="A1364" s="273"/>
      <c r="C1364" s="267"/>
    </row>
    <row r="1365" spans="1:3" x14ac:dyDescent="0.3">
      <c r="A1365" s="273"/>
      <c r="C1365" s="267"/>
    </row>
    <row r="1366" spans="1:3" x14ac:dyDescent="0.3">
      <c r="A1366" s="273"/>
      <c r="C1366" s="267"/>
    </row>
    <row r="1367" spans="1:3" x14ac:dyDescent="0.3">
      <c r="A1367" s="273"/>
      <c r="C1367" s="267"/>
    </row>
    <row r="1368" spans="1:3" x14ac:dyDescent="0.3">
      <c r="A1368" s="273"/>
      <c r="C1368" s="267"/>
    </row>
    <row r="1369" spans="1:3" x14ac:dyDescent="0.3">
      <c r="A1369" s="273"/>
      <c r="C1369" s="267"/>
    </row>
    <row r="1370" spans="1:3" x14ac:dyDescent="0.3">
      <c r="A1370" s="273"/>
      <c r="C1370" s="267"/>
    </row>
    <row r="1371" spans="1:3" x14ac:dyDescent="0.3">
      <c r="A1371" s="273"/>
      <c r="C1371" s="267"/>
    </row>
    <row r="1372" spans="1:3" x14ac:dyDescent="0.3">
      <c r="A1372" s="273"/>
      <c r="C1372" s="267"/>
    </row>
    <row r="1373" spans="1:3" x14ac:dyDescent="0.3">
      <c r="A1373" s="273"/>
      <c r="C1373" s="267"/>
    </row>
    <row r="1374" spans="1:3" x14ac:dyDescent="0.3">
      <c r="A1374" s="273"/>
      <c r="C1374" s="267"/>
    </row>
    <row r="1375" spans="1:3" x14ac:dyDescent="0.3">
      <c r="A1375" s="273"/>
      <c r="C1375" s="267"/>
    </row>
    <row r="1376" spans="1:3" x14ac:dyDescent="0.3">
      <c r="A1376" s="273"/>
      <c r="C1376" s="267"/>
    </row>
    <row r="1377" spans="1:3" x14ac:dyDescent="0.3">
      <c r="A1377" s="273"/>
      <c r="C1377" s="267"/>
    </row>
    <row r="1378" spans="1:3" x14ac:dyDescent="0.3">
      <c r="A1378" s="273"/>
      <c r="C1378" s="267"/>
    </row>
    <row r="1379" spans="1:3" x14ac:dyDescent="0.3">
      <c r="A1379" s="273"/>
      <c r="C1379" s="267"/>
    </row>
    <row r="1380" spans="1:3" x14ac:dyDescent="0.3">
      <c r="A1380" s="273"/>
      <c r="C1380" s="267"/>
    </row>
    <row r="1381" spans="1:3" x14ac:dyDescent="0.3">
      <c r="A1381" s="273"/>
      <c r="C1381" s="267"/>
    </row>
    <row r="1382" spans="1:3" x14ac:dyDescent="0.3">
      <c r="A1382" s="273"/>
      <c r="C1382" s="267"/>
    </row>
    <row r="1383" spans="1:3" x14ac:dyDescent="0.3">
      <c r="A1383" s="273"/>
      <c r="C1383" s="267"/>
    </row>
    <row r="1384" spans="1:3" x14ac:dyDescent="0.3">
      <c r="A1384" s="273"/>
      <c r="C1384" s="267"/>
    </row>
    <row r="1385" spans="1:3" x14ac:dyDescent="0.3">
      <c r="A1385" s="273"/>
      <c r="C1385" s="267"/>
    </row>
    <row r="1386" spans="1:3" x14ac:dyDescent="0.3">
      <c r="A1386" s="273"/>
      <c r="C1386" s="267"/>
    </row>
    <row r="1387" spans="1:3" x14ac:dyDescent="0.3">
      <c r="A1387" s="273"/>
      <c r="C1387" s="267"/>
    </row>
    <row r="1388" spans="1:3" x14ac:dyDescent="0.3">
      <c r="A1388" s="273"/>
      <c r="C1388" s="267"/>
    </row>
    <row r="1389" spans="1:3" x14ac:dyDescent="0.3">
      <c r="A1389" s="273"/>
      <c r="C1389" s="267"/>
    </row>
    <row r="1390" spans="1:3" x14ac:dyDescent="0.3">
      <c r="A1390" s="273"/>
      <c r="C1390" s="267"/>
    </row>
    <row r="1391" spans="1:3" x14ac:dyDescent="0.3">
      <c r="A1391" s="273"/>
      <c r="C1391" s="267"/>
    </row>
    <row r="1392" spans="1:3" x14ac:dyDescent="0.3">
      <c r="A1392" s="273"/>
      <c r="C1392" s="267"/>
    </row>
    <row r="1393" spans="1:3" x14ac:dyDescent="0.3">
      <c r="A1393" s="273"/>
      <c r="C1393" s="267"/>
    </row>
    <row r="1394" spans="1:3" x14ac:dyDescent="0.3">
      <c r="A1394" s="273"/>
      <c r="C1394" s="267"/>
    </row>
    <row r="1395" spans="1:3" x14ac:dyDescent="0.3">
      <c r="A1395" s="273"/>
      <c r="C1395" s="267"/>
    </row>
    <row r="1396" spans="1:3" x14ac:dyDescent="0.3">
      <c r="A1396" s="273"/>
      <c r="C1396" s="267"/>
    </row>
    <row r="1397" spans="1:3" x14ac:dyDescent="0.3">
      <c r="A1397" s="273"/>
      <c r="C1397" s="267"/>
    </row>
    <row r="1398" spans="1:3" x14ac:dyDescent="0.3">
      <c r="A1398" s="273"/>
      <c r="C1398" s="267"/>
    </row>
    <row r="1399" spans="1:3" x14ac:dyDescent="0.3">
      <c r="A1399" s="273"/>
      <c r="C1399" s="267"/>
    </row>
    <row r="1400" spans="1:3" x14ac:dyDescent="0.3">
      <c r="A1400" s="273"/>
      <c r="C1400" s="267"/>
    </row>
    <row r="1401" spans="1:3" x14ac:dyDescent="0.3">
      <c r="A1401" s="273"/>
      <c r="C1401" s="267"/>
    </row>
    <row r="1402" spans="1:3" x14ac:dyDescent="0.3">
      <c r="A1402" s="273"/>
      <c r="C1402" s="267"/>
    </row>
    <row r="1403" spans="1:3" x14ac:dyDescent="0.3">
      <c r="A1403" s="273"/>
      <c r="C1403" s="267"/>
    </row>
    <row r="1404" spans="1:3" x14ac:dyDescent="0.3">
      <c r="A1404" s="273"/>
      <c r="C1404" s="267"/>
    </row>
    <row r="1405" spans="1:3" x14ac:dyDescent="0.3">
      <c r="A1405" s="273"/>
      <c r="C1405" s="267"/>
    </row>
    <row r="1406" spans="1:3" x14ac:dyDescent="0.3">
      <c r="A1406" s="273"/>
      <c r="C1406" s="267"/>
    </row>
    <row r="1407" spans="1:3" x14ac:dyDescent="0.3">
      <c r="A1407" s="273"/>
      <c r="C1407" s="267"/>
    </row>
    <row r="1408" spans="1:3" x14ac:dyDescent="0.3">
      <c r="A1408" s="273"/>
      <c r="C1408" s="267"/>
    </row>
    <row r="1409" spans="1:3" x14ac:dyDescent="0.3">
      <c r="A1409" s="273"/>
      <c r="C1409" s="267"/>
    </row>
    <row r="1410" spans="1:3" x14ac:dyDescent="0.3">
      <c r="A1410" s="273"/>
      <c r="C1410" s="267"/>
    </row>
    <row r="1411" spans="1:3" x14ac:dyDescent="0.3">
      <c r="A1411" s="273"/>
      <c r="C1411" s="267"/>
    </row>
    <row r="1412" spans="1:3" x14ac:dyDescent="0.3">
      <c r="A1412" s="273"/>
      <c r="C1412" s="267"/>
    </row>
    <row r="1413" spans="1:3" x14ac:dyDescent="0.3">
      <c r="A1413" s="273"/>
      <c r="C1413" s="267"/>
    </row>
    <row r="1414" spans="1:3" x14ac:dyDescent="0.3">
      <c r="A1414" s="273"/>
      <c r="C1414" s="267"/>
    </row>
    <row r="1415" spans="1:3" x14ac:dyDescent="0.3">
      <c r="A1415" s="273"/>
      <c r="C1415" s="267"/>
    </row>
    <row r="1416" spans="1:3" x14ac:dyDescent="0.3">
      <c r="A1416" s="273"/>
      <c r="C1416" s="267"/>
    </row>
    <row r="1417" spans="1:3" x14ac:dyDescent="0.3">
      <c r="A1417" s="273"/>
      <c r="C1417" s="267"/>
    </row>
    <row r="1418" spans="1:3" x14ac:dyDescent="0.3">
      <c r="A1418" s="273"/>
      <c r="C1418" s="267"/>
    </row>
    <row r="1419" spans="1:3" x14ac:dyDescent="0.3">
      <c r="A1419" s="273"/>
      <c r="C1419" s="267"/>
    </row>
    <row r="1420" spans="1:3" x14ac:dyDescent="0.3">
      <c r="A1420" s="273"/>
      <c r="C1420" s="267"/>
    </row>
    <row r="1421" spans="1:3" x14ac:dyDescent="0.3">
      <c r="A1421" s="273"/>
      <c r="C1421" s="267"/>
    </row>
    <row r="1422" spans="1:3" x14ac:dyDescent="0.3">
      <c r="A1422" s="273"/>
      <c r="C1422" s="267"/>
    </row>
    <row r="1423" spans="1:3" x14ac:dyDescent="0.3">
      <c r="A1423" s="273"/>
      <c r="C1423" s="267"/>
    </row>
    <row r="1424" spans="1:3" x14ac:dyDescent="0.3">
      <c r="A1424" s="273"/>
      <c r="C1424" s="267"/>
    </row>
    <row r="1425" spans="1:3" x14ac:dyDescent="0.3">
      <c r="A1425" s="273"/>
      <c r="C1425" s="267"/>
    </row>
    <row r="1426" spans="1:3" x14ac:dyDescent="0.3">
      <c r="A1426" s="273"/>
      <c r="C1426" s="267"/>
    </row>
    <row r="1427" spans="1:3" x14ac:dyDescent="0.3">
      <c r="A1427" s="273"/>
      <c r="C1427" s="267"/>
    </row>
    <row r="1428" spans="1:3" x14ac:dyDescent="0.3">
      <c r="A1428" s="273"/>
      <c r="C1428" s="267"/>
    </row>
    <row r="1429" spans="1:3" x14ac:dyDescent="0.3">
      <c r="A1429" s="273"/>
      <c r="C1429" s="267"/>
    </row>
    <row r="1430" spans="1:3" x14ac:dyDescent="0.3">
      <c r="A1430" s="273"/>
      <c r="C1430" s="267"/>
    </row>
    <row r="1431" spans="1:3" x14ac:dyDescent="0.3">
      <c r="A1431" s="273"/>
      <c r="C1431" s="267"/>
    </row>
    <row r="1432" spans="1:3" x14ac:dyDescent="0.3">
      <c r="A1432" s="273"/>
      <c r="C1432" s="267"/>
    </row>
    <row r="1433" spans="1:3" x14ac:dyDescent="0.3">
      <c r="A1433" s="273"/>
      <c r="C1433" s="267"/>
    </row>
    <row r="1434" spans="1:3" x14ac:dyDescent="0.3">
      <c r="A1434" s="273"/>
      <c r="C1434" s="267"/>
    </row>
    <row r="1435" spans="1:3" x14ac:dyDescent="0.3">
      <c r="A1435" s="273"/>
      <c r="C1435" s="267"/>
    </row>
    <row r="1436" spans="1:3" x14ac:dyDescent="0.3">
      <c r="A1436" s="273"/>
      <c r="C1436" s="267"/>
    </row>
    <row r="1437" spans="1:3" x14ac:dyDescent="0.3">
      <c r="A1437" s="273"/>
      <c r="C1437" s="267"/>
    </row>
    <row r="1438" spans="1:3" x14ac:dyDescent="0.3">
      <c r="A1438" s="273"/>
      <c r="C1438" s="267"/>
    </row>
    <row r="1439" spans="1:3" x14ac:dyDescent="0.3">
      <c r="A1439" s="273"/>
      <c r="C1439" s="267"/>
    </row>
    <row r="1440" spans="1:3" x14ac:dyDescent="0.3">
      <c r="A1440" s="273"/>
      <c r="C1440" s="267"/>
    </row>
    <row r="1441" spans="1:3" x14ac:dyDescent="0.3">
      <c r="A1441" s="273"/>
      <c r="C1441" s="267"/>
    </row>
    <row r="1442" spans="1:3" x14ac:dyDescent="0.3">
      <c r="A1442" s="273"/>
      <c r="C1442" s="267"/>
    </row>
    <row r="1443" spans="1:3" x14ac:dyDescent="0.3">
      <c r="A1443" s="273"/>
      <c r="C1443" s="267"/>
    </row>
    <row r="1444" spans="1:3" x14ac:dyDescent="0.3">
      <c r="A1444" s="273"/>
      <c r="C1444" s="267"/>
    </row>
    <row r="1445" spans="1:3" x14ac:dyDescent="0.3">
      <c r="A1445" s="273"/>
      <c r="C1445" s="267"/>
    </row>
    <row r="1446" spans="1:3" x14ac:dyDescent="0.3">
      <c r="A1446" s="273"/>
      <c r="C1446" s="267"/>
    </row>
    <row r="1447" spans="1:3" x14ac:dyDescent="0.3">
      <c r="A1447" s="273"/>
      <c r="C1447" s="267"/>
    </row>
    <row r="1448" spans="1:3" x14ac:dyDescent="0.3">
      <c r="A1448" s="273"/>
      <c r="C1448" s="267"/>
    </row>
    <row r="1449" spans="1:3" x14ac:dyDescent="0.3">
      <c r="A1449" s="273"/>
      <c r="C1449" s="267"/>
    </row>
    <row r="1450" spans="1:3" x14ac:dyDescent="0.3">
      <c r="A1450" s="273"/>
      <c r="C1450" s="267"/>
    </row>
    <row r="1451" spans="1:3" x14ac:dyDescent="0.3">
      <c r="A1451" s="273"/>
      <c r="C1451" s="267"/>
    </row>
    <row r="1452" spans="1:3" x14ac:dyDescent="0.3">
      <c r="A1452" s="273"/>
      <c r="C1452" s="267"/>
    </row>
    <row r="1453" spans="1:3" x14ac:dyDescent="0.3">
      <c r="A1453" s="273"/>
      <c r="C1453" s="267"/>
    </row>
    <row r="1454" spans="1:3" x14ac:dyDescent="0.3">
      <c r="A1454" s="273"/>
      <c r="C1454" s="267"/>
    </row>
    <row r="1455" spans="1:3" x14ac:dyDescent="0.3">
      <c r="A1455" s="273"/>
      <c r="C1455" s="267"/>
    </row>
    <row r="1456" spans="1:3" x14ac:dyDescent="0.3">
      <c r="A1456" s="273"/>
      <c r="C1456" s="267"/>
    </row>
    <row r="1457" spans="1:3" x14ac:dyDescent="0.3">
      <c r="A1457" s="273"/>
      <c r="C1457" s="267"/>
    </row>
    <row r="1458" spans="1:3" x14ac:dyDescent="0.3">
      <c r="A1458" s="273"/>
      <c r="C1458" s="267"/>
    </row>
    <row r="1459" spans="1:3" x14ac:dyDescent="0.3">
      <c r="A1459" s="273"/>
      <c r="C1459" s="267"/>
    </row>
    <row r="1460" spans="1:3" x14ac:dyDescent="0.3">
      <c r="A1460" s="273"/>
      <c r="C1460" s="267"/>
    </row>
    <row r="1461" spans="1:3" x14ac:dyDescent="0.3">
      <c r="A1461" s="273"/>
      <c r="C1461" s="267"/>
    </row>
    <row r="1462" spans="1:3" x14ac:dyDescent="0.3">
      <c r="A1462" s="273"/>
      <c r="C1462" s="267"/>
    </row>
    <row r="1463" spans="1:3" x14ac:dyDescent="0.3">
      <c r="A1463" s="273"/>
      <c r="C1463" s="267"/>
    </row>
    <row r="1464" spans="1:3" x14ac:dyDescent="0.3">
      <c r="A1464" s="273"/>
      <c r="C1464" s="267"/>
    </row>
    <row r="1465" spans="1:3" x14ac:dyDescent="0.3">
      <c r="A1465" s="273"/>
      <c r="C1465" s="267"/>
    </row>
    <row r="1466" spans="1:3" x14ac:dyDescent="0.3">
      <c r="A1466" s="273"/>
      <c r="C1466" s="267"/>
    </row>
    <row r="1467" spans="1:3" x14ac:dyDescent="0.3">
      <c r="A1467" s="273"/>
      <c r="C1467" s="267"/>
    </row>
    <row r="1468" spans="1:3" x14ac:dyDescent="0.3">
      <c r="A1468" s="273"/>
      <c r="C1468" s="267"/>
    </row>
    <row r="1469" spans="1:3" x14ac:dyDescent="0.3">
      <c r="A1469" s="273"/>
      <c r="C1469" s="267"/>
    </row>
    <row r="1470" spans="1:3" x14ac:dyDescent="0.3">
      <c r="A1470" s="273"/>
      <c r="C1470" s="267"/>
    </row>
    <row r="1471" spans="1:3" x14ac:dyDescent="0.3">
      <c r="A1471" s="273"/>
      <c r="C1471" s="267"/>
    </row>
    <row r="1472" spans="1:3" x14ac:dyDescent="0.3">
      <c r="A1472" s="273"/>
      <c r="C1472" s="267"/>
    </row>
    <row r="1473" spans="1:3" x14ac:dyDescent="0.3">
      <c r="A1473" s="273"/>
      <c r="C1473" s="267"/>
    </row>
    <row r="1474" spans="1:3" x14ac:dyDescent="0.3">
      <c r="A1474" s="273"/>
      <c r="C1474" s="267"/>
    </row>
    <row r="1475" spans="1:3" x14ac:dyDescent="0.3">
      <c r="A1475" s="273"/>
      <c r="C1475" s="267"/>
    </row>
    <row r="1476" spans="1:3" x14ac:dyDescent="0.3">
      <c r="A1476" s="273"/>
      <c r="C1476" s="267"/>
    </row>
    <row r="1477" spans="1:3" x14ac:dyDescent="0.3">
      <c r="A1477" s="273"/>
      <c r="C1477" s="267"/>
    </row>
    <row r="1478" spans="1:3" x14ac:dyDescent="0.3">
      <c r="A1478" s="273"/>
      <c r="C1478" s="267"/>
    </row>
    <row r="1479" spans="1:3" x14ac:dyDescent="0.3">
      <c r="A1479" s="273"/>
      <c r="C1479" s="267"/>
    </row>
    <row r="1480" spans="1:3" x14ac:dyDescent="0.3">
      <c r="A1480" s="273"/>
      <c r="C1480" s="267"/>
    </row>
    <row r="1481" spans="1:3" x14ac:dyDescent="0.3">
      <c r="A1481" s="273"/>
      <c r="C1481" s="267"/>
    </row>
    <row r="1482" spans="1:3" x14ac:dyDescent="0.3">
      <c r="A1482" s="273"/>
      <c r="C1482" s="267"/>
    </row>
    <row r="1483" spans="1:3" x14ac:dyDescent="0.3">
      <c r="A1483" s="273"/>
      <c r="C1483" s="267"/>
    </row>
    <row r="1484" spans="1:3" x14ac:dyDescent="0.3">
      <c r="A1484" s="273"/>
      <c r="C1484" s="267"/>
    </row>
    <row r="1485" spans="1:3" x14ac:dyDescent="0.3">
      <c r="A1485" s="273"/>
      <c r="C1485" s="267"/>
    </row>
    <row r="1486" spans="1:3" x14ac:dyDescent="0.3">
      <c r="A1486" s="273"/>
      <c r="C1486" s="267"/>
    </row>
    <row r="1487" spans="1:3" x14ac:dyDescent="0.3">
      <c r="A1487" s="273"/>
      <c r="C1487" s="267"/>
    </row>
    <row r="1488" spans="1:3" x14ac:dyDescent="0.3">
      <c r="A1488" s="273"/>
      <c r="C1488" s="267"/>
    </row>
    <row r="1489" spans="1:3" x14ac:dyDescent="0.3">
      <c r="A1489" s="273"/>
      <c r="C1489" s="267"/>
    </row>
    <row r="1490" spans="1:3" x14ac:dyDescent="0.3">
      <c r="A1490" s="273"/>
      <c r="C1490" s="267"/>
    </row>
    <row r="1491" spans="1:3" x14ac:dyDescent="0.3">
      <c r="A1491" s="273"/>
      <c r="C1491" s="267"/>
    </row>
    <row r="1492" spans="1:3" x14ac:dyDescent="0.3">
      <c r="A1492" s="273"/>
      <c r="C1492" s="267"/>
    </row>
    <row r="1493" spans="1:3" x14ac:dyDescent="0.3">
      <c r="A1493" s="273"/>
      <c r="C1493" s="267"/>
    </row>
    <row r="1494" spans="1:3" x14ac:dyDescent="0.3">
      <c r="A1494" s="273"/>
      <c r="C1494" s="267"/>
    </row>
    <row r="1495" spans="1:3" x14ac:dyDescent="0.3">
      <c r="A1495" s="273"/>
      <c r="C1495" s="267"/>
    </row>
    <row r="1496" spans="1:3" x14ac:dyDescent="0.3">
      <c r="A1496" s="273"/>
      <c r="C1496" s="267"/>
    </row>
    <row r="1497" spans="1:3" x14ac:dyDescent="0.3">
      <c r="A1497" s="273"/>
      <c r="C1497" s="267"/>
    </row>
    <row r="1498" spans="1:3" x14ac:dyDescent="0.3">
      <c r="A1498" s="273"/>
      <c r="C1498" s="267"/>
    </row>
    <row r="1499" spans="1:3" x14ac:dyDescent="0.3">
      <c r="A1499" s="273"/>
      <c r="C1499" s="267"/>
    </row>
    <row r="1500" spans="1:3" x14ac:dyDescent="0.3">
      <c r="A1500" s="273"/>
      <c r="C1500" s="267"/>
    </row>
    <row r="1501" spans="1:3" x14ac:dyDescent="0.3">
      <c r="A1501" s="273"/>
      <c r="C1501" s="267"/>
    </row>
    <row r="1502" spans="1:3" x14ac:dyDescent="0.3">
      <c r="A1502" s="273"/>
      <c r="C1502" s="267"/>
    </row>
    <row r="1503" spans="1:3" x14ac:dyDescent="0.3">
      <c r="A1503" s="273"/>
      <c r="C1503" s="267"/>
    </row>
    <row r="1504" spans="1:3" x14ac:dyDescent="0.3">
      <c r="A1504" s="273"/>
      <c r="C1504" s="267"/>
    </row>
    <row r="1505" spans="1:3" x14ac:dyDescent="0.3">
      <c r="A1505" s="273"/>
      <c r="C1505" s="267"/>
    </row>
    <row r="1506" spans="1:3" x14ac:dyDescent="0.3">
      <c r="A1506" s="273"/>
      <c r="C1506" s="267"/>
    </row>
    <row r="1507" spans="1:3" x14ac:dyDescent="0.3">
      <c r="A1507" s="273"/>
      <c r="C1507" s="267"/>
    </row>
    <row r="1508" spans="1:3" x14ac:dyDescent="0.3">
      <c r="A1508" s="273"/>
      <c r="C1508" s="267"/>
    </row>
    <row r="1509" spans="1:3" x14ac:dyDescent="0.3">
      <c r="A1509" s="273"/>
      <c r="C1509" s="267"/>
    </row>
    <row r="1510" spans="1:3" x14ac:dyDescent="0.3">
      <c r="A1510" s="273"/>
      <c r="C1510" s="267"/>
    </row>
    <row r="1511" spans="1:3" x14ac:dyDescent="0.3">
      <c r="A1511" s="273"/>
      <c r="C1511" s="267"/>
    </row>
    <row r="1512" spans="1:3" x14ac:dyDescent="0.3">
      <c r="A1512" s="273"/>
      <c r="C1512" s="267"/>
    </row>
    <row r="1513" spans="1:3" x14ac:dyDescent="0.3">
      <c r="A1513" s="273"/>
      <c r="C1513" s="267"/>
    </row>
    <row r="1514" spans="1:3" x14ac:dyDescent="0.3">
      <c r="A1514" s="273"/>
      <c r="C1514" s="267"/>
    </row>
    <row r="1515" spans="1:3" x14ac:dyDescent="0.3">
      <c r="A1515" s="273"/>
      <c r="C1515" s="267"/>
    </row>
    <row r="1516" spans="1:3" x14ac:dyDescent="0.3">
      <c r="A1516" s="273"/>
      <c r="C1516" s="267"/>
    </row>
    <row r="1517" spans="1:3" x14ac:dyDescent="0.3">
      <c r="A1517" s="273"/>
      <c r="C1517" s="267"/>
    </row>
    <row r="1518" spans="1:3" x14ac:dyDescent="0.3">
      <c r="A1518" s="273"/>
      <c r="C1518" s="267"/>
    </row>
    <row r="1519" spans="1:3" x14ac:dyDescent="0.3">
      <c r="A1519" s="273"/>
      <c r="C1519" s="267"/>
    </row>
    <row r="1520" spans="1:3" x14ac:dyDescent="0.3">
      <c r="A1520" s="273"/>
      <c r="C1520" s="267"/>
    </row>
    <row r="1521" spans="1:3" x14ac:dyDescent="0.3">
      <c r="A1521" s="273"/>
      <c r="C1521" s="267"/>
    </row>
    <row r="1522" spans="1:3" x14ac:dyDescent="0.3">
      <c r="A1522" s="273"/>
      <c r="C1522" s="267"/>
    </row>
    <row r="1523" spans="1:3" x14ac:dyDescent="0.3">
      <c r="A1523" s="273"/>
      <c r="C1523" s="267"/>
    </row>
    <row r="1524" spans="1:3" x14ac:dyDescent="0.3">
      <c r="A1524" s="273"/>
      <c r="C1524" s="267"/>
    </row>
    <row r="1525" spans="1:3" x14ac:dyDescent="0.3">
      <c r="A1525" s="273"/>
      <c r="C1525" s="267"/>
    </row>
    <row r="1526" spans="1:3" x14ac:dyDescent="0.3">
      <c r="A1526" s="273"/>
      <c r="C1526" s="267"/>
    </row>
    <row r="1527" spans="1:3" x14ac:dyDescent="0.3">
      <c r="A1527" s="273"/>
      <c r="C1527" s="267"/>
    </row>
    <row r="1528" spans="1:3" x14ac:dyDescent="0.3">
      <c r="A1528" s="273"/>
      <c r="C1528" s="267"/>
    </row>
    <row r="1529" spans="1:3" x14ac:dyDescent="0.3">
      <c r="A1529" s="273"/>
      <c r="C1529" s="267"/>
    </row>
    <row r="1530" spans="1:3" x14ac:dyDescent="0.3">
      <c r="A1530" s="273"/>
      <c r="C1530" s="267"/>
    </row>
    <row r="1531" spans="1:3" x14ac:dyDescent="0.3">
      <c r="A1531" s="273"/>
      <c r="C1531" s="267"/>
    </row>
    <row r="1532" spans="1:3" x14ac:dyDescent="0.3">
      <c r="A1532" s="273"/>
      <c r="C1532" s="267"/>
    </row>
    <row r="1533" spans="1:3" x14ac:dyDescent="0.3">
      <c r="A1533" s="273"/>
      <c r="C1533" s="267"/>
    </row>
    <row r="1534" spans="1:3" x14ac:dyDescent="0.3">
      <c r="A1534" s="273"/>
      <c r="C1534" s="267"/>
    </row>
    <row r="1535" spans="1:3" x14ac:dyDescent="0.3">
      <c r="A1535" s="273"/>
      <c r="C1535" s="267"/>
    </row>
    <row r="1536" spans="1:3" x14ac:dyDescent="0.3">
      <c r="A1536" s="273"/>
      <c r="C1536" s="267"/>
    </row>
    <row r="1537" spans="1:3" x14ac:dyDescent="0.3">
      <c r="A1537" s="273"/>
      <c r="C1537" s="267"/>
    </row>
    <row r="1538" spans="1:3" x14ac:dyDescent="0.3">
      <c r="A1538" s="273"/>
      <c r="C1538" s="267"/>
    </row>
    <row r="1539" spans="1:3" x14ac:dyDescent="0.3">
      <c r="A1539" s="273"/>
      <c r="C1539" s="267"/>
    </row>
    <row r="1540" spans="1:3" x14ac:dyDescent="0.3">
      <c r="A1540" s="273"/>
      <c r="C1540" s="267"/>
    </row>
    <row r="1541" spans="1:3" x14ac:dyDescent="0.3">
      <c r="A1541" s="273"/>
      <c r="C1541" s="267"/>
    </row>
    <row r="1542" spans="1:3" x14ac:dyDescent="0.3">
      <c r="A1542" s="273"/>
      <c r="C1542" s="267"/>
    </row>
    <row r="1543" spans="1:3" x14ac:dyDescent="0.3">
      <c r="A1543" s="273"/>
      <c r="C1543" s="267"/>
    </row>
    <row r="1544" spans="1:3" x14ac:dyDescent="0.3">
      <c r="A1544" s="273"/>
      <c r="C1544" s="267"/>
    </row>
    <row r="1545" spans="1:3" x14ac:dyDescent="0.3">
      <c r="A1545" s="273"/>
      <c r="C1545" s="267"/>
    </row>
    <row r="1546" spans="1:3" x14ac:dyDescent="0.3">
      <c r="A1546" s="273"/>
      <c r="C1546" s="267"/>
    </row>
    <row r="1547" spans="1:3" x14ac:dyDescent="0.3">
      <c r="A1547" s="273"/>
      <c r="C1547" s="267"/>
    </row>
    <row r="1548" spans="1:3" x14ac:dyDescent="0.3">
      <c r="A1548" s="273"/>
      <c r="C1548" s="267"/>
    </row>
    <row r="1549" spans="1:3" x14ac:dyDescent="0.3">
      <c r="A1549" s="273"/>
      <c r="C1549" s="267"/>
    </row>
    <row r="1550" spans="1:3" x14ac:dyDescent="0.3">
      <c r="A1550" s="273"/>
      <c r="C1550" s="267"/>
    </row>
    <row r="1551" spans="1:3" x14ac:dyDescent="0.3">
      <c r="A1551" s="273"/>
      <c r="C1551" s="267"/>
    </row>
    <row r="1552" spans="1:3" x14ac:dyDescent="0.3">
      <c r="A1552" s="273"/>
      <c r="C1552" s="267"/>
    </row>
    <row r="1553" spans="1:3" x14ac:dyDescent="0.3">
      <c r="A1553" s="273"/>
      <c r="C1553" s="267"/>
    </row>
    <row r="1554" spans="1:3" x14ac:dyDescent="0.3">
      <c r="A1554" s="273"/>
      <c r="C1554" s="267"/>
    </row>
    <row r="1555" spans="1:3" x14ac:dyDescent="0.3">
      <c r="A1555" s="273"/>
      <c r="C1555" s="267"/>
    </row>
    <row r="1556" spans="1:3" x14ac:dyDescent="0.3">
      <c r="A1556" s="273"/>
      <c r="C1556" s="267"/>
    </row>
    <row r="1557" spans="1:3" x14ac:dyDescent="0.3">
      <c r="A1557" s="273"/>
      <c r="C1557" s="267"/>
    </row>
    <row r="1558" spans="1:3" x14ac:dyDescent="0.3">
      <c r="A1558" s="273"/>
      <c r="C1558" s="267"/>
    </row>
    <row r="1559" spans="1:3" x14ac:dyDescent="0.3">
      <c r="A1559" s="273"/>
      <c r="C1559" s="267"/>
    </row>
    <row r="1560" spans="1:3" x14ac:dyDescent="0.3">
      <c r="A1560" s="273"/>
      <c r="C1560" s="267"/>
    </row>
    <row r="1561" spans="1:3" x14ac:dyDescent="0.3">
      <c r="A1561" s="273"/>
      <c r="C1561" s="267"/>
    </row>
    <row r="1562" spans="1:3" x14ac:dyDescent="0.3">
      <c r="A1562" s="273"/>
      <c r="C1562" s="267"/>
    </row>
    <row r="1563" spans="1:3" x14ac:dyDescent="0.3">
      <c r="A1563" s="273"/>
      <c r="C1563" s="267"/>
    </row>
    <row r="1564" spans="1:3" x14ac:dyDescent="0.3">
      <c r="A1564" s="273"/>
      <c r="C1564" s="267"/>
    </row>
    <row r="1565" spans="1:3" x14ac:dyDescent="0.3">
      <c r="A1565" s="273"/>
      <c r="C1565" s="267"/>
    </row>
    <row r="1566" spans="1:3" x14ac:dyDescent="0.3">
      <c r="A1566" s="273"/>
      <c r="C1566" s="267"/>
    </row>
    <row r="1567" spans="1:3" x14ac:dyDescent="0.3">
      <c r="A1567" s="273"/>
      <c r="C1567" s="267"/>
    </row>
    <row r="1568" spans="1:3" x14ac:dyDescent="0.3">
      <c r="A1568" s="273"/>
      <c r="C1568" s="267"/>
    </row>
    <row r="1569" spans="1:3" x14ac:dyDescent="0.3">
      <c r="A1569" s="273"/>
      <c r="C1569" s="267"/>
    </row>
    <row r="1570" spans="1:3" x14ac:dyDescent="0.3">
      <c r="A1570" s="273"/>
      <c r="C1570" s="267"/>
    </row>
    <row r="1571" spans="1:3" x14ac:dyDescent="0.3">
      <c r="A1571" s="273"/>
      <c r="C1571" s="267"/>
    </row>
    <row r="1572" spans="1:3" x14ac:dyDescent="0.3">
      <c r="A1572" s="273"/>
      <c r="C1572" s="267"/>
    </row>
    <row r="1573" spans="1:3" x14ac:dyDescent="0.3">
      <c r="A1573" s="273"/>
      <c r="C1573" s="267"/>
    </row>
    <row r="1574" spans="1:3" x14ac:dyDescent="0.3">
      <c r="A1574" s="273"/>
      <c r="C1574" s="267"/>
    </row>
    <row r="1575" spans="1:3" x14ac:dyDescent="0.3">
      <c r="A1575" s="273"/>
      <c r="C1575" s="267"/>
    </row>
    <row r="1576" spans="1:3" x14ac:dyDescent="0.3">
      <c r="A1576" s="273"/>
      <c r="C1576" s="267"/>
    </row>
    <row r="1577" spans="1:3" x14ac:dyDescent="0.3">
      <c r="A1577" s="273"/>
      <c r="C1577" s="267"/>
    </row>
    <row r="1578" spans="1:3" x14ac:dyDescent="0.3">
      <c r="A1578" s="273"/>
      <c r="C1578" s="267"/>
    </row>
    <row r="1579" spans="1:3" x14ac:dyDescent="0.3">
      <c r="A1579" s="273"/>
      <c r="C1579" s="267"/>
    </row>
    <row r="1580" spans="1:3" x14ac:dyDescent="0.3">
      <c r="A1580" s="273"/>
      <c r="C1580" s="267"/>
    </row>
    <row r="1581" spans="1:3" x14ac:dyDescent="0.3">
      <c r="A1581" s="273"/>
      <c r="C1581" s="267"/>
    </row>
    <row r="1582" spans="1:3" x14ac:dyDescent="0.3">
      <c r="A1582" s="273"/>
      <c r="C1582" s="267"/>
    </row>
    <row r="1583" spans="1:3" x14ac:dyDescent="0.3">
      <c r="A1583" s="273"/>
      <c r="C1583" s="267"/>
    </row>
    <row r="1584" spans="1:3" x14ac:dyDescent="0.3">
      <c r="A1584" s="273"/>
      <c r="C1584" s="267"/>
    </row>
    <row r="1585" spans="1:3" x14ac:dyDescent="0.3">
      <c r="A1585" s="273"/>
      <c r="C1585" s="267"/>
    </row>
    <row r="1586" spans="1:3" x14ac:dyDescent="0.3">
      <c r="A1586" s="273"/>
      <c r="C1586" s="267"/>
    </row>
    <row r="1587" spans="1:3" x14ac:dyDescent="0.3">
      <c r="A1587" s="273"/>
      <c r="C1587" s="267"/>
    </row>
    <row r="1588" spans="1:3" x14ac:dyDescent="0.3">
      <c r="A1588" s="273"/>
      <c r="C1588" s="267"/>
    </row>
    <row r="1589" spans="1:3" x14ac:dyDescent="0.3">
      <c r="A1589" s="273"/>
      <c r="C1589" s="267"/>
    </row>
    <row r="1590" spans="1:3" x14ac:dyDescent="0.3">
      <c r="A1590" s="273"/>
      <c r="C1590" s="267"/>
    </row>
    <row r="1591" spans="1:3" x14ac:dyDescent="0.3">
      <c r="A1591" s="273"/>
      <c r="C1591" s="267"/>
    </row>
    <row r="1592" spans="1:3" x14ac:dyDescent="0.3">
      <c r="A1592" s="273"/>
      <c r="C1592" s="267"/>
    </row>
    <row r="1593" spans="1:3" x14ac:dyDescent="0.3">
      <c r="A1593" s="273"/>
      <c r="C1593" s="267"/>
    </row>
    <row r="1594" spans="1:3" x14ac:dyDescent="0.3">
      <c r="A1594" s="273"/>
      <c r="C1594" s="267"/>
    </row>
    <row r="1595" spans="1:3" x14ac:dyDescent="0.3">
      <c r="A1595" s="273"/>
      <c r="C1595" s="267"/>
    </row>
    <row r="1596" spans="1:3" x14ac:dyDescent="0.3">
      <c r="A1596" s="273"/>
      <c r="C1596" s="267"/>
    </row>
    <row r="1597" spans="1:3" x14ac:dyDescent="0.3">
      <c r="A1597" s="273"/>
      <c r="C1597" s="267"/>
    </row>
    <row r="1598" spans="1:3" x14ac:dyDescent="0.3">
      <c r="A1598" s="273"/>
      <c r="C1598" s="267"/>
    </row>
    <row r="1599" spans="1:3" x14ac:dyDescent="0.3">
      <c r="A1599" s="273"/>
      <c r="C1599" s="267"/>
    </row>
    <row r="1600" spans="1:3" x14ac:dyDescent="0.3">
      <c r="A1600" s="273"/>
      <c r="C1600" s="267"/>
    </row>
    <row r="1601" spans="1:3" x14ac:dyDescent="0.3">
      <c r="A1601" s="273"/>
      <c r="C1601" s="267"/>
    </row>
    <row r="1602" spans="1:3" x14ac:dyDescent="0.3">
      <c r="A1602" s="273"/>
      <c r="C1602" s="267"/>
    </row>
    <row r="1603" spans="1:3" x14ac:dyDescent="0.3">
      <c r="A1603" s="273"/>
      <c r="C1603" s="267"/>
    </row>
    <row r="1604" spans="1:3" x14ac:dyDescent="0.3">
      <c r="A1604" s="273"/>
      <c r="C1604" s="267"/>
    </row>
    <row r="1605" spans="1:3" x14ac:dyDescent="0.3">
      <c r="A1605" s="273"/>
      <c r="C1605" s="267"/>
    </row>
    <row r="1606" spans="1:3" x14ac:dyDescent="0.3">
      <c r="A1606" s="273"/>
      <c r="C1606" s="267"/>
    </row>
    <row r="1607" spans="1:3" x14ac:dyDescent="0.3">
      <c r="A1607" s="273"/>
      <c r="C1607" s="267"/>
    </row>
    <row r="1608" spans="1:3" x14ac:dyDescent="0.3">
      <c r="A1608" s="273"/>
      <c r="C1608" s="267"/>
    </row>
    <row r="1609" spans="1:3" x14ac:dyDescent="0.3">
      <c r="A1609" s="273"/>
      <c r="C1609" s="267"/>
    </row>
    <row r="1610" spans="1:3" x14ac:dyDescent="0.3">
      <c r="A1610" s="273"/>
      <c r="C1610" s="267"/>
    </row>
    <row r="1611" spans="1:3" x14ac:dyDescent="0.3">
      <c r="A1611" s="273"/>
      <c r="C1611" s="267"/>
    </row>
    <row r="1612" spans="1:3" x14ac:dyDescent="0.3">
      <c r="A1612" s="273"/>
      <c r="C1612" s="267"/>
    </row>
    <row r="1613" spans="1:3" x14ac:dyDescent="0.3">
      <c r="A1613" s="273"/>
      <c r="C1613" s="267"/>
    </row>
    <row r="1614" spans="1:3" x14ac:dyDescent="0.3">
      <c r="A1614" s="273"/>
      <c r="C1614" s="267"/>
    </row>
    <row r="1615" spans="1:3" x14ac:dyDescent="0.3">
      <c r="A1615" s="273"/>
      <c r="C1615" s="267"/>
    </row>
    <row r="1616" spans="1:3" x14ac:dyDescent="0.3">
      <c r="A1616" s="273"/>
      <c r="C1616" s="267"/>
    </row>
    <row r="1617" spans="1:3" x14ac:dyDescent="0.3">
      <c r="A1617" s="273"/>
      <c r="C1617" s="267"/>
    </row>
    <row r="1618" spans="1:3" x14ac:dyDescent="0.3">
      <c r="A1618" s="273"/>
      <c r="C1618" s="267"/>
    </row>
    <row r="1619" spans="1:3" x14ac:dyDescent="0.3">
      <c r="A1619" s="273"/>
      <c r="C1619" s="267"/>
    </row>
    <row r="1620" spans="1:3" x14ac:dyDescent="0.3">
      <c r="A1620" s="273"/>
      <c r="C1620" s="267"/>
    </row>
    <row r="1621" spans="1:3" x14ac:dyDescent="0.3">
      <c r="A1621" s="273"/>
      <c r="C1621" s="267"/>
    </row>
    <row r="1622" spans="1:3" x14ac:dyDescent="0.3">
      <c r="A1622" s="273"/>
      <c r="C1622" s="267"/>
    </row>
    <row r="1623" spans="1:3" x14ac:dyDescent="0.3">
      <c r="A1623" s="273"/>
      <c r="C1623" s="267"/>
    </row>
    <row r="1624" spans="1:3" x14ac:dyDescent="0.3">
      <c r="A1624" s="273"/>
      <c r="C1624" s="267"/>
    </row>
    <row r="1625" spans="1:3" x14ac:dyDescent="0.3">
      <c r="A1625" s="273"/>
      <c r="C1625" s="267"/>
    </row>
    <row r="1626" spans="1:3" x14ac:dyDescent="0.3">
      <c r="A1626" s="273"/>
      <c r="C1626" s="267"/>
    </row>
    <row r="1627" spans="1:3" x14ac:dyDescent="0.3">
      <c r="A1627" s="273"/>
      <c r="C1627" s="267"/>
    </row>
    <row r="1628" spans="1:3" x14ac:dyDescent="0.3">
      <c r="A1628" s="273"/>
      <c r="C1628" s="267"/>
    </row>
    <row r="1629" spans="1:3" x14ac:dyDescent="0.3">
      <c r="A1629" s="273"/>
      <c r="C1629" s="267"/>
    </row>
    <row r="1630" spans="1:3" x14ac:dyDescent="0.3">
      <c r="A1630" s="273"/>
      <c r="C1630" s="267"/>
    </row>
    <row r="1631" spans="1:3" x14ac:dyDescent="0.3">
      <c r="A1631" s="273"/>
      <c r="C1631" s="267"/>
    </row>
    <row r="1632" spans="1:3" x14ac:dyDescent="0.3">
      <c r="A1632" s="273"/>
      <c r="C1632" s="267"/>
    </row>
    <row r="1633" spans="1:3" x14ac:dyDescent="0.3">
      <c r="A1633" s="273"/>
      <c r="C1633" s="267"/>
    </row>
    <row r="1634" spans="1:3" x14ac:dyDescent="0.3">
      <c r="A1634" s="273"/>
      <c r="C1634" s="267"/>
    </row>
    <row r="1635" spans="1:3" x14ac:dyDescent="0.3">
      <c r="A1635" s="273"/>
      <c r="C1635" s="267"/>
    </row>
    <row r="1636" spans="1:3" x14ac:dyDescent="0.3">
      <c r="A1636" s="273"/>
      <c r="C1636" s="267"/>
    </row>
    <row r="1637" spans="1:3" x14ac:dyDescent="0.3">
      <c r="A1637" s="273"/>
      <c r="C1637" s="267"/>
    </row>
    <row r="1638" spans="1:3" x14ac:dyDescent="0.3">
      <c r="A1638" s="273"/>
      <c r="C1638" s="267"/>
    </row>
    <row r="1639" spans="1:3" x14ac:dyDescent="0.3">
      <c r="A1639" s="273"/>
      <c r="C1639" s="267"/>
    </row>
    <row r="1640" spans="1:3" x14ac:dyDescent="0.3">
      <c r="A1640" s="273"/>
      <c r="C1640" s="267"/>
    </row>
    <row r="1641" spans="1:3" x14ac:dyDescent="0.3">
      <c r="A1641" s="273"/>
      <c r="C1641" s="267"/>
    </row>
    <row r="1642" spans="1:3" x14ac:dyDescent="0.3">
      <c r="A1642" s="273"/>
      <c r="C1642" s="267"/>
    </row>
    <row r="1643" spans="1:3" x14ac:dyDescent="0.3">
      <c r="A1643" s="273"/>
      <c r="C1643" s="267"/>
    </row>
    <row r="1644" spans="1:3" x14ac:dyDescent="0.3">
      <c r="A1644" s="273"/>
      <c r="C1644" s="267"/>
    </row>
    <row r="1645" spans="1:3" x14ac:dyDescent="0.3">
      <c r="A1645" s="273"/>
      <c r="C1645" s="267"/>
    </row>
    <row r="1646" spans="1:3" x14ac:dyDescent="0.3">
      <c r="A1646" s="273"/>
      <c r="C1646" s="267"/>
    </row>
    <row r="1647" spans="1:3" x14ac:dyDescent="0.3">
      <c r="A1647" s="273"/>
      <c r="C1647" s="267"/>
    </row>
    <row r="1648" spans="1:3" x14ac:dyDescent="0.3">
      <c r="A1648" s="273"/>
      <c r="C1648" s="267"/>
    </row>
    <row r="1649" spans="1:3" x14ac:dyDescent="0.3">
      <c r="A1649" s="273"/>
      <c r="C1649" s="267"/>
    </row>
    <row r="1650" spans="1:3" x14ac:dyDescent="0.3">
      <c r="A1650" s="273"/>
      <c r="C1650" s="267"/>
    </row>
    <row r="1651" spans="1:3" x14ac:dyDescent="0.3">
      <c r="A1651" s="273"/>
      <c r="C1651" s="267"/>
    </row>
    <row r="1652" spans="1:3" x14ac:dyDescent="0.3">
      <c r="A1652" s="273"/>
      <c r="C1652" s="267"/>
    </row>
    <row r="1653" spans="1:3" x14ac:dyDescent="0.3">
      <c r="A1653" s="273"/>
      <c r="C1653" s="267"/>
    </row>
    <row r="1654" spans="1:3" x14ac:dyDescent="0.3">
      <c r="A1654" s="273"/>
      <c r="C1654" s="267"/>
    </row>
    <row r="1655" spans="1:3" x14ac:dyDescent="0.3">
      <c r="A1655" s="273"/>
      <c r="C1655" s="267"/>
    </row>
    <row r="1656" spans="1:3" x14ac:dyDescent="0.3">
      <c r="A1656" s="273"/>
      <c r="C1656" s="267"/>
    </row>
    <row r="1657" spans="1:3" x14ac:dyDescent="0.3">
      <c r="A1657" s="273"/>
      <c r="C1657" s="267"/>
    </row>
    <row r="1658" spans="1:3" x14ac:dyDescent="0.3">
      <c r="A1658" s="273"/>
      <c r="C1658" s="267"/>
    </row>
    <row r="1659" spans="1:3" x14ac:dyDescent="0.3">
      <c r="A1659" s="273"/>
      <c r="C1659" s="267"/>
    </row>
    <row r="1660" spans="1:3" x14ac:dyDescent="0.3">
      <c r="A1660" s="273"/>
      <c r="C1660" s="267"/>
    </row>
    <row r="1661" spans="1:3" x14ac:dyDescent="0.3">
      <c r="A1661" s="273"/>
      <c r="C1661" s="267"/>
    </row>
    <row r="1662" spans="1:3" x14ac:dyDescent="0.3">
      <c r="A1662" s="273"/>
      <c r="C1662" s="267"/>
    </row>
    <row r="1663" spans="1:3" x14ac:dyDescent="0.3">
      <c r="A1663" s="273"/>
      <c r="C1663" s="267"/>
    </row>
    <row r="1664" spans="1:3" x14ac:dyDescent="0.3">
      <c r="A1664" s="273"/>
      <c r="C1664" s="267"/>
    </row>
    <row r="1665" spans="1:3" x14ac:dyDescent="0.3">
      <c r="A1665" s="273"/>
      <c r="C1665" s="267"/>
    </row>
    <row r="1666" spans="1:3" x14ac:dyDescent="0.3">
      <c r="A1666" s="273"/>
      <c r="C1666" s="267"/>
    </row>
    <row r="1667" spans="1:3" x14ac:dyDescent="0.3">
      <c r="A1667" s="273"/>
      <c r="C1667" s="267"/>
    </row>
    <row r="1668" spans="1:3" x14ac:dyDescent="0.3">
      <c r="A1668" s="273"/>
      <c r="C1668" s="267"/>
    </row>
    <row r="1669" spans="1:3" x14ac:dyDescent="0.3">
      <c r="A1669" s="273"/>
      <c r="C1669" s="267"/>
    </row>
    <row r="1670" spans="1:3" x14ac:dyDescent="0.3">
      <c r="A1670" s="273"/>
      <c r="C1670" s="267"/>
    </row>
    <row r="1671" spans="1:3" x14ac:dyDescent="0.3">
      <c r="A1671" s="273"/>
      <c r="C1671" s="267"/>
    </row>
    <row r="1672" spans="1:3" x14ac:dyDescent="0.3">
      <c r="A1672" s="273"/>
      <c r="C1672" s="267"/>
    </row>
    <row r="1673" spans="1:3" x14ac:dyDescent="0.3">
      <c r="A1673" s="273"/>
      <c r="C1673" s="267"/>
    </row>
    <row r="1674" spans="1:3" x14ac:dyDescent="0.3">
      <c r="A1674" s="273"/>
      <c r="C1674" s="267"/>
    </row>
    <row r="1675" spans="1:3" x14ac:dyDescent="0.3">
      <c r="A1675" s="273"/>
      <c r="C1675" s="267"/>
    </row>
    <row r="1676" spans="1:3" x14ac:dyDescent="0.3">
      <c r="A1676" s="273"/>
      <c r="C1676" s="267"/>
    </row>
    <row r="1677" spans="1:3" x14ac:dyDescent="0.3">
      <c r="A1677" s="273"/>
      <c r="C1677" s="267"/>
    </row>
    <row r="1678" spans="1:3" x14ac:dyDescent="0.3">
      <c r="A1678" s="273"/>
      <c r="C1678" s="267"/>
    </row>
    <row r="1679" spans="1:3" x14ac:dyDescent="0.3">
      <c r="A1679" s="273"/>
      <c r="C1679" s="267"/>
    </row>
    <row r="1680" spans="1:3" x14ac:dyDescent="0.3">
      <c r="A1680" s="273"/>
      <c r="C1680" s="267"/>
    </row>
    <row r="1681" spans="1:3" x14ac:dyDescent="0.3">
      <c r="A1681" s="273"/>
      <c r="C1681" s="267"/>
    </row>
    <row r="1682" spans="1:3" x14ac:dyDescent="0.3">
      <c r="A1682" s="273"/>
      <c r="C1682" s="267"/>
    </row>
    <row r="1683" spans="1:3" x14ac:dyDescent="0.3">
      <c r="A1683" s="273"/>
      <c r="C1683" s="267"/>
    </row>
    <row r="1684" spans="1:3" x14ac:dyDescent="0.3">
      <c r="A1684" s="273"/>
      <c r="C1684" s="267"/>
    </row>
    <row r="1685" spans="1:3" x14ac:dyDescent="0.3">
      <c r="A1685" s="273"/>
      <c r="C1685" s="267"/>
    </row>
    <row r="1686" spans="1:3" x14ac:dyDescent="0.3">
      <c r="A1686" s="273"/>
      <c r="C1686" s="267"/>
    </row>
    <row r="1687" spans="1:3" x14ac:dyDescent="0.3">
      <c r="A1687" s="273"/>
      <c r="C1687" s="267"/>
    </row>
    <row r="1688" spans="1:3" x14ac:dyDescent="0.3">
      <c r="A1688" s="273"/>
      <c r="C1688" s="267"/>
    </row>
    <row r="1689" spans="1:3" x14ac:dyDescent="0.3">
      <c r="A1689" s="273"/>
      <c r="C1689" s="267"/>
    </row>
    <row r="1690" spans="1:3" x14ac:dyDescent="0.3">
      <c r="A1690" s="273"/>
      <c r="C1690" s="267"/>
    </row>
    <row r="1691" spans="1:3" x14ac:dyDescent="0.3">
      <c r="A1691" s="273"/>
      <c r="C1691" s="267"/>
    </row>
    <row r="1692" spans="1:3" x14ac:dyDescent="0.3">
      <c r="A1692" s="273"/>
      <c r="C1692" s="267"/>
    </row>
    <row r="1693" spans="1:3" x14ac:dyDescent="0.3">
      <c r="A1693" s="273"/>
      <c r="C1693" s="267"/>
    </row>
    <row r="1694" spans="1:3" x14ac:dyDescent="0.3">
      <c r="A1694" s="273"/>
      <c r="C1694" s="267"/>
    </row>
    <row r="1695" spans="1:3" x14ac:dyDescent="0.3">
      <c r="A1695" s="273"/>
      <c r="C1695" s="267"/>
    </row>
    <row r="1696" spans="1:3" x14ac:dyDescent="0.3">
      <c r="A1696" s="273"/>
      <c r="C1696" s="267"/>
    </row>
    <row r="1697" spans="1:3" x14ac:dyDescent="0.3">
      <c r="A1697" s="273"/>
      <c r="C1697" s="267"/>
    </row>
    <row r="1698" spans="1:3" x14ac:dyDescent="0.3">
      <c r="A1698" s="273"/>
      <c r="C1698" s="267"/>
    </row>
    <row r="1699" spans="1:3" x14ac:dyDescent="0.3">
      <c r="A1699" s="273"/>
      <c r="C1699" s="267"/>
    </row>
    <row r="1700" spans="1:3" x14ac:dyDescent="0.3">
      <c r="A1700" s="273"/>
      <c r="C1700" s="267"/>
    </row>
    <row r="1701" spans="1:3" x14ac:dyDescent="0.3">
      <c r="A1701" s="273"/>
      <c r="C1701" s="267"/>
    </row>
    <row r="1702" spans="1:3" x14ac:dyDescent="0.3">
      <c r="A1702" s="273"/>
      <c r="C1702" s="267"/>
    </row>
    <row r="1703" spans="1:3" x14ac:dyDescent="0.3">
      <c r="A1703" s="273"/>
      <c r="C1703" s="267"/>
    </row>
    <row r="1704" spans="1:3" x14ac:dyDescent="0.3">
      <c r="A1704" s="273"/>
      <c r="C1704" s="267"/>
    </row>
    <row r="1705" spans="1:3" x14ac:dyDescent="0.3">
      <c r="A1705" s="273"/>
      <c r="C1705" s="267"/>
    </row>
    <row r="1706" spans="1:3" x14ac:dyDescent="0.3">
      <c r="A1706" s="273"/>
      <c r="C1706" s="267"/>
    </row>
    <row r="1707" spans="1:3" x14ac:dyDescent="0.3">
      <c r="A1707" s="273"/>
      <c r="C1707" s="267"/>
    </row>
    <row r="1708" spans="1:3" x14ac:dyDescent="0.3">
      <c r="A1708" s="273"/>
      <c r="C1708" s="267"/>
    </row>
    <row r="1709" spans="1:3" x14ac:dyDescent="0.3">
      <c r="A1709" s="273"/>
      <c r="C1709" s="267"/>
    </row>
    <row r="1710" spans="1:3" x14ac:dyDescent="0.3">
      <c r="A1710" s="273"/>
      <c r="C1710" s="267"/>
    </row>
    <row r="1711" spans="1:3" x14ac:dyDescent="0.3">
      <c r="A1711" s="273"/>
      <c r="C1711" s="267"/>
    </row>
    <row r="1712" spans="1:3" x14ac:dyDescent="0.3">
      <c r="A1712" s="273"/>
      <c r="C1712" s="267"/>
    </row>
    <row r="1713" spans="1:3" x14ac:dyDescent="0.3">
      <c r="A1713" s="273"/>
      <c r="C1713" s="267"/>
    </row>
    <row r="1714" spans="1:3" x14ac:dyDescent="0.3">
      <c r="A1714" s="273"/>
      <c r="C1714" s="267"/>
    </row>
    <row r="1715" spans="1:3" x14ac:dyDescent="0.3">
      <c r="A1715" s="273"/>
      <c r="C1715" s="267"/>
    </row>
    <row r="1716" spans="1:3" x14ac:dyDescent="0.3">
      <c r="A1716" s="273"/>
      <c r="C1716" s="267"/>
    </row>
    <row r="1717" spans="1:3" x14ac:dyDescent="0.3">
      <c r="A1717" s="273"/>
      <c r="C1717" s="267"/>
    </row>
    <row r="1718" spans="1:3" x14ac:dyDescent="0.3">
      <c r="A1718" s="273"/>
      <c r="C1718" s="267"/>
    </row>
    <row r="1719" spans="1:3" x14ac:dyDescent="0.3">
      <c r="A1719" s="273"/>
      <c r="C1719" s="267"/>
    </row>
    <row r="1720" spans="1:3" x14ac:dyDescent="0.3">
      <c r="A1720" s="273"/>
      <c r="C1720" s="267"/>
    </row>
    <row r="1721" spans="1:3" x14ac:dyDescent="0.3">
      <c r="A1721" s="273"/>
      <c r="C1721" s="267"/>
    </row>
    <row r="1722" spans="1:3" x14ac:dyDescent="0.3">
      <c r="A1722" s="273"/>
      <c r="C1722" s="267"/>
    </row>
    <row r="1723" spans="1:3" x14ac:dyDescent="0.3">
      <c r="A1723" s="273"/>
      <c r="C1723" s="267"/>
    </row>
    <row r="1724" spans="1:3" x14ac:dyDescent="0.3">
      <c r="A1724" s="273"/>
      <c r="C1724" s="267"/>
    </row>
    <row r="1725" spans="1:3" x14ac:dyDescent="0.3">
      <c r="A1725" s="273"/>
      <c r="C1725" s="267"/>
    </row>
    <row r="1726" spans="1:3" x14ac:dyDescent="0.3">
      <c r="A1726" s="273"/>
      <c r="C1726" s="267"/>
    </row>
    <row r="1727" spans="1:3" x14ac:dyDescent="0.3">
      <c r="A1727" s="273"/>
      <c r="C1727" s="267"/>
    </row>
    <row r="1728" spans="1:3" x14ac:dyDescent="0.3">
      <c r="A1728" s="273"/>
      <c r="C1728" s="267"/>
    </row>
    <row r="1729" spans="1:3" x14ac:dyDescent="0.3">
      <c r="A1729" s="273"/>
      <c r="C1729" s="267"/>
    </row>
    <row r="1730" spans="1:3" x14ac:dyDescent="0.3">
      <c r="A1730" s="273"/>
      <c r="C1730" s="267"/>
    </row>
    <row r="1731" spans="1:3" x14ac:dyDescent="0.3">
      <c r="A1731" s="273"/>
      <c r="C1731" s="267"/>
    </row>
    <row r="1732" spans="1:3" x14ac:dyDescent="0.3">
      <c r="A1732" s="273"/>
      <c r="C1732" s="267"/>
    </row>
    <row r="1733" spans="1:3" x14ac:dyDescent="0.3">
      <c r="A1733" s="273"/>
      <c r="C1733" s="267"/>
    </row>
    <row r="1734" spans="1:3" x14ac:dyDescent="0.3">
      <c r="A1734" s="273"/>
      <c r="C1734" s="267"/>
    </row>
    <row r="1735" spans="1:3" x14ac:dyDescent="0.3">
      <c r="A1735" s="273"/>
      <c r="C1735" s="267"/>
    </row>
    <row r="1736" spans="1:3" x14ac:dyDescent="0.3">
      <c r="A1736" s="273"/>
      <c r="C1736" s="267"/>
    </row>
    <row r="1737" spans="1:3" x14ac:dyDescent="0.3">
      <c r="A1737" s="273"/>
      <c r="C1737" s="267"/>
    </row>
    <row r="1738" spans="1:3" x14ac:dyDescent="0.3">
      <c r="A1738" s="273"/>
      <c r="C1738" s="267"/>
    </row>
    <row r="1739" spans="1:3" x14ac:dyDescent="0.3">
      <c r="A1739" s="273"/>
      <c r="C1739" s="267"/>
    </row>
    <row r="1740" spans="1:3" x14ac:dyDescent="0.3">
      <c r="A1740" s="273"/>
      <c r="C1740" s="267"/>
    </row>
    <row r="1741" spans="1:3" x14ac:dyDescent="0.3">
      <c r="A1741" s="273"/>
      <c r="C1741" s="267"/>
    </row>
    <row r="1742" spans="1:3" x14ac:dyDescent="0.3">
      <c r="A1742" s="273"/>
      <c r="C1742" s="267"/>
    </row>
    <row r="1743" spans="1:3" x14ac:dyDescent="0.3">
      <c r="A1743" s="273"/>
      <c r="C1743" s="267"/>
    </row>
    <row r="1744" spans="1:3" x14ac:dyDescent="0.3">
      <c r="A1744" s="273"/>
      <c r="C1744" s="267"/>
    </row>
    <row r="1745" spans="1:3" x14ac:dyDescent="0.3">
      <c r="A1745" s="273"/>
      <c r="C1745" s="267"/>
    </row>
    <row r="1746" spans="1:3" x14ac:dyDescent="0.3">
      <c r="A1746" s="273"/>
      <c r="C1746" s="267"/>
    </row>
    <row r="1747" spans="1:3" x14ac:dyDescent="0.3">
      <c r="A1747" s="273"/>
      <c r="C1747" s="267"/>
    </row>
    <row r="1748" spans="1:3" x14ac:dyDescent="0.3">
      <c r="A1748" s="273"/>
      <c r="C1748" s="267"/>
    </row>
    <row r="1749" spans="1:3" x14ac:dyDescent="0.3">
      <c r="A1749" s="273"/>
      <c r="C1749" s="267"/>
    </row>
    <row r="1750" spans="1:3" x14ac:dyDescent="0.3">
      <c r="A1750" s="273"/>
      <c r="C1750" s="267"/>
    </row>
    <row r="1751" spans="1:3" x14ac:dyDescent="0.3">
      <c r="A1751" s="273"/>
      <c r="C1751" s="267"/>
    </row>
    <row r="1752" spans="1:3" x14ac:dyDescent="0.3">
      <c r="A1752" s="273"/>
      <c r="C1752" s="267"/>
    </row>
    <row r="1753" spans="1:3" x14ac:dyDescent="0.3">
      <c r="A1753" s="273"/>
      <c r="C1753" s="267"/>
    </row>
    <row r="1754" spans="1:3" x14ac:dyDescent="0.3">
      <c r="A1754" s="273"/>
      <c r="C1754" s="267"/>
    </row>
    <row r="1755" spans="1:3" x14ac:dyDescent="0.3">
      <c r="A1755" s="273"/>
      <c r="C1755" s="267"/>
    </row>
    <row r="1756" spans="1:3" x14ac:dyDescent="0.3">
      <c r="A1756" s="273"/>
      <c r="C1756" s="267"/>
    </row>
    <row r="1757" spans="1:3" x14ac:dyDescent="0.3">
      <c r="A1757" s="273"/>
      <c r="C1757" s="267"/>
    </row>
    <row r="1758" spans="1:3" x14ac:dyDescent="0.3">
      <c r="A1758" s="273"/>
      <c r="C1758" s="267"/>
    </row>
    <row r="1759" spans="1:3" x14ac:dyDescent="0.3">
      <c r="A1759" s="273"/>
      <c r="C1759" s="267"/>
    </row>
    <row r="1760" spans="1:3" x14ac:dyDescent="0.3">
      <c r="A1760" s="273"/>
      <c r="C1760" s="267"/>
    </row>
    <row r="1761" spans="1:3" x14ac:dyDescent="0.3">
      <c r="A1761" s="273"/>
      <c r="C1761" s="267"/>
    </row>
    <row r="1762" spans="1:3" x14ac:dyDescent="0.3">
      <c r="A1762" s="273"/>
      <c r="C1762" s="267"/>
    </row>
    <row r="1763" spans="1:3" x14ac:dyDescent="0.3">
      <c r="A1763" s="273"/>
      <c r="C1763" s="267"/>
    </row>
    <row r="1764" spans="1:3" x14ac:dyDescent="0.3">
      <c r="A1764" s="273"/>
      <c r="C1764" s="267"/>
    </row>
    <row r="1765" spans="1:3" x14ac:dyDescent="0.3">
      <c r="A1765" s="273"/>
      <c r="C1765" s="267"/>
    </row>
    <row r="1766" spans="1:3" x14ac:dyDescent="0.3">
      <c r="A1766" s="273"/>
      <c r="C1766" s="267"/>
    </row>
    <row r="1767" spans="1:3" x14ac:dyDescent="0.3">
      <c r="A1767" s="273"/>
      <c r="C1767" s="267"/>
    </row>
    <row r="1768" spans="1:3" x14ac:dyDescent="0.3">
      <c r="A1768" s="273"/>
      <c r="C1768" s="267"/>
    </row>
    <row r="1769" spans="1:3" x14ac:dyDescent="0.3">
      <c r="A1769" s="273"/>
      <c r="C1769" s="267"/>
    </row>
    <row r="1770" spans="1:3" x14ac:dyDescent="0.3">
      <c r="A1770" s="273"/>
      <c r="C1770" s="267"/>
    </row>
    <row r="1771" spans="1:3" x14ac:dyDescent="0.3">
      <c r="A1771" s="273"/>
      <c r="C1771" s="267"/>
    </row>
    <row r="1772" spans="1:3" x14ac:dyDescent="0.3">
      <c r="A1772" s="273"/>
      <c r="C1772" s="267"/>
    </row>
    <row r="1773" spans="1:3" x14ac:dyDescent="0.3">
      <c r="A1773" s="273"/>
      <c r="C1773" s="267"/>
    </row>
    <row r="1774" spans="1:3" x14ac:dyDescent="0.3">
      <c r="A1774" s="273"/>
      <c r="C1774" s="267"/>
    </row>
    <row r="1775" spans="1:3" x14ac:dyDescent="0.3">
      <c r="A1775" s="273"/>
      <c r="C1775" s="267"/>
    </row>
    <row r="1776" spans="1:3" x14ac:dyDescent="0.3">
      <c r="A1776" s="273"/>
      <c r="C1776" s="267"/>
    </row>
    <row r="1777" spans="1:3" x14ac:dyDescent="0.3">
      <c r="A1777" s="273"/>
      <c r="C1777" s="267"/>
    </row>
    <row r="1778" spans="1:3" x14ac:dyDescent="0.3">
      <c r="A1778" s="273"/>
      <c r="C1778" s="267"/>
    </row>
    <row r="1779" spans="1:3" x14ac:dyDescent="0.3">
      <c r="A1779" s="273"/>
      <c r="C1779" s="267"/>
    </row>
    <row r="1780" spans="1:3" x14ac:dyDescent="0.3">
      <c r="A1780" s="273"/>
      <c r="C1780" s="267"/>
    </row>
    <row r="1781" spans="1:3" x14ac:dyDescent="0.3">
      <c r="A1781" s="273"/>
      <c r="C1781" s="267"/>
    </row>
    <row r="1782" spans="1:3" x14ac:dyDescent="0.3">
      <c r="A1782" s="273"/>
      <c r="C1782" s="267"/>
    </row>
    <row r="1783" spans="1:3" x14ac:dyDescent="0.3">
      <c r="A1783" s="273"/>
      <c r="C1783" s="267"/>
    </row>
    <row r="1784" spans="1:3" x14ac:dyDescent="0.3">
      <c r="A1784" s="273"/>
      <c r="C1784" s="267"/>
    </row>
    <row r="1785" spans="1:3" x14ac:dyDescent="0.3">
      <c r="A1785" s="273"/>
      <c r="C1785" s="267"/>
    </row>
    <row r="1786" spans="1:3" x14ac:dyDescent="0.3">
      <c r="A1786" s="273"/>
      <c r="C1786" s="267"/>
    </row>
    <row r="1787" spans="1:3" x14ac:dyDescent="0.3">
      <c r="A1787" s="273"/>
      <c r="C1787" s="267"/>
    </row>
    <row r="1788" spans="1:3" x14ac:dyDescent="0.3">
      <c r="A1788" s="273"/>
      <c r="C1788" s="267"/>
    </row>
    <row r="1789" spans="1:3" x14ac:dyDescent="0.3">
      <c r="A1789" s="273"/>
      <c r="C1789" s="267"/>
    </row>
    <row r="1790" spans="1:3" x14ac:dyDescent="0.3">
      <c r="A1790" s="273"/>
      <c r="C1790" s="267"/>
    </row>
    <row r="1791" spans="1:3" x14ac:dyDescent="0.3">
      <c r="A1791" s="273"/>
      <c r="C1791" s="267"/>
    </row>
    <row r="1792" spans="1:3" x14ac:dyDescent="0.3">
      <c r="A1792" s="273"/>
      <c r="C1792" s="267"/>
    </row>
    <row r="1793" spans="1:3" x14ac:dyDescent="0.3">
      <c r="A1793" s="273"/>
      <c r="C1793" s="267"/>
    </row>
    <row r="1794" spans="1:3" x14ac:dyDescent="0.3">
      <c r="A1794" s="273"/>
      <c r="C1794" s="267"/>
    </row>
    <row r="1795" spans="1:3" x14ac:dyDescent="0.3">
      <c r="A1795" s="273"/>
      <c r="C1795" s="267"/>
    </row>
    <row r="1796" spans="1:3" x14ac:dyDescent="0.3">
      <c r="A1796" s="273"/>
      <c r="C1796" s="267"/>
    </row>
    <row r="1797" spans="1:3" x14ac:dyDescent="0.3">
      <c r="A1797" s="273"/>
      <c r="C1797" s="267"/>
    </row>
    <row r="1798" spans="1:3" x14ac:dyDescent="0.3">
      <c r="A1798" s="273"/>
      <c r="C1798" s="267"/>
    </row>
    <row r="1799" spans="1:3" x14ac:dyDescent="0.3">
      <c r="A1799" s="273"/>
      <c r="C1799" s="267"/>
    </row>
    <row r="1800" spans="1:3" x14ac:dyDescent="0.3">
      <c r="A1800" s="273"/>
      <c r="C1800" s="267"/>
    </row>
    <row r="1801" spans="1:3" x14ac:dyDescent="0.3">
      <c r="A1801" s="273"/>
      <c r="C1801" s="267"/>
    </row>
    <row r="1802" spans="1:3" x14ac:dyDescent="0.3">
      <c r="A1802" s="273"/>
      <c r="C1802" s="267"/>
    </row>
    <row r="1803" spans="1:3" x14ac:dyDescent="0.3">
      <c r="A1803" s="273"/>
      <c r="C1803" s="267"/>
    </row>
    <row r="1804" spans="1:3" x14ac:dyDescent="0.3">
      <c r="A1804" s="273"/>
      <c r="C1804" s="267"/>
    </row>
    <row r="1805" spans="1:3" x14ac:dyDescent="0.3">
      <c r="A1805" s="273"/>
      <c r="C1805" s="267"/>
    </row>
    <row r="1806" spans="1:3" x14ac:dyDescent="0.3">
      <c r="A1806" s="273"/>
      <c r="C1806" s="267"/>
    </row>
    <row r="1807" spans="1:3" x14ac:dyDescent="0.3">
      <c r="A1807" s="273"/>
      <c r="C1807" s="267"/>
    </row>
    <row r="1808" spans="1:3" x14ac:dyDescent="0.3">
      <c r="A1808" s="273"/>
      <c r="C1808" s="267"/>
    </row>
    <row r="1809" spans="1:3" x14ac:dyDescent="0.3">
      <c r="A1809" s="273"/>
      <c r="C1809" s="267"/>
    </row>
    <row r="1810" spans="1:3" x14ac:dyDescent="0.3">
      <c r="A1810" s="273"/>
      <c r="C1810" s="267"/>
    </row>
    <row r="1811" spans="1:3" x14ac:dyDescent="0.3">
      <c r="A1811" s="273"/>
      <c r="C1811" s="267"/>
    </row>
    <row r="1812" spans="1:3" x14ac:dyDescent="0.3">
      <c r="A1812" s="273"/>
      <c r="C1812" s="267"/>
    </row>
    <row r="1813" spans="1:3" x14ac:dyDescent="0.3">
      <c r="A1813" s="273"/>
      <c r="C1813" s="267"/>
    </row>
    <row r="1814" spans="1:3" x14ac:dyDescent="0.3">
      <c r="A1814" s="273"/>
      <c r="C1814" s="267"/>
    </row>
    <row r="1815" spans="1:3" x14ac:dyDescent="0.3">
      <c r="A1815" s="273"/>
      <c r="C1815" s="267"/>
    </row>
    <row r="1816" spans="1:3" x14ac:dyDescent="0.3">
      <c r="A1816" s="273"/>
      <c r="C1816" s="267"/>
    </row>
    <row r="1817" spans="1:3" x14ac:dyDescent="0.3">
      <c r="A1817" s="273"/>
      <c r="C1817" s="267"/>
    </row>
    <row r="1818" spans="1:3" x14ac:dyDescent="0.3">
      <c r="A1818" s="273"/>
      <c r="C1818" s="267"/>
    </row>
    <row r="1819" spans="1:3" x14ac:dyDescent="0.3">
      <c r="A1819" s="273"/>
      <c r="C1819" s="267"/>
    </row>
    <row r="1820" spans="1:3" x14ac:dyDescent="0.3">
      <c r="A1820" s="273"/>
      <c r="C1820" s="267"/>
    </row>
    <row r="1821" spans="1:3" x14ac:dyDescent="0.3">
      <c r="A1821" s="273"/>
      <c r="C1821" s="267"/>
    </row>
    <row r="1822" spans="1:3" x14ac:dyDescent="0.3">
      <c r="A1822" s="273"/>
      <c r="C1822" s="267"/>
    </row>
    <row r="1823" spans="1:3" x14ac:dyDescent="0.3">
      <c r="A1823" s="273"/>
      <c r="C1823" s="267"/>
    </row>
    <row r="1824" spans="1:3" x14ac:dyDescent="0.3">
      <c r="A1824" s="273"/>
      <c r="C1824" s="267"/>
    </row>
    <row r="1825" spans="1:3" x14ac:dyDescent="0.3">
      <c r="A1825" s="273"/>
      <c r="C1825" s="267"/>
    </row>
    <row r="1826" spans="1:3" x14ac:dyDescent="0.3">
      <c r="A1826" s="273"/>
      <c r="C1826" s="267"/>
    </row>
    <row r="1827" spans="1:3" x14ac:dyDescent="0.3">
      <c r="A1827" s="273"/>
      <c r="C1827" s="267"/>
    </row>
    <row r="1828" spans="1:3" x14ac:dyDescent="0.3">
      <c r="A1828" s="273"/>
      <c r="C1828" s="267"/>
    </row>
    <row r="1829" spans="1:3" x14ac:dyDescent="0.3">
      <c r="A1829" s="273"/>
      <c r="C1829" s="267"/>
    </row>
    <row r="1830" spans="1:3" x14ac:dyDescent="0.3">
      <c r="A1830" s="273"/>
      <c r="C1830" s="267"/>
    </row>
    <row r="1831" spans="1:3" x14ac:dyDescent="0.3">
      <c r="A1831" s="273"/>
      <c r="C1831" s="267"/>
    </row>
    <row r="1832" spans="1:3" x14ac:dyDescent="0.3">
      <c r="A1832" s="273"/>
      <c r="C1832" s="267"/>
    </row>
    <row r="1833" spans="1:3" x14ac:dyDescent="0.3">
      <c r="A1833" s="273"/>
      <c r="C1833" s="267"/>
    </row>
    <row r="1834" spans="1:3" x14ac:dyDescent="0.3">
      <c r="A1834" s="273"/>
      <c r="C1834" s="267"/>
    </row>
    <row r="1835" spans="1:3" x14ac:dyDescent="0.3">
      <c r="A1835" s="273"/>
      <c r="C1835" s="267"/>
    </row>
    <row r="1836" spans="1:3" x14ac:dyDescent="0.3">
      <c r="A1836" s="273"/>
      <c r="C1836" s="267"/>
    </row>
    <row r="1837" spans="1:3" x14ac:dyDescent="0.3">
      <c r="A1837" s="273"/>
      <c r="C1837" s="267"/>
    </row>
    <row r="1838" spans="1:3" x14ac:dyDescent="0.3">
      <c r="A1838" s="273"/>
      <c r="C1838" s="267"/>
    </row>
    <row r="1839" spans="1:3" x14ac:dyDescent="0.3">
      <c r="A1839" s="273"/>
      <c r="C1839" s="267"/>
    </row>
    <row r="1840" spans="1:3" x14ac:dyDescent="0.3">
      <c r="A1840" s="273"/>
      <c r="C1840" s="267"/>
    </row>
    <row r="1841" spans="1:3" x14ac:dyDescent="0.3">
      <c r="A1841" s="273"/>
      <c r="C1841" s="267"/>
    </row>
    <row r="1842" spans="1:3" x14ac:dyDescent="0.3">
      <c r="A1842" s="273"/>
      <c r="C1842" s="267"/>
    </row>
    <row r="1843" spans="1:3" x14ac:dyDescent="0.3">
      <c r="A1843" s="273"/>
      <c r="C1843" s="267"/>
    </row>
    <row r="1844" spans="1:3" x14ac:dyDescent="0.3">
      <c r="A1844" s="273"/>
      <c r="C1844" s="267"/>
    </row>
    <row r="1845" spans="1:3" x14ac:dyDescent="0.3">
      <c r="A1845" s="273"/>
      <c r="C1845" s="267"/>
    </row>
    <row r="1846" spans="1:3" x14ac:dyDescent="0.3">
      <c r="A1846" s="273"/>
      <c r="C1846" s="267"/>
    </row>
    <row r="1847" spans="1:3" x14ac:dyDescent="0.3">
      <c r="A1847" s="273"/>
      <c r="C1847" s="267"/>
    </row>
    <row r="1848" spans="1:3" x14ac:dyDescent="0.3">
      <c r="A1848" s="273"/>
      <c r="C1848" s="267"/>
    </row>
    <row r="1849" spans="1:3" x14ac:dyDescent="0.3">
      <c r="A1849" s="273"/>
      <c r="C1849" s="267"/>
    </row>
    <row r="1850" spans="1:3" x14ac:dyDescent="0.3">
      <c r="A1850" s="273"/>
      <c r="C1850" s="267"/>
    </row>
    <row r="1851" spans="1:3" x14ac:dyDescent="0.3">
      <c r="A1851" s="273"/>
      <c r="C1851" s="267"/>
    </row>
    <row r="1852" spans="1:3" x14ac:dyDescent="0.3">
      <c r="A1852" s="273"/>
      <c r="C1852" s="267"/>
    </row>
    <row r="1853" spans="1:3" x14ac:dyDescent="0.3">
      <c r="A1853" s="273"/>
      <c r="C1853" s="267"/>
    </row>
    <row r="1854" spans="1:3" x14ac:dyDescent="0.3">
      <c r="A1854" s="273"/>
      <c r="C1854" s="267"/>
    </row>
    <row r="1855" spans="1:3" x14ac:dyDescent="0.3">
      <c r="A1855" s="273"/>
      <c r="C1855" s="267"/>
    </row>
    <row r="1856" spans="1:3" x14ac:dyDescent="0.3">
      <c r="A1856" s="273"/>
      <c r="C1856" s="267"/>
    </row>
    <row r="1857" spans="1:3" x14ac:dyDescent="0.3">
      <c r="A1857" s="273"/>
      <c r="C1857" s="267"/>
    </row>
    <row r="1858" spans="1:3" x14ac:dyDescent="0.3">
      <c r="A1858" s="273"/>
      <c r="C1858" s="267"/>
    </row>
    <row r="1859" spans="1:3" x14ac:dyDescent="0.3">
      <c r="A1859" s="273"/>
      <c r="C1859" s="267"/>
    </row>
    <row r="1860" spans="1:3" x14ac:dyDescent="0.3">
      <c r="A1860" s="273"/>
      <c r="C1860" s="267"/>
    </row>
    <row r="1861" spans="1:3" x14ac:dyDescent="0.3">
      <c r="A1861" s="273"/>
      <c r="C1861" s="267"/>
    </row>
    <row r="1862" spans="1:3" x14ac:dyDescent="0.3">
      <c r="A1862" s="273"/>
      <c r="C1862" s="267"/>
    </row>
    <row r="1863" spans="1:3" x14ac:dyDescent="0.3">
      <c r="A1863" s="273"/>
      <c r="C1863" s="267"/>
    </row>
    <row r="1864" spans="1:3" x14ac:dyDescent="0.3">
      <c r="A1864" s="273"/>
      <c r="C1864" s="267"/>
    </row>
    <row r="1865" spans="1:3" x14ac:dyDescent="0.3">
      <c r="A1865" s="273"/>
      <c r="C1865" s="267"/>
    </row>
    <row r="1866" spans="1:3" x14ac:dyDescent="0.3">
      <c r="A1866" s="273"/>
      <c r="C1866" s="267"/>
    </row>
    <row r="1867" spans="1:3" x14ac:dyDescent="0.3">
      <c r="A1867" s="273"/>
      <c r="C1867" s="267"/>
    </row>
    <row r="1868" spans="1:3" x14ac:dyDescent="0.3">
      <c r="A1868" s="273"/>
      <c r="C1868" s="267"/>
    </row>
    <row r="1869" spans="1:3" x14ac:dyDescent="0.3">
      <c r="A1869" s="273"/>
      <c r="C1869" s="267"/>
    </row>
    <row r="1870" spans="1:3" x14ac:dyDescent="0.3">
      <c r="A1870" s="273"/>
      <c r="C1870" s="267"/>
    </row>
    <row r="1871" spans="1:3" x14ac:dyDescent="0.3">
      <c r="A1871" s="273"/>
      <c r="C1871" s="267"/>
    </row>
    <row r="1872" spans="1:3" x14ac:dyDescent="0.3">
      <c r="A1872" s="273"/>
      <c r="C1872" s="267"/>
    </row>
    <row r="1873" spans="1:3" x14ac:dyDescent="0.3">
      <c r="A1873" s="273"/>
      <c r="C1873" s="267"/>
    </row>
    <row r="1874" spans="1:3" x14ac:dyDescent="0.3">
      <c r="A1874" s="273"/>
      <c r="C1874" s="267"/>
    </row>
    <row r="1875" spans="1:3" x14ac:dyDescent="0.3">
      <c r="A1875" s="273"/>
      <c r="C1875" s="267"/>
    </row>
    <row r="1876" spans="1:3" x14ac:dyDescent="0.3">
      <c r="A1876" s="273"/>
      <c r="C1876" s="267"/>
    </row>
    <row r="1877" spans="1:3" x14ac:dyDescent="0.3">
      <c r="A1877" s="273"/>
      <c r="C1877" s="267"/>
    </row>
    <row r="1878" spans="1:3" x14ac:dyDescent="0.3">
      <c r="A1878" s="273"/>
      <c r="C1878" s="267"/>
    </row>
    <row r="1879" spans="1:3" x14ac:dyDescent="0.3">
      <c r="A1879" s="273"/>
      <c r="C1879" s="267"/>
    </row>
    <row r="1880" spans="1:3" x14ac:dyDescent="0.3">
      <c r="A1880" s="273"/>
      <c r="C1880" s="267"/>
    </row>
    <row r="1881" spans="1:3" x14ac:dyDescent="0.3">
      <c r="A1881" s="273"/>
      <c r="C1881" s="267"/>
    </row>
    <row r="1882" spans="1:3" x14ac:dyDescent="0.3">
      <c r="A1882" s="273"/>
      <c r="C1882" s="267"/>
    </row>
    <row r="1883" spans="1:3" x14ac:dyDescent="0.3">
      <c r="A1883" s="273"/>
      <c r="C1883" s="267"/>
    </row>
    <row r="1884" spans="1:3" x14ac:dyDescent="0.3">
      <c r="A1884" s="273"/>
      <c r="C1884" s="267"/>
    </row>
    <row r="1885" spans="1:3" x14ac:dyDescent="0.3">
      <c r="A1885" s="273"/>
      <c r="C1885" s="267"/>
    </row>
    <row r="1886" spans="1:3" x14ac:dyDescent="0.3">
      <c r="A1886" s="273"/>
      <c r="C1886" s="267"/>
    </row>
    <row r="1887" spans="1:3" x14ac:dyDescent="0.3">
      <c r="A1887" s="273"/>
      <c r="C1887" s="267"/>
    </row>
    <row r="1888" spans="1:3" x14ac:dyDescent="0.3">
      <c r="A1888" s="273"/>
      <c r="C1888" s="267"/>
    </row>
    <row r="1889" spans="1:3" x14ac:dyDescent="0.3">
      <c r="A1889" s="273"/>
      <c r="C1889" s="267"/>
    </row>
    <row r="1890" spans="1:3" x14ac:dyDescent="0.3">
      <c r="A1890" s="273"/>
      <c r="C1890" s="267"/>
    </row>
    <row r="1891" spans="1:3" x14ac:dyDescent="0.3">
      <c r="A1891" s="273"/>
      <c r="C1891" s="267"/>
    </row>
    <row r="1892" spans="1:3" x14ac:dyDescent="0.3">
      <c r="A1892" s="273"/>
      <c r="C1892" s="267"/>
    </row>
    <row r="1893" spans="1:3" x14ac:dyDescent="0.3">
      <c r="A1893" s="273"/>
      <c r="C1893" s="267"/>
    </row>
    <row r="1894" spans="1:3" x14ac:dyDescent="0.3">
      <c r="A1894" s="273"/>
      <c r="C1894" s="267"/>
    </row>
    <row r="1895" spans="1:3" x14ac:dyDescent="0.3">
      <c r="A1895" s="273"/>
      <c r="C1895" s="267"/>
    </row>
    <row r="1896" spans="1:3" x14ac:dyDescent="0.3">
      <c r="A1896" s="273"/>
      <c r="C1896" s="267"/>
    </row>
    <row r="1897" spans="1:3" x14ac:dyDescent="0.3">
      <c r="A1897" s="273"/>
      <c r="C1897" s="267"/>
    </row>
    <row r="1898" spans="1:3" x14ac:dyDescent="0.3">
      <c r="A1898" s="273"/>
      <c r="C1898" s="267"/>
    </row>
    <row r="1899" spans="1:3" x14ac:dyDescent="0.3">
      <c r="A1899" s="273"/>
      <c r="C1899" s="267"/>
    </row>
    <row r="1900" spans="1:3" x14ac:dyDescent="0.3">
      <c r="A1900" s="273"/>
      <c r="C1900" s="267"/>
    </row>
    <row r="1901" spans="1:3" x14ac:dyDescent="0.3">
      <c r="A1901" s="273"/>
      <c r="C1901" s="267"/>
    </row>
    <row r="1902" spans="1:3" x14ac:dyDescent="0.3">
      <c r="A1902" s="273"/>
      <c r="C1902" s="267"/>
    </row>
    <row r="1903" spans="1:3" x14ac:dyDescent="0.3">
      <c r="A1903" s="273"/>
      <c r="C1903" s="267"/>
    </row>
    <row r="1904" spans="1:3" x14ac:dyDescent="0.3">
      <c r="A1904" s="273"/>
      <c r="C1904" s="267"/>
    </row>
    <row r="1905" spans="1:3" x14ac:dyDescent="0.3">
      <c r="A1905" s="273"/>
      <c r="C1905" s="267"/>
    </row>
    <row r="1906" spans="1:3" x14ac:dyDescent="0.3">
      <c r="A1906" s="273"/>
      <c r="C1906" s="267"/>
    </row>
    <row r="1907" spans="1:3" x14ac:dyDescent="0.3">
      <c r="A1907" s="273"/>
      <c r="C1907" s="267"/>
    </row>
    <row r="1908" spans="1:3" x14ac:dyDescent="0.3">
      <c r="A1908" s="273"/>
      <c r="C1908" s="267"/>
    </row>
    <row r="1909" spans="1:3" x14ac:dyDescent="0.3">
      <c r="A1909" s="273"/>
      <c r="C1909" s="267"/>
    </row>
    <row r="1910" spans="1:3" x14ac:dyDescent="0.3">
      <c r="A1910" s="273"/>
      <c r="C1910" s="267"/>
    </row>
    <row r="1911" spans="1:3" x14ac:dyDescent="0.3">
      <c r="A1911" s="273"/>
      <c r="C1911" s="267"/>
    </row>
    <row r="1912" spans="1:3" x14ac:dyDescent="0.3">
      <c r="A1912" s="273"/>
      <c r="C1912" s="267"/>
    </row>
    <row r="1913" spans="1:3" x14ac:dyDescent="0.3">
      <c r="A1913" s="273"/>
      <c r="C1913" s="267"/>
    </row>
    <row r="1914" spans="1:3" x14ac:dyDescent="0.3">
      <c r="A1914" s="273"/>
      <c r="C1914" s="267"/>
    </row>
    <row r="1915" spans="1:3" x14ac:dyDescent="0.3">
      <c r="A1915" s="273"/>
      <c r="C1915" s="267"/>
    </row>
    <row r="1916" spans="1:3" x14ac:dyDescent="0.3">
      <c r="A1916" s="273"/>
      <c r="C1916" s="267"/>
    </row>
    <row r="1917" spans="1:3" x14ac:dyDescent="0.3">
      <c r="A1917" s="273"/>
      <c r="C1917" s="267"/>
    </row>
    <row r="1918" spans="1:3" x14ac:dyDescent="0.3">
      <c r="A1918" s="273"/>
      <c r="C1918" s="267"/>
    </row>
    <row r="1919" spans="1:3" x14ac:dyDescent="0.3">
      <c r="A1919" s="273"/>
      <c r="C1919" s="267"/>
    </row>
    <row r="1920" spans="1:3" x14ac:dyDescent="0.3">
      <c r="A1920" s="273"/>
      <c r="C1920" s="267"/>
    </row>
    <row r="1921" spans="1:3" x14ac:dyDescent="0.3">
      <c r="A1921" s="273"/>
      <c r="C1921" s="267"/>
    </row>
    <row r="1922" spans="1:3" x14ac:dyDescent="0.3">
      <c r="A1922" s="273"/>
      <c r="C1922" s="267"/>
    </row>
    <row r="1923" spans="1:3" x14ac:dyDescent="0.3">
      <c r="A1923" s="273"/>
      <c r="C1923" s="267"/>
    </row>
    <row r="1924" spans="1:3" x14ac:dyDescent="0.3">
      <c r="A1924" s="273"/>
      <c r="C1924" s="267"/>
    </row>
    <row r="1925" spans="1:3" x14ac:dyDescent="0.3">
      <c r="A1925" s="273"/>
      <c r="C1925" s="267"/>
    </row>
    <row r="1926" spans="1:3" x14ac:dyDescent="0.3">
      <c r="A1926" s="273"/>
      <c r="C1926" s="267"/>
    </row>
    <row r="1927" spans="1:3" x14ac:dyDescent="0.3">
      <c r="A1927" s="273"/>
      <c r="C1927" s="267"/>
    </row>
    <row r="1928" spans="1:3" x14ac:dyDescent="0.3">
      <c r="A1928" s="273"/>
      <c r="C1928" s="267"/>
    </row>
    <row r="1929" spans="1:3" x14ac:dyDescent="0.3">
      <c r="A1929" s="273"/>
      <c r="C1929" s="267"/>
    </row>
    <row r="1930" spans="1:3" x14ac:dyDescent="0.3">
      <c r="A1930" s="273"/>
      <c r="C1930" s="267"/>
    </row>
    <row r="1931" spans="1:3" x14ac:dyDescent="0.3">
      <c r="A1931" s="273"/>
      <c r="C1931" s="267"/>
    </row>
    <row r="1932" spans="1:3" x14ac:dyDescent="0.3">
      <c r="A1932" s="273"/>
      <c r="C1932" s="267"/>
    </row>
    <row r="1933" spans="1:3" x14ac:dyDescent="0.3">
      <c r="A1933" s="273"/>
      <c r="C1933" s="267"/>
    </row>
    <row r="1934" spans="1:3" x14ac:dyDescent="0.3">
      <c r="A1934" s="273"/>
      <c r="C1934" s="267"/>
    </row>
    <row r="1935" spans="1:3" x14ac:dyDescent="0.3">
      <c r="A1935" s="273"/>
      <c r="C1935" s="267"/>
    </row>
    <row r="1936" spans="1:3" x14ac:dyDescent="0.3">
      <c r="A1936" s="273"/>
      <c r="C1936" s="267"/>
    </row>
    <row r="1937" spans="1:3" x14ac:dyDescent="0.3">
      <c r="A1937" s="273"/>
      <c r="C1937" s="267"/>
    </row>
    <row r="1938" spans="1:3" x14ac:dyDescent="0.3">
      <c r="A1938" s="273"/>
      <c r="C1938" s="267"/>
    </row>
    <row r="1939" spans="1:3" x14ac:dyDescent="0.3">
      <c r="A1939" s="273"/>
      <c r="C1939" s="267"/>
    </row>
    <row r="1940" spans="1:3" x14ac:dyDescent="0.3">
      <c r="A1940" s="273"/>
      <c r="C1940" s="267"/>
    </row>
    <row r="1941" spans="1:3" x14ac:dyDescent="0.3">
      <c r="A1941" s="273"/>
      <c r="C1941" s="267"/>
    </row>
    <row r="1942" spans="1:3" x14ac:dyDescent="0.3">
      <c r="A1942" s="273"/>
      <c r="C1942" s="267"/>
    </row>
    <row r="1943" spans="1:3" x14ac:dyDescent="0.3">
      <c r="A1943" s="273"/>
      <c r="C1943" s="267"/>
    </row>
    <row r="1944" spans="1:3" x14ac:dyDescent="0.3">
      <c r="A1944" s="273"/>
      <c r="C1944" s="267"/>
    </row>
    <row r="1945" spans="1:3" x14ac:dyDescent="0.3">
      <c r="A1945" s="273"/>
      <c r="C1945" s="267"/>
    </row>
    <row r="1946" spans="1:3" x14ac:dyDescent="0.3">
      <c r="A1946" s="273"/>
      <c r="C1946" s="267"/>
    </row>
    <row r="1947" spans="1:3" x14ac:dyDescent="0.3">
      <c r="A1947" s="273"/>
      <c r="C1947" s="267"/>
    </row>
    <row r="1948" spans="1:3" x14ac:dyDescent="0.3">
      <c r="A1948" s="273"/>
      <c r="C1948" s="267"/>
    </row>
    <row r="1949" spans="1:3" x14ac:dyDescent="0.3">
      <c r="A1949" s="273"/>
      <c r="C1949" s="267"/>
    </row>
    <row r="1950" spans="1:3" x14ac:dyDescent="0.3">
      <c r="A1950" s="273"/>
      <c r="C1950" s="267"/>
    </row>
    <row r="1951" spans="1:3" x14ac:dyDescent="0.3">
      <c r="A1951" s="273"/>
      <c r="C1951" s="267"/>
    </row>
    <row r="1952" spans="1:3" x14ac:dyDescent="0.3">
      <c r="A1952" s="273"/>
      <c r="C1952" s="267"/>
    </row>
    <row r="1953" spans="1:3" x14ac:dyDescent="0.3">
      <c r="A1953" s="273"/>
      <c r="C1953" s="267"/>
    </row>
    <row r="1954" spans="1:3" x14ac:dyDescent="0.3">
      <c r="A1954" s="273"/>
      <c r="C1954" s="267"/>
    </row>
    <row r="1955" spans="1:3" x14ac:dyDescent="0.3">
      <c r="A1955" s="273"/>
      <c r="C1955" s="267"/>
    </row>
    <row r="1956" spans="1:3" x14ac:dyDescent="0.3">
      <c r="A1956" s="273"/>
      <c r="C1956" s="267"/>
    </row>
    <row r="1957" spans="1:3" x14ac:dyDescent="0.3">
      <c r="A1957" s="273"/>
      <c r="C1957" s="267"/>
    </row>
    <row r="1958" spans="1:3" x14ac:dyDescent="0.3">
      <c r="A1958" s="273"/>
      <c r="C1958" s="267"/>
    </row>
    <row r="1959" spans="1:3" x14ac:dyDescent="0.3">
      <c r="A1959" s="273"/>
      <c r="C1959" s="267"/>
    </row>
    <row r="1960" spans="1:3" x14ac:dyDescent="0.3">
      <c r="A1960" s="273"/>
      <c r="C1960" s="267"/>
    </row>
    <row r="1961" spans="1:3" x14ac:dyDescent="0.3">
      <c r="A1961" s="273"/>
      <c r="C1961" s="267"/>
    </row>
    <row r="1962" spans="1:3" x14ac:dyDescent="0.3">
      <c r="A1962" s="273"/>
      <c r="C1962" s="267"/>
    </row>
    <row r="1963" spans="1:3" x14ac:dyDescent="0.3">
      <c r="A1963" s="273"/>
      <c r="C1963" s="267"/>
    </row>
    <row r="1964" spans="1:3" x14ac:dyDescent="0.3">
      <c r="A1964" s="273"/>
      <c r="C1964" s="267"/>
    </row>
    <row r="1965" spans="1:3" x14ac:dyDescent="0.3">
      <c r="A1965" s="273"/>
      <c r="C1965" s="267"/>
    </row>
    <row r="1966" spans="1:3" x14ac:dyDescent="0.3">
      <c r="A1966" s="273"/>
      <c r="C1966" s="267"/>
    </row>
    <row r="1967" spans="1:3" x14ac:dyDescent="0.3">
      <c r="A1967" s="273"/>
      <c r="C1967" s="267"/>
    </row>
    <row r="1968" spans="1:3" x14ac:dyDescent="0.3">
      <c r="A1968" s="273"/>
      <c r="C1968" s="267"/>
    </row>
    <row r="1969" spans="1:3" x14ac:dyDescent="0.3">
      <c r="A1969" s="273"/>
      <c r="C1969" s="267"/>
    </row>
    <row r="1970" spans="1:3" x14ac:dyDescent="0.3">
      <c r="A1970" s="273"/>
      <c r="C1970" s="267"/>
    </row>
    <row r="1971" spans="1:3" x14ac:dyDescent="0.3">
      <c r="A1971" s="273"/>
      <c r="C1971" s="267"/>
    </row>
    <row r="1972" spans="1:3" x14ac:dyDescent="0.3">
      <c r="A1972" s="273"/>
      <c r="C1972" s="267"/>
    </row>
    <row r="1973" spans="1:3" x14ac:dyDescent="0.3">
      <c r="A1973" s="273"/>
      <c r="C1973" s="267"/>
    </row>
    <row r="1974" spans="1:3" x14ac:dyDescent="0.3">
      <c r="A1974" s="273"/>
      <c r="C1974" s="267"/>
    </row>
    <row r="1975" spans="1:3" x14ac:dyDescent="0.3">
      <c r="A1975" s="273"/>
      <c r="C1975" s="267"/>
    </row>
    <row r="1976" spans="1:3" x14ac:dyDescent="0.3">
      <c r="A1976" s="273"/>
      <c r="C1976" s="267"/>
    </row>
    <row r="1977" spans="1:3" x14ac:dyDescent="0.3">
      <c r="A1977" s="273"/>
      <c r="C1977" s="267"/>
    </row>
    <row r="1978" spans="1:3" x14ac:dyDescent="0.3">
      <c r="A1978" s="273"/>
      <c r="C1978" s="267"/>
    </row>
    <row r="1979" spans="1:3" x14ac:dyDescent="0.3">
      <c r="A1979" s="273"/>
      <c r="C1979" s="267"/>
    </row>
    <row r="1980" spans="1:3" x14ac:dyDescent="0.3">
      <c r="A1980" s="273"/>
      <c r="C1980" s="267"/>
    </row>
    <row r="1981" spans="1:3" x14ac:dyDescent="0.3">
      <c r="A1981" s="273"/>
      <c r="C1981" s="267"/>
    </row>
    <row r="1982" spans="1:3" x14ac:dyDescent="0.3">
      <c r="A1982" s="273"/>
      <c r="C1982" s="267"/>
    </row>
    <row r="1983" spans="1:3" x14ac:dyDescent="0.3">
      <c r="A1983" s="273"/>
      <c r="C1983" s="267"/>
    </row>
    <row r="1984" spans="1:3" x14ac:dyDescent="0.3">
      <c r="A1984" s="273"/>
      <c r="C1984" s="267"/>
    </row>
    <row r="1985" spans="1:3" x14ac:dyDescent="0.3">
      <c r="A1985" s="273"/>
      <c r="C1985" s="267"/>
    </row>
    <row r="1986" spans="1:3" x14ac:dyDescent="0.3">
      <c r="A1986" s="273"/>
      <c r="C1986" s="267"/>
    </row>
    <row r="1987" spans="1:3" x14ac:dyDescent="0.3">
      <c r="A1987" s="273"/>
      <c r="C1987" s="267"/>
    </row>
    <row r="1988" spans="1:3" x14ac:dyDescent="0.3">
      <c r="A1988" s="273"/>
      <c r="C1988" s="267"/>
    </row>
    <row r="1989" spans="1:3" x14ac:dyDescent="0.3">
      <c r="A1989" s="273"/>
      <c r="C1989" s="267"/>
    </row>
    <row r="1990" spans="1:3" x14ac:dyDescent="0.3">
      <c r="A1990" s="273"/>
      <c r="C1990" s="267"/>
    </row>
    <row r="1991" spans="1:3" x14ac:dyDescent="0.3">
      <c r="A1991" s="273"/>
      <c r="C1991" s="267"/>
    </row>
    <row r="1992" spans="1:3" x14ac:dyDescent="0.3">
      <c r="A1992" s="273"/>
      <c r="C1992" s="267"/>
    </row>
    <row r="1993" spans="1:3" x14ac:dyDescent="0.3">
      <c r="A1993" s="273"/>
      <c r="C1993" s="267"/>
    </row>
    <row r="1994" spans="1:3" x14ac:dyDescent="0.3">
      <c r="A1994" s="273"/>
      <c r="C1994" s="267"/>
    </row>
    <row r="1995" spans="1:3" x14ac:dyDescent="0.3">
      <c r="A1995" s="273"/>
      <c r="C1995" s="267"/>
    </row>
    <row r="1996" spans="1:3" x14ac:dyDescent="0.3">
      <c r="A1996" s="273"/>
      <c r="C1996" s="267"/>
    </row>
    <row r="1997" spans="1:3" x14ac:dyDescent="0.3">
      <c r="A1997" s="273"/>
      <c r="C1997" s="267"/>
    </row>
    <row r="1998" spans="1:3" x14ac:dyDescent="0.3">
      <c r="A1998" s="273"/>
      <c r="C1998" s="267"/>
    </row>
    <row r="1999" spans="1:3" x14ac:dyDescent="0.3">
      <c r="A1999" s="273"/>
      <c r="C1999" s="267"/>
    </row>
    <row r="2000" spans="1:3" x14ac:dyDescent="0.3">
      <c r="A2000" s="273"/>
      <c r="C2000" s="267"/>
    </row>
    <row r="2001" spans="1:3" x14ac:dyDescent="0.3">
      <c r="A2001" s="273"/>
      <c r="C2001" s="267"/>
    </row>
    <row r="2002" spans="1:3" x14ac:dyDescent="0.3">
      <c r="A2002" s="273"/>
      <c r="C2002" s="267"/>
    </row>
    <row r="2003" spans="1:3" x14ac:dyDescent="0.3">
      <c r="A2003" s="273"/>
      <c r="C2003" s="267"/>
    </row>
    <row r="2004" spans="1:3" x14ac:dyDescent="0.3">
      <c r="A2004" s="273"/>
      <c r="C2004" s="267"/>
    </row>
    <row r="2005" spans="1:3" x14ac:dyDescent="0.3">
      <c r="A2005" s="273"/>
      <c r="C2005" s="267"/>
    </row>
    <row r="2006" spans="1:3" x14ac:dyDescent="0.3">
      <c r="A2006" s="273"/>
      <c r="C2006" s="267"/>
    </row>
    <row r="2007" spans="1:3" x14ac:dyDescent="0.3">
      <c r="A2007" s="273"/>
      <c r="C2007" s="267"/>
    </row>
    <row r="2008" spans="1:3" x14ac:dyDescent="0.3">
      <c r="A2008" s="273"/>
      <c r="C2008" s="267"/>
    </row>
    <row r="2009" spans="1:3" x14ac:dyDescent="0.3">
      <c r="A2009" s="273"/>
      <c r="C2009" s="267"/>
    </row>
    <row r="2010" spans="1:3" x14ac:dyDescent="0.3">
      <c r="A2010" s="273"/>
      <c r="C2010" s="267"/>
    </row>
    <row r="2011" spans="1:3" x14ac:dyDescent="0.3">
      <c r="A2011" s="273"/>
      <c r="C2011" s="267"/>
    </row>
    <row r="2012" spans="1:3" x14ac:dyDescent="0.3">
      <c r="A2012" s="273"/>
      <c r="C2012" s="267"/>
    </row>
    <row r="2013" spans="1:3" x14ac:dyDescent="0.3">
      <c r="A2013" s="273"/>
      <c r="C2013" s="267"/>
    </row>
    <row r="2014" spans="1:3" x14ac:dyDescent="0.3">
      <c r="A2014" s="273"/>
      <c r="C2014" s="267"/>
    </row>
    <row r="2015" spans="1:3" x14ac:dyDescent="0.3">
      <c r="A2015" s="273"/>
      <c r="C2015" s="267"/>
    </row>
    <row r="2016" spans="1:3" x14ac:dyDescent="0.3">
      <c r="A2016" s="273"/>
      <c r="C2016" s="267"/>
    </row>
    <row r="2017" spans="1:3" x14ac:dyDescent="0.3">
      <c r="A2017" s="273"/>
      <c r="C2017" s="267"/>
    </row>
    <row r="2018" spans="1:3" x14ac:dyDescent="0.3">
      <c r="A2018" s="273"/>
      <c r="C2018" s="267"/>
    </row>
    <row r="2019" spans="1:3" x14ac:dyDescent="0.3">
      <c r="A2019" s="273"/>
      <c r="C2019" s="267"/>
    </row>
    <row r="2020" spans="1:3" x14ac:dyDescent="0.3">
      <c r="A2020" s="273"/>
      <c r="C2020" s="267"/>
    </row>
    <row r="2021" spans="1:3" x14ac:dyDescent="0.3">
      <c r="A2021" s="273"/>
      <c r="C2021" s="267"/>
    </row>
    <row r="2022" spans="1:3" x14ac:dyDescent="0.3">
      <c r="A2022" s="273"/>
      <c r="C2022" s="267"/>
    </row>
    <row r="2023" spans="1:3" x14ac:dyDescent="0.3">
      <c r="A2023" s="273"/>
      <c r="C2023" s="267"/>
    </row>
    <row r="2024" spans="1:3" x14ac:dyDescent="0.3">
      <c r="A2024" s="273"/>
      <c r="C2024" s="267"/>
    </row>
    <row r="2025" spans="1:3" x14ac:dyDescent="0.3">
      <c r="A2025" s="273"/>
      <c r="C2025" s="267"/>
    </row>
    <row r="2026" spans="1:3" x14ac:dyDescent="0.3">
      <c r="A2026" s="273"/>
      <c r="C2026" s="267"/>
    </row>
    <row r="2027" spans="1:3" x14ac:dyDescent="0.3">
      <c r="A2027" s="273"/>
      <c r="C2027" s="267"/>
    </row>
    <row r="2028" spans="1:3" x14ac:dyDescent="0.3">
      <c r="A2028" s="273"/>
      <c r="C2028" s="267"/>
    </row>
    <row r="2029" spans="1:3" x14ac:dyDescent="0.3">
      <c r="A2029" s="273"/>
      <c r="C2029" s="267"/>
    </row>
    <row r="2030" spans="1:3" x14ac:dyDescent="0.3">
      <c r="A2030" s="273"/>
      <c r="C2030" s="267"/>
    </row>
    <row r="2031" spans="1:3" x14ac:dyDescent="0.3">
      <c r="A2031" s="273"/>
      <c r="C2031" s="267"/>
    </row>
    <row r="2032" spans="1:3" x14ac:dyDescent="0.3">
      <c r="A2032" s="273"/>
      <c r="C2032" s="267"/>
    </row>
    <row r="2033" spans="1:3" x14ac:dyDescent="0.3">
      <c r="A2033" s="273"/>
      <c r="C2033" s="267"/>
    </row>
    <row r="2034" spans="1:3" x14ac:dyDescent="0.3">
      <c r="A2034" s="273"/>
      <c r="C2034" s="267"/>
    </row>
    <row r="2035" spans="1:3" x14ac:dyDescent="0.3">
      <c r="A2035" s="273"/>
      <c r="C2035" s="267"/>
    </row>
    <row r="2036" spans="1:3" x14ac:dyDescent="0.3">
      <c r="A2036" s="273"/>
      <c r="C2036" s="267"/>
    </row>
    <row r="2037" spans="1:3" x14ac:dyDescent="0.3">
      <c r="A2037" s="273"/>
      <c r="C2037" s="267"/>
    </row>
    <row r="2038" spans="1:3" x14ac:dyDescent="0.3">
      <c r="A2038" s="273"/>
      <c r="C2038" s="267"/>
    </row>
    <row r="2039" spans="1:3" x14ac:dyDescent="0.3">
      <c r="A2039" s="273"/>
      <c r="C2039" s="267"/>
    </row>
    <row r="2040" spans="1:3" x14ac:dyDescent="0.3">
      <c r="A2040" s="273"/>
      <c r="C2040" s="267"/>
    </row>
    <row r="2041" spans="1:3" x14ac:dyDescent="0.3">
      <c r="A2041" s="273"/>
      <c r="C2041" s="267"/>
    </row>
    <row r="2042" spans="1:3" x14ac:dyDescent="0.3">
      <c r="A2042" s="273"/>
      <c r="C2042" s="267"/>
    </row>
    <row r="2043" spans="1:3" x14ac:dyDescent="0.3">
      <c r="A2043" s="273"/>
      <c r="C2043" s="267"/>
    </row>
    <row r="2044" spans="1:3" x14ac:dyDescent="0.3">
      <c r="A2044" s="273"/>
      <c r="C2044" s="267"/>
    </row>
    <row r="2045" spans="1:3" x14ac:dyDescent="0.3">
      <c r="A2045" s="273"/>
      <c r="C2045" s="267"/>
    </row>
    <row r="2046" spans="1:3" x14ac:dyDescent="0.3">
      <c r="A2046" s="273"/>
      <c r="C2046" s="267"/>
    </row>
    <row r="2047" spans="1:3" x14ac:dyDescent="0.3">
      <c r="A2047" s="273"/>
      <c r="C2047" s="267"/>
    </row>
    <row r="2048" spans="1:3" x14ac:dyDescent="0.3">
      <c r="A2048" s="273"/>
      <c r="C2048" s="267"/>
    </row>
    <row r="2049" spans="1:3" x14ac:dyDescent="0.3">
      <c r="A2049" s="273"/>
      <c r="C2049" s="267"/>
    </row>
    <row r="2050" spans="1:3" x14ac:dyDescent="0.3">
      <c r="A2050" s="273"/>
      <c r="C2050" s="267"/>
    </row>
    <row r="2051" spans="1:3" x14ac:dyDescent="0.3">
      <c r="A2051" s="273"/>
      <c r="C2051" s="267"/>
    </row>
    <row r="2052" spans="1:3" x14ac:dyDescent="0.3">
      <c r="A2052" s="273"/>
      <c r="C2052" s="267"/>
    </row>
    <row r="2053" spans="1:3" x14ac:dyDescent="0.3">
      <c r="A2053" s="273"/>
      <c r="C2053" s="267"/>
    </row>
    <row r="2054" spans="1:3" x14ac:dyDescent="0.3">
      <c r="A2054" s="273"/>
      <c r="C2054" s="267"/>
    </row>
    <row r="2055" spans="1:3" x14ac:dyDescent="0.3">
      <c r="A2055" s="273"/>
      <c r="C2055" s="267"/>
    </row>
    <row r="2056" spans="1:3" x14ac:dyDescent="0.3">
      <c r="A2056" s="273"/>
      <c r="C2056" s="267"/>
    </row>
    <row r="2057" spans="1:3" x14ac:dyDescent="0.3">
      <c r="A2057" s="273"/>
      <c r="C2057" s="267"/>
    </row>
    <row r="2058" spans="1:3" x14ac:dyDescent="0.3">
      <c r="A2058" s="273"/>
      <c r="C2058" s="267"/>
    </row>
    <row r="2059" spans="1:3" x14ac:dyDescent="0.3">
      <c r="A2059" s="273"/>
      <c r="C2059" s="267"/>
    </row>
    <row r="2060" spans="1:3" x14ac:dyDescent="0.3">
      <c r="A2060" s="273"/>
      <c r="C2060" s="267"/>
    </row>
    <row r="2061" spans="1:3" x14ac:dyDescent="0.3">
      <c r="A2061" s="273"/>
      <c r="C2061" s="267"/>
    </row>
    <row r="2062" spans="1:3" x14ac:dyDescent="0.3">
      <c r="A2062" s="273"/>
      <c r="C2062" s="267"/>
    </row>
    <row r="2063" spans="1:3" x14ac:dyDescent="0.3">
      <c r="A2063" s="273"/>
      <c r="C2063" s="267"/>
    </row>
    <row r="2064" spans="1:3" x14ac:dyDescent="0.3">
      <c r="A2064" s="273"/>
      <c r="C2064" s="267"/>
    </row>
    <row r="2065" spans="1:3" x14ac:dyDescent="0.3">
      <c r="A2065" s="273"/>
      <c r="C2065" s="267"/>
    </row>
    <row r="2066" spans="1:3" x14ac:dyDescent="0.3">
      <c r="A2066" s="273"/>
      <c r="C2066" s="267"/>
    </row>
    <row r="2067" spans="1:3" x14ac:dyDescent="0.3">
      <c r="A2067" s="273"/>
      <c r="C2067" s="267"/>
    </row>
    <row r="2068" spans="1:3" x14ac:dyDescent="0.3">
      <c r="A2068" s="273"/>
      <c r="C2068" s="267"/>
    </row>
    <row r="2069" spans="1:3" x14ac:dyDescent="0.3">
      <c r="A2069" s="273"/>
      <c r="C2069" s="267"/>
    </row>
    <row r="2070" spans="1:3" x14ac:dyDescent="0.3">
      <c r="A2070" s="273"/>
      <c r="C2070" s="267"/>
    </row>
    <row r="2071" spans="1:3" x14ac:dyDescent="0.3">
      <c r="A2071" s="273"/>
      <c r="C2071" s="267"/>
    </row>
    <row r="2072" spans="1:3" x14ac:dyDescent="0.3">
      <c r="A2072" s="273"/>
      <c r="C2072" s="267"/>
    </row>
    <row r="2073" spans="1:3" x14ac:dyDescent="0.3">
      <c r="A2073" s="273"/>
      <c r="C2073" s="267"/>
    </row>
    <row r="2074" spans="1:3" x14ac:dyDescent="0.3">
      <c r="A2074" s="273"/>
      <c r="C2074" s="267"/>
    </row>
    <row r="2075" spans="1:3" x14ac:dyDescent="0.3">
      <c r="A2075" s="273"/>
      <c r="C2075" s="267"/>
    </row>
    <row r="2076" spans="1:3" x14ac:dyDescent="0.3">
      <c r="A2076" s="273"/>
      <c r="C2076" s="267"/>
    </row>
    <row r="2077" spans="1:3" x14ac:dyDescent="0.3">
      <c r="A2077" s="273"/>
      <c r="C2077" s="267"/>
    </row>
    <row r="2078" spans="1:3" x14ac:dyDescent="0.3">
      <c r="A2078" s="273"/>
      <c r="C2078" s="267"/>
    </row>
    <row r="2079" spans="1:3" x14ac:dyDescent="0.3">
      <c r="A2079" s="273"/>
      <c r="C2079" s="267"/>
    </row>
    <row r="2080" spans="1:3" x14ac:dyDescent="0.3">
      <c r="A2080" s="273"/>
      <c r="C2080" s="267"/>
    </row>
    <row r="2081" spans="1:3" x14ac:dyDescent="0.3">
      <c r="A2081" s="273"/>
      <c r="C2081" s="267"/>
    </row>
    <row r="2082" spans="1:3" x14ac:dyDescent="0.3">
      <c r="A2082" s="273"/>
      <c r="C2082" s="267"/>
    </row>
    <row r="2083" spans="1:3" x14ac:dyDescent="0.3">
      <c r="A2083" s="273"/>
      <c r="C2083" s="267"/>
    </row>
    <row r="2084" spans="1:3" x14ac:dyDescent="0.3">
      <c r="A2084" s="273"/>
      <c r="C2084" s="267"/>
    </row>
    <row r="2085" spans="1:3" x14ac:dyDescent="0.3">
      <c r="A2085" s="273"/>
      <c r="C2085" s="267"/>
    </row>
    <row r="2086" spans="1:3" x14ac:dyDescent="0.3">
      <c r="A2086" s="273"/>
      <c r="C2086" s="267"/>
    </row>
    <row r="2087" spans="1:3" x14ac:dyDescent="0.3">
      <c r="A2087" s="273"/>
      <c r="C2087" s="267"/>
    </row>
    <row r="2088" spans="1:3" x14ac:dyDescent="0.3">
      <c r="A2088" s="273"/>
      <c r="C2088" s="267"/>
    </row>
    <row r="2089" spans="1:3" x14ac:dyDescent="0.3">
      <c r="A2089" s="273"/>
      <c r="C2089" s="267"/>
    </row>
    <row r="2090" spans="1:3" x14ac:dyDescent="0.3">
      <c r="A2090" s="273"/>
      <c r="C2090" s="267"/>
    </row>
    <row r="2091" spans="1:3" x14ac:dyDescent="0.3">
      <c r="A2091" s="273"/>
      <c r="C2091" s="267"/>
    </row>
    <row r="2092" spans="1:3" x14ac:dyDescent="0.3">
      <c r="A2092" s="273"/>
      <c r="C2092" s="267"/>
    </row>
    <row r="2093" spans="1:3" x14ac:dyDescent="0.3">
      <c r="A2093" s="273"/>
      <c r="C2093" s="267"/>
    </row>
    <row r="2094" spans="1:3" x14ac:dyDescent="0.3">
      <c r="A2094" s="273"/>
      <c r="C2094" s="267"/>
    </row>
    <row r="2095" spans="1:3" x14ac:dyDescent="0.3">
      <c r="A2095" s="273"/>
      <c r="C2095" s="267"/>
    </row>
    <row r="2096" spans="1:3" x14ac:dyDescent="0.3">
      <c r="A2096" s="273"/>
      <c r="C2096" s="267"/>
    </row>
    <row r="2097" spans="1:3" x14ac:dyDescent="0.3">
      <c r="A2097" s="273"/>
      <c r="C2097" s="267"/>
    </row>
    <row r="2098" spans="1:3" x14ac:dyDescent="0.3">
      <c r="A2098" s="273"/>
      <c r="C2098" s="267"/>
    </row>
    <row r="2099" spans="1:3" x14ac:dyDescent="0.3">
      <c r="A2099" s="273"/>
      <c r="C2099" s="267"/>
    </row>
    <row r="2100" spans="1:3" x14ac:dyDescent="0.3">
      <c r="A2100" s="273"/>
      <c r="C2100" s="267"/>
    </row>
    <row r="2101" spans="1:3" x14ac:dyDescent="0.3">
      <c r="A2101" s="273"/>
      <c r="C2101" s="267"/>
    </row>
    <row r="2102" spans="1:3" x14ac:dyDescent="0.3">
      <c r="A2102" s="273"/>
      <c r="C2102" s="267"/>
    </row>
    <row r="2103" spans="1:3" x14ac:dyDescent="0.3">
      <c r="A2103" s="273"/>
      <c r="C2103" s="267"/>
    </row>
    <row r="2104" spans="1:3" x14ac:dyDescent="0.3">
      <c r="A2104" s="273"/>
      <c r="C2104" s="267"/>
    </row>
    <row r="2105" spans="1:3" x14ac:dyDescent="0.3">
      <c r="A2105" s="273"/>
      <c r="C2105" s="267"/>
    </row>
    <row r="2106" spans="1:3" x14ac:dyDescent="0.3">
      <c r="A2106" s="273"/>
      <c r="C2106" s="267"/>
    </row>
    <row r="2107" spans="1:3" x14ac:dyDescent="0.3">
      <c r="A2107" s="273"/>
      <c r="C2107" s="267"/>
    </row>
    <row r="2108" spans="1:3" x14ac:dyDescent="0.3">
      <c r="A2108" s="273"/>
      <c r="C2108" s="267"/>
    </row>
    <row r="2109" spans="1:3" x14ac:dyDescent="0.3">
      <c r="A2109" s="273"/>
      <c r="C2109" s="267"/>
    </row>
    <row r="2110" spans="1:3" x14ac:dyDescent="0.3">
      <c r="A2110" s="273"/>
      <c r="C2110" s="267"/>
    </row>
    <row r="2111" spans="1:3" x14ac:dyDescent="0.3">
      <c r="A2111" s="273"/>
      <c r="C2111" s="267"/>
    </row>
    <row r="2112" spans="1:3" x14ac:dyDescent="0.3">
      <c r="A2112" s="273"/>
      <c r="C2112" s="267"/>
    </row>
    <row r="2113" spans="1:3" x14ac:dyDescent="0.3">
      <c r="A2113" s="273"/>
      <c r="C2113" s="267"/>
    </row>
    <row r="2114" spans="1:3" x14ac:dyDescent="0.3">
      <c r="A2114" s="273"/>
      <c r="C2114" s="267"/>
    </row>
    <row r="2115" spans="1:3" x14ac:dyDescent="0.3">
      <c r="A2115" s="273"/>
      <c r="C2115" s="267"/>
    </row>
    <row r="2116" spans="1:3" x14ac:dyDescent="0.3">
      <c r="A2116" s="273"/>
      <c r="C2116" s="267"/>
    </row>
    <row r="2117" spans="1:3" x14ac:dyDescent="0.3">
      <c r="A2117" s="273"/>
      <c r="C2117" s="267"/>
    </row>
    <row r="2118" spans="1:3" x14ac:dyDescent="0.3">
      <c r="A2118" s="273"/>
      <c r="C2118" s="267"/>
    </row>
    <row r="2119" spans="1:3" x14ac:dyDescent="0.3">
      <c r="A2119" s="273"/>
      <c r="C2119" s="267"/>
    </row>
    <row r="2120" spans="1:3" x14ac:dyDescent="0.3">
      <c r="A2120" s="273"/>
      <c r="C2120" s="267"/>
    </row>
    <row r="2121" spans="1:3" x14ac:dyDescent="0.3">
      <c r="A2121" s="273"/>
      <c r="C2121" s="267"/>
    </row>
    <row r="2122" spans="1:3" x14ac:dyDescent="0.3">
      <c r="A2122" s="273"/>
      <c r="C2122" s="267"/>
    </row>
    <row r="2123" spans="1:3" x14ac:dyDescent="0.3">
      <c r="A2123" s="273"/>
      <c r="C2123" s="267"/>
    </row>
    <row r="2124" spans="1:3" x14ac:dyDescent="0.3">
      <c r="A2124" s="273"/>
      <c r="C2124" s="267"/>
    </row>
    <row r="2125" spans="1:3" x14ac:dyDescent="0.3">
      <c r="A2125" s="273"/>
      <c r="C2125" s="267"/>
    </row>
    <row r="2126" spans="1:3" x14ac:dyDescent="0.3">
      <c r="A2126" s="273"/>
      <c r="C2126" s="267"/>
    </row>
    <row r="2127" spans="1:3" x14ac:dyDescent="0.3">
      <c r="A2127" s="273"/>
      <c r="C2127" s="267"/>
    </row>
    <row r="2128" spans="1:3" x14ac:dyDescent="0.3">
      <c r="A2128" s="273"/>
      <c r="C2128" s="267"/>
    </row>
    <row r="2129" spans="1:3" x14ac:dyDescent="0.3">
      <c r="A2129" s="273"/>
      <c r="C2129" s="267"/>
    </row>
    <row r="2130" spans="1:3" x14ac:dyDescent="0.3">
      <c r="A2130" s="273"/>
      <c r="C2130" s="267"/>
    </row>
    <row r="2131" spans="1:3" x14ac:dyDescent="0.3">
      <c r="A2131" s="273"/>
      <c r="C2131" s="267"/>
    </row>
    <row r="2132" spans="1:3" x14ac:dyDescent="0.3">
      <c r="A2132" s="273"/>
      <c r="C2132" s="267"/>
    </row>
    <row r="2133" spans="1:3" x14ac:dyDescent="0.3">
      <c r="A2133" s="273"/>
      <c r="C2133" s="267"/>
    </row>
    <row r="2134" spans="1:3" x14ac:dyDescent="0.3">
      <c r="A2134" s="273"/>
      <c r="C2134" s="267"/>
    </row>
    <row r="2135" spans="1:3" x14ac:dyDescent="0.3">
      <c r="A2135" s="273"/>
      <c r="C2135" s="267"/>
    </row>
    <row r="2136" spans="1:3" x14ac:dyDescent="0.3">
      <c r="A2136" s="273"/>
      <c r="C2136" s="267"/>
    </row>
    <row r="2137" spans="1:3" x14ac:dyDescent="0.3">
      <c r="A2137" s="273"/>
      <c r="C2137" s="267"/>
    </row>
    <row r="2138" spans="1:3" x14ac:dyDescent="0.3">
      <c r="A2138" s="273"/>
      <c r="C2138" s="267"/>
    </row>
    <row r="2139" spans="1:3" x14ac:dyDescent="0.3">
      <c r="A2139" s="273"/>
      <c r="C2139" s="267"/>
    </row>
    <row r="2140" spans="1:3" x14ac:dyDescent="0.3">
      <c r="A2140" s="273"/>
      <c r="C2140" s="267"/>
    </row>
    <row r="2141" spans="1:3" x14ac:dyDescent="0.3">
      <c r="A2141" s="273"/>
      <c r="C2141" s="267"/>
    </row>
    <row r="2142" spans="1:3" x14ac:dyDescent="0.3">
      <c r="A2142" s="273"/>
      <c r="C2142" s="267"/>
    </row>
    <row r="2143" spans="1:3" x14ac:dyDescent="0.3">
      <c r="A2143" s="273"/>
      <c r="C2143" s="267"/>
    </row>
    <row r="2144" spans="1:3" x14ac:dyDescent="0.3">
      <c r="A2144" s="273"/>
      <c r="C2144" s="267"/>
    </row>
    <row r="2145" spans="1:3" x14ac:dyDescent="0.3">
      <c r="A2145" s="273"/>
      <c r="C2145" s="267"/>
    </row>
    <row r="2146" spans="1:3" x14ac:dyDescent="0.3">
      <c r="A2146" s="273"/>
      <c r="C2146" s="267"/>
    </row>
    <row r="2147" spans="1:3" x14ac:dyDescent="0.3">
      <c r="A2147" s="273"/>
      <c r="C2147" s="267"/>
    </row>
    <row r="2148" spans="1:3" x14ac:dyDescent="0.3">
      <c r="A2148" s="273"/>
      <c r="C2148" s="267"/>
    </row>
    <row r="2149" spans="1:3" x14ac:dyDescent="0.3">
      <c r="A2149" s="273"/>
      <c r="C2149" s="267"/>
    </row>
    <row r="2150" spans="1:3" x14ac:dyDescent="0.3">
      <c r="A2150" s="273"/>
      <c r="C2150" s="267"/>
    </row>
    <row r="2151" spans="1:3" x14ac:dyDescent="0.3">
      <c r="A2151" s="273"/>
      <c r="C2151" s="267"/>
    </row>
    <row r="2152" spans="1:3" x14ac:dyDescent="0.3">
      <c r="A2152" s="273"/>
      <c r="C2152" s="267"/>
    </row>
    <row r="2153" spans="1:3" x14ac:dyDescent="0.3">
      <c r="A2153" s="273"/>
      <c r="C2153" s="267"/>
    </row>
    <row r="2154" spans="1:3" x14ac:dyDescent="0.3">
      <c r="A2154" s="273"/>
      <c r="C2154" s="267"/>
    </row>
    <row r="2155" spans="1:3" x14ac:dyDescent="0.3">
      <c r="A2155" s="273"/>
      <c r="C2155" s="267"/>
    </row>
    <row r="2156" spans="1:3" x14ac:dyDescent="0.3">
      <c r="A2156" s="273"/>
      <c r="C2156" s="267"/>
    </row>
    <row r="2157" spans="1:3" x14ac:dyDescent="0.3">
      <c r="A2157" s="273"/>
      <c r="C2157" s="267"/>
    </row>
    <row r="2158" spans="1:3" x14ac:dyDescent="0.3">
      <c r="A2158" s="273"/>
      <c r="C2158" s="267"/>
    </row>
    <row r="2159" spans="1:3" x14ac:dyDescent="0.3">
      <c r="A2159" s="273"/>
      <c r="C2159" s="267"/>
    </row>
    <row r="2160" spans="1:3" x14ac:dyDescent="0.3">
      <c r="A2160" s="273"/>
      <c r="C2160" s="267"/>
    </row>
    <row r="2161" spans="1:3" x14ac:dyDescent="0.3">
      <c r="A2161" s="273"/>
      <c r="C2161" s="267"/>
    </row>
    <row r="2162" spans="1:3" x14ac:dyDescent="0.3">
      <c r="A2162" s="273"/>
      <c r="C2162" s="267"/>
    </row>
    <row r="2163" spans="1:3" x14ac:dyDescent="0.3">
      <c r="A2163" s="273"/>
      <c r="C2163" s="267"/>
    </row>
    <row r="2164" spans="1:3" x14ac:dyDescent="0.3">
      <c r="A2164" s="273"/>
      <c r="C2164" s="267"/>
    </row>
    <row r="2165" spans="1:3" x14ac:dyDescent="0.3">
      <c r="A2165" s="273"/>
      <c r="C2165" s="267"/>
    </row>
    <row r="2166" spans="1:3" x14ac:dyDescent="0.3">
      <c r="A2166" s="273"/>
      <c r="C2166" s="267"/>
    </row>
    <row r="2167" spans="1:3" x14ac:dyDescent="0.3">
      <c r="A2167" s="273"/>
      <c r="C2167" s="267"/>
    </row>
    <row r="2168" spans="1:3" x14ac:dyDescent="0.3">
      <c r="A2168" s="273"/>
      <c r="C2168" s="267"/>
    </row>
    <row r="2169" spans="1:3" x14ac:dyDescent="0.3">
      <c r="A2169" s="273"/>
      <c r="C2169" s="267"/>
    </row>
    <row r="2170" spans="1:3" x14ac:dyDescent="0.3">
      <c r="A2170" s="273"/>
      <c r="C2170" s="267"/>
    </row>
    <row r="2171" spans="1:3" x14ac:dyDescent="0.3">
      <c r="A2171" s="273"/>
      <c r="C2171" s="267"/>
    </row>
    <row r="2172" spans="1:3" x14ac:dyDescent="0.3">
      <c r="A2172" s="273"/>
      <c r="C2172" s="267"/>
    </row>
    <row r="2173" spans="1:3" x14ac:dyDescent="0.3">
      <c r="A2173" s="273"/>
      <c r="C2173" s="267"/>
    </row>
    <row r="2174" spans="1:3" x14ac:dyDescent="0.3">
      <c r="A2174" s="273"/>
      <c r="C2174" s="267"/>
    </row>
    <row r="2175" spans="1:3" x14ac:dyDescent="0.3">
      <c r="A2175" s="273"/>
      <c r="C2175" s="267"/>
    </row>
    <row r="2176" spans="1:3" x14ac:dyDescent="0.3">
      <c r="A2176" s="273"/>
      <c r="C2176" s="267"/>
    </row>
    <row r="2177" spans="1:3" x14ac:dyDescent="0.3">
      <c r="A2177" s="273"/>
      <c r="C2177" s="267"/>
    </row>
    <row r="2178" spans="1:3" x14ac:dyDescent="0.3">
      <c r="A2178" s="273"/>
      <c r="C2178" s="267"/>
    </row>
    <row r="2179" spans="1:3" x14ac:dyDescent="0.3">
      <c r="A2179" s="273"/>
      <c r="C2179" s="267"/>
    </row>
    <row r="2180" spans="1:3" x14ac:dyDescent="0.3">
      <c r="A2180" s="273"/>
      <c r="C2180" s="267"/>
    </row>
    <row r="2181" spans="1:3" x14ac:dyDescent="0.3">
      <c r="A2181" s="273"/>
      <c r="C2181" s="267"/>
    </row>
    <row r="2182" spans="1:3" x14ac:dyDescent="0.3">
      <c r="A2182" s="273"/>
      <c r="C2182" s="267"/>
    </row>
    <row r="2183" spans="1:3" x14ac:dyDescent="0.3">
      <c r="A2183" s="273"/>
      <c r="C2183" s="267"/>
    </row>
    <row r="2184" spans="1:3" x14ac:dyDescent="0.3">
      <c r="A2184" s="273"/>
      <c r="C2184" s="267"/>
    </row>
    <row r="2185" spans="1:3" x14ac:dyDescent="0.3">
      <c r="A2185" s="273"/>
      <c r="C2185" s="267"/>
    </row>
    <row r="2186" spans="1:3" x14ac:dyDescent="0.3">
      <c r="A2186" s="273"/>
      <c r="C2186" s="267"/>
    </row>
    <row r="2187" spans="1:3" x14ac:dyDescent="0.3">
      <c r="A2187" s="273"/>
      <c r="C2187" s="267"/>
    </row>
    <row r="2188" spans="1:3" x14ac:dyDescent="0.3">
      <c r="A2188" s="273"/>
      <c r="C2188" s="267"/>
    </row>
    <row r="2189" spans="1:3" x14ac:dyDescent="0.3">
      <c r="A2189" s="273"/>
      <c r="C2189" s="267"/>
    </row>
    <row r="2190" spans="1:3" x14ac:dyDescent="0.3">
      <c r="A2190" s="273"/>
      <c r="C2190" s="267"/>
    </row>
    <row r="2191" spans="1:3" x14ac:dyDescent="0.3">
      <c r="A2191" s="273"/>
      <c r="C2191" s="267"/>
    </row>
    <row r="2192" spans="1:3" x14ac:dyDescent="0.3">
      <c r="A2192" s="273"/>
      <c r="C2192" s="267"/>
    </row>
    <row r="2193" spans="1:3" x14ac:dyDescent="0.3">
      <c r="A2193" s="273"/>
      <c r="C2193" s="267"/>
    </row>
    <row r="2194" spans="1:3" x14ac:dyDescent="0.3">
      <c r="A2194" s="273"/>
      <c r="C2194" s="267"/>
    </row>
    <row r="2195" spans="1:3" x14ac:dyDescent="0.3">
      <c r="A2195" s="273"/>
      <c r="C2195" s="267"/>
    </row>
    <row r="2196" spans="1:3" x14ac:dyDescent="0.3">
      <c r="A2196" s="273"/>
      <c r="C2196" s="267"/>
    </row>
    <row r="2197" spans="1:3" x14ac:dyDescent="0.3">
      <c r="A2197" s="273"/>
      <c r="C2197" s="267"/>
    </row>
    <row r="2198" spans="1:3" x14ac:dyDescent="0.3">
      <c r="A2198" s="273"/>
      <c r="C2198" s="267"/>
    </row>
    <row r="2199" spans="1:3" x14ac:dyDescent="0.3">
      <c r="A2199" s="273"/>
      <c r="C2199" s="267"/>
    </row>
    <row r="2200" spans="1:3" x14ac:dyDescent="0.3">
      <c r="A2200" s="273"/>
      <c r="C2200" s="267"/>
    </row>
    <row r="2201" spans="1:3" x14ac:dyDescent="0.3">
      <c r="A2201" s="273"/>
      <c r="C2201" s="267"/>
    </row>
    <row r="2202" spans="1:3" x14ac:dyDescent="0.3">
      <c r="A2202" s="273"/>
      <c r="C2202" s="267"/>
    </row>
    <row r="2203" spans="1:3" x14ac:dyDescent="0.3">
      <c r="A2203" s="273"/>
      <c r="C2203" s="267"/>
    </row>
    <row r="2204" spans="1:3" x14ac:dyDescent="0.3">
      <c r="A2204" s="273"/>
      <c r="C2204" s="267"/>
    </row>
    <row r="2205" spans="1:3" x14ac:dyDescent="0.3">
      <c r="A2205" s="273"/>
      <c r="C2205" s="267"/>
    </row>
    <row r="2206" spans="1:3" x14ac:dyDescent="0.3">
      <c r="A2206" s="273"/>
      <c r="C2206" s="267"/>
    </row>
    <row r="2207" spans="1:3" x14ac:dyDescent="0.3">
      <c r="A2207" s="273"/>
      <c r="C2207" s="267"/>
    </row>
    <row r="2208" spans="1:3" x14ac:dyDescent="0.3">
      <c r="A2208" s="273"/>
      <c r="C2208" s="267"/>
    </row>
    <row r="2209" spans="1:3" x14ac:dyDescent="0.3">
      <c r="A2209" s="273"/>
      <c r="C2209" s="267"/>
    </row>
    <row r="2210" spans="1:3" x14ac:dyDescent="0.3">
      <c r="A2210" s="273"/>
      <c r="C2210" s="267"/>
    </row>
    <row r="2211" spans="1:3" x14ac:dyDescent="0.3">
      <c r="A2211" s="273"/>
      <c r="C2211" s="267"/>
    </row>
    <row r="2212" spans="1:3" x14ac:dyDescent="0.3">
      <c r="A2212" s="273"/>
      <c r="C2212" s="267"/>
    </row>
    <row r="2213" spans="1:3" x14ac:dyDescent="0.3">
      <c r="A2213" s="273"/>
      <c r="C2213" s="267"/>
    </row>
    <row r="2214" spans="1:3" x14ac:dyDescent="0.3">
      <c r="A2214" s="273"/>
      <c r="C2214" s="267"/>
    </row>
    <row r="2215" spans="1:3" x14ac:dyDescent="0.3">
      <c r="A2215" s="273"/>
      <c r="C2215" s="267"/>
    </row>
    <row r="2216" spans="1:3" x14ac:dyDescent="0.3">
      <c r="A2216" s="273"/>
      <c r="C2216" s="267"/>
    </row>
    <row r="2217" spans="1:3" x14ac:dyDescent="0.3">
      <c r="A2217" s="273"/>
      <c r="C2217" s="267"/>
    </row>
    <row r="2218" spans="1:3" x14ac:dyDescent="0.3">
      <c r="A2218" s="273"/>
      <c r="C2218" s="267"/>
    </row>
    <row r="2219" spans="1:3" x14ac:dyDescent="0.3">
      <c r="A2219" s="273"/>
      <c r="C2219" s="267"/>
    </row>
    <row r="2220" spans="1:3" x14ac:dyDescent="0.3">
      <c r="A2220" s="273"/>
      <c r="C2220" s="267"/>
    </row>
    <row r="2221" spans="1:3" x14ac:dyDescent="0.3">
      <c r="A2221" s="273"/>
      <c r="C2221" s="267"/>
    </row>
    <row r="2222" spans="1:3" x14ac:dyDescent="0.3">
      <c r="A2222" s="273"/>
      <c r="C2222" s="267"/>
    </row>
    <row r="2223" spans="1:3" x14ac:dyDescent="0.3">
      <c r="A2223" s="273"/>
      <c r="C2223" s="267"/>
    </row>
    <row r="2224" spans="1:3" x14ac:dyDescent="0.3">
      <c r="A2224" s="273"/>
      <c r="C2224" s="267"/>
    </row>
    <row r="2225" spans="1:3" x14ac:dyDescent="0.3">
      <c r="A2225" s="273"/>
      <c r="C2225" s="267"/>
    </row>
    <row r="2226" spans="1:3" x14ac:dyDescent="0.3">
      <c r="A2226" s="273"/>
      <c r="C2226" s="267"/>
    </row>
    <row r="2227" spans="1:3" x14ac:dyDescent="0.3">
      <c r="A2227" s="273"/>
      <c r="C2227" s="267"/>
    </row>
    <row r="2228" spans="1:3" x14ac:dyDescent="0.3">
      <c r="A2228" s="273"/>
      <c r="C2228" s="267"/>
    </row>
    <row r="2229" spans="1:3" x14ac:dyDescent="0.3">
      <c r="A2229" s="273"/>
      <c r="C2229" s="267"/>
    </row>
    <row r="2230" spans="1:3" x14ac:dyDescent="0.3">
      <c r="A2230" s="273"/>
      <c r="C2230" s="267"/>
    </row>
    <row r="2231" spans="1:3" x14ac:dyDescent="0.3">
      <c r="A2231" s="273"/>
      <c r="C2231" s="267"/>
    </row>
    <row r="2232" spans="1:3" x14ac:dyDescent="0.3">
      <c r="A2232" s="273"/>
      <c r="C2232" s="267"/>
    </row>
    <row r="2233" spans="1:3" x14ac:dyDescent="0.3">
      <c r="A2233" s="273"/>
      <c r="C2233" s="267"/>
    </row>
    <row r="2234" spans="1:3" x14ac:dyDescent="0.3">
      <c r="A2234" s="273"/>
      <c r="C2234" s="267"/>
    </row>
    <row r="2235" spans="1:3" x14ac:dyDescent="0.3">
      <c r="A2235" s="273"/>
      <c r="C2235" s="267"/>
    </row>
    <row r="2236" spans="1:3" x14ac:dyDescent="0.3">
      <c r="A2236" s="273"/>
      <c r="C2236" s="267"/>
    </row>
    <row r="2237" spans="1:3" x14ac:dyDescent="0.3">
      <c r="A2237" s="273"/>
      <c r="C2237" s="267"/>
    </row>
    <row r="2238" spans="1:3" x14ac:dyDescent="0.3">
      <c r="A2238" s="273"/>
      <c r="C2238" s="267"/>
    </row>
    <row r="2239" spans="1:3" x14ac:dyDescent="0.3">
      <c r="A2239" s="273"/>
      <c r="C2239" s="267"/>
    </row>
    <row r="2240" spans="1:3" x14ac:dyDescent="0.3">
      <c r="A2240" s="273"/>
      <c r="C2240" s="267"/>
    </row>
    <row r="2241" spans="1:3" x14ac:dyDescent="0.3">
      <c r="A2241" s="273"/>
      <c r="C2241" s="267"/>
    </row>
    <row r="2242" spans="1:3" x14ac:dyDescent="0.3">
      <c r="A2242" s="273"/>
      <c r="C2242" s="267"/>
    </row>
    <row r="2243" spans="1:3" x14ac:dyDescent="0.3">
      <c r="A2243" s="273"/>
      <c r="C2243" s="267"/>
    </row>
    <row r="2244" spans="1:3" x14ac:dyDescent="0.3">
      <c r="A2244" s="273"/>
      <c r="C2244" s="267"/>
    </row>
    <row r="2245" spans="1:3" x14ac:dyDescent="0.3">
      <c r="A2245" s="273"/>
      <c r="C2245" s="267"/>
    </row>
    <row r="2246" spans="1:3" x14ac:dyDescent="0.3">
      <c r="A2246" s="273"/>
      <c r="C2246" s="267"/>
    </row>
    <row r="2247" spans="1:3" x14ac:dyDescent="0.3">
      <c r="A2247" s="273"/>
      <c r="C2247" s="267"/>
    </row>
    <row r="2248" spans="1:3" x14ac:dyDescent="0.3">
      <c r="A2248" s="273"/>
      <c r="C2248" s="267"/>
    </row>
    <row r="2249" spans="1:3" x14ac:dyDescent="0.3">
      <c r="A2249" s="273"/>
      <c r="C2249" s="267"/>
    </row>
    <row r="2250" spans="1:3" x14ac:dyDescent="0.3">
      <c r="A2250" s="273"/>
      <c r="C2250" s="267"/>
    </row>
    <row r="2251" spans="1:3" x14ac:dyDescent="0.3">
      <c r="A2251" s="273"/>
      <c r="C2251" s="267"/>
    </row>
    <row r="2252" spans="1:3" x14ac:dyDescent="0.3">
      <c r="A2252" s="273"/>
      <c r="C2252" s="267"/>
    </row>
    <row r="2253" spans="1:3" x14ac:dyDescent="0.3">
      <c r="A2253" s="273"/>
      <c r="C2253" s="267"/>
    </row>
    <row r="2254" spans="1:3" x14ac:dyDescent="0.3">
      <c r="A2254" s="273"/>
      <c r="C2254" s="267"/>
    </row>
    <row r="2255" spans="1:3" x14ac:dyDescent="0.3">
      <c r="A2255" s="273"/>
      <c r="C2255" s="267"/>
    </row>
    <row r="2256" spans="1:3" x14ac:dyDescent="0.3">
      <c r="A2256" s="273"/>
      <c r="C2256" s="267"/>
    </row>
    <row r="2257" spans="1:3" x14ac:dyDescent="0.3">
      <c r="A2257" s="273"/>
      <c r="C2257" s="267"/>
    </row>
    <row r="2258" spans="1:3" x14ac:dyDescent="0.3">
      <c r="A2258" s="273"/>
      <c r="C2258" s="267"/>
    </row>
    <row r="2259" spans="1:3" x14ac:dyDescent="0.3">
      <c r="A2259" s="273"/>
      <c r="C2259" s="267"/>
    </row>
    <row r="2260" spans="1:3" x14ac:dyDescent="0.3">
      <c r="A2260" s="273"/>
      <c r="C2260" s="267"/>
    </row>
    <row r="2261" spans="1:3" x14ac:dyDescent="0.3">
      <c r="A2261" s="273"/>
      <c r="C2261" s="267"/>
    </row>
    <row r="2262" spans="1:3" x14ac:dyDescent="0.3">
      <c r="A2262" s="273"/>
      <c r="C2262" s="267"/>
    </row>
    <row r="2263" spans="1:3" x14ac:dyDescent="0.3">
      <c r="A2263" s="273"/>
      <c r="C2263" s="267"/>
    </row>
    <row r="2264" spans="1:3" x14ac:dyDescent="0.3">
      <c r="A2264" s="273"/>
      <c r="C2264" s="267"/>
    </row>
    <row r="2265" spans="1:3" x14ac:dyDescent="0.3">
      <c r="A2265" s="273"/>
      <c r="C2265" s="267"/>
    </row>
    <row r="2266" spans="1:3" x14ac:dyDescent="0.3">
      <c r="A2266" s="273"/>
      <c r="C2266" s="267"/>
    </row>
    <row r="2267" spans="1:3" x14ac:dyDescent="0.3">
      <c r="A2267" s="273"/>
      <c r="C2267" s="267"/>
    </row>
    <row r="2268" spans="1:3" x14ac:dyDescent="0.3">
      <c r="A2268" s="273"/>
      <c r="C2268" s="267"/>
    </row>
    <row r="2269" spans="1:3" x14ac:dyDescent="0.3">
      <c r="A2269" s="273"/>
      <c r="C2269" s="267"/>
    </row>
    <row r="2270" spans="1:3" x14ac:dyDescent="0.3">
      <c r="A2270" s="273"/>
      <c r="C2270" s="267"/>
    </row>
    <row r="2271" spans="1:3" x14ac:dyDescent="0.3">
      <c r="A2271" s="273"/>
      <c r="C2271" s="267"/>
    </row>
    <row r="2272" spans="1:3" x14ac:dyDescent="0.3">
      <c r="A2272" s="273"/>
      <c r="C2272" s="267"/>
    </row>
    <row r="2273" spans="1:3" x14ac:dyDescent="0.3">
      <c r="A2273" s="273"/>
      <c r="C2273" s="267"/>
    </row>
    <row r="2274" spans="1:3" x14ac:dyDescent="0.3">
      <c r="A2274" s="273"/>
      <c r="C2274" s="267"/>
    </row>
    <row r="2275" spans="1:3" x14ac:dyDescent="0.3">
      <c r="A2275" s="273"/>
      <c r="C2275" s="267"/>
    </row>
    <row r="2276" spans="1:3" x14ac:dyDescent="0.3">
      <c r="A2276" s="273"/>
      <c r="C2276" s="267"/>
    </row>
    <row r="2277" spans="1:3" x14ac:dyDescent="0.3">
      <c r="A2277" s="273"/>
      <c r="C2277" s="267"/>
    </row>
    <row r="2278" spans="1:3" x14ac:dyDescent="0.3">
      <c r="A2278" s="273"/>
      <c r="C2278" s="267"/>
    </row>
    <row r="2279" spans="1:3" x14ac:dyDescent="0.3">
      <c r="A2279" s="273"/>
      <c r="C2279" s="267"/>
    </row>
    <row r="2280" spans="1:3" x14ac:dyDescent="0.3">
      <c r="A2280" s="273"/>
      <c r="C2280" s="267"/>
    </row>
    <row r="2281" spans="1:3" x14ac:dyDescent="0.3">
      <c r="A2281" s="273"/>
      <c r="C2281" s="267"/>
    </row>
    <row r="2282" spans="1:3" x14ac:dyDescent="0.3">
      <c r="A2282" s="273"/>
      <c r="C2282" s="267"/>
    </row>
    <row r="2283" spans="1:3" x14ac:dyDescent="0.3">
      <c r="A2283" s="273"/>
      <c r="C2283" s="267"/>
    </row>
    <row r="2284" spans="1:3" x14ac:dyDescent="0.3">
      <c r="A2284" s="273"/>
      <c r="C2284" s="267"/>
    </row>
    <row r="2285" spans="1:3" x14ac:dyDescent="0.3">
      <c r="A2285" s="273"/>
      <c r="C2285" s="267"/>
    </row>
    <row r="2286" spans="1:3" x14ac:dyDescent="0.3">
      <c r="A2286" s="273"/>
      <c r="C2286" s="267"/>
    </row>
    <row r="2287" spans="1:3" x14ac:dyDescent="0.3">
      <c r="A2287" s="273"/>
      <c r="C2287" s="267"/>
    </row>
    <row r="2288" spans="1:3" x14ac:dyDescent="0.3">
      <c r="A2288" s="273"/>
      <c r="C2288" s="267"/>
    </row>
    <row r="2289" spans="1:3" x14ac:dyDescent="0.3">
      <c r="A2289" s="273"/>
      <c r="C2289" s="267"/>
    </row>
    <row r="2290" spans="1:3" x14ac:dyDescent="0.3">
      <c r="A2290" s="273"/>
      <c r="C2290" s="267"/>
    </row>
    <row r="2291" spans="1:3" x14ac:dyDescent="0.3">
      <c r="A2291" s="273"/>
      <c r="C2291" s="267"/>
    </row>
    <row r="2292" spans="1:3" x14ac:dyDescent="0.3">
      <c r="A2292" s="273"/>
      <c r="C2292" s="267"/>
    </row>
    <row r="2293" spans="1:3" x14ac:dyDescent="0.3">
      <c r="A2293" s="273"/>
      <c r="C2293" s="267"/>
    </row>
    <row r="2294" spans="1:3" x14ac:dyDescent="0.3">
      <c r="A2294" s="273"/>
      <c r="C2294" s="267"/>
    </row>
    <row r="2295" spans="1:3" x14ac:dyDescent="0.3">
      <c r="A2295" s="273"/>
      <c r="C2295" s="267"/>
    </row>
    <row r="2296" spans="1:3" x14ac:dyDescent="0.3">
      <c r="A2296" s="273"/>
      <c r="C2296" s="267"/>
    </row>
    <row r="2297" spans="1:3" x14ac:dyDescent="0.3">
      <c r="A2297" s="273"/>
      <c r="C2297" s="267"/>
    </row>
    <row r="2298" spans="1:3" x14ac:dyDescent="0.3">
      <c r="A2298" s="273"/>
      <c r="C2298" s="267"/>
    </row>
    <row r="2299" spans="1:3" x14ac:dyDescent="0.3">
      <c r="A2299" s="273"/>
      <c r="C2299" s="267"/>
    </row>
    <row r="2300" spans="1:3" x14ac:dyDescent="0.3">
      <c r="A2300" s="273"/>
      <c r="C2300" s="267"/>
    </row>
    <row r="2301" spans="1:3" x14ac:dyDescent="0.3">
      <c r="A2301" s="273"/>
      <c r="C2301" s="267"/>
    </row>
    <row r="2302" spans="1:3" x14ac:dyDescent="0.3">
      <c r="A2302" s="273"/>
      <c r="C2302" s="267"/>
    </row>
    <row r="2303" spans="1:3" x14ac:dyDescent="0.3">
      <c r="A2303" s="273"/>
      <c r="C2303" s="267"/>
    </row>
    <row r="2304" spans="1:3" x14ac:dyDescent="0.3">
      <c r="A2304" s="273"/>
      <c r="C2304" s="267"/>
    </row>
    <row r="2305" spans="1:3" x14ac:dyDescent="0.3">
      <c r="A2305" s="273"/>
      <c r="C2305" s="267"/>
    </row>
    <row r="2306" spans="1:3" x14ac:dyDescent="0.3">
      <c r="A2306" s="273"/>
      <c r="C2306" s="267"/>
    </row>
    <row r="2307" spans="1:3" x14ac:dyDescent="0.3">
      <c r="A2307" s="273"/>
      <c r="C2307" s="267"/>
    </row>
    <row r="2308" spans="1:3" x14ac:dyDescent="0.3">
      <c r="A2308" s="273"/>
      <c r="C2308" s="267"/>
    </row>
    <row r="2309" spans="1:3" x14ac:dyDescent="0.3">
      <c r="A2309" s="273"/>
      <c r="C2309" s="267"/>
    </row>
    <row r="2310" spans="1:3" x14ac:dyDescent="0.3">
      <c r="A2310" s="273"/>
      <c r="C2310" s="267"/>
    </row>
    <row r="2311" spans="1:3" x14ac:dyDescent="0.3">
      <c r="A2311" s="273"/>
      <c r="C2311" s="267"/>
    </row>
    <row r="2312" spans="1:3" x14ac:dyDescent="0.3">
      <c r="A2312" s="273"/>
      <c r="C2312" s="267"/>
    </row>
    <row r="2313" spans="1:3" x14ac:dyDescent="0.3">
      <c r="A2313" s="273"/>
      <c r="C2313" s="267"/>
    </row>
    <row r="2314" spans="1:3" x14ac:dyDescent="0.3">
      <c r="A2314" s="273"/>
      <c r="C2314" s="267"/>
    </row>
    <row r="2315" spans="1:3" x14ac:dyDescent="0.3">
      <c r="A2315" s="273"/>
      <c r="C2315" s="267"/>
    </row>
    <row r="2316" spans="1:3" x14ac:dyDescent="0.3">
      <c r="A2316" s="273"/>
      <c r="C2316" s="267"/>
    </row>
    <row r="2317" spans="1:3" x14ac:dyDescent="0.3">
      <c r="A2317" s="273"/>
      <c r="C2317" s="267"/>
    </row>
    <row r="2318" spans="1:3" x14ac:dyDescent="0.3">
      <c r="A2318" s="273"/>
      <c r="C2318" s="267"/>
    </row>
    <row r="2319" spans="1:3" x14ac:dyDescent="0.3">
      <c r="A2319" s="273"/>
      <c r="C2319" s="267"/>
    </row>
    <row r="2320" spans="1:3" x14ac:dyDescent="0.3">
      <c r="A2320" s="273"/>
      <c r="C2320" s="267"/>
    </row>
    <row r="2321" spans="1:3" x14ac:dyDescent="0.3">
      <c r="A2321" s="273"/>
      <c r="C2321" s="267"/>
    </row>
    <row r="2322" spans="1:3" x14ac:dyDescent="0.3">
      <c r="A2322" s="273"/>
      <c r="C2322" s="267"/>
    </row>
    <row r="2323" spans="1:3" x14ac:dyDescent="0.3">
      <c r="A2323" s="273"/>
      <c r="C2323" s="267"/>
    </row>
    <row r="2324" spans="1:3" x14ac:dyDescent="0.3">
      <c r="A2324" s="273"/>
      <c r="C2324" s="267"/>
    </row>
    <row r="2325" spans="1:3" x14ac:dyDescent="0.3">
      <c r="A2325" s="273"/>
      <c r="C2325" s="267"/>
    </row>
    <row r="2326" spans="1:3" x14ac:dyDescent="0.3">
      <c r="A2326" s="273"/>
      <c r="C2326" s="267"/>
    </row>
    <row r="2327" spans="1:3" x14ac:dyDescent="0.3">
      <c r="A2327" s="273"/>
      <c r="C2327" s="267"/>
    </row>
    <row r="2328" spans="1:3" x14ac:dyDescent="0.3">
      <c r="A2328" s="273"/>
      <c r="C2328" s="267"/>
    </row>
    <row r="2329" spans="1:3" x14ac:dyDescent="0.3">
      <c r="A2329" s="273"/>
      <c r="C2329" s="267"/>
    </row>
    <row r="2330" spans="1:3" x14ac:dyDescent="0.3">
      <c r="A2330" s="273"/>
      <c r="C2330" s="267"/>
    </row>
    <row r="2331" spans="1:3" x14ac:dyDescent="0.3">
      <c r="A2331" s="273"/>
      <c r="C2331" s="267"/>
    </row>
    <row r="2332" spans="1:3" x14ac:dyDescent="0.3">
      <c r="A2332" s="273"/>
      <c r="C2332" s="267"/>
    </row>
    <row r="2333" spans="1:3" x14ac:dyDescent="0.3">
      <c r="A2333" s="273"/>
      <c r="C2333" s="267"/>
    </row>
    <row r="2334" spans="1:3" x14ac:dyDescent="0.3">
      <c r="A2334" s="273"/>
      <c r="C2334" s="267"/>
    </row>
    <row r="2335" spans="1:3" x14ac:dyDescent="0.3">
      <c r="A2335" s="273"/>
      <c r="C2335" s="267"/>
    </row>
    <row r="2336" spans="1:3" x14ac:dyDescent="0.3">
      <c r="A2336" s="273"/>
      <c r="C2336" s="267"/>
    </row>
    <row r="2337" spans="1:3" x14ac:dyDescent="0.3">
      <c r="A2337" s="273"/>
      <c r="C2337" s="267"/>
    </row>
    <row r="2338" spans="1:3" x14ac:dyDescent="0.3">
      <c r="A2338" s="273"/>
      <c r="C2338" s="267"/>
    </row>
    <row r="2339" spans="1:3" x14ac:dyDescent="0.3">
      <c r="A2339" s="273"/>
      <c r="C2339" s="267"/>
    </row>
    <row r="2340" spans="1:3" x14ac:dyDescent="0.3">
      <c r="A2340" s="273"/>
      <c r="C2340" s="267"/>
    </row>
    <row r="2341" spans="1:3" x14ac:dyDescent="0.3">
      <c r="A2341" s="273"/>
      <c r="C2341" s="267"/>
    </row>
    <row r="2342" spans="1:3" x14ac:dyDescent="0.3">
      <c r="A2342" s="273"/>
      <c r="C2342" s="267"/>
    </row>
    <row r="2343" spans="1:3" x14ac:dyDescent="0.3">
      <c r="A2343" s="273"/>
      <c r="C2343" s="267"/>
    </row>
    <row r="2344" spans="1:3" x14ac:dyDescent="0.3">
      <c r="A2344" s="273"/>
      <c r="C2344" s="267"/>
    </row>
    <row r="2345" spans="1:3" x14ac:dyDescent="0.3">
      <c r="A2345" s="273"/>
      <c r="C2345" s="267"/>
    </row>
    <row r="2346" spans="1:3" x14ac:dyDescent="0.3">
      <c r="A2346" s="273"/>
      <c r="C2346" s="267"/>
    </row>
    <row r="2347" spans="1:3" x14ac:dyDescent="0.3">
      <c r="A2347" s="273"/>
      <c r="C2347" s="267"/>
    </row>
    <row r="2348" spans="1:3" x14ac:dyDescent="0.3">
      <c r="A2348" s="273"/>
      <c r="C2348" s="267"/>
    </row>
    <row r="2349" spans="1:3" x14ac:dyDescent="0.3">
      <c r="A2349" s="273"/>
      <c r="C2349" s="267"/>
    </row>
    <row r="2350" spans="1:3" x14ac:dyDescent="0.3">
      <c r="A2350" s="273"/>
      <c r="C2350" s="267"/>
    </row>
    <row r="2351" spans="1:3" x14ac:dyDescent="0.3">
      <c r="A2351" s="273"/>
      <c r="C2351" s="267"/>
    </row>
    <row r="2352" spans="1:3" x14ac:dyDescent="0.3">
      <c r="A2352" s="273"/>
      <c r="C2352" s="267"/>
    </row>
    <row r="2353" spans="1:3" x14ac:dyDescent="0.3">
      <c r="A2353" s="273"/>
      <c r="C2353" s="267"/>
    </row>
    <row r="2354" spans="1:3" x14ac:dyDescent="0.3">
      <c r="A2354" s="273"/>
      <c r="C2354" s="267"/>
    </row>
    <row r="2355" spans="1:3" x14ac:dyDescent="0.3">
      <c r="A2355" s="273"/>
      <c r="C2355" s="267"/>
    </row>
    <row r="2356" spans="1:3" x14ac:dyDescent="0.3">
      <c r="A2356" s="273"/>
      <c r="C2356" s="267"/>
    </row>
    <row r="2357" spans="1:3" x14ac:dyDescent="0.3">
      <c r="A2357" s="273"/>
      <c r="C2357" s="267"/>
    </row>
    <row r="2358" spans="1:3" x14ac:dyDescent="0.3">
      <c r="A2358" s="273"/>
      <c r="C2358" s="267"/>
    </row>
    <row r="2359" spans="1:3" x14ac:dyDescent="0.3">
      <c r="A2359" s="273"/>
      <c r="C2359" s="267"/>
    </row>
    <row r="2360" spans="1:3" x14ac:dyDescent="0.3">
      <c r="A2360" s="273"/>
      <c r="C2360" s="267"/>
    </row>
    <row r="2361" spans="1:3" x14ac:dyDescent="0.3">
      <c r="A2361" s="273"/>
      <c r="C2361" s="267"/>
    </row>
    <row r="2362" spans="1:3" x14ac:dyDescent="0.3">
      <c r="A2362" s="273"/>
      <c r="C2362" s="267"/>
    </row>
    <row r="2363" spans="1:3" x14ac:dyDescent="0.3">
      <c r="A2363" s="273"/>
      <c r="C2363" s="267"/>
    </row>
    <row r="2364" spans="1:3" x14ac:dyDescent="0.3">
      <c r="A2364" s="273"/>
      <c r="C2364" s="267"/>
    </row>
    <row r="2365" spans="1:3" x14ac:dyDescent="0.3">
      <c r="A2365" s="273"/>
      <c r="C2365" s="267"/>
    </row>
    <row r="2366" spans="1:3" x14ac:dyDescent="0.3">
      <c r="A2366" s="273"/>
      <c r="C2366" s="267"/>
    </row>
    <row r="2367" spans="1:3" x14ac:dyDescent="0.3">
      <c r="A2367" s="273"/>
      <c r="C2367" s="267"/>
    </row>
    <row r="2368" spans="1:3" x14ac:dyDescent="0.3">
      <c r="A2368" s="273"/>
      <c r="C2368" s="267"/>
    </row>
    <row r="2369" spans="1:3" x14ac:dyDescent="0.3">
      <c r="A2369" s="273"/>
      <c r="C2369" s="267"/>
    </row>
    <row r="2370" spans="1:3" x14ac:dyDescent="0.3">
      <c r="A2370" s="273"/>
      <c r="C2370" s="267"/>
    </row>
    <row r="2371" spans="1:3" x14ac:dyDescent="0.3">
      <c r="A2371" s="273"/>
      <c r="C2371" s="267"/>
    </row>
    <row r="2372" spans="1:3" x14ac:dyDescent="0.3">
      <c r="A2372" s="273"/>
      <c r="C2372" s="267"/>
    </row>
    <row r="2373" spans="1:3" x14ac:dyDescent="0.3">
      <c r="A2373" s="273"/>
      <c r="C2373" s="267"/>
    </row>
    <row r="2374" spans="1:3" x14ac:dyDescent="0.3">
      <c r="A2374" s="273"/>
      <c r="C2374" s="267"/>
    </row>
    <row r="2375" spans="1:3" x14ac:dyDescent="0.3">
      <c r="A2375" s="273"/>
      <c r="C2375" s="267"/>
    </row>
    <row r="2376" spans="1:3" x14ac:dyDescent="0.3">
      <c r="A2376" s="273"/>
      <c r="C2376" s="267"/>
    </row>
    <row r="2377" spans="1:3" x14ac:dyDescent="0.3">
      <c r="A2377" s="273"/>
      <c r="C2377" s="267"/>
    </row>
    <row r="2378" spans="1:3" x14ac:dyDescent="0.3">
      <c r="A2378" s="273"/>
      <c r="C2378" s="267"/>
    </row>
    <row r="2379" spans="1:3" x14ac:dyDescent="0.3">
      <c r="A2379" s="273"/>
      <c r="C2379" s="267"/>
    </row>
    <row r="2380" spans="1:3" x14ac:dyDescent="0.3">
      <c r="A2380" s="273"/>
      <c r="C2380" s="267"/>
    </row>
    <row r="2381" spans="1:3" x14ac:dyDescent="0.3">
      <c r="A2381" s="273"/>
      <c r="C2381" s="267"/>
    </row>
    <row r="2382" spans="1:3" x14ac:dyDescent="0.3">
      <c r="A2382" s="273"/>
      <c r="C2382" s="267"/>
    </row>
    <row r="2383" spans="1:3" x14ac:dyDescent="0.3">
      <c r="A2383" s="273"/>
      <c r="C2383" s="267"/>
    </row>
    <row r="2384" spans="1:3" x14ac:dyDescent="0.3">
      <c r="A2384" s="273"/>
      <c r="C2384" s="267"/>
    </row>
    <row r="2385" spans="1:3" x14ac:dyDescent="0.3">
      <c r="A2385" s="273"/>
      <c r="C2385" s="267"/>
    </row>
    <row r="2386" spans="1:3" x14ac:dyDescent="0.3">
      <c r="A2386" s="273"/>
      <c r="C2386" s="267"/>
    </row>
    <row r="2387" spans="1:3" x14ac:dyDescent="0.3">
      <c r="A2387" s="273"/>
      <c r="C2387" s="267"/>
    </row>
    <row r="2388" spans="1:3" x14ac:dyDescent="0.3">
      <c r="A2388" s="273"/>
      <c r="C2388" s="267"/>
    </row>
    <row r="2389" spans="1:3" x14ac:dyDescent="0.3">
      <c r="A2389" s="273"/>
      <c r="C2389" s="267"/>
    </row>
    <row r="2390" spans="1:3" x14ac:dyDescent="0.3">
      <c r="A2390" s="273"/>
      <c r="C2390" s="267"/>
    </row>
    <row r="2391" spans="1:3" x14ac:dyDescent="0.3">
      <c r="A2391" s="273"/>
      <c r="C2391" s="267"/>
    </row>
    <row r="2392" spans="1:3" x14ac:dyDescent="0.3">
      <c r="A2392" s="273"/>
      <c r="C2392" s="267"/>
    </row>
    <row r="2393" spans="1:3" x14ac:dyDescent="0.3">
      <c r="A2393" s="273"/>
      <c r="C2393" s="267"/>
    </row>
    <row r="2394" spans="1:3" x14ac:dyDescent="0.3">
      <c r="A2394" s="273"/>
      <c r="C2394" s="267"/>
    </row>
    <row r="2395" spans="1:3" x14ac:dyDescent="0.3">
      <c r="A2395" s="273"/>
      <c r="C2395" s="267"/>
    </row>
    <row r="2396" spans="1:3" x14ac:dyDescent="0.3">
      <c r="A2396" s="273"/>
      <c r="C2396" s="267"/>
    </row>
    <row r="2397" spans="1:3" x14ac:dyDescent="0.3">
      <c r="A2397" s="273"/>
      <c r="C2397" s="267"/>
    </row>
    <row r="2398" spans="1:3" x14ac:dyDescent="0.3">
      <c r="A2398" s="273"/>
      <c r="C2398" s="267"/>
    </row>
    <row r="2399" spans="1:3" x14ac:dyDescent="0.3">
      <c r="A2399" s="273"/>
      <c r="C2399" s="267"/>
    </row>
    <row r="2400" spans="1:3" x14ac:dyDescent="0.3">
      <c r="A2400" s="273"/>
      <c r="C2400" s="267"/>
    </row>
    <row r="2401" spans="1:3" x14ac:dyDescent="0.3">
      <c r="A2401" s="273"/>
      <c r="C2401" s="267"/>
    </row>
    <row r="2402" spans="1:3" x14ac:dyDescent="0.3">
      <c r="A2402" s="273"/>
      <c r="C2402" s="267"/>
    </row>
    <row r="2403" spans="1:3" x14ac:dyDescent="0.3">
      <c r="A2403" s="273"/>
      <c r="C2403" s="267"/>
    </row>
    <row r="2404" spans="1:3" x14ac:dyDescent="0.3">
      <c r="A2404" s="273"/>
      <c r="C2404" s="267"/>
    </row>
    <row r="2405" spans="1:3" x14ac:dyDescent="0.3">
      <c r="A2405" s="273"/>
      <c r="C2405" s="267"/>
    </row>
    <row r="2406" spans="1:3" x14ac:dyDescent="0.3">
      <c r="A2406" s="273"/>
      <c r="C2406" s="267"/>
    </row>
    <row r="2407" spans="1:3" x14ac:dyDescent="0.3">
      <c r="A2407" s="273"/>
      <c r="C2407" s="267"/>
    </row>
    <row r="2408" spans="1:3" x14ac:dyDescent="0.3">
      <c r="A2408" s="273"/>
      <c r="C2408" s="267"/>
    </row>
    <row r="2409" spans="1:3" x14ac:dyDescent="0.3">
      <c r="A2409" s="273"/>
      <c r="C2409" s="267"/>
    </row>
    <row r="2410" spans="1:3" x14ac:dyDescent="0.3">
      <c r="A2410" s="273"/>
      <c r="C2410" s="267"/>
    </row>
    <row r="2411" spans="1:3" x14ac:dyDescent="0.3">
      <c r="A2411" s="273"/>
      <c r="C2411" s="267"/>
    </row>
    <row r="2412" spans="1:3" x14ac:dyDescent="0.3">
      <c r="A2412" s="273"/>
      <c r="C2412" s="267"/>
    </row>
    <row r="2413" spans="1:3" x14ac:dyDescent="0.3">
      <c r="A2413" s="273"/>
      <c r="C2413" s="267"/>
    </row>
    <row r="2414" spans="1:3" x14ac:dyDescent="0.3">
      <c r="A2414" s="273"/>
      <c r="C2414" s="267"/>
    </row>
    <row r="2415" spans="1:3" x14ac:dyDescent="0.3">
      <c r="A2415" s="273"/>
      <c r="C2415" s="267"/>
    </row>
    <row r="2416" spans="1:3" x14ac:dyDescent="0.3">
      <c r="A2416" s="273"/>
      <c r="C2416" s="267"/>
    </row>
    <row r="2417" spans="1:3" x14ac:dyDescent="0.3">
      <c r="A2417" s="273"/>
      <c r="C2417" s="267"/>
    </row>
    <row r="2418" spans="1:3" x14ac:dyDescent="0.3">
      <c r="A2418" s="273"/>
      <c r="C2418" s="267"/>
    </row>
    <row r="2419" spans="1:3" x14ac:dyDescent="0.3">
      <c r="A2419" s="273"/>
      <c r="C2419" s="267"/>
    </row>
    <row r="2420" spans="1:3" x14ac:dyDescent="0.3">
      <c r="A2420" s="273"/>
      <c r="C2420" s="267"/>
    </row>
    <row r="2421" spans="1:3" x14ac:dyDescent="0.3">
      <c r="A2421" s="273"/>
      <c r="C2421" s="267"/>
    </row>
    <row r="2422" spans="1:3" x14ac:dyDescent="0.3">
      <c r="A2422" s="273"/>
      <c r="C2422" s="267"/>
    </row>
    <row r="2423" spans="1:3" x14ac:dyDescent="0.3">
      <c r="A2423" s="273"/>
      <c r="C2423" s="267"/>
    </row>
    <row r="2424" spans="1:3" x14ac:dyDescent="0.3">
      <c r="A2424" s="273"/>
      <c r="C2424" s="267"/>
    </row>
    <row r="2425" spans="1:3" x14ac:dyDescent="0.3">
      <c r="A2425" s="273"/>
      <c r="C2425" s="267"/>
    </row>
    <row r="2426" spans="1:3" x14ac:dyDescent="0.3">
      <c r="A2426" s="273"/>
      <c r="C2426" s="267"/>
    </row>
    <row r="2427" spans="1:3" x14ac:dyDescent="0.3">
      <c r="A2427" s="273"/>
      <c r="C2427" s="267"/>
    </row>
    <row r="2428" spans="1:3" x14ac:dyDescent="0.3">
      <c r="A2428" s="273"/>
      <c r="C2428" s="267"/>
    </row>
    <row r="2429" spans="1:3" x14ac:dyDescent="0.3">
      <c r="A2429" s="273"/>
      <c r="C2429" s="267"/>
    </row>
    <row r="2430" spans="1:3" x14ac:dyDescent="0.3">
      <c r="A2430" s="273"/>
      <c r="C2430" s="267"/>
    </row>
    <row r="2431" spans="1:3" x14ac:dyDescent="0.3">
      <c r="A2431" s="273"/>
      <c r="C2431" s="267"/>
    </row>
    <row r="2432" spans="1:3" x14ac:dyDescent="0.3">
      <c r="A2432" s="273"/>
      <c r="C2432" s="267"/>
    </row>
    <row r="2433" spans="1:3" x14ac:dyDescent="0.3">
      <c r="A2433" s="273"/>
      <c r="C2433" s="267"/>
    </row>
    <row r="2434" spans="1:3" x14ac:dyDescent="0.3">
      <c r="A2434" s="273"/>
      <c r="C2434" s="267"/>
    </row>
    <row r="2435" spans="1:3" x14ac:dyDescent="0.3">
      <c r="A2435" s="273"/>
      <c r="C2435" s="267"/>
    </row>
    <row r="2436" spans="1:3" x14ac:dyDescent="0.3">
      <c r="A2436" s="273"/>
      <c r="C2436" s="267"/>
    </row>
    <row r="2437" spans="1:3" x14ac:dyDescent="0.3">
      <c r="A2437" s="273"/>
      <c r="C2437" s="267"/>
    </row>
    <row r="2438" spans="1:3" x14ac:dyDescent="0.3">
      <c r="A2438" s="273"/>
      <c r="C2438" s="267"/>
    </row>
    <row r="2439" spans="1:3" x14ac:dyDescent="0.3">
      <c r="A2439" s="273"/>
      <c r="C2439" s="267"/>
    </row>
    <row r="2440" spans="1:3" x14ac:dyDescent="0.3">
      <c r="A2440" s="273"/>
      <c r="C2440" s="267"/>
    </row>
    <row r="2441" spans="1:3" x14ac:dyDescent="0.3">
      <c r="A2441" s="273"/>
      <c r="C2441" s="267"/>
    </row>
    <row r="2442" spans="1:3" x14ac:dyDescent="0.3">
      <c r="A2442" s="273"/>
      <c r="C2442" s="267"/>
    </row>
    <row r="2443" spans="1:3" x14ac:dyDescent="0.3">
      <c r="A2443" s="273"/>
      <c r="C2443" s="267"/>
    </row>
    <row r="2444" spans="1:3" x14ac:dyDescent="0.3">
      <c r="A2444" s="273"/>
      <c r="C2444" s="267"/>
    </row>
    <row r="2445" spans="1:3" x14ac:dyDescent="0.3">
      <c r="A2445" s="273"/>
      <c r="C2445" s="267"/>
    </row>
    <row r="2446" spans="1:3" x14ac:dyDescent="0.3">
      <c r="A2446" s="273"/>
      <c r="C2446" s="267"/>
    </row>
    <row r="2447" spans="1:3" x14ac:dyDescent="0.3">
      <c r="A2447" s="273"/>
      <c r="C2447" s="267"/>
    </row>
    <row r="2448" spans="1:3" x14ac:dyDescent="0.3">
      <c r="A2448" s="273"/>
      <c r="C2448" s="267"/>
    </row>
    <row r="2449" spans="1:3" x14ac:dyDescent="0.3">
      <c r="A2449" s="273"/>
      <c r="C2449" s="267"/>
    </row>
    <row r="2450" spans="1:3" x14ac:dyDescent="0.3">
      <c r="A2450" s="273"/>
      <c r="C2450" s="267"/>
    </row>
    <row r="2451" spans="1:3" x14ac:dyDescent="0.3">
      <c r="A2451" s="273"/>
      <c r="C2451" s="267"/>
    </row>
    <row r="2452" spans="1:3" x14ac:dyDescent="0.3">
      <c r="A2452" s="273"/>
      <c r="C2452" s="267"/>
    </row>
    <row r="2453" spans="1:3" x14ac:dyDescent="0.3">
      <c r="A2453" s="273"/>
      <c r="C2453" s="267"/>
    </row>
    <row r="2454" spans="1:3" x14ac:dyDescent="0.3">
      <c r="A2454" s="273"/>
      <c r="C2454" s="267"/>
    </row>
    <row r="2455" spans="1:3" x14ac:dyDescent="0.3">
      <c r="A2455" s="273"/>
      <c r="C2455" s="267"/>
    </row>
    <row r="2456" spans="1:3" x14ac:dyDescent="0.3">
      <c r="A2456" s="273"/>
      <c r="C2456" s="267"/>
    </row>
    <row r="2457" spans="1:3" x14ac:dyDescent="0.3">
      <c r="A2457" s="273"/>
      <c r="C2457" s="267"/>
    </row>
    <row r="2458" spans="1:3" x14ac:dyDescent="0.3">
      <c r="A2458" s="273"/>
      <c r="C2458" s="267"/>
    </row>
    <row r="2459" spans="1:3" x14ac:dyDescent="0.3">
      <c r="A2459" s="273"/>
      <c r="C2459" s="267"/>
    </row>
    <row r="2460" spans="1:3" x14ac:dyDescent="0.3">
      <c r="A2460" s="273"/>
      <c r="C2460" s="267"/>
    </row>
    <row r="2461" spans="1:3" x14ac:dyDescent="0.3">
      <c r="A2461" s="273"/>
      <c r="C2461" s="267"/>
    </row>
    <row r="2462" spans="1:3" x14ac:dyDescent="0.3">
      <c r="A2462" s="273"/>
      <c r="C2462" s="267"/>
    </row>
    <row r="2463" spans="1:3" x14ac:dyDescent="0.3">
      <c r="A2463" s="273"/>
      <c r="C2463" s="267"/>
    </row>
    <row r="2464" spans="1:3" x14ac:dyDescent="0.3">
      <c r="A2464" s="273"/>
      <c r="C2464" s="267"/>
    </row>
    <row r="2465" spans="1:3" x14ac:dyDescent="0.3">
      <c r="A2465" s="273"/>
      <c r="C2465" s="267"/>
    </row>
    <row r="2466" spans="1:3" x14ac:dyDescent="0.3">
      <c r="A2466" s="273"/>
      <c r="C2466" s="267"/>
    </row>
    <row r="2467" spans="1:3" x14ac:dyDescent="0.3">
      <c r="A2467" s="273"/>
      <c r="C2467" s="267"/>
    </row>
    <row r="2468" spans="1:3" x14ac:dyDescent="0.3">
      <c r="A2468" s="273"/>
      <c r="C2468" s="267"/>
    </row>
    <row r="2469" spans="1:3" x14ac:dyDescent="0.3">
      <c r="A2469" s="273"/>
      <c r="C2469" s="267"/>
    </row>
    <row r="2470" spans="1:3" x14ac:dyDescent="0.3">
      <c r="A2470" s="273"/>
      <c r="C2470" s="267"/>
    </row>
    <row r="2471" spans="1:3" x14ac:dyDescent="0.3">
      <c r="A2471" s="273"/>
      <c r="C2471" s="267"/>
    </row>
    <row r="2472" spans="1:3" x14ac:dyDescent="0.3">
      <c r="A2472" s="273"/>
      <c r="C2472" s="267"/>
    </row>
    <row r="2473" spans="1:3" x14ac:dyDescent="0.3">
      <c r="A2473" s="273"/>
      <c r="C2473" s="267"/>
    </row>
    <row r="2474" spans="1:3" x14ac:dyDescent="0.3">
      <c r="A2474" s="273"/>
      <c r="C2474" s="267"/>
    </row>
    <row r="2475" spans="1:3" x14ac:dyDescent="0.3">
      <c r="A2475" s="273"/>
      <c r="C2475" s="267"/>
    </row>
    <row r="2476" spans="1:3" x14ac:dyDescent="0.3">
      <c r="A2476" s="273"/>
      <c r="C2476" s="267"/>
    </row>
    <row r="2477" spans="1:3" x14ac:dyDescent="0.3">
      <c r="A2477" s="273"/>
      <c r="C2477" s="267"/>
    </row>
    <row r="2478" spans="1:3" x14ac:dyDescent="0.3">
      <c r="A2478" s="273"/>
      <c r="C2478" s="267"/>
    </row>
    <row r="2479" spans="1:3" x14ac:dyDescent="0.3">
      <c r="A2479" s="273"/>
      <c r="C2479" s="267"/>
    </row>
    <row r="2480" spans="1:3" x14ac:dyDescent="0.3">
      <c r="A2480" s="273"/>
      <c r="C2480" s="267"/>
    </row>
    <row r="2481" spans="1:3" x14ac:dyDescent="0.3">
      <c r="A2481" s="273"/>
      <c r="C2481" s="267"/>
    </row>
    <row r="2482" spans="1:3" x14ac:dyDescent="0.3">
      <c r="A2482" s="273"/>
      <c r="C2482" s="267"/>
    </row>
    <row r="2483" spans="1:3" x14ac:dyDescent="0.3">
      <c r="A2483" s="273"/>
      <c r="C2483" s="267"/>
    </row>
    <row r="2484" spans="1:3" x14ac:dyDescent="0.3">
      <c r="A2484" s="273"/>
      <c r="C2484" s="267"/>
    </row>
    <row r="2485" spans="1:3" x14ac:dyDescent="0.3">
      <c r="A2485" s="273"/>
      <c r="C2485" s="267"/>
    </row>
    <row r="2486" spans="1:3" x14ac:dyDescent="0.3">
      <c r="A2486" s="273"/>
      <c r="C2486" s="267"/>
    </row>
    <row r="2487" spans="1:3" x14ac:dyDescent="0.3">
      <c r="A2487" s="273"/>
      <c r="C2487" s="267"/>
    </row>
    <row r="2488" spans="1:3" x14ac:dyDescent="0.3">
      <c r="A2488" s="273"/>
      <c r="C2488" s="267"/>
    </row>
    <row r="2489" spans="1:3" x14ac:dyDescent="0.3">
      <c r="A2489" s="273"/>
      <c r="C2489" s="267"/>
    </row>
    <row r="2490" spans="1:3" x14ac:dyDescent="0.3">
      <c r="A2490" s="273"/>
      <c r="C2490" s="267"/>
    </row>
    <row r="2491" spans="1:3" x14ac:dyDescent="0.3">
      <c r="A2491" s="273"/>
      <c r="C2491" s="267"/>
    </row>
    <row r="2492" spans="1:3" x14ac:dyDescent="0.3">
      <c r="A2492" s="273"/>
      <c r="C2492" s="267"/>
    </row>
    <row r="2493" spans="1:3" x14ac:dyDescent="0.3">
      <c r="A2493" s="273"/>
      <c r="C2493" s="267"/>
    </row>
    <row r="2494" spans="1:3" x14ac:dyDescent="0.3">
      <c r="A2494" s="273"/>
      <c r="C2494" s="267"/>
    </row>
    <row r="2495" spans="1:3" x14ac:dyDescent="0.3">
      <c r="A2495" s="273"/>
      <c r="C2495" s="267"/>
    </row>
    <row r="2496" spans="1:3" x14ac:dyDescent="0.3">
      <c r="A2496" s="273"/>
      <c r="C2496" s="267"/>
    </row>
    <row r="2497" spans="1:3" x14ac:dyDescent="0.3">
      <c r="A2497" s="273"/>
      <c r="C2497" s="267"/>
    </row>
    <row r="2498" spans="1:3" x14ac:dyDescent="0.3">
      <c r="A2498" s="273"/>
      <c r="C2498" s="267"/>
    </row>
    <row r="2499" spans="1:3" x14ac:dyDescent="0.3">
      <c r="A2499" s="273"/>
      <c r="C2499" s="267"/>
    </row>
    <row r="2500" spans="1:3" x14ac:dyDescent="0.3">
      <c r="A2500" s="273"/>
      <c r="C2500" s="267"/>
    </row>
    <row r="31292" spans="2:2" x14ac:dyDescent="0.3">
      <c r="B31292" s="50">
        <v>0</v>
      </c>
    </row>
  </sheetData>
  <mergeCells count="1">
    <mergeCell ref="A1:M1"/>
  </mergeCells>
  <conditionalFormatting sqref="P1:P1048576">
    <cfRule type="colorScale" priority="2">
      <colorScale>
        <cfvo type="min"/>
        <cfvo type="max"/>
        <color theme="0"/>
        <color theme="0"/>
      </colorScale>
    </cfRule>
  </conditionalFormatting>
  <pageMargins left="0" right="0" top="0" bottom="0" header="0.31496062992125984" footer="0.31496062992125984"/>
  <pageSetup scale="99" fitToHeight="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" r:id="rId4" name="TextBox1">
          <controlPr defaultSize="0" autoLine="0" r:id="rId5">
            <anchor moveWithCells="1">
              <from>
                <xdr:col>11</xdr:col>
                <xdr:colOff>0</xdr:colOff>
                <xdr:row>0</xdr:row>
                <xdr:rowOff>15240</xdr:rowOff>
              </from>
              <to>
                <xdr:col>11</xdr:col>
                <xdr:colOff>1531620</xdr:colOff>
                <xdr:row>0</xdr:row>
                <xdr:rowOff>304800</xdr:rowOff>
              </to>
            </anchor>
          </controlPr>
        </control>
      </mc:Choice>
      <mc:Fallback>
        <control shapeId="5124" r:id="rId4" name="TextBox1"/>
      </mc:Fallback>
    </mc:AlternateContent>
    <mc:AlternateContent xmlns:mc="http://schemas.openxmlformats.org/markup-compatibility/2006">
      <mc:Choice Requires="x14">
        <control shapeId="3" r:id="rId6" name="ListBox1">
          <controlPr defaultSize="0" autoLine="0" r:id="rId7">
            <anchor moveWithCells="1">
              <from>
                <xdr:col>37</xdr:col>
                <xdr:colOff>320040</xdr:colOff>
                <xdr:row>0</xdr:row>
                <xdr:rowOff>0</xdr:rowOff>
              </from>
              <to>
                <xdr:col>42</xdr:col>
                <xdr:colOff>281940</xdr:colOff>
                <xdr:row>4</xdr:row>
                <xdr:rowOff>30480</xdr:rowOff>
              </to>
            </anchor>
          </controlPr>
        </control>
      </mc:Choice>
      <mc:Fallback>
        <control shapeId="5126" r:id="rId6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9"/>
  <sheetViews>
    <sheetView topLeftCell="B1" zoomScale="73" zoomScaleNormal="73" workbookViewId="0">
      <pane ySplit="6" topLeftCell="A19" activePane="bottomLeft" state="frozen"/>
      <selection pane="bottomLeft" activeCell="D40" sqref="D40"/>
    </sheetView>
  </sheetViews>
  <sheetFormatPr baseColWidth="10" defaultColWidth="11.5546875" defaultRowHeight="14.4" x14ac:dyDescent="0.3"/>
  <cols>
    <col min="1" max="1" width="14.6640625" style="4" hidden="1" customWidth="1"/>
    <col min="2" max="2" width="50.33203125" style="4" bestFit="1" customWidth="1"/>
    <col min="3" max="3" width="29.88671875" style="4" customWidth="1"/>
    <col min="4" max="4" width="35.33203125" style="3" customWidth="1"/>
    <col min="5" max="5" width="52.88671875" style="3" customWidth="1"/>
    <col min="6" max="6" width="12.5546875" style="4" bestFit="1" customWidth="1"/>
    <col min="7" max="7" width="24.109375" style="4" customWidth="1"/>
    <col min="8" max="8" width="18.33203125" style="4" customWidth="1"/>
    <col min="9" max="9" width="39.33203125" style="4" customWidth="1"/>
    <col min="10" max="10" width="23.5546875" style="4" customWidth="1"/>
    <col min="11" max="11" width="13.33203125" style="4" customWidth="1"/>
    <col min="12" max="12" width="10.109375" style="4" bestFit="1" customWidth="1"/>
    <col min="13" max="13" width="15.88671875" style="4" bestFit="1" customWidth="1"/>
    <col min="14" max="14" width="10.109375" style="4" bestFit="1" customWidth="1"/>
    <col min="15" max="15" width="28.6640625" style="4" bestFit="1" customWidth="1"/>
    <col min="16" max="16" width="10.109375" style="4" bestFit="1" customWidth="1"/>
    <col min="17" max="17" width="29.33203125" style="4" bestFit="1" customWidth="1"/>
    <col min="18" max="18" width="10.88671875" style="4" bestFit="1" customWidth="1"/>
    <col min="19" max="19" width="29.33203125" style="4" bestFit="1" customWidth="1"/>
    <col min="20" max="20" width="10.109375" style="4" bestFit="1" customWidth="1"/>
    <col min="21" max="21" width="14.5546875" style="4" customWidth="1"/>
    <col min="22" max="16384" width="11.5546875" style="4"/>
  </cols>
  <sheetData>
    <row r="1" spans="1:22" ht="14.4" customHeight="1" x14ac:dyDescent="0.3">
      <c r="C1"/>
      <c r="D1" s="5"/>
      <c r="E1" s="5"/>
    </row>
    <row r="2" spans="1:22" ht="14.4" customHeight="1" x14ac:dyDescent="0.3">
      <c r="C2" t="e">
        <f>IF(A2='Suivi de commande'!#REF!,"")</f>
        <v>#REF!</v>
      </c>
      <c r="D2" s="5"/>
      <c r="E2" s="5"/>
    </row>
    <row r="3" spans="1:22" ht="14.4" customHeight="1" x14ac:dyDescent="0.3">
      <c r="C3"/>
      <c r="D3" s="5"/>
      <c r="E3" s="5"/>
    </row>
    <row r="4" spans="1:22" x14ac:dyDescent="0.3">
      <c r="C4"/>
      <c r="D4" s="2"/>
      <c r="E4" s="2"/>
    </row>
    <row r="5" spans="1:22" x14ac:dyDescent="0.3">
      <c r="C5" s="1"/>
      <c r="D5" s="2"/>
      <c r="E5" s="2"/>
    </row>
    <row r="6" spans="1:22" ht="42" customHeight="1" x14ac:dyDescent="0.35">
      <c r="A6" s="170" t="s">
        <v>2</v>
      </c>
      <c r="B6" s="139" t="s">
        <v>179</v>
      </c>
      <c r="C6" s="139" t="s">
        <v>3</v>
      </c>
      <c r="D6" s="140" t="s">
        <v>4</v>
      </c>
      <c r="E6" s="140" t="s">
        <v>5</v>
      </c>
      <c r="F6" s="139" t="s">
        <v>6</v>
      </c>
      <c r="G6" s="139" t="s">
        <v>0</v>
      </c>
      <c r="H6" s="139" t="s">
        <v>7</v>
      </c>
      <c r="I6" s="139" t="s">
        <v>8</v>
      </c>
      <c r="J6" s="139" t="s">
        <v>9</v>
      </c>
      <c r="K6" s="139" t="s">
        <v>10</v>
      </c>
      <c r="L6" s="139" t="s">
        <v>72</v>
      </c>
      <c r="M6" s="139" t="s">
        <v>145</v>
      </c>
      <c r="N6" s="44"/>
      <c r="O6" s="44"/>
      <c r="P6" s="44"/>
      <c r="Q6" s="44"/>
      <c r="R6" s="44"/>
      <c r="S6" s="44"/>
      <c r="T6" s="44"/>
      <c r="U6" s="44"/>
      <c r="V6" s="43"/>
    </row>
    <row r="7" spans="1:22" ht="18" x14ac:dyDescent="0.35">
      <c r="A7" s="154">
        <f>WEEKNUM(J7)</f>
        <v>0</v>
      </c>
      <c r="B7" s="141"/>
      <c r="C7" s="142"/>
      <c r="D7" s="277"/>
      <c r="E7" s="277"/>
      <c r="F7" s="142"/>
      <c r="G7" s="142"/>
      <c r="H7" s="142"/>
      <c r="I7" s="148"/>
      <c r="J7" s="143"/>
      <c r="K7" s="46"/>
      <c r="L7" s="46"/>
      <c r="M7" s="46"/>
      <c r="N7" s="41"/>
      <c r="O7" s="41"/>
      <c r="P7" s="41"/>
      <c r="Q7" s="41"/>
      <c r="R7" s="41"/>
      <c r="S7" s="41"/>
      <c r="T7" s="41"/>
      <c r="U7" s="41"/>
    </row>
    <row r="8" spans="1:22" ht="18" x14ac:dyDescent="0.35">
      <c r="A8" s="154">
        <f t="shared" ref="A8:A25" si="0">WEEKNUM(J8)</f>
        <v>0</v>
      </c>
      <c r="B8" s="141"/>
      <c r="C8" s="142"/>
      <c r="D8" s="277"/>
      <c r="E8" s="277"/>
      <c r="F8" s="142"/>
      <c r="G8" s="142"/>
      <c r="H8" s="142"/>
      <c r="I8" s="148"/>
      <c r="J8" s="143"/>
      <c r="K8" s="46"/>
      <c r="L8" s="46"/>
      <c r="M8" s="46"/>
      <c r="N8" s="40"/>
      <c r="O8" s="40"/>
      <c r="P8" s="40"/>
      <c r="Q8" s="40"/>
      <c r="R8" s="40"/>
      <c r="S8" s="40"/>
      <c r="T8" s="42"/>
      <c r="U8" s="42"/>
    </row>
    <row r="9" spans="1:22" ht="18" x14ac:dyDescent="0.35">
      <c r="A9" s="154">
        <f t="shared" si="0"/>
        <v>0</v>
      </c>
      <c r="B9" s="141"/>
      <c r="C9" s="142"/>
      <c r="D9" s="142"/>
      <c r="E9" s="277"/>
      <c r="F9" s="142"/>
      <c r="G9" s="142"/>
      <c r="H9" s="142"/>
      <c r="I9" s="148"/>
      <c r="J9" s="143"/>
      <c r="K9" s="46"/>
      <c r="L9" s="46"/>
      <c r="M9" s="46"/>
      <c r="N9" s="40"/>
      <c r="O9" s="40"/>
      <c r="P9" s="40"/>
      <c r="Q9" s="40"/>
      <c r="R9" s="40"/>
      <c r="S9" s="42"/>
      <c r="T9" s="42"/>
    </row>
    <row r="10" spans="1:22" ht="18" x14ac:dyDescent="0.35">
      <c r="A10" s="154">
        <f t="shared" si="0"/>
        <v>0</v>
      </c>
      <c r="B10" s="141"/>
      <c r="C10" s="142"/>
      <c r="D10" s="142"/>
      <c r="E10" s="142"/>
      <c r="F10" s="142"/>
      <c r="G10" s="142"/>
      <c r="H10" s="142"/>
      <c r="I10" s="148"/>
      <c r="J10" s="143"/>
      <c r="K10" s="46"/>
      <c r="L10" s="46"/>
      <c r="M10" s="46"/>
      <c r="N10" s="40"/>
      <c r="O10" s="40"/>
      <c r="P10" s="40"/>
      <c r="Q10" s="40"/>
      <c r="R10" s="40"/>
      <c r="S10" s="40"/>
      <c r="T10" s="42"/>
      <c r="U10" s="42"/>
    </row>
    <row r="11" spans="1:22" ht="21" customHeight="1" x14ac:dyDescent="0.35">
      <c r="A11" s="154">
        <f t="shared" si="0"/>
        <v>0</v>
      </c>
      <c r="B11" s="141"/>
      <c r="C11" s="142"/>
      <c r="D11" s="142"/>
      <c r="E11" s="142"/>
      <c r="F11" s="142"/>
      <c r="G11" s="142"/>
      <c r="H11" s="142"/>
      <c r="I11" s="148"/>
      <c r="J11" s="143"/>
      <c r="K11" s="46"/>
      <c r="L11" s="46"/>
      <c r="M11" s="46"/>
      <c r="N11" s="40"/>
      <c r="O11" s="40"/>
      <c r="P11" s="40"/>
      <c r="Q11" s="40"/>
      <c r="R11" s="40"/>
      <c r="S11" s="40"/>
      <c r="T11" s="42"/>
      <c r="U11" s="42"/>
    </row>
    <row r="12" spans="1:22" ht="21" customHeight="1" x14ac:dyDescent="0.35">
      <c r="A12" s="154">
        <f t="shared" si="0"/>
        <v>0</v>
      </c>
      <c r="B12" s="141"/>
      <c r="C12" s="142"/>
      <c r="D12" s="142"/>
      <c r="E12" s="142"/>
      <c r="F12" s="142"/>
      <c r="G12" s="142"/>
      <c r="H12" s="142"/>
      <c r="I12" s="148"/>
      <c r="J12" s="143"/>
      <c r="K12" s="46"/>
      <c r="L12" s="46"/>
      <c r="M12" s="46"/>
      <c r="N12" s="40"/>
      <c r="O12" s="40"/>
      <c r="P12" s="40"/>
      <c r="Q12" s="40"/>
      <c r="R12" s="40"/>
      <c r="S12" s="40"/>
      <c r="T12" s="42"/>
      <c r="U12" s="42"/>
    </row>
    <row r="13" spans="1:22" ht="21" customHeight="1" x14ac:dyDescent="0.35">
      <c r="A13" s="154">
        <f t="shared" si="0"/>
        <v>0</v>
      </c>
      <c r="B13" s="141"/>
      <c r="C13" s="142"/>
      <c r="D13" s="142"/>
      <c r="E13" s="142"/>
      <c r="F13" s="142"/>
      <c r="G13" s="142"/>
      <c r="H13" s="142"/>
      <c r="I13" s="148"/>
      <c r="J13" s="143"/>
      <c r="K13" s="46"/>
      <c r="L13" s="46"/>
      <c r="M13" s="46"/>
      <c r="N13" s="40"/>
      <c r="O13" s="40"/>
      <c r="P13" s="40"/>
      <c r="Q13" s="40"/>
      <c r="R13" s="40"/>
      <c r="S13" s="40"/>
      <c r="T13" s="42"/>
      <c r="U13" s="42"/>
    </row>
    <row r="14" spans="1:22" ht="21" customHeight="1" x14ac:dyDescent="0.35">
      <c r="A14" s="154">
        <f t="shared" si="0"/>
        <v>0</v>
      </c>
      <c r="B14" s="141"/>
      <c r="C14" s="142"/>
      <c r="D14" s="142"/>
      <c r="E14" s="142"/>
      <c r="F14" s="142"/>
      <c r="G14" s="142"/>
      <c r="H14" s="142"/>
      <c r="I14" s="148"/>
      <c r="J14" s="143"/>
      <c r="K14" s="46"/>
      <c r="L14" s="46"/>
      <c r="M14" s="46"/>
      <c r="N14" s="40"/>
      <c r="O14" s="40"/>
      <c r="P14" s="40"/>
      <c r="Q14" s="40"/>
      <c r="R14" s="40"/>
      <c r="S14" s="40"/>
      <c r="T14" s="42"/>
      <c r="U14" s="42"/>
    </row>
    <row r="15" spans="1:22" ht="21" customHeight="1" x14ac:dyDescent="0.35">
      <c r="A15" s="154">
        <f t="shared" si="0"/>
        <v>0</v>
      </c>
      <c r="B15" s="141"/>
      <c r="C15" s="142"/>
      <c r="D15" s="142"/>
      <c r="E15" s="142"/>
      <c r="F15" s="142"/>
      <c r="G15" s="142"/>
      <c r="H15" s="142"/>
      <c r="I15" s="148"/>
      <c r="J15" s="143"/>
      <c r="K15" s="46"/>
      <c r="L15" s="46"/>
      <c r="M15" s="46"/>
      <c r="N15" s="40"/>
      <c r="O15" s="40"/>
      <c r="P15" s="40"/>
      <c r="Q15" s="40"/>
      <c r="R15" s="40"/>
      <c r="S15" s="40"/>
      <c r="T15" s="42"/>
      <c r="U15" s="42"/>
    </row>
    <row r="16" spans="1:22" ht="18" x14ac:dyDescent="0.35">
      <c r="A16" s="154">
        <f t="shared" si="0"/>
        <v>0</v>
      </c>
      <c r="B16" s="141"/>
      <c r="C16" s="142"/>
      <c r="D16" s="142"/>
      <c r="E16" s="142"/>
      <c r="F16" s="142"/>
      <c r="G16" s="142"/>
      <c r="H16" s="142"/>
      <c r="I16" s="148"/>
      <c r="J16" s="143"/>
      <c r="K16" s="46"/>
      <c r="L16" s="46"/>
      <c r="M16" s="46"/>
      <c r="N16" s="40"/>
      <c r="O16" s="40"/>
      <c r="P16" s="40"/>
      <c r="Q16" s="40"/>
      <c r="R16" s="40"/>
      <c r="S16" s="40"/>
      <c r="T16" s="42"/>
      <c r="U16" s="42"/>
    </row>
    <row r="17" spans="1:21" ht="18" x14ac:dyDescent="0.35">
      <c r="A17" s="154">
        <f t="shared" si="0"/>
        <v>0</v>
      </c>
      <c r="B17" s="141"/>
      <c r="C17" s="142"/>
      <c r="D17" s="142"/>
      <c r="E17" s="142"/>
      <c r="F17" s="142"/>
      <c r="G17" s="142"/>
      <c r="H17" s="142"/>
      <c r="I17" s="148"/>
      <c r="J17" s="143"/>
      <c r="K17" s="46"/>
      <c r="L17" s="46"/>
      <c r="M17" s="46"/>
      <c r="N17" s="40"/>
      <c r="O17" s="40"/>
      <c r="P17" s="40"/>
      <c r="Q17" s="40"/>
      <c r="R17" s="40"/>
      <c r="S17" s="40"/>
      <c r="T17" s="42"/>
      <c r="U17" s="42"/>
    </row>
    <row r="18" spans="1:21" ht="18" x14ac:dyDescent="0.35">
      <c r="A18" s="154">
        <f t="shared" si="0"/>
        <v>0</v>
      </c>
      <c r="B18" s="141"/>
      <c r="C18" s="142"/>
      <c r="D18" s="142"/>
      <c r="E18" s="142"/>
      <c r="F18" s="142"/>
      <c r="G18" s="142"/>
      <c r="H18" s="142"/>
      <c r="I18" s="148"/>
      <c r="J18" s="143"/>
      <c r="K18" s="46"/>
      <c r="L18" s="46"/>
      <c r="M18" s="46"/>
      <c r="N18" s="40"/>
      <c r="O18" s="40"/>
      <c r="P18" s="40"/>
      <c r="Q18" s="40"/>
      <c r="R18" s="40"/>
      <c r="S18" s="40"/>
      <c r="T18" s="42"/>
      <c r="U18" s="42"/>
    </row>
    <row r="19" spans="1:21" ht="18" x14ac:dyDescent="0.35">
      <c r="A19" s="154">
        <f t="shared" si="0"/>
        <v>0</v>
      </c>
      <c r="B19" s="141"/>
      <c r="C19" s="142"/>
      <c r="D19" s="142"/>
      <c r="E19" s="142"/>
      <c r="F19" s="142"/>
      <c r="G19" s="142"/>
      <c r="H19" s="142"/>
      <c r="I19" s="148"/>
      <c r="J19" s="143"/>
      <c r="K19" s="46"/>
      <c r="L19" s="46"/>
      <c r="M19" s="46"/>
      <c r="N19" s="40"/>
      <c r="O19" s="40"/>
      <c r="P19" s="40"/>
      <c r="Q19" s="40"/>
      <c r="R19" s="40"/>
      <c r="S19" s="40"/>
      <c r="T19" s="42"/>
      <c r="U19" s="42"/>
    </row>
    <row r="20" spans="1:21" ht="18" x14ac:dyDescent="0.35">
      <c r="A20" s="154">
        <f t="shared" si="0"/>
        <v>0</v>
      </c>
      <c r="B20" s="141"/>
      <c r="C20" s="142"/>
      <c r="D20" s="142"/>
      <c r="E20" s="142"/>
      <c r="F20" s="142"/>
      <c r="G20" s="142"/>
      <c r="H20" s="142"/>
      <c r="I20" s="148"/>
      <c r="J20" s="143"/>
      <c r="K20" s="46"/>
      <c r="L20" s="46"/>
      <c r="M20" s="46"/>
      <c r="N20" s="40"/>
      <c r="O20" s="40"/>
      <c r="P20" s="40"/>
      <c r="Q20" s="40"/>
      <c r="R20" s="40"/>
      <c r="S20" s="40"/>
      <c r="T20" s="42"/>
      <c r="U20" s="42"/>
    </row>
    <row r="21" spans="1:21" ht="18" x14ac:dyDescent="0.35">
      <c r="A21" s="154">
        <f t="shared" si="0"/>
        <v>0</v>
      </c>
      <c r="B21" s="141"/>
      <c r="C21" s="142"/>
      <c r="D21" s="142"/>
      <c r="E21" s="142"/>
      <c r="F21" s="142"/>
      <c r="G21" s="142"/>
      <c r="H21" s="142"/>
      <c r="I21" s="148"/>
      <c r="J21" s="143"/>
      <c r="K21" s="46"/>
      <c r="L21" s="46"/>
      <c r="M21" s="46"/>
      <c r="N21" s="41"/>
      <c r="O21" s="41"/>
      <c r="P21" s="41"/>
      <c r="Q21" s="41"/>
      <c r="R21" s="41"/>
      <c r="S21" s="41"/>
      <c r="T21" s="41"/>
      <c r="U21" s="41"/>
    </row>
    <row r="22" spans="1:21" ht="17.399999999999999" customHeight="1" x14ac:dyDescent="0.35">
      <c r="A22" s="154">
        <f t="shared" si="0"/>
        <v>0</v>
      </c>
      <c r="B22" s="141"/>
      <c r="C22" s="142"/>
      <c r="D22" s="142"/>
      <c r="E22" s="142"/>
      <c r="F22" s="142"/>
      <c r="G22" s="142"/>
      <c r="H22" s="142"/>
      <c r="I22" s="148"/>
      <c r="J22" s="143"/>
      <c r="K22" s="46"/>
      <c r="L22" s="46"/>
      <c r="M22" s="46"/>
      <c r="N22" s="39"/>
      <c r="O22" s="39"/>
      <c r="P22" s="39"/>
      <c r="Q22" s="39"/>
      <c r="R22" s="40"/>
      <c r="S22" s="40"/>
    </row>
    <row r="23" spans="1:21" s="45" customFormat="1" ht="17.399999999999999" customHeight="1" x14ac:dyDescent="0.3">
      <c r="A23" s="154">
        <f t="shared" si="0"/>
        <v>0</v>
      </c>
      <c r="B23" s="141"/>
      <c r="C23" s="142"/>
      <c r="D23" s="142"/>
      <c r="E23" s="142"/>
      <c r="F23" s="142"/>
      <c r="G23" s="142"/>
      <c r="H23" s="142"/>
      <c r="I23" s="142"/>
      <c r="J23" s="174"/>
      <c r="K23" s="46"/>
      <c r="L23" s="46"/>
      <c r="M23" s="46"/>
    </row>
    <row r="24" spans="1:21" s="45" customFormat="1" ht="14.4" customHeight="1" x14ac:dyDescent="0.3">
      <c r="A24" s="154">
        <f t="shared" si="0"/>
        <v>0</v>
      </c>
      <c r="B24" s="141"/>
      <c r="C24" s="142"/>
      <c r="D24" s="142"/>
      <c r="E24" s="142"/>
      <c r="F24" s="142"/>
      <c r="G24" s="142"/>
      <c r="H24" s="142"/>
      <c r="I24" s="142"/>
      <c r="J24" s="174"/>
      <c r="K24" s="46"/>
      <c r="L24" s="175"/>
      <c r="M24" s="46"/>
    </row>
    <row r="25" spans="1:21" s="45" customFormat="1" ht="16.2" customHeight="1" x14ac:dyDescent="0.3">
      <c r="A25" s="154">
        <f t="shared" si="0"/>
        <v>0</v>
      </c>
      <c r="B25" s="141"/>
      <c r="C25" s="142"/>
      <c r="D25" s="142"/>
      <c r="E25" s="142"/>
      <c r="F25" s="142"/>
      <c r="G25" s="142"/>
      <c r="H25" s="142"/>
      <c r="I25" s="142"/>
      <c r="J25" s="174"/>
      <c r="K25" s="46"/>
      <c r="L25" s="175"/>
      <c r="M25" s="46"/>
    </row>
    <row r="26" spans="1:21" ht="16.2" customHeight="1" x14ac:dyDescent="0.3">
      <c r="A26" s="154">
        <f>WEEKNUM(J25)</f>
        <v>0</v>
      </c>
      <c r="B26" s="141"/>
      <c r="C26" s="142"/>
      <c r="D26" s="142"/>
      <c r="E26" s="142"/>
      <c r="F26" s="142"/>
      <c r="G26" s="142"/>
      <c r="H26" s="142"/>
      <c r="I26" s="142"/>
      <c r="J26" s="174"/>
      <c r="K26" s="46"/>
      <c r="L26" s="175"/>
      <c r="M26" s="46"/>
    </row>
    <row r="27" spans="1:21" x14ac:dyDescent="0.3">
      <c r="A27" s="172" t="s">
        <v>1</v>
      </c>
      <c r="B27" s="173"/>
      <c r="C27" s="178"/>
      <c r="D27" s="173"/>
      <c r="E27" s="173"/>
      <c r="F27" s="173"/>
      <c r="G27" s="173"/>
      <c r="H27" s="173"/>
      <c r="I27" s="173"/>
      <c r="J27" s="178"/>
      <c r="K27" s="177"/>
      <c r="L27" s="176"/>
      <c r="M27" s="173"/>
    </row>
    <row r="28" spans="1:21" ht="18" x14ac:dyDescent="0.3">
      <c r="C28" s="171"/>
      <c r="H28" s="139"/>
      <c r="I28" s="4" t="s">
        <v>1</v>
      </c>
      <c r="J28" s="171"/>
      <c r="K28" s="171"/>
    </row>
    <row r="29" spans="1:21" ht="18" x14ac:dyDescent="0.3">
      <c r="A29" s="139" t="s">
        <v>2</v>
      </c>
      <c r="B29" s="139" t="s">
        <v>179</v>
      </c>
      <c r="C29" s="139" t="s">
        <v>3</v>
      </c>
      <c r="D29" s="140" t="s">
        <v>4</v>
      </c>
      <c r="E29" s="140" t="s">
        <v>5</v>
      </c>
      <c r="F29" s="139" t="s">
        <v>6</v>
      </c>
      <c r="G29" s="139" t="s">
        <v>0</v>
      </c>
      <c r="H29" s="139" t="s">
        <v>7</v>
      </c>
      <c r="I29" s="139" t="s">
        <v>8</v>
      </c>
      <c r="J29" s="139" t="s">
        <v>9</v>
      </c>
      <c r="K29" s="139" t="s">
        <v>10</v>
      </c>
      <c r="L29" s="139" t="s">
        <v>72</v>
      </c>
      <c r="M29" s="139" t="s">
        <v>145</v>
      </c>
    </row>
    <row r="30" spans="1:21" ht="18" x14ac:dyDescent="0.35">
      <c r="A30" s="150">
        <v>23</v>
      </c>
      <c r="B30" s="149" t="s">
        <v>146</v>
      </c>
      <c r="C30" s="152"/>
      <c r="D30" s="144">
        <v>1</v>
      </c>
      <c r="E30" s="152"/>
      <c r="F30" s="152"/>
      <c r="G30" s="152"/>
      <c r="H30" s="152"/>
      <c r="I30" s="153"/>
      <c r="J30" s="145">
        <v>43252</v>
      </c>
      <c r="K30" s="147"/>
      <c r="L30" s="147"/>
      <c r="M30" s="147"/>
    </row>
    <row r="31" spans="1:21" ht="14.4" customHeight="1" x14ac:dyDescent="0.35">
      <c r="A31" s="155">
        <v>24</v>
      </c>
      <c r="B31" s="149" t="s">
        <v>147</v>
      </c>
      <c r="C31" s="152"/>
      <c r="D31" s="144">
        <v>1</v>
      </c>
      <c r="E31" s="152"/>
      <c r="F31" s="152"/>
      <c r="G31" s="152"/>
      <c r="H31" s="152"/>
      <c r="I31" s="153"/>
      <c r="J31" s="145">
        <v>43252</v>
      </c>
      <c r="K31" s="147"/>
      <c r="L31" s="147"/>
      <c r="M31" s="147"/>
    </row>
    <row r="32" spans="1:21" ht="14.4" customHeight="1" x14ac:dyDescent="0.35">
      <c r="A32" s="150">
        <v>25</v>
      </c>
      <c r="B32" s="149" t="s">
        <v>148</v>
      </c>
      <c r="C32" s="152"/>
      <c r="D32" s="144">
        <v>1</v>
      </c>
      <c r="E32" s="152"/>
      <c r="F32" s="152"/>
      <c r="G32" s="152"/>
      <c r="H32" s="152"/>
      <c r="I32" s="153">
        <v>0</v>
      </c>
      <c r="J32" s="145">
        <v>43252</v>
      </c>
      <c r="K32" s="147"/>
      <c r="L32" s="147"/>
      <c r="M32" s="147"/>
    </row>
    <row r="33" spans="1:13" ht="14.4" customHeight="1" x14ac:dyDescent="0.35">
      <c r="A33" s="150">
        <v>26</v>
      </c>
      <c r="B33" s="149" t="s">
        <v>149</v>
      </c>
      <c r="C33" s="152"/>
      <c r="D33" s="144">
        <v>1</v>
      </c>
      <c r="E33" s="152"/>
      <c r="F33" s="152"/>
      <c r="G33" s="152"/>
      <c r="H33" s="152"/>
      <c r="I33" s="153">
        <v>0</v>
      </c>
      <c r="J33" s="145">
        <v>43252</v>
      </c>
      <c r="K33" s="146"/>
      <c r="L33" s="146"/>
      <c r="M33" s="146"/>
    </row>
    <row r="34" spans="1:13" ht="14.4" customHeight="1" x14ac:dyDescent="0.35">
      <c r="A34" s="150">
        <v>27</v>
      </c>
      <c r="B34" s="149" t="s">
        <v>150</v>
      </c>
      <c r="C34" s="152"/>
      <c r="D34" s="144">
        <v>1</v>
      </c>
      <c r="E34" s="152"/>
      <c r="F34" s="152"/>
      <c r="G34" s="152"/>
      <c r="H34" s="152"/>
      <c r="I34" s="153">
        <v>0</v>
      </c>
      <c r="J34" s="145">
        <v>43282</v>
      </c>
      <c r="K34" s="146"/>
      <c r="L34" s="146"/>
      <c r="M34" s="146"/>
    </row>
    <row r="35" spans="1:13" ht="14.4" customHeight="1" x14ac:dyDescent="0.35">
      <c r="A35" s="150">
        <v>28</v>
      </c>
      <c r="B35" s="149" t="s">
        <v>151</v>
      </c>
      <c r="C35" s="152"/>
      <c r="D35" s="144">
        <v>1</v>
      </c>
      <c r="E35" s="152"/>
      <c r="F35" s="152"/>
      <c r="G35" s="152"/>
      <c r="H35" s="152"/>
      <c r="I35" s="153">
        <v>0</v>
      </c>
      <c r="J35" s="145">
        <v>43282</v>
      </c>
      <c r="K35" s="146"/>
      <c r="L35" s="146"/>
      <c r="M35" s="146"/>
    </row>
    <row r="36" spans="1:13" ht="14.4" customHeight="1" x14ac:dyDescent="0.35">
      <c r="A36" s="150">
        <v>29</v>
      </c>
      <c r="B36" s="149" t="s">
        <v>152</v>
      </c>
      <c r="C36" s="152"/>
      <c r="D36" s="144">
        <v>1</v>
      </c>
      <c r="E36" s="152"/>
      <c r="F36" s="152"/>
      <c r="G36" s="152"/>
      <c r="H36" s="152"/>
      <c r="I36" s="153">
        <v>0</v>
      </c>
      <c r="J36" s="145">
        <v>43282</v>
      </c>
      <c r="K36" s="146"/>
      <c r="L36" s="146"/>
      <c r="M36" s="146"/>
    </row>
    <row r="37" spans="1:13" ht="14.4" customHeight="1" x14ac:dyDescent="0.35">
      <c r="A37" s="150">
        <v>30</v>
      </c>
      <c r="B37" s="149" t="s">
        <v>153</v>
      </c>
      <c r="C37" s="152"/>
      <c r="D37" s="144">
        <v>1</v>
      </c>
      <c r="E37" s="152"/>
      <c r="F37" s="152"/>
      <c r="G37" s="152"/>
      <c r="H37" s="152"/>
      <c r="I37" s="153">
        <v>0</v>
      </c>
      <c r="J37" s="145">
        <v>43282</v>
      </c>
      <c r="K37" s="146"/>
      <c r="L37" s="146"/>
      <c r="M37" s="146"/>
    </row>
    <row r="38" spans="1:13" ht="14.4" customHeight="1" x14ac:dyDescent="0.35">
      <c r="A38" s="150">
        <v>31</v>
      </c>
      <c r="B38" s="149" t="s">
        <v>154</v>
      </c>
      <c r="C38" s="152"/>
      <c r="D38" s="144">
        <v>1</v>
      </c>
      <c r="E38" s="152"/>
      <c r="F38" s="152"/>
      <c r="G38" s="152"/>
      <c r="H38" s="152"/>
      <c r="I38" s="153">
        <v>0</v>
      </c>
      <c r="J38" s="145">
        <v>43282</v>
      </c>
      <c r="K38" s="146"/>
      <c r="L38" s="146"/>
      <c r="M38" s="146"/>
    </row>
    <row r="39" spans="1:13" ht="14.4" customHeight="1" x14ac:dyDescent="0.35">
      <c r="A39" s="150">
        <v>32</v>
      </c>
      <c r="B39" s="149" t="s">
        <v>155</v>
      </c>
      <c r="C39" s="152"/>
      <c r="D39" s="144">
        <v>1</v>
      </c>
      <c r="E39" s="152"/>
      <c r="F39" s="152"/>
      <c r="G39" s="152"/>
      <c r="H39" s="152"/>
      <c r="I39" s="153">
        <v>0</v>
      </c>
      <c r="J39" s="145">
        <v>43313</v>
      </c>
      <c r="K39" s="146"/>
      <c r="L39" s="146"/>
      <c r="M39" s="146"/>
    </row>
    <row r="40" spans="1:13" ht="14.4" customHeight="1" x14ac:dyDescent="0.35">
      <c r="A40" s="150">
        <v>33</v>
      </c>
      <c r="B40" s="149" t="s">
        <v>156</v>
      </c>
      <c r="C40" s="152"/>
      <c r="D40" s="144">
        <v>1</v>
      </c>
      <c r="E40" s="152"/>
      <c r="F40" s="152"/>
      <c r="G40" s="152"/>
      <c r="H40" s="152"/>
      <c r="I40" s="153">
        <v>0</v>
      </c>
      <c r="J40" s="145">
        <v>43313</v>
      </c>
      <c r="K40" s="146"/>
      <c r="L40" s="146"/>
      <c r="M40" s="146"/>
    </row>
    <row r="41" spans="1:13" ht="14.4" customHeight="1" x14ac:dyDescent="0.35">
      <c r="A41" s="150">
        <v>34</v>
      </c>
      <c r="B41" s="149" t="s">
        <v>157</v>
      </c>
      <c r="C41" s="152"/>
      <c r="D41" s="144">
        <v>1</v>
      </c>
      <c r="E41" s="152"/>
      <c r="F41" s="152"/>
      <c r="G41" s="152"/>
      <c r="H41" s="152"/>
      <c r="I41" s="153">
        <v>0</v>
      </c>
      <c r="J41" s="145">
        <v>43313</v>
      </c>
      <c r="K41" s="146"/>
      <c r="L41" s="146"/>
      <c r="M41" s="146"/>
    </row>
    <row r="42" spans="1:13" ht="14.4" customHeight="1" x14ac:dyDescent="0.35">
      <c r="A42" s="150">
        <v>35</v>
      </c>
      <c r="B42" s="149" t="s">
        <v>158</v>
      </c>
      <c r="C42" s="152"/>
      <c r="D42" s="144">
        <v>1</v>
      </c>
      <c r="E42" s="152"/>
      <c r="F42" s="152"/>
      <c r="G42" s="152"/>
      <c r="H42" s="152"/>
      <c r="I42" s="153">
        <v>0</v>
      </c>
      <c r="J42" s="145">
        <v>43313</v>
      </c>
      <c r="K42" s="146"/>
      <c r="L42" s="146"/>
      <c r="M42" s="146"/>
    </row>
    <row r="43" spans="1:13" ht="14.4" customHeight="1" x14ac:dyDescent="0.35">
      <c r="A43" s="150">
        <v>36</v>
      </c>
      <c r="B43" s="149" t="s">
        <v>159</v>
      </c>
      <c r="C43" s="152"/>
      <c r="D43" s="144">
        <v>1</v>
      </c>
      <c r="E43" s="152"/>
      <c r="F43" s="152"/>
      <c r="G43" s="152"/>
      <c r="H43" s="152"/>
      <c r="I43" s="153">
        <v>0</v>
      </c>
      <c r="J43" s="145">
        <v>43344</v>
      </c>
      <c r="K43" s="146"/>
      <c r="L43" s="146"/>
      <c r="M43" s="146"/>
    </row>
    <row r="44" spans="1:13" ht="14.4" customHeight="1" x14ac:dyDescent="0.35">
      <c r="A44" s="150">
        <v>37</v>
      </c>
      <c r="B44" s="149" t="s">
        <v>160</v>
      </c>
      <c r="C44" s="152"/>
      <c r="D44" s="144">
        <v>1</v>
      </c>
      <c r="E44" s="152"/>
      <c r="F44" s="152"/>
      <c r="G44" s="152"/>
      <c r="H44" s="152"/>
      <c r="I44" s="153">
        <v>0</v>
      </c>
      <c r="J44" s="145">
        <v>43344</v>
      </c>
      <c r="K44" s="146"/>
      <c r="L44" s="146"/>
      <c r="M44" s="146"/>
    </row>
    <row r="45" spans="1:13" ht="14.4" customHeight="1" x14ac:dyDescent="0.35">
      <c r="A45" s="150">
        <v>38</v>
      </c>
      <c r="B45" s="149" t="s">
        <v>161</v>
      </c>
      <c r="C45" s="152"/>
      <c r="D45" s="144">
        <v>1</v>
      </c>
      <c r="E45" s="152"/>
      <c r="F45" s="152"/>
      <c r="G45" s="152"/>
      <c r="H45" s="152"/>
      <c r="I45" s="153">
        <v>0</v>
      </c>
      <c r="J45" s="145">
        <v>43344</v>
      </c>
      <c r="K45" s="146"/>
      <c r="L45" s="146"/>
      <c r="M45" s="146"/>
    </row>
    <row r="46" spans="1:13" ht="14.4" customHeight="1" x14ac:dyDescent="0.35">
      <c r="A46" s="150">
        <v>39</v>
      </c>
      <c r="B46" s="149" t="s">
        <v>162</v>
      </c>
      <c r="C46" s="152"/>
      <c r="D46" s="144">
        <v>1</v>
      </c>
      <c r="E46" s="152"/>
      <c r="F46" s="152"/>
      <c r="G46" s="152"/>
      <c r="H46" s="152"/>
      <c r="I46" s="153">
        <v>0</v>
      </c>
      <c r="J46" s="145">
        <v>43344</v>
      </c>
      <c r="K46" s="146"/>
      <c r="L46" s="146"/>
      <c r="M46" s="146"/>
    </row>
    <row r="47" spans="1:13" ht="14.4" customHeight="1" x14ac:dyDescent="0.35">
      <c r="A47" s="150">
        <v>40</v>
      </c>
      <c r="B47" s="149" t="s">
        <v>163</v>
      </c>
      <c r="C47" s="152"/>
      <c r="D47" s="144">
        <v>1</v>
      </c>
      <c r="E47" s="152"/>
      <c r="F47" s="152"/>
      <c r="G47" s="152"/>
      <c r="H47" s="152"/>
      <c r="I47" s="153">
        <v>0</v>
      </c>
      <c r="J47" s="145">
        <v>43344</v>
      </c>
      <c r="K47" s="146"/>
      <c r="L47" s="146"/>
      <c r="M47" s="146"/>
    </row>
    <row r="48" spans="1:13" ht="14.4" customHeight="1" x14ac:dyDescent="0.35">
      <c r="A48" s="150">
        <v>41</v>
      </c>
      <c r="B48" s="149" t="s">
        <v>164</v>
      </c>
      <c r="C48" s="152"/>
      <c r="D48" s="144">
        <v>1</v>
      </c>
      <c r="E48" s="152"/>
      <c r="F48" s="152"/>
      <c r="G48" s="152"/>
      <c r="H48" s="152"/>
      <c r="I48" s="153">
        <v>0</v>
      </c>
      <c r="J48" s="145">
        <v>43374</v>
      </c>
      <c r="K48" s="146"/>
      <c r="L48" s="146"/>
      <c r="M48" s="146"/>
    </row>
    <row r="49" spans="1:13" ht="14.4" customHeight="1" x14ac:dyDescent="0.35">
      <c r="A49" s="150">
        <v>42</v>
      </c>
      <c r="B49" s="149" t="s">
        <v>165</v>
      </c>
      <c r="C49" s="152"/>
      <c r="D49" s="144">
        <v>1</v>
      </c>
      <c r="E49" s="152"/>
      <c r="F49" s="152"/>
      <c r="G49" s="152"/>
      <c r="H49" s="152"/>
      <c r="I49" s="153">
        <v>0</v>
      </c>
      <c r="J49" s="145">
        <v>43374</v>
      </c>
      <c r="K49" s="146"/>
      <c r="L49" s="146"/>
      <c r="M49" s="146"/>
    </row>
    <row r="50" spans="1:13" ht="14.4" customHeight="1" x14ac:dyDescent="0.35">
      <c r="A50" s="150">
        <v>43</v>
      </c>
      <c r="B50" s="149" t="s">
        <v>166</v>
      </c>
      <c r="C50" s="152"/>
      <c r="D50" s="144">
        <v>1</v>
      </c>
      <c r="E50" s="152"/>
      <c r="F50" s="152"/>
      <c r="G50" s="152"/>
      <c r="H50" s="152"/>
      <c r="I50" s="153">
        <v>0</v>
      </c>
      <c r="J50" s="145">
        <v>43374</v>
      </c>
      <c r="K50" s="146"/>
      <c r="L50" s="146"/>
      <c r="M50" s="146"/>
    </row>
    <row r="51" spans="1:13" ht="14.4" customHeight="1" x14ac:dyDescent="0.35">
      <c r="A51" s="150">
        <v>44</v>
      </c>
      <c r="B51" s="149" t="s">
        <v>167</v>
      </c>
      <c r="C51" s="152"/>
      <c r="D51" s="144">
        <v>1</v>
      </c>
      <c r="E51" s="152"/>
      <c r="F51" s="152"/>
      <c r="G51" s="152"/>
      <c r="H51" s="152"/>
      <c r="I51" s="153">
        <v>0</v>
      </c>
      <c r="J51" s="145">
        <v>43374</v>
      </c>
      <c r="K51" s="146"/>
      <c r="L51" s="146"/>
      <c r="M51" s="146"/>
    </row>
    <row r="52" spans="1:13" ht="14.4" customHeight="1" x14ac:dyDescent="0.35">
      <c r="A52" s="150">
        <v>45</v>
      </c>
      <c r="B52" s="149" t="s">
        <v>168</v>
      </c>
      <c r="C52" s="152"/>
      <c r="D52" s="144">
        <v>1</v>
      </c>
      <c r="E52" s="152"/>
      <c r="F52" s="152"/>
      <c r="G52" s="152"/>
      <c r="H52" s="152"/>
      <c r="I52" s="153">
        <v>0</v>
      </c>
      <c r="J52" s="145">
        <v>43405</v>
      </c>
      <c r="K52" s="146"/>
      <c r="L52" s="146"/>
      <c r="M52" s="146"/>
    </row>
    <row r="53" spans="1:13" ht="14.4" customHeight="1" x14ac:dyDescent="0.35">
      <c r="A53" s="150">
        <v>46</v>
      </c>
      <c r="B53" s="149" t="s">
        <v>169</v>
      </c>
      <c r="C53" s="152"/>
      <c r="D53" s="144">
        <v>1</v>
      </c>
      <c r="E53" s="152"/>
      <c r="F53" s="152"/>
      <c r="G53" s="152"/>
      <c r="H53" s="152"/>
      <c r="I53" s="153">
        <v>0</v>
      </c>
      <c r="J53" s="145">
        <v>43405</v>
      </c>
      <c r="K53" s="146"/>
      <c r="L53" s="146"/>
      <c r="M53" s="146"/>
    </row>
    <row r="54" spans="1:13" ht="14.4" customHeight="1" x14ac:dyDescent="0.35">
      <c r="A54" s="150">
        <v>47</v>
      </c>
      <c r="B54" s="149" t="s">
        <v>170</v>
      </c>
      <c r="C54" s="152"/>
      <c r="D54" s="144">
        <v>1</v>
      </c>
      <c r="E54" s="152"/>
      <c r="F54" s="152"/>
      <c r="G54" s="152"/>
      <c r="H54" s="152"/>
      <c r="I54" s="153">
        <v>0</v>
      </c>
      <c r="J54" s="145">
        <v>43405</v>
      </c>
      <c r="K54" s="146"/>
      <c r="L54" s="146"/>
      <c r="M54" s="146"/>
    </row>
    <row r="55" spans="1:13" ht="14.4" customHeight="1" x14ac:dyDescent="0.35">
      <c r="A55" s="150">
        <v>48</v>
      </c>
      <c r="B55" s="149" t="s">
        <v>171</v>
      </c>
      <c r="C55" s="152"/>
      <c r="D55" s="144">
        <v>1</v>
      </c>
      <c r="E55" s="152"/>
      <c r="F55" s="152"/>
      <c r="G55" s="152"/>
      <c r="H55" s="152"/>
      <c r="I55" s="153">
        <v>0</v>
      </c>
      <c r="J55" s="145">
        <v>43405</v>
      </c>
      <c r="K55" s="146"/>
      <c r="L55" s="146"/>
      <c r="M55" s="146"/>
    </row>
    <row r="56" spans="1:13" ht="14.4" customHeight="1" x14ac:dyDescent="0.35">
      <c r="A56" s="150">
        <v>49</v>
      </c>
      <c r="B56" s="149" t="s">
        <v>172</v>
      </c>
      <c r="C56" s="152"/>
      <c r="D56" s="144">
        <v>1</v>
      </c>
      <c r="E56" s="152"/>
      <c r="F56" s="152"/>
      <c r="G56" s="152"/>
      <c r="H56" s="152"/>
      <c r="I56" s="153">
        <v>0</v>
      </c>
      <c r="J56" s="145">
        <v>43435</v>
      </c>
      <c r="K56" s="146"/>
      <c r="L56" s="146"/>
      <c r="M56" s="146"/>
    </row>
    <row r="57" spans="1:13" ht="14.4" customHeight="1" x14ac:dyDescent="0.35">
      <c r="A57" s="150">
        <v>50</v>
      </c>
      <c r="B57" s="149" t="s">
        <v>173</v>
      </c>
      <c r="C57" s="152"/>
      <c r="D57" s="144">
        <v>1</v>
      </c>
      <c r="E57" s="152"/>
      <c r="F57" s="152"/>
      <c r="G57" s="152"/>
      <c r="H57" s="152"/>
      <c r="I57" s="153">
        <v>0</v>
      </c>
      <c r="J57" s="145">
        <v>43435</v>
      </c>
      <c r="K57" s="146"/>
      <c r="L57" s="146"/>
      <c r="M57" s="146"/>
    </row>
    <row r="58" spans="1:13" ht="14.4" customHeight="1" x14ac:dyDescent="0.35">
      <c r="A58" s="150">
        <v>51</v>
      </c>
      <c r="B58" s="149" t="s">
        <v>174</v>
      </c>
      <c r="C58" s="152"/>
      <c r="D58" s="144">
        <v>1</v>
      </c>
      <c r="E58" s="152"/>
      <c r="F58" s="152"/>
      <c r="G58" s="152"/>
      <c r="H58" s="152"/>
      <c r="I58" s="153">
        <v>0</v>
      </c>
      <c r="J58" s="145">
        <v>43435</v>
      </c>
      <c r="K58" s="146"/>
      <c r="L58" s="146"/>
      <c r="M58" s="146"/>
    </row>
    <row r="59" spans="1:13" ht="14.4" customHeight="1" x14ac:dyDescent="0.35">
      <c r="A59" s="150">
        <v>52</v>
      </c>
      <c r="B59" s="149" t="s">
        <v>175</v>
      </c>
      <c r="C59" s="152"/>
      <c r="D59" s="144">
        <v>1</v>
      </c>
      <c r="E59" s="152"/>
      <c r="F59" s="152"/>
      <c r="G59" s="152"/>
      <c r="H59" s="152"/>
      <c r="I59" s="153">
        <v>0</v>
      </c>
      <c r="J59" s="145">
        <v>43435</v>
      </c>
      <c r="K59" s="146"/>
      <c r="L59" s="146"/>
      <c r="M59" s="146"/>
    </row>
  </sheetData>
  <sortState ref="A31:M1500">
    <sortCondition ref="A30:A1500"/>
    <sortCondition ref="I30:I1500"/>
    <sortCondition ref="G30:G1500"/>
    <sortCondition ref="H30:H1500"/>
    <sortCondition ref="D30:D1500"/>
    <sortCondition ref="F30:F1500"/>
  </sortState>
  <dataValidations count="2">
    <dataValidation type="list" allowBlank="1" showInputMessage="1" showErrorMessage="1" sqref="I1">
      <formula1>#REF!</formula1>
    </dataValidation>
    <dataValidation type="list" allowBlank="1" showInputMessage="1" showErrorMessage="1" sqref="J2">
      <formula1>INDIRECT(#REF!)</formula1>
    </dataValidation>
  </dataValidations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Feuil1!$A$1:$A$4</xm:f>
          </x14:formula1>
          <xm:sqref>H7:H26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topLeftCell="B1" workbookViewId="0">
      <selection activeCell="E8" sqref="E8"/>
    </sheetView>
  </sheetViews>
  <sheetFormatPr baseColWidth="10" defaultRowHeight="14.4" x14ac:dyDescent="0.3"/>
  <cols>
    <col min="1" max="1" width="19.5546875" hidden="1" customWidth="1"/>
    <col min="2" max="2" width="17.6640625" customWidth="1"/>
    <col min="3" max="3" width="40" customWidth="1"/>
    <col min="4" max="4" width="24.33203125" bestFit="1" customWidth="1"/>
    <col min="5" max="5" width="25.33203125" bestFit="1" customWidth="1"/>
    <col min="6" max="6" width="28.5546875" bestFit="1" customWidth="1"/>
    <col min="7" max="7" width="26.88671875" bestFit="1" customWidth="1"/>
    <col min="8" max="8" width="29.88671875" bestFit="1" customWidth="1"/>
    <col min="9" max="9" width="30.6640625" bestFit="1" customWidth="1"/>
    <col min="10" max="10" width="24.33203125" bestFit="1" customWidth="1"/>
    <col min="11" max="11" width="30.44140625" bestFit="1" customWidth="1"/>
    <col min="12" max="12" width="24.6640625" bestFit="1" customWidth="1"/>
    <col min="13" max="13" width="25.33203125" bestFit="1" customWidth="1"/>
    <col min="14" max="14" width="28.5546875" bestFit="1" customWidth="1"/>
    <col min="15" max="15" width="26.88671875" bestFit="1" customWidth="1"/>
    <col min="16" max="16" width="29.88671875" bestFit="1" customWidth="1"/>
    <col min="17" max="17" width="30.6640625" bestFit="1" customWidth="1"/>
    <col min="18" max="18" width="24.33203125" bestFit="1" customWidth="1"/>
    <col min="19" max="19" width="30.44140625" bestFit="1" customWidth="1"/>
    <col min="20" max="20" width="25.33203125" bestFit="1" customWidth="1"/>
    <col min="21" max="21" width="38.109375" bestFit="1" customWidth="1"/>
    <col min="22" max="22" width="27.88671875" bestFit="1" customWidth="1"/>
    <col min="23" max="23" width="28.6640625" bestFit="1" customWidth="1"/>
    <col min="24" max="24" width="31.33203125" bestFit="1" customWidth="1"/>
    <col min="25" max="25" width="22.33203125" bestFit="1" customWidth="1"/>
    <col min="26" max="26" width="28.44140625" bestFit="1" customWidth="1"/>
    <col min="27" max="27" width="24.33203125" bestFit="1" customWidth="1"/>
    <col min="28" max="28" width="27.5546875" bestFit="1" customWidth="1"/>
    <col min="29" max="29" width="25.6640625" bestFit="1" customWidth="1"/>
    <col min="30" max="30" width="5.88671875" customWidth="1"/>
    <col min="31" max="31" width="11.88671875" bestFit="1" customWidth="1"/>
  </cols>
  <sheetData>
    <row r="1" spans="1:8" x14ac:dyDescent="0.3">
      <c r="A1" s="182" t="s">
        <v>176</v>
      </c>
      <c r="B1" s="166" t="s">
        <v>2</v>
      </c>
      <c r="C1" s="166" t="s">
        <v>180</v>
      </c>
      <c r="D1" s="167" t="s">
        <v>211</v>
      </c>
      <c r="E1" s="166" t="s">
        <v>142</v>
      </c>
      <c r="F1" s="166" t="s">
        <v>141</v>
      </c>
      <c r="G1" s="166" t="s">
        <v>144</v>
      </c>
      <c r="H1" s="166" t="s">
        <v>143</v>
      </c>
    </row>
    <row r="2" spans="1:8" x14ac:dyDescent="0.3">
      <c r="A2" s="151">
        <v>23</v>
      </c>
      <c r="B2" t="s">
        <v>181</v>
      </c>
      <c r="C2" t="str">
        <f>VLOOKUP(A2,'Suivi de commande'!A29:M596,2,)</f>
        <v>SEMAINE DU 4 AU 8 JUIN</v>
      </c>
      <c r="D2" s="185">
        <f>SUMIF(NOSEMAINE,"23",lot)</f>
        <v>0</v>
      </c>
      <c r="E2" s="185">
        <f>SUMIFS(lot,NOSEMAINE,"23",CATÉ,"S.CORE 1 3/8")</f>
        <v>0</v>
      </c>
      <c r="F2" s="185">
        <f>SUMIFS(lot,NOSEMAINE,"23",CATÉ,"S.CORE 1 3/4")</f>
        <v>0</v>
      </c>
      <c r="G2" s="185">
        <f>SUMIFS(lot,NOSEMAINE,"23",CATÉ,"H.CORE 1 3/8")</f>
        <v>0</v>
      </c>
      <c r="H2" s="185">
        <f>SUMIFS(lot,NOSEMAINE,"23",CATÉ,"H.CORE 1 3/4")</f>
        <v>0</v>
      </c>
    </row>
    <row r="3" spans="1:8" x14ac:dyDescent="0.3">
      <c r="A3" s="151">
        <v>24</v>
      </c>
      <c r="B3" t="s">
        <v>182</v>
      </c>
      <c r="C3" t="str">
        <f>VLOOKUP(A3,'Suivi de commande'!A30:M597,2,)</f>
        <v>SEMAINE DU 11 AU 15 JUIN</v>
      </c>
      <c r="D3" s="185">
        <f>SUMIF(NOSEMAINE,"24",lot)</f>
        <v>0</v>
      </c>
      <c r="E3" s="185">
        <f>SUMIFS(lot,NOSEMAINE,"24",CATÉ,"S.CORE 1 3/8")</f>
        <v>0</v>
      </c>
      <c r="F3" s="185">
        <f>SUMIFS(lot,NOSEMAINE,"24",CATÉ,"S.CORE 1 3/4")</f>
        <v>0</v>
      </c>
      <c r="G3" s="185">
        <f>SUMIFS(lot,NOSEMAINE,"24",CATÉ,"H.CORE 1 3/8")</f>
        <v>0</v>
      </c>
      <c r="H3" s="185">
        <f>SUMIFS(lot,NOSEMAINE,"24",CATÉ,"H.CORE 1 3/4")</f>
        <v>0</v>
      </c>
    </row>
    <row r="4" spans="1:8" x14ac:dyDescent="0.3">
      <c r="A4" s="151">
        <v>25</v>
      </c>
      <c r="B4" t="s">
        <v>183</v>
      </c>
      <c r="C4" t="str">
        <f>VLOOKUP(A4,'Suivi de commande'!A30:M598,2,)</f>
        <v>SEMAINE DU 18 AU 22 JUIN</v>
      </c>
      <c r="D4" s="185">
        <f>SUMIF(NOSEMAINE,"25",lot)</f>
        <v>0</v>
      </c>
      <c r="E4" s="185">
        <f>SUMIFS(lot,NOSEMAINE,"25",CATÉ,"S.CORE 1 3/8")</f>
        <v>0</v>
      </c>
      <c r="F4" s="185">
        <f>SUMIFS(lot,NOSEMAINE,"25",CATÉ,"S.CORE 1 3/4")</f>
        <v>0</v>
      </c>
      <c r="G4" s="185">
        <f>SUMIFS(lot,NOSEMAINE,"25",CATÉ,"H.CORE 1 3/8")</f>
        <v>0</v>
      </c>
      <c r="H4" s="185">
        <f>SUMIFS(lot,NOSEMAINE,"25",CATÉ,"H.CORE 1 3/4")</f>
        <v>0</v>
      </c>
    </row>
    <row r="5" spans="1:8" x14ac:dyDescent="0.3">
      <c r="A5" s="151">
        <v>26</v>
      </c>
      <c r="B5" t="s">
        <v>184</v>
      </c>
      <c r="C5" t="str">
        <f>VLOOKUP(A5,'Suivi de commande'!A30:M599,2,)</f>
        <v>SEMAINE DU 25 AU 29 JUIN</v>
      </c>
      <c r="D5" s="185">
        <f>SUMIF(NOSEMAINE,"26",lot)</f>
        <v>0</v>
      </c>
      <c r="E5" s="185">
        <f>SUMIFS(lot,NOSEMAINE,"26",CATÉ,"S.CORE 1 3/8")</f>
        <v>0</v>
      </c>
      <c r="F5" s="185">
        <f>SUMIFS(lot,NOSEMAINE,"26",CATÉ,"S.CORE 1 3/4")</f>
        <v>0</v>
      </c>
      <c r="G5" s="185">
        <f>SUMIFS(lot,NOSEMAINE,"26",CATÉ,"H.CORE 1 3/8")</f>
        <v>0</v>
      </c>
      <c r="H5" s="185">
        <f>SUMIFS(lot,NOSEMAINE,"26",CATÉ,"H.CORE 1 3/4")</f>
        <v>0</v>
      </c>
    </row>
    <row r="6" spans="1:8" x14ac:dyDescent="0.3">
      <c r="A6" s="151">
        <v>27</v>
      </c>
      <c r="B6" t="s">
        <v>185</v>
      </c>
      <c r="C6" t="str">
        <f>VLOOKUP(A6,'Suivi de commande'!A30:M600,2,)</f>
        <v>SEMAINE DU 2 AU 6 JUILLET</v>
      </c>
      <c r="D6" s="185">
        <f>SUMIF(NOSEMAINE,"27",lot)</f>
        <v>0</v>
      </c>
      <c r="E6" s="185">
        <f>SUMIFS(lot,NOSEMAINE,"27",CATÉ,"S.CORE 1 3/8")</f>
        <v>0</v>
      </c>
      <c r="F6" s="185">
        <f>SUMIFS(lot,NOSEMAINE,"27",CATÉ,"S.CORE 1 3/4")</f>
        <v>0</v>
      </c>
      <c r="G6" s="185">
        <f>SUMIFS(lot,NOSEMAINE,"27",CATÉ,"H.CORE 1 3/8")</f>
        <v>0</v>
      </c>
      <c r="H6" s="185">
        <f>SUMIFS(lot,NOSEMAINE,"27",CATÉ,"H.CORE 1 3/4")</f>
        <v>0</v>
      </c>
    </row>
    <row r="7" spans="1:8" x14ac:dyDescent="0.3">
      <c r="A7" s="151">
        <v>28</v>
      </c>
      <c r="B7" t="s">
        <v>186</v>
      </c>
      <c r="C7" t="str">
        <f>VLOOKUP(A7,'Suivi de commande'!A30:M601,2,)</f>
        <v>SEMAINE DU 9 AU 13 JUILLET</v>
      </c>
      <c r="D7" s="185">
        <f>SUMIF(NOSEMAINE,"28",lot)</f>
        <v>0</v>
      </c>
      <c r="E7" s="185">
        <f>SUMIFS(lot,NOSEMAINE,"28",CATÉ,"S.CORE 1 3/8")</f>
        <v>0</v>
      </c>
      <c r="F7" s="185">
        <f>SUMIFS(lot,NOSEMAINE,"28",CATÉ,"S.CORE 1 3/4")</f>
        <v>0</v>
      </c>
      <c r="G7" s="185">
        <f>SUMIFS(lot,NOSEMAINE,"28",CATÉ,"H.CORE 1 3/8")</f>
        <v>0</v>
      </c>
      <c r="H7" s="185">
        <f>SUMIFS(lot,NOSEMAINE,"28",CATÉ,"H.CORE 1 3/4")</f>
        <v>0</v>
      </c>
    </row>
    <row r="8" spans="1:8" x14ac:dyDescent="0.3">
      <c r="A8" s="151">
        <v>29</v>
      </c>
      <c r="B8" t="s">
        <v>187</v>
      </c>
      <c r="C8" t="str">
        <f>VLOOKUP(A8,'Suivi de commande'!A30:M602,2,)</f>
        <v>SEMAINE DU 16 AU 20 JUILLET</v>
      </c>
      <c r="D8" s="185">
        <f>SUMIF(NOSEMAINE,"29",lot)</f>
        <v>0</v>
      </c>
      <c r="E8" s="185">
        <f>SUMIFS(lot,NOSEMAINE,"29",CATÉ,"S.CORE 1 3/8")</f>
        <v>0</v>
      </c>
      <c r="F8" s="185">
        <f>SUMIFS(lot,NOSEMAINE,"29",CATÉ,"S.CORE 1 3/4")</f>
        <v>0</v>
      </c>
      <c r="G8" s="185">
        <f>SUMIFS(lot,NOSEMAINE,"29",CATÉ,"H.CORE 1 3/8")</f>
        <v>0</v>
      </c>
      <c r="H8" s="185">
        <f>SUMIFS(lot,NOSEMAINE,"29",CATÉ,"H.CORE 1 3/4")</f>
        <v>0</v>
      </c>
    </row>
    <row r="9" spans="1:8" x14ac:dyDescent="0.3">
      <c r="A9" s="151">
        <v>30</v>
      </c>
      <c r="B9" t="s">
        <v>188</v>
      </c>
      <c r="C9" t="str">
        <f>VLOOKUP(A9,'Suivi de commande'!A30:M603,2,)</f>
        <v>SEMAINE DU 23 AU 27 JUILLET</v>
      </c>
      <c r="D9" s="185">
        <f>SUMIF(NOSEMAINE,"30",lot)</f>
        <v>0</v>
      </c>
      <c r="E9" s="185">
        <f>SUMIFS(lot,NOSEMAINE,"30",CATÉ,"S.CORE 1 3/8")</f>
        <v>0</v>
      </c>
      <c r="F9" s="185">
        <f>SUMIFS(lot,NOSEMAINE,"30",CATÉ,"S.CORE 1 3/4")</f>
        <v>0</v>
      </c>
      <c r="G9" s="185">
        <f>SUMIFS(lot,NOSEMAINE,"30",CATÉ,"H.CORE 1 3/8")</f>
        <v>0</v>
      </c>
      <c r="H9" s="185">
        <f>SUMIFS(lot,NOSEMAINE,"30",CATÉ,"H.CORE 1 3/4")</f>
        <v>0</v>
      </c>
    </row>
    <row r="10" spans="1:8" x14ac:dyDescent="0.3">
      <c r="A10" s="151">
        <v>31</v>
      </c>
      <c r="B10" t="s">
        <v>189</v>
      </c>
      <c r="C10" t="str">
        <f>VLOOKUP(A10,'Suivi de commande'!A30:M604,2,)</f>
        <v>SEMAINE DU 30 JUILLET AU 3 AOÛT</v>
      </c>
      <c r="D10" s="185">
        <f>SUMIF(NOSEMAINE,"31",lot)</f>
        <v>0</v>
      </c>
      <c r="E10" s="185">
        <f>SUMIFS(lot,NOSEMAINE,"31",CATÉ,"S.CORE 1 3/8")</f>
        <v>0</v>
      </c>
      <c r="F10" s="185">
        <f>SUMIFS(lot,NOSEMAINE,"31",CATÉ,"S.CORE 1 3/4")</f>
        <v>0</v>
      </c>
      <c r="G10" s="185">
        <f>SUMIFS(lot,NOSEMAINE,"31",CATÉ,"H.CORE 1 3/8")</f>
        <v>0</v>
      </c>
      <c r="H10" s="185">
        <f>SUMIFS(lot,NOSEMAINE,"31",CATÉ,"H.CORE 1 3/4")</f>
        <v>0</v>
      </c>
    </row>
    <row r="11" spans="1:8" x14ac:dyDescent="0.3">
      <c r="A11" s="151">
        <v>32</v>
      </c>
      <c r="B11" t="s">
        <v>190</v>
      </c>
      <c r="C11" t="str">
        <f>VLOOKUP(A11,'Suivi de commande'!A30:M605,2,)</f>
        <v>SEMAINE DU 6 AU 10 AOÛT</v>
      </c>
      <c r="D11" s="185">
        <f>SUMIF(NOSEMAINE,"32",lot)</f>
        <v>0</v>
      </c>
      <c r="E11" s="185">
        <f>SUMIFS(lot,NOSEMAINE,"32",CATÉ,"S.CORE 1 3/8")</f>
        <v>0</v>
      </c>
      <c r="F11" s="185">
        <f>SUMIFS(lot,NOSEMAINE,"32",CATÉ,"S.CORE 1 3/4")</f>
        <v>0</v>
      </c>
      <c r="G11" s="185">
        <f>SUMIFS(lot,NOSEMAINE,"32",CATÉ,"H.CORE 1 3/8")</f>
        <v>0</v>
      </c>
      <c r="H11" s="185">
        <f>SUMIFS(lot,NOSEMAINE,"32",CATÉ,"H.CORE 1 3/4")</f>
        <v>0</v>
      </c>
    </row>
    <row r="12" spans="1:8" x14ac:dyDescent="0.3">
      <c r="A12" s="151">
        <v>33</v>
      </c>
      <c r="B12" t="s">
        <v>191</v>
      </c>
      <c r="C12" t="str">
        <f>VLOOKUP(A12,'Suivi de commande'!A30:M606,2,)</f>
        <v>SEMAINE DU 13 AU 17 AOÛT</v>
      </c>
      <c r="D12" s="185">
        <f>SUMIF(NOSEMAINE,"33",lot)</f>
        <v>0</v>
      </c>
      <c r="E12" s="185">
        <f>SUMIFS(lot,NOSEMAINE,"33",CATÉ,"S.CORE 1 3/8")</f>
        <v>0</v>
      </c>
      <c r="F12" s="185">
        <f>SUMIFS(lot,NOSEMAINE,"33",CATÉ,"S.CORE 1 3/4")</f>
        <v>0</v>
      </c>
      <c r="G12" s="185">
        <f>SUMIFS(lot,NOSEMAINE,"33",CATÉ,"H.CORE 1 3/8")</f>
        <v>0</v>
      </c>
      <c r="H12" s="185">
        <f>SUMIFS(lot,NOSEMAINE,"33",CATÉ,"H.CORE 1 3/4")</f>
        <v>0</v>
      </c>
    </row>
    <row r="13" spans="1:8" x14ac:dyDescent="0.3">
      <c r="A13" s="151">
        <v>34</v>
      </c>
      <c r="B13" t="s">
        <v>192</v>
      </c>
      <c r="C13" t="str">
        <f>VLOOKUP(A13,'Suivi de commande'!A30:M607,2,)</f>
        <v>SEMAINE DU 20 AU 24 AOÛT</v>
      </c>
      <c r="D13" s="185">
        <f>SUMIF(NOSEMAINE,"34",lot)</f>
        <v>0</v>
      </c>
      <c r="E13" s="185">
        <f>SUMIFS(lot,NOSEMAINE,"34",CATÉ,"S.CORE 1 3/8")</f>
        <v>0</v>
      </c>
      <c r="F13" s="185">
        <f>SUMIFS(lot,NOSEMAINE,"34",CATÉ,"S.CORE 1 3/4")</f>
        <v>0</v>
      </c>
      <c r="G13" s="185">
        <f>SUMIFS(lot,NOSEMAINE,"34",CATÉ,"H.CORE 1 3/8")</f>
        <v>0</v>
      </c>
      <c r="H13" s="185">
        <f>SUMIFS(lot,NOSEMAINE,"34",CATÉ,"H.CORE 1 3/4")</f>
        <v>0</v>
      </c>
    </row>
    <row r="14" spans="1:8" x14ac:dyDescent="0.3">
      <c r="A14" s="151">
        <v>35</v>
      </c>
      <c r="B14" t="s">
        <v>193</v>
      </c>
      <c r="C14" t="str">
        <f>VLOOKUP(A14,'Suivi de commande'!A30:M608,2,)</f>
        <v>SEMAINE DU 27 AU 31 AOÛT</v>
      </c>
      <c r="D14" s="185">
        <f>SUMIF(NOSEMAINE,"35",lot)</f>
        <v>0</v>
      </c>
      <c r="E14" s="185">
        <f>SUMIFS(lot,NOSEMAINE,"35",CATÉ,"S.CORE 1 3/8")</f>
        <v>0</v>
      </c>
      <c r="F14" s="185">
        <f>SUMIFS(lot,NOSEMAINE,"35",CATÉ,"S.CORE 1 3/4")</f>
        <v>0</v>
      </c>
      <c r="G14" s="185">
        <f>SUMIFS(lot,NOSEMAINE,"35",CATÉ,"H.CORE 1 3/8")</f>
        <v>0</v>
      </c>
      <c r="H14" s="185">
        <f>SUMIFS(lot,NOSEMAINE,"35",CATÉ,"H.CORE 1 3/4")</f>
        <v>0</v>
      </c>
    </row>
    <row r="15" spans="1:8" x14ac:dyDescent="0.3">
      <c r="A15" s="151">
        <v>36</v>
      </c>
      <c r="B15" t="s">
        <v>194</v>
      </c>
      <c r="C15" t="str">
        <f>VLOOKUP(A15,'Suivi de commande'!A30:M609,2,)</f>
        <v>SEMAINE DU 3 AU 7 SEPTEMBRE</v>
      </c>
      <c r="D15" s="185">
        <f>SUMIF(NOSEMAINE,"36",lot)</f>
        <v>0</v>
      </c>
      <c r="E15" s="185">
        <f>SUMIFS(lot,NOSEMAINE,"36",CATÉ,"S.CORE 1 3/8")</f>
        <v>0</v>
      </c>
      <c r="F15" s="185">
        <f>SUMIFS(lot,NOSEMAINE,"36",CATÉ,"S.CORE 1 3/4")</f>
        <v>0</v>
      </c>
      <c r="G15" s="185">
        <f>SUMIFS(lot,NOSEMAINE,"36",CATÉ,"H.CORE 1 3/8")</f>
        <v>0</v>
      </c>
      <c r="H15" s="185">
        <f>SUMIFS(lot,NOSEMAINE,"36",CATÉ,"H.CORE 1 3/4")</f>
        <v>0</v>
      </c>
    </row>
    <row r="16" spans="1:8" x14ac:dyDescent="0.3">
      <c r="A16" s="151">
        <v>37</v>
      </c>
      <c r="B16" t="s">
        <v>195</v>
      </c>
      <c r="C16" t="str">
        <f>VLOOKUP(A16,'Suivi de commande'!A30:M610,2,)</f>
        <v>SEMAINE DU 10 AU 14 SEPTEMBRE</v>
      </c>
      <c r="D16" s="185">
        <f>SUMIF(NOSEMAINE,"37",lot)</f>
        <v>0</v>
      </c>
      <c r="E16" s="185">
        <f>SUMIFS(lot,NOSEMAINE,"37",CATÉ,"S.CORE 1 3/8")</f>
        <v>0</v>
      </c>
      <c r="F16" s="185">
        <f>SUMIFS(lot,NOSEMAINE,"37",CATÉ,"S.CORE 1 3/4")</f>
        <v>0</v>
      </c>
      <c r="G16" s="185">
        <f>SUMIFS(lot,NOSEMAINE,"37",CATÉ,"H.CORE 1 3/8")</f>
        <v>0</v>
      </c>
      <c r="H16" s="185">
        <f>SUMIFS(lot,NOSEMAINE,"37",CATÉ,"H.CORE 1 3/4")</f>
        <v>0</v>
      </c>
    </row>
    <row r="17" spans="1:8" x14ac:dyDescent="0.3">
      <c r="A17" s="151">
        <v>38</v>
      </c>
      <c r="B17" t="s">
        <v>196</v>
      </c>
      <c r="C17" t="str">
        <f>VLOOKUP(A17,'Suivi de commande'!A30:M611,2,)</f>
        <v>SEMAINE DU 17 AU 21 SEPTEMBRE</v>
      </c>
      <c r="D17" s="185">
        <f>SUMIF(NOSEMAINE,"38",lot)</f>
        <v>0</v>
      </c>
      <c r="E17" s="185">
        <f>SUMIFS(lot,NOSEMAINE,"38",CATÉ,"S.CORE 1 3/8")</f>
        <v>0</v>
      </c>
      <c r="F17" s="185">
        <f>SUMIFS(lot,NOSEMAINE,"38",CATÉ,"S.CORE 1 3/4")</f>
        <v>0</v>
      </c>
      <c r="G17" s="185">
        <f>SUMIFS(lot,NOSEMAINE,"38",CATÉ,"H.CORE 1 3/8")</f>
        <v>0</v>
      </c>
      <c r="H17" s="185">
        <f>SUMIFS(lot,NOSEMAINE,"38",CATÉ,"H.CORE 1 3/4")</f>
        <v>0</v>
      </c>
    </row>
    <row r="18" spans="1:8" x14ac:dyDescent="0.3">
      <c r="A18" s="151">
        <v>39</v>
      </c>
      <c r="B18" t="s">
        <v>197</v>
      </c>
      <c r="C18" t="str">
        <f>VLOOKUP(A18,'Suivi de commande'!A30:M612,2,)</f>
        <v>SEMAINE DU 24 AU 28 SEPTEMBRE</v>
      </c>
      <c r="D18" s="185">
        <f>SUMIF(NOSEMAINE,"39",lot)</f>
        <v>0</v>
      </c>
      <c r="E18" s="185">
        <f>SUMIFS(lot,NOSEMAINE,"39",CATÉ,"S.CORE 1 3/8")</f>
        <v>0</v>
      </c>
      <c r="F18" s="185">
        <f>SUMIFS(lot,NOSEMAINE,"39",CATÉ,"S.CORE 1 3/4")</f>
        <v>0</v>
      </c>
      <c r="G18" s="185">
        <f>SUMIFS(lot,NOSEMAINE,"39",CATÉ,"H.CORE 1 3/8")</f>
        <v>0</v>
      </c>
      <c r="H18" s="185">
        <f>SUMIFS(lot,NOSEMAINE,"39",CATÉ,"H.CORE 1 3/4")</f>
        <v>0</v>
      </c>
    </row>
    <row r="19" spans="1:8" x14ac:dyDescent="0.3">
      <c r="A19" s="151">
        <v>40</v>
      </c>
      <c r="B19" t="s">
        <v>198</v>
      </c>
      <c r="C19" t="str">
        <f>VLOOKUP(A19,'Suivi de commande'!A30:M613,2,)</f>
        <v>SEMAINE DU 1 AU 5 OCTOBRE</v>
      </c>
      <c r="D19" s="185">
        <f>SUMIF(NOSEMAINE,"40",lot)</f>
        <v>0</v>
      </c>
      <c r="E19" s="185">
        <f>SUMIFS(lot,NOSEMAINE,"40",CATÉ,"S.CORE 1 3/8")</f>
        <v>0</v>
      </c>
      <c r="F19" s="185">
        <f>SUMIFS(lot,NOSEMAINE,"40",CATÉ,"S.CORE 1 3/4")</f>
        <v>0</v>
      </c>
      <c r="G19" s="185">
        <f>SUMIFS(lot,NOSEMAINE,"40",CATÉ,"H.CORE 1 3/8")</f>
        <v>0</v>
      </c>
      <c r="H19" s="185">
        <f>SUMIFS(lot,NOSEMAINE,"40",CATÉ,"H.CORE 1 3/4")</f>
        <v>0</v>
      </c>
    </row>
    <row r="20" spans="1:8" x14ac:dyDescent="0.3">
      <c r="A20" s="151">
        <v>41</v>
      </c>
      <c r="B20" t="s">
        <v>199</v>
      </c>
      <c r="C20" t="str">
        <f>VLOOKUP(A20,'Suivi de commande'!A30:M614,2,)</f>
        <v>SEMAINE DU 8 AU 12 OCTOBRE</v>
      </c>
      <c r="D20" s="185">
        <f>SUMIF(NOSEMAINE,"41",lot)</f>
        <v>0</v>
      </c>
      <c r="E20" s="185">
        <f>SUMIFS(lot,NOSEMAINE,"41",CATÉ,"S.CORE 1 3/8")</f>
        <v>0</v>
      </c>
      <c r="F20" s="185">
        <f>SUMIFS(lot,NOSEMAINE,"41",CATÉ,"S.CORE 1 3/4")</f>
        <v>0</v>
      </c>
      <c r="G20" s="185">
        <f>SUMIFS(lot,NOSEMAINE,"41",CATÉ,"H.CORE 1 3/8")</f>
        <v>0</v>
      </c>
      <c r="H20" s="185">
        <f>SUMIFS(lot,NOSEMAINE,"41",CATÉ,"H.CORE 1 3/4")</f>
        <v>0</v>
      </c>
    </row>
    <row r="21" spans="1:8" x14ac:dyDescent="0.3">
      <c r="A21" s="151">
        <v>42</v>
      </c>
      <c r="B21" t="s">
        <v>200</v>
      </c>
      <c r="C21" t="str">
        <f>VLOOKUP(A21,'Suivi de commande'!A30:M615,2,)</f>
        <v>SEMAINE DU 15 AU 19 OCTOBRE</v>
      </c>
      <c r="D21" s="185">
        <f>SUMIF(NOSEMAINE,"42",lot)</f>
        <v>0</v>
      </c>
      <c r="E21" s="185">
        <f>SUMIFS(lot,NOSEMAINE,"42",CATÉ,"S.CORE 1 3/8")</f>
        <v>0</v>
      </c>
      <c r="F21" s="185">
        <f>SUMIFS(lot,NOSEMAINE,"42",CATÉ,"S.CORE 1 3/4")</f>
        <v>0</v>
      </c>
      <c r="G21" s="185">
        <f>SUMIFS(lot,NOSEMAINE,"42",CATÉ,"H.CORE 1 3/8")</f>
        <v>0</v>
      </c>
      <c r="H21" s="185">
        <f>SUMIFS(lot,NOSEMAINE,"42",CATÉ,"H.CORE 1 3/4")</f>
        <v>0</v>
      </c>
    </row>
    <row r="22" spans="1:8" x14ac:dyDescent="0.3">
      <c r="A22" s="151">
        <v>43</v>
      </c>
      <c r="B22" t="s">
        <v>201</v>
      </c>
      <c r="C22" t="str">
        <f>VLOOKUP(A22,'Suivi de commande'!A30:M616,2,)</f>
        <v>SEMAINE DU 22 AU 26 OCTOBRE</v>
      </c>
      <c r="D22" s="185">
        <f>SUMIF(NOSEMAINE,"43",lot)</f>
        <v>0</v>
      </c>
      <c r="E22" s="185">
        <f>SUMIFS(lot,NOSEMAINE,"43",CATÉ,"S.CORE 1 3/8")</f>
        <v>0</v>
      </c>
      <c r="F22" s="185">
        <f>SUMIFS(lot,NOSEMAINE,"43",CATÉ,"S.CORE 1 3/4")</f>
        <v>0</v>
      </c>
      <c r="G22" s="185">
        <f>SUMIFS(lot,NOSEMAINE,"43",CATÉ,"H.CORE 1 3/8")</f>
        <v>0</v>
      </c>
      <c r="H22" s="185">
        <f>SUMIFS(lot,NOSEMAINE,"43",CATÉ,"H.CORE 1 3/4")</f>
        <v>0</v>
      </c>
    </row>
    <row r="23" spans="1:8" x14ac:dyDescent="0.3">
      <c r="A23" s="151">
        <v>44</v>
      </c>
      <c r="B23" t="s">
        <v>202</v>
      </c>
      <c r="C23" t="str">
        <f>VLOOKUP(A23,'Suivi de commande'!A30:M617,2,)</f>
        <v>SEMAINE DU 29 OCTOBRE AU 2 NOVEMBRE</v>
      </c>
      <c r="D23" s="185">
        <f>SUMIF(NOSEMAINE,"44",lot)</f>
        <v>0</v>
      </c>
      <c r="E23" s="185">
        <f>SUMIFS(lot,NOSEMAINE,"44",CATÉ,"S.CORE 1 3/8")</f>
        <v>0</v>
      </c>
      <c r="F23" s="185">
        <f>SUMIFS(lot,NOSEMAINE,"44",CATÉ,"S.CORE 1 3/4")</f>
        <v>0</v>
      </c>
      <c r="G23" s="185">
        <f>SUMIFS(lot,NOSEMAINE,"44",CATÉ,"H.CORE 1 3/8")</f>
        <v>0</v>
      </c>
      <c r="H23" s="185">
        <f>SUMIFS(lot,NOSEMAINE,"44",CATÉ,"H.CORE 1 3/4")</f>
        <v>0</v>
      </c>
    </row>
    <row r="24" spans="1:8" x14ac:dyDescent="0.3">
      <c r="A24" s="151">
        <v>45</v>
      </c>
      <c r="B24" t="s">
        <v>203</v>
      </c>
      <c r="C24" t="str">
        <f>VLOOKUP(A24,'Suivi de commande'!A30:M618,2,)</f>
        <v>SEMAINE DU 5 AU 9 NOVEMBRE</v>
      </c>
      <c r="D24" s="185">
        <f>SUMIF(NOSEMAINE,"45",lot)</f>
        <v>0</v>
      </c>
      <c r="E24" s="185">
        <f>SUMIFS(lot,NOSEMAINE,"45",CATÉ,"S.CORE 1 3/8")</f>
        <v>0</v>
      </c>
      <c r="F24" s="185">
        <f>SUMIFS(lot,NOSEMAINE,"45",CATÉ,"S.CORE 1 3/4")</f>
        <v>0</v>
      </c>
      <c r="G24" s="185">
        <f>SUMIFS(lot,NOSEMAINE,"45",CATÉ,"H.CORE 1 3/8")</f>
        <v>0</v>
      </c>
      <c r="H24" s="185">
        <f>SUMIFS(lot,NOSEMAINE,"45",CATÉ,"H.CORE 1 3/4")</f>
        <v>0</v>
      </c>
    </row>
    <row r="25" spans="1:8" x14ac:dyDescent="0.3">
      <c r="A25" s="151">
        <v>46</v>
      </c>
      <c r="B25" t="s">
        <v>204</v>
      </c>
      <c r="C25" t="str">
        <f>VLOOKUP(A25,'Suivi de commande'!A30:M619,2,)</f>
        <v>SEMAINE DU 12 AU 16 NOVEMBRE</v>
      </c>
      <c r="D25" s="185">
        <f>SUMIF(NOSEMAINE,"46",lot)</f>
        <v>0</v>
      </c>
      <c r="E25" s="185">
        <f>SUMIFS(lot,NOSEMAINE,"46",CATÉ,"S.CORE 1 3/8")</f>
        <v>0</v>
      </c>
      <c r="F25" s="185">
        <f>SUMIFS(lot,NOSEMAINE,"46",CATÉ,"S.CORE 1 3/4")</f>
        <v>0</v>
      </c>
      <c r="G25" s="185">
        <f>SUMIFS(lot,NOSEMAINE,"46",CATÉ,"H.CORE 1 3/8")</f>
        <v>0</v>
      </c>
      <c r="H25" s="185">
        <f>SUMIFS(lot,NOSEMAINE,"46",CATÉ,"H.CORE 1 3/4")</f>
        <v>0</v>
      </c>
    </row>
    <row r="26" spans="1:8" x14ac:dyDescent="0.3">
      <c r="A26" s="151">
        <v>47</v>
      </c>
      <c r="B26" t="s">
        <v>205</v>
      </c>
      <c r="C26" t="str">
        <f>VLOOKUP(A26,'Suivi de commande'!A30:M620,2,)</f>
        <v>SEMAINE DU 19 AU 23 NOVEMBRE</v>
      </c>
      <c r="D26" s="185">
        <f>SUMIF(NOSEMAINE,"47",lot)</f>
        <v>0</v>
      </c>
      <c r="E26" s="185">
        <f>SUMIFS(lot,NOSEMAINE,"47",CATÉ,"S.CORE 1 3/8")</f>
        <v>0</v>
      </c>
      <c r="F26" s="185">
        <f>SUMIFS(lot,NOSEMAINE,"47",CATÉ,"S.CORE 1 3/4")</f>
        <v>0</v>
      </c>
      <c r="G26" s="185">
        <f>SUMIFS(lot,NOSEMAINE,"47",CATÉ,"H.CORE 1 3/8")</f>
        <v>0</v>
      </c>
      <c r="H26" s="185">
        <f>SUMIFS(lot,NOSEMAINE,"47",CATÉ,"H.CORE 1 3/4")</f>
        <v>0</v>
      </c>
    </row>
    <row r="27" spans="1:8" x14ac:dyDescent="0.3">
      <c r="A27" s="151">
        <v>48</v>
      </c>
      <c r="B27" t="s">
        <v>206</v>
      </c>
      <c r="C27" t="str">
        <f>VLOOKUP(A27,'Suivi de commande'!A30:M621,2,)</f>
        <v>SEMAINE DU 26 AU 30 NOVEMBRE</v>
      </c>
      <c r="D27" s="185">
        <f>SUMIF(NOSEMAINE,"48",lot)</f>
        <v>0</v>
      </c>
      <c r="E27" s="185">
        <f>SUMIFS(lot,NOSEMAINE,"48",CATÉ,"S.CORE 1 3/8")</f>
        <v>0</v>
      </c>
      <c r="F27" s="185">
        <f>SUMIFS(lot,NOSEMAINE,"48",CATÉ,"S.CORE 1 3/4")</f>
        <v>0</v>
      </c>
      <c r="G27" s="185">
        <f>SUMIFS(lot,NOSEMAINE,"48",CATÉ,"H.CORE 1 3/8")</f>
        <v>0</v>
      </c>
      <c r="H27" s="185">
        <f>SUMIFS(lot,NOSEMAINE,"48",CATÉ,"H.CORE 1 3/4")</f>
        <v>0</v>
      </c>
    </row>
    <row r="28" spans="1:8" x14ac:dyDescent="0.3">
      <c r="A28" s="151">
        <v>49</v>
      </c>
      <c r="B28" t="s">
        <v>207</v>
      </c>
      <c r="C28" t="str">
        <f>VLOOKUP(A28,'Suivi de commande'!A30:M622,2,)</f>
        <v>SEMAINE DU 3 AU 7 DÉCEMBRE</v>
      </c>
      <c r="D28" s="185">
        <f>SUMIF(NOSEMAINE,"49",lot)</f>
        <v>0</v>
      </c>
      <c r="E28" s="185">
        <f>SUMIFS(lot,NOSEMAINE,"49",CATÉ,"S.CORE 1 3/8")</f>
        <v>0</v>
      </c>
      <c r="F28" s="185">
        <f>SUMIFS(lot,NOSEMAINE,"49",CATÉ,"S.CORE 1 3/4")</f>
        <v>0</v>
      </c>
      <c r="G28" s="185">
        <f>SUMIFS(lot,NOSEMAINE,"49",CATÉ,"H.CORE 1 3/8")</f>
        <v>0</v>
      </c>
      <c r="H28" s="185">
        <f>SUMIFS(lot,NOSEMAINE,"49",CATÉ,"H.CORE 1 3/4")</f>
        <v>0</v>
      </c>
    </row>
    <row r="29" spans="1:8" x14ac:dyDescent="0.3">
      <c r="A29" s="151">
        <v>50</v>
      </c>
      <c r="B29" t="s">
        <v>208</v>
      </c>
      <c r="C29" t="str">
        <f>VLOOKUP(A29,'Suivi de commande'!A30:M623,2,)</f>
        <v>SEMAINE DU 10 AU 14 DÉCEMBRE</v>
      </c>
      <c r="D29" s="185">
        <f>SUMIF(NOSEMAINE,"50",lot)</f>
        <v>0</v>
      </c>
      <c r="E29" s="185">
        <f>SUMIFS(lot,NOSEMAINE,"50",CATÉ,"S.CORE 1 3/8")</f>
        <v>0</v>
      </c>
      <c r="F29" s="185">
        <f>SUMIFS(lot,NOSEMAINE,"50",CATÉ,"S.CORE 1 3/4")</f>
        <v>0</v>
      </c>
      <c r="G29" s="185">
        <f>SUMIFS(lot,NOSEMAINE,"50",CATÉ,"H.CORE 1 3/8")</f>
        <v>0</v>
      </c>
      <c r="H29" s="185">
        <f>SUMIFS(lot,NOSEMAINE,"50",CATÉ,"H.CORE 1 3/4")</f>
        <v>0</v>
      </c>
    </row>
    <row r="30" spans="1:8" x14ac:dyDescent="0.3">
      <c r="A30" s="151">
        <v>51</v>
      </c>
      <c r="B30" t="s">
        <v>209</v>
      </c>
      <c r="C30" t="str">
        <f>VLOOKUP(A30,'Suivi de commande'!A30:M624,2,)</f>
        <v>SEMAINE DU 17 AU 21 DÉCEMBRE</v>
      </c>
      <c r="D30" s="185">
        <f>SUMIF(NOSEMAINE,"51",lot)</f>
        <v>0</v>
      </c>
      <c r="E30" s="185">
        <f>SUMIFS(lot,NOSEMAINE,"51",CATÉ,"S.CORE 1 3/8")</f>
        <v>0</v>
      </c>
      <c r="F30" s="185">
        <f>SUMIFS(lot,NOSEMAINE,"51",CATÉ,"S.CORE 1 3/4")</f>
        <v>0</v>
      </c>
      <c r="G30" s="185">
        <f>SUMIFS(lot,NOSEMAINE,"51",CATÉ,"H.CORE 1 3/8")</f>
        <v>0</v>
      </c>
      <c r="H30" s="185">
        <f>SUMIFS(lot,NOSEMAINE,"51",CATÉ,"H.CORE 1 3/4")</f>
        <v>0</v>
      </c>
    </row>
    <row r="31" spans="1:8" x14ac:dyDescent="0.3">
      <c r="A31" s="151">
        <v>52</v>
      </c>
      <c r="B31" t="s">
        <v>210</v>
      </c>
      <c r="C31" t="str">
        <f>VLOOKUP(A31,'Suivi de commande'!A30:M625,2,)</f>
        <v>SEMAINE DU 24 AU 28 DÉCEMBRE</v>
      </c>
      <c r="D31" s="185">
        <f>SUMIF(NOSEMAINE,"52",lot)</f>
        <v>0</v>
      </c>
      <c r="E31" s="185">
        <f>SUMIFS(lot,NOSEMAINE,"52",CATÉ,"S.CORE 1 3/8")</f>
        <v>0</v>
      </c>
      <c r="F31" s="185">
        <f>SUMIFS(lot,NOSEMAINE,"52",CATÉ,"S.CORE 1 3/4")</f>
        <v>0</v>
      </c>
      <c r="G31" s="185">
        <f>SUMIFS(lot,NOSEMAINE,"52",CATÉ,"H.CORE 1 3/8")</f>
        <v>0</v>
      </c>
      <c r="H31" s="185">
        <f>SUMIFS(lot,NOSEMAINE,"52",CATÉ,"H.CORE 1 3/4")</f>
        <v>0</v>
      </c>
    </row>
    <row r="32" spans="1:8" x14ac:dyDescent="0.3">
      <c r="A32" s="151" t="s">
        <v>178</v>
      </c>
      <c r="B32" s="168"/>
      <c r="C32" s="169" t="s">
        <v>212</v>
      </c>
      <c r="D32" s="186">
        <f>SUM(D2:D31)</f>
        <v>0</v>
      </c>
      <c r="E32" s="186">
        <f t="shared" ref="E32:H32" si="0">SUM(E2:E31)</f>
        <v>0</v>
      </c>
      <c r="F32" s="186">
        <f t="shared" si="0"/>
        <v>0</v>
      </c>
      <c r="G32" s="186">
        <f t="shared" si="0"/>
        <v>0</v>
      </c>
      <c r="H32" s="186">
        <f t="shared" si="0"/>
        <v>0</v>
      </c>
    </row>
    <row r="33" spans="1:1" x14ac:dyDescent="0.3">
      <c r="A33" s="151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Q40"/>
  <sheetViews>
    <sheetView tabSelected="1" topLeftCell="A7" workbookViewId="0">
      <selection activeCell="S22" sqref="S22"/>
    </sheetView>
  </sheetViews>
  <sheetFormatPr baseColWidth="10" defaultRowHeight="14.4" x14ac:dyDescent="0.3"/>
  <sheetData>
    <row r="1" spans="1:17" x14ac:dyDescent="0.3">
      <c r="A1" s="287">
        <v>43252</v>
      </c>
      <c r="B1" s="288"/>
      <c r="C1" s="288"/>
      <c r="D1" s="288"/>
      <c r="E1" s="288"/>
      <c r="F1" s="288"/>
      <c r="G1" s="288"/>
      <c r="H1" s="288"/>
      <c r="I1" s="288"/>
      <c r="J1" s="288"/>
      <c r="K1" s="288"/>
      <c r="L1" s="288"/>
      <c r="M1" s="288"/>
      <c r="N1" s="289"/>
      <c r="P1" s="191"/>
      <c r="Q1" s="275"/>
    </row>
    <row r="2" spans="1:17" ht="15" thickBot="1" x14ac:dyDescent="0.35">
      <c r="A2" s="290"/>
      <c r="B2" s="291"/>
      <c r="C2" s="291"/>
      <c r="D2" s="291"/>
      <c r="E2" s="291"/>
      <c r="F2" s="291"/>
      <c r="G2" s="291"/>
      <c r="H2" s="291"/>
      <c r="I2" s="291"/>
      <c r="J2" s="291"/>
      <c r="K2" s="291"/>
      <c r="L2" s="291"/>
      <c r="M2" s="291"/>
      <c r="N2" s="292"/>
      <c r="P2" s="191"/>
      <c r="Q2" s="275"/>
    </row>
    <row r="3" spans="1:17" x14ac:dyDescent="0.3">
      <c r="A3" s="192"/>
      <c r="B3" s="193"/>
      <c r="C3" s="293" t="s">
        <v>216</v>
      </c>
      <c r="D3" s="294"/>
      <c r="E3" s="297" t="s">
        <v>217</v>
      </c>
      <c r="F3" s="299" t="s">
        <v>218</v>
      </c>
      <c r="G3" s="300"/>
      <c r="H3" s="297" t="s">
        <v>219</v>
      </c>
      <c r="I3" s="293" t="s">
        <v>220</v>
      </c>
      <c r="J3" s="294"/>
      <c r="K3" s="264"/>
      <c r="L3" s="281" t="s">
        <v>221</v>
      </c>
      <c r="M3" s="297" t="s">
        <v>222</v>
      </c>
      <c r="N3" s="293" t="s">
        <v>223</v>
      </c>
      <c r="O3" s="281" t="s">
        <v>224</v>
      </c>
      <c r="P3" s="284" t="s">
        <v>225</v>
      </c>
      <c r="Q3" s="275"/>
    </row>
    <row r="4" spans="1:17" x14ac:dyDescent="0.3">
      <c r="A4" s="194"/>
      <c r="B4" s="195"/>
      <c r="C4" s="295"/>
      <c r="D4" s="296"/>
      <c r="E4" s="298"/>
      <c r="F4" s="301"/>
      <c r="G4" s="302"/>
      <c r="H4" s="298"/>
      <c r="I4" s="295"/>
      <c r="J4" s="296"/>
      <c r="K4" s="197"/>
      <c r="L4" s="282"/>
      <c r="M4" s="298"/>
      <c r="N4" s="295"/>
      <c r="O4" s="282"/>
      <c r="P4" s="285"/>
      <c r="Q4" s="275"/>
    </row>
    <row r="5" spans="1:17" ht="15" thickBot="1" x14ac:dyDescent="0.35">
      <c r="A5" s="194"/>
      <c r="B5" s="195"/>
      <c r="C5" s="196" t="s">
        <v>226</v>
      </c>
      <c r="D5" s="197" t="s">
        <v>227</v>
      </c>
      <c r="E5" s="298"/>
      <c r="F5" s="198" t="s">
        <v>226</v>
      </c>
      <c r="G5" s="199" t="s">
        <v>227</v>
      </c>
      <c r="H5" s="298"/>
      <c r="I5" s="200" t="s">
        <v>226</v>
      </c>
      <c r="J5" s="199" t="s">
        <v>227</v>
      </c>
      <c r="K5" s="199"/>
      <c r="L5" s="282"/>
      <c r="M5" s="298"/>
      <c r="N5" s="295"/>
      <c r="O5" s="283"/>
      <c r="P5" s="286"/>
      <c r="Q5" s="275"/>
    </row>
    <row r="6" spans="1:17" ht="15" thickBot="1" x14ac:dyDescent="0.35">
      <c r="A6" s="201">
        <v>43255</v>
      </c>
      <c r="B6" s="202"/>
      <c r="C6" s="203"/>
      <c r="D6" s="203"/>
      <c r="E6" s="203">
        <f>SUM(C6+D6)</f>
        <v>0</v>
      </c>
      <c r="F6" s="203">
        <v>597</v>
      </c>
      <c r="G6" s="203">
        <f>SUMIF(date,A6,qtélot)</f>
        <v>552</v>
      </c>
      <c r="H6" s="203">
        <f>SUM(F6+G6)</f>
        <v>1149</v>
      </c>
      <c r="I6" s="203"/>
      <c r="J6" s="203">
        <f>SUMIF(date,A6,qtélot)</f>
        <v>552</v>
      </c>
      <c r="K6" s="203">
        <f>SUMIFS(qtélot,date,A6,qtélot,SOMME_SI_COULEUR(qtélot,Q1))</f>
        <v>0</v>
      </c>
      <c r="L6" s="203">
        <f>+J6-G6</f>
        <v>0</v>
      </c>
      <c r="M6" s="203"/>
      <c r="N6" s="204"/>
      <c r="O6" s="205"/>
      <c r="P6" s="206"/>
      <c r="Q6" s="275"/>
    </row>
    <row r="7" spans="1:17" ht="15" thickBot="1" x14ac:dyDescent="0.35">
      <c r="A7" s="201">
        <v>43256</v>
      </c>
      <c r="B7" s="207"/>
      <c r="C7" s="208"/>
      <c r="D7" s="208"/>
      <c r="E7" s="208">
        <f t="shared" ref="E7:E10" si="0">SUM(C7+D7)</f>
        <v>0</v>
      </c>
      <c r="F7" s="208">
        <v>538</v>
      </c>
      <c r="G7" s="203">
        <f>SUMIF(date,A7,qtélot)</f>
        <v>1000</v>
      </c>
      <c r="H7" s="208">
        <f t="shared" ref="H7:H10" si="1">SUM(F7+G7)</f>
        <v>1538</v>
      </c>
      <c r="I7" s="208"/>
      <c r="J7" s="208">
        <v>88</v>
      </c>
      <c r="K7" s="213"/>
      <c r="L7" s="203">
        <f>+J7-G7</f>
        <v>-912</v>
      </c>
      <c r="M7" s="208"/>
      <c r="N7" s="209"/>
      <c r="O7" s="210"/>
      <c r="P7" s="211"/>
      <c r="Q7" s="275"/>
    </row>
    <row r="8" spans="1:17" ht="15" thickBot="1" x14ac:dyDescent="0.35">
      <c r="A8" s="201">
        <v>43257</v>
      </c>
      <c r="B8" s="207"/>
      <c r="C8" s="208"/>
      <c r="D8" s="208"/>
      <c r="E8" s="208">
        <f t="shared" si="0"/>
        <v>0</v>
      </c>
      <c r="F8" s="208">
        <v>529</v>
      </c>
      <c r="G8" s="203">
        <f>SUMIF(date,A8,qtélot)</f>
        <v>0</v>
      </c>
      <c r="H8" s="208">
        <f t="shared" si="1"/>
        <v>529</v>
      </c>
      <c r="I8" s="208"/>
      <c r="J8" s="208">
        <v>74</v>
      </c>
      <c r="K8" s="213"/>
      <c r="L8" s="203">
        <f>+J8-G8</f>
        <v>74</v>
      </c>
      <c r="M8" s="208"/>
      <c r="N8" s="209"/>
      <c r="O8" s="210"/>
      <c r="P8" s="211"/>
      <c r="Q8" s="275"/>
    </row>
    <row r="9" spans="1:17" ht="15" thickBot="1" x14ac:dyDescent="0.35">
      <c r="A9" s="201">
        <v>43258</v>
      </c>
      <c r="B9" s="207"/>
      <c r="C9" s="208"/>
      <c r="D9" s="208"/>
      <c r="E9" s="208">
        <f t="shared" si="0"/>
        <v>0</v>
      </c>
      <c r="F9" s="208">
        <v>531</v>
      </c>
      <c r="G9" s="203">
        <f>SUMIF(date,A9,qtélot)</f>
        <v>0</v>
      </c>
      <c r="H9" s="208">
        <f t="shared" si="1"/>
        <v>531</v>
      </c>
      <c r="I9" s="208"/>
      <c r="J9" s="212">
        <v>78</v>
      </c>
      <c r="K9" s="265"/>
      <c r="L9" s="203">
        <f>+J9-G9</f>
        <v>78</v>
      </c>
      <c r="M9" s="208"/>
      <c r="N9" s="209"/>
      <c r="O9" s="210"/>
      <c r="P9" s="211"/>
      <c r="Q9" s="275"/>
    </row>
    <row r="10" spans="1:17" x14ac:dyDescent="0.3">
      <c r="A10" s="201">
        <v>43259</v>
      </c>
      <c r="B10" s="207"/>
      <c r="C10" s="208"/>
      <c r="D10" s="208"/>
      <c r="E10" s="208">
        <f t="shared" si="0"/>
        <v>0</v>
      </c>
      <c r="F10" s="208">
        <v>290</v>
      </c>
      <c r="G10" s="203">
        <f>SUMIF(date,A10,qtélot)</f>
        <v>0</v>
      </c>
      <c r="H10" s="208">
        <f t="shared" si="1"/>
        <v>290</v>
      </c>
      <c r="I10" s="208"/>
      <c r="J10" s="208">
        <v>138</v>
      </c>
      <c r="K10" s="213"/>
      <c r="L10" s="203">
        <f>+J10-G10</f>
        <v>138</v>
      </c>
      <c r="M10" s="208"/>
      <c r="N10" s="209"/>
      <c r="O10" s="210"/>
      <c r="P10" s="211"/>
      <c r="Q10" s="275"/>
    </row>
    <row r="11" spans="1:17" x14ac:dyDescent="0.3">
      <c r="A11" s="214" t="s">
        <v>228</v>
      </c>
      <c r="B11" s="215"/>
      <c r="C11" s="216">
        <f>SUM(C6:C10)</f>
        <v>0</v>
      </c>
      <c r="D11" s="216">
        <f>SUM(D6:D10)</f>
        <v>0</v>
      </c>
      <c r="E11" s="216">
        <f>SUM(E6:E10)</f>
        <v>0</v>
      </c>
      <c r="F11" s="216">
        <f>SUM(F6:F10)</f>
        <v>2485</v>
      </c>
      <c r="G11" s="216">
        <f>SUM(G6:G10)</f>
        <v>1552</v>
      </c>
      <c r="H11" s="216">
        <f t="shared" ref="H11:P11" si="2">SUM(H6:H10)</f>
        <v>4037</v>
      </c>
      <c r="I11" s="216">
        <f t="shared" si="2"/>
        <v>0</v>
      </c>
      <c r="J11" s="216"/>
      <c r="K11" s="216"/>
      <c r="L11" s="216">
        <f>SUM(L6:L10)</f>
        <v>-622</v>
      </c>
      <c r="M11" s="216">
        <f t="shared" si="2"/>
        <v>0</v>
      </c>
      <c r="N11" s="217">
        <f t="shared" si="2"/>
        <v>0</v>
      </c>
      <c r="O11" s="218">
        <f t="shared" si="2"/>
        <v>0</v>
      </c>
      <c r="P11" s="219">
        <f t="shared" si="2"/>
        <v>0</v>
      </c>
      <c r="Q11" s="275"/>
    </row>
    <row r="12" spans="1:17" ht="15" thickBot="1" x14ac:dyDescent="0.35">
      <c r="A12" s="220" t="s">
        <v>229</v>
      </c>
      <c r="B12" s="221"/>
      <c r="C12" s="222">
        <f>SUM(C6:C10)/5</f>
        <v>0</v>
      </c>
      <c r="D12" s="222">
        <f t="shared" ref="D12:P12" si="3">SUM(D6:D10)/5</f>
        <v>0</v>
      </c>
      <c r="E12" s="222">
        <f t="shared" si="3"/>
        <v>0</v>
      </c>
      <c r="F12" s="222">
        <f t="shared" si="3"/>
        <v>497</v>
      </c>
      <c r="G12" s="222">
        <f>SUM(G6:G10)/5</f>
        <v>310.39999999999998</v>
      </c>
      <c r="H12" s="222">
        <f t="shared" si="3"/>
        <v>807.4</v>
      </c>
      <c r="I12" s="222">
        <f t="shared" si="3"/>
        <v>0</v>
      </c>
      <c r="J12" s="222">
        <f t="shared" si="3"/>
        <v>186</v>
      </c>
      <c r="K12" s="222"/>
      <c r="L12" s="222">
        <f>SUM(L6:L10)/5</f>
        <v>-124.4</v>
      </c>
      <c r="M12" s="222">
        <f t="shared" si="3"/>
        <v>0</v>
      </c>
      <c r="N12" s="223">
        <f t="shared" si="3"/>
        <v>0</v>
      </c>
      <c r="O12" s="224">
        <f t="shared" si="3"/>
        <v>0</v>
      </c>
      <c r="P12" s="225">
        <f t="shared" si="3"/>
        <v>0</v>
      </c>
      <c r="Q12" s="275"/>
    </row>
    <row r="13" spans="1:17" ht="15" thickBot="1" x14ac:dyDescent="0.35">
      <c r="A13" s="226"/>
      <c r="B13" s="227"/>
      <c r="C13" s="228"/>
      <c r="D13" s="228"/>
      <c r="E13" s="228"/>
      <c r="F13" s="228"/>
      <c r="G13" s="228"/>
      <c r="H13" s="228"/>
      <c r="I13" s="228"/>
      <c r="J13" s="228"/>
      <c r="K13" s="228"/>
      <c r="L13" s="228"/>
      <c r="M13" s="228"/>
      <c r="N13" s="229"/>
      <c r="O13" s="230"/>
      <c r="P13" s="231"/>
      <c r="Q13" s="275"/>
    </row>
    <row r="14" spans="1:17" ht="15" thickBot="1" x14ac:dyDescent="0.35">
      <c r="A14" s="201">
        <v>43262</v>
      </c>
      <c r="B14" s="202"/>
      <c r="C14" s="203"/>
      <c r="D14" s="203"/>
      <c r="E14" s="203">
        <f>SUM(C14+D14)</f>
        <v>0</v>
      </c>
      <c r="F14" s="203">
        <v>562</v>
      </c>
      <c r="G14" s="203">
        <f>SUMIF(date,A14,qtélot)</f>
        <v>0</v>
      </c>
      <c r="H14" s="208">
        <f t="shared" ref="H14:H18" si="4">SUM(F14+G14)</f>
        <v>562</v>
      </c>
      <c r="I14" s="203"/>
      <c r="J14" s="203">
        <v>26</v>
      </c>
      <c r="K14" s="203"/>
      <c r="L14" s="203">
        <f>+J14-G14</f>
        <v>26</v>
      </c>
      <c r="M14" s="203"/>
      <c r="N14" s="204"/>
      <c r="O14" s="205"/>
      <c r="P14" s="206"/>
      <c r="Q14" s="275"/>
    </row>
    <row r="15" spans="1:17" ht="15" thickBot="1" x14ac:dyDescent="0.35">
      <c r="A15" s="201">
        <v>43263</v>
      </c>
      <c r="B15" s="207"/>
      <c r="C15" s="208"/>
      <c r="D15" s="208"/>
      <c r="E15" s="208">
        <f t="shared" ref="E15:E18" si="5">SUM(C15+D15)</f>
        <v>0</v>
      </c>
      <c r="F15" s="208">
        <v>736</v>
      </c>
      <c r="G15" s="203">
        <f>SUMIF(date,A15,qtélot)</f>
        <v>2</v>
      </c>
      <c r="H15" s="208">
        <f t="shared" si="4"/>
        <v>738</v>
      </c>
      <c r="I15" s="208"/>
      <c r="J15" s="208">
        <v>55</v>
      </c>
      <c r="K15" s="213"/>
      <c r="L15" s="203">
        <f>+J15-G15</f>
        <v>53</v>
      </c>
      <c r="M15" s="208"/>
      <c r="N15" s="209"/>
      <c r="O15" s="210"/>
      <c r="P15" s="211"/>
      <c r="Q15" s="275"/>
    </row>
    <row r="16" spans="1:17" ht="15" thickBot="1" x14ac:dyDescent="0.35">
      <c r="A16" s="201">
        <v>43264</v>
      </c>
      <c r="B16" s="207"/>
      <c r="C16" s="208"/>
      <c r="D16" s="208"/>
      <c r="E16" s="208">
        <f t="shared" si="5"/>
        <v>0</v>
      </c>
      <c r="F16" s="208">
        <v>640</v>
      </c>
      <c r="G16" s="203">
        <f>SUMIF(date,A16,qtélot)</f>
        <v>0</v>
      </c>
      <c r="H16" s="208">
        <f t="shared" si="4"/>
        <v>640</v>
      </c>
      <c r="I16" s="208"/>
      <c r="J16" s="208">
        <v>98</v>
      </c>
      <c r="K16" s="213"/>
      <c r="L16" s="203">
        <f>+J16-G16</f>
        <v>98</v>
      </c>
      <c r="M16" s="208"/>
      <c r="N16" s="209"/>
      <c r="O16" s="210"/>
      <c r="P16" s="211"/>
      <c r="Q16" s="275"/>
    </row>
    <row r="17" spans="1:17" ht="15" thickBot="1" x14ac:dyDescent="0.35">
      <c r="A17" s="201">
        <v>43265</v>
      </c>
      <c r="B17" s="207"/>
      <c r="C17" s="208"/>
      <c r="D17" s="208"/>
      <c r="E17" s="208">
        <f t="shared" si="5"/>
        <v>0</v>
      </c>
      <c r="F17" s="208"/>
      <c r="G17" s="203">
        <f>SUMIF(date,A17,qtélot)</f>
        <v>0</v>
      </c>
      <c r="H17" s="208">
        <f t="shared" si="4"/>
        <v>0</v>
      </c>
      <c r="I17" s="208"/>
      <c r="J17" s="208">
        <v>37</v>
      </c>
      <c r="K17" s="213"/>
      <c r="L17" s="203">
        <f>+J17-G17</f>
        <v>37</v>
      </c>
      <c r="M17" s="208"/>
      <c r="N17" s="209"/>
      <c r="O17" s="210"/>
      <c r="P17" s="211"/>
      <c r="Q17" s="275"/>
    </row>
    <row r="18" spans="1:17" x14ac:dyDescent="0.3">
      <c r="A18" s="201">
        <v>43266</v>
      </c>
      <c r="B18" s="207"/>
      <c r="C18" s="208"/>
      <c r="D18" s="208"/>
      <c r="E18" s="208">
        <f t="shared" si="5"/>
        <v>0</v>
      </c>
      <c r="F18" s="208"/>
      <c r="G18" s="203">
        <f>SUMIF(date,A18,qtélot)</f>
        <v>0</v>
      </c>
      <c r="H18" s="208">
        <f t="shared" si="4"/>
        <v>0</v>
      </c>
      <c r="I18" s="208"/>
      <c r="J18" s="208"/>
      <c r="K18" s="213"/>
      <c r="L18" s="203">
        <f>+J18-G18</f>
        <v>0</v>
      </c>
      <c r="M18" s="208"/>
      <c r="N18" s="209"/>
      <c r="O18" s="210"/>
      <c r="P18" s="211"/>
      <c r="Q18" s="275"/>
    </row>
    <row r="19" spans="1:17" x14ac:dyDescent="0.3">
      <c r="A19" s="214" t="s">
        <v>228</v>
      </c>
      <c r="B19" s="215"/>
      <c r="C19" s="216">
        <f>SUM(C14:C18)</f>
        <v>0</v>
      </c>
      <c r="D19" s="216">
        <f>SUM(D14:D18)</f>
        <v>0</v>
      </c>
      <c r="E19" s="216">
        <f>SUM(E14:E18)</f>
        <v>0</v>
      </c>
      <c r="F19" s="216">
        <f t="shared" ref="F19" si="6">SUM(F14:F18)</f>
        <v>1938</v>
      </c>
      <c r="G19" s="216">
        <f>SUM(G14:G18)</f>
        <v>2</v>
      </c>
      <c r="H19" s="216">
        <f>SUM(H14:H18)</f>
        <v>1940</v>
      </c>
      <c r="I19" s="216">
        <f t="shared" ref="I19:P19" si="7">SUM(I14:I18)</f>
        <v>0</v>
      </c>
      <c r="J19" s="216">
        <f>SUM(J14:J18)</f>
        <v>216</v>
      </c>
      <c r="K19" s="216"/>
      <c r="L19" s="216">
        <f t="shared" si="7"/>
        <v>214</v>
      </c>
      <c r="M19" s="216">
        <f t="shared" si="7"/>
        <v>0</v>
      </c>
      <c r="N19" s="217">
        <f t="shared" si="7"/>
        <v>0</v>
      </c>
      <c r="O19" s="218">
        <f t="shared" si="7"/>
        <v>0</v>
      </c>
      <c r="P19" s="219">
        <f t="shared" si="7"/>
        <v>0</v>
      </c>
      <c r="Q19" s="275"/>
    </row>
    <row r="20" spans="1:17" ht="15" thickBot="1" x14ac:dyDescent="0.35">
      <c r="A20" s="232" t="s">
        <v>229</v>
      </c>
      <c r="B20" s="233"/>
      <c r="C20" s="234">
        <f>SUM(C14:C18)/5</f>
        <v>0</v>
      </c>
      <c r="D20" s="234">
        <f t="shared" ref="D20:P20" si="8">SUM(D14:D18)/5</f>
        <v>0</v>
      </c>
      <c r="E20" s="234">
        <f t="shared" si="8"/>
        <v>0</v>
      </c>
      <c r="F20" s="234">
        <f t="shared" si="8"/>
        <v>387.6</v>
      </c>
      <c r="G20" s="234">
        <f>SUM(G14:G18)/5</f>
        <v>0.4</v>
      </c>
      <c r="H20" s="234">
        <f t="shared" si="8"/>
        <v>388</v>
      </c>
      <c r="I20" s="234">
        <f t="shared" si="8"/>
        <v>0</v>
      </c>
      <c r="J20" s="234">
        <f t="shared" si="8"/>
        <v>43.2</v>
      </c>
      <c r="K20" s="234"/>
      <c r="L20" s="234">
        <f t="shared" si="8"/>
        <v>42.8</v>
      </c>
      <c r="M20" s="234">
        <f t="shared" si="8"/>
        <v>0</v>
      </c>
      <c r="N20" s="235">
        <f t="shared" si="8"/>
        <v>0</v>
      </c>
      <c r="O20" s="224">
        <f t="shared" si="8"/>
        <v>0</v>
      </c>
      <c r="P20" s="225">
        <f t="shared" si="8"/>
        <v>0</v>
      </c>
      <c r="Q20" s="275"/>
    </row>
    <row r="21" spans="1:17" ht="15" thickBot="1" x14ac:dyDescent="0.35">
      <c r="A21" s="236"/>
      <c r="B21" s="237"/>
      <c r="C21" s="238"/>
      <c r="D21" s="238"/>
      <c r="E21" s="238"/>
      <c r="F21" s="238"/>
      <c r="G21" s="238"/>
      <c r="H21" s="238"/>
      <c r="I21" s="238"/>
      <c r="J21" s="238"/>
      <c r="K21" s="238"/>
      <c r="L21" s="238"/>
      <c r="M21" s="238"/>
      <c r="N21" s="239"/>
      <c r="O21" s="230"/>
      <c r="P21" s="231"/>
      <c r="Q21" s="275"/>
    </row>
    <row r="22" spans="1:17" ht="15" thickBot="1" x14ac:dyDescent="0.35">
      <c r="A22" s="201">
        <v>43269</v>
      </c>
      <c r="B22" s="240"/>
      <c r="C22" s="241"/>
      <c r="D22" s="241"/>
      <c r="E22" s="241">
        <f>SUM(C22+D22)</f>
        <v>0</v>
      </c>
      <c r="F22" s="241"/>
      <c r="G22" s="203">
        <f>SUMIF(date,A22,qtélot)</f>
        <v>0</v>
      </c>
      <c r="H22" s="241"/>
      <c r="I22" s="241"/>
      <c r="J22" s="241"/>
      <c r="K22" s="241"/>
      <c r="L22" s="241">
        <f>+J22-G22</f>
        <v>0</v>
      </c>
      <c r="M22" s="241"/>
      <c r="N22" s="242"/>
      <c r="O22" s="205"/>
      <c r="P22" s="206"/>
      <c r="Q22" s="275"/>
    </row>
    <row r="23" spans="1:17" ht="15" thickBot="1" x14ac:dyDescent="0.35">
      <c r="A23" s="201">
        <v>43270</v>
      </c>
      <c r="B23" s="243"/>
      <c r="C23" s="244"/>
      <c r="D23" s="244"/>
      <c r="E23" s="244">
        <f t="shared" ref="E23:E26" si="9">SUM(C23+D23)</f>
        <v>0</v>
      </c>
      <c r="F23" s="244"/>
      <c r="G23" s="203">
        <f>SUMIF(date,A23,qtélot)</f>
        <v>0</v>
      </c>
      <c r="H23" s="244"/>
      <c r="I23" s="244"/>
      <c r="J23" s="244"/>
      <c r="K23" s="266"/>
      <c r="L23" s="241">
        <f>+J23-G23</f>
        <v>0</v>
      </c>
      <c r="M23" s="244"/>
      <c r="N23" s="245"/>
      <c r="O23" s="210"/>
      <c r="P23" s="211"/>
      <c r="Q23" s="275"/>
    </row>
    <row r="24" spans="1:17" ht="15" thickBot="1" x14ac:dyDescent="0.35">
      <c r="A24" s="201">
        <v>43271</v>
      </c>
      <c r="B24" s="243"/>
      <c r="C24" s="244"/>
      <c r="D24" s="244"/>
      <c r="E24" s="244">
        <f t="shared" si="9"/>
        <v>0</v>
      </c>
      <c r="F24" s="244"/>
      <c r="G24" s="203">
        <f>SUMIF(date,A24,qtélot)</f>
        <v>25</v>
      </c>
      <c r="H24" s="244">
        <f t="shared" ref="H24:H25" si="10">SUM(F24+G24)</f>
        <v>25</v>
      </c>
      <c r="I24" s="244"/>
      <c r="J24" s="244"/>
      <c r="K24" s="203">
        <f>SUMIFS(qtélot,date,A24,qtélot,SOMME_SI_COULEUR(qtélot,Q19))</f>
        <v>25</v>
      </c>
      <c r="L24" s="241">
        <f>+J24-G24</f>
        <v>-25</v>
      </c>
      <c r="M24" s="244"/>
      <c r="N24" s="245"/>
      <c r="O24" s="210"/>
      <c r="P24" s="211"/>
      <c r="Q24" s="275"/>
    </row>
    <row r="25" spans="1:17" ht="15" thickBot="1" x14ac:dyDescent="0.35">
      <c r="A25" s="201">
        <v>43272</v>
      </c>
      <c r="B25" s="243"/>
      <c r="C25" s="244"/>
      <c r="D25" s="244"/>
      <c r="E25" s="244">
        <f t="shared" si="9"/>
        <v>0</v>
      </c>
      <c r="F25" s="244"/>
      <c r="G25" s="203">
        <f>SUMIF(date,A25,qtélot)</f>
        <v>0</v>
      </c>
      <c r="H25" s="244">
        <f t="shared" si="10"/>
        <v>0</v>
      </c>
      <c r="I25" s="244"/>
      <c r="J25" s="244"/>
      <c r="K25" s="266"/>
      <c r="L25" s="241">
        <f>+J25-G25</f>
        <v>0</v>
      </c>
      <c r="M25" s="244"/>
      <c r="N25" s="245"/>
      <c r="O25" s="210"/>
      <c r="P25" s="211"/>
      <c r="Q25" s="275"/>
    </row>
    <row r="26" spans="1:17" x14ac:dyDescent="0.3">
      <c r="A26" s="201">
        <v>43273</v>
      </c>
      <c r="B26" s="243"/>
      <c r="C26" s="244"/>
      <c r="D26" s="244"/>
      <c r="E26" s="244">
        <f t="shared" si="9"/>
        <v>0</v>
      </c>
      <c r="F26" s="244"/>
      <c r="G26" s="203">
        <f>SUMIF(date,A26,qtélot)</f>
        <v>0</v>
      </c>
      <c r="H26" s="244">
        <f>SUM(F26+G26)</f>
        <v>0</v>
      </c>
      <c r="I26" s="244"/>
      <c r="J26" s="244"/>
      <c r="K26" s="266"/>
      <c r="L26" s="241">
        <f>+J26-G26</f>
        <v>0</v>
      </c>
      <c r="M26" s="244"/>
      <c r="N26" s="245"/>
      <c r="O26" s="210"/>
      <c r="P26" s="211"/>
      <c r="Q26" s="275"/>
    </row>
    <row r="27" spans="1:17" x14ac:dyDescent="0.3">
      <c r="A27" s="214" t="s">
        <v>228</v>
      </c>
      <c r="B27" s="246"/>
      <c r="C27" s="247">
        <f>SUM(C22:C26)</f>
        <v>0</v>
      </c>
      <c r="D27" s="247">
        <f>SUM(D22:D26)</f>
        <v>0</v>
      </c>
      <c r="E27" s="247">
        <f>SUM(E22:E26)</f>
        <v>0</v>
      </c>
      <c r="F27" s="247">
        <f t="shared" ref="F27:J27" si="11">SUM(F22:F26)</f>
        <v>0</v>
      </c>
      <c r="G27" s="247">
        <f>SUM(G22:G26)</f>
        <v>25</v>
      </c>
      <c r="H27" s="247">
        <f>SUM(H22:H26)</f>
        <v>25</v>
      </c>
      <c r="I27" s="247">
        <f t="shared" si="11"/>
        <v>0</v>
      </c>
      <c r="J27" s="247">
        <f t="shared" si="11"/>
        <v>0</v>
      </c>
      <c r="K27" s="247"/>
      <c r="L27" s="247">
        <f>SUM(L22:L26)</f>
        <v>-25</v>
      </c>
      <c r="M27" s="247">
        <f t="shared" ref="M27:P27" si="12">SUM(M22:M26)</f>
        <v>0</v>
      </c>
      <c r="N27" s="248">
        <f t="shared" si="12"/>
        <v>0</v>
      </c>
      <c r="O27" s="218">
        <f t="shared" si="12"/>
        <v>0</v>
      </c>
      <c r="P27" s="219">
        <f t="shared" si="12"/>
        <v>0</v>
      </c>
      <c r="Q27" s="275"/>
    </row>
    <row r="28" spans="1:17" ht="15" thickBot="1" x14ac:dyDescent="0.35">
      <c r="A28" s="232" t="s">
        <v>229</v>
      </c>
      <c r="B28" s="249"/>
      <c r="C28" s="250">
        <f>SUM(C22:C26)/5</f>
        <v>0</v>
      </c>
      <c r="D28" s="250">
        <f t="shared" ref="D28:P28" si="13">SUM(D22:D26)/5</f>
        <v>0</v>
      </c>
      <c r="E28" s="250">
        <f t="shared" si="13"/>
        <v>0</v>
      </c>
      <c r="F28" s="250">
        <f t="shared" si="13"/>
        <v>0</v>
      </c>
      <c r="G28" s="250">
        <f t="shared" si="13"/>
        <v>5</v>
      </c>
      <c r="H28" s="250">
        <f>SUM(H22:H26)/5</f>
        <v>5</v>
      </c>
      <c r="I28" s="250">
        <f t="shared" si="13"/>
        <v>0</v>
      </c>
      <c r="J28" s="250">
        <f t="shared" si="13"/>
        <v>0</v>
      </c>
      <c r="K28" s="250"/>
      <c r="L28" s="250">
        <f>SUM(L22:L26)/5</f>
        <v>-5</v>
      </c>
      <c r="M28" s="250">
        <f t="shared" si="13"/>
        <v>0</v>
      </c>
      <c r="N28" s="251">
        <f t="shared" si="13"/>
        <v>0</v>
      </c>
      <c r="O28" s="224">
        <f t="shared" si="13"/>
        <v>0</v>
      </c>
      <c r="P28" s="225">
        <f t="shared" si="13"/>
        <v>0</v>
      </c>
      <c r="Q28" s="275"/>
    </row>
    <row r="29" spans="1:17" ht="15" thickBot="1" x14ac:dyDescent="0.35">
      <c r="A29" s="236"/>
      <c r="B29" s="237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9"/>
      <c r="O29" s="230"/>
      <c r="P29" s="231"/>
      <c r="Q29" s="275"/>
    </row>
    <row r="30" spans="1:17" ht="15" thickBot="1" x14ac:dyDescent="0.35">
      <c r="A30" s="201">
        <v>43276</v>
      </c>
      <c r="B30" s="240"/>
      <c r="C30" s="241"/>
      <c r="D30" s="241"/>
      <c r="E30" s="241">
        <f>SUM(C30+D30)</f>
        <v>0</v>
      </c>
      <c r="F30" s="241"/>
      <c r="G30" s="203">
        <f>SUMIF(date,A30,qtélot)</f>
        <v>0</v>
      </c>
      <c r="H30" s="244">
        <f t="shared" ref="H30:H34" si="14">SUM(F30+G30)</f>
        <v>0</v>
      </c>
      <c r="I30" s="241"/>
      <c r="J30" s="241"/>
      <c r="K30" s="241"/>
      <c r="L30" s="241">
        <f>+J30-G30</f>
        <v>0</v>
      </c>
      <c r="M30" s="241"/>
      <c r="N30" s="242"/>
      <c r="O30" s="205"/>
      <c r="P30" s="206"/>
      <c r="Q30" s="275"/>
    </row>
    <row r="31" spans="1:17" ht="15" thickBot="1" x14ac:dyDescent="0.35">
      <c r="A31" s="201">
        <v>43277</v>
      </c>
      <c r="B31" s="243"/>
      <c r="C31" s="244"/>
      <c r="D31" s="244"/>
      <c r="E31" s="244">
        <f t="shared" ref="E31:E34" si="15">SUM(C31+D31)</f>
        <v>0</v>
      </c>
      <c r="F31" s="244"/>
      <c r="G31" s="203">
        <f>SUMIF(date,A31,qtélot)</f>
        <v>0</v>
      </c>
      <c r="H31" s="244">
        <f t="shared" si="14"/>
        <v>0</v>
      </c>
      <c r="I31" s="244"/>
      <c r="J31" s="244"/>
      <c r="K31" s="266"/>
      <c r="L31" s="241">
        <f>+J31-G31</f>
        <v>0</v>
      </c>
      <c r="M31" s="244"/>
      <c r="N31" s="245"/>
      <c r="O31" s="210"/>
      <c r="P31" s="211"/>
      <c r="Q31" s="275"/>
    </row>
    <row r="32" spans="1:17" ht="15" thickBot="1" x14ac:dyDescent="0.35">
      <c r="A32" s="201">
        <v>43278</v>
      </c>
      <c r="B32" s="243"/>
      <c r="C32" s="244"/>
      <c r="D32" s="244"/>
      <c r="E32" s="244">
        <f t="shared" si="15"/>
        <v>0</v>
      </c>
      <c r="F32" s="244"/>
      <c r="G32" s="203">
        <f>SUMIF(date,A32,qtélot)</f>
        <v>0</v>
      </c>
      <c r="H32" s="244">
        <f t="shared" si="14"/>
        <v>0</v>
      </c>
      <c r="I32" s="244"/>
      <c r="J32" s="244"/>
      <c r="K32" s="266"/>
      <c r="L32" s="241">
        <f>+J32-G32</f>
        <v>0</v>
      </c>
      <c r="M32" s="244"/>
      <c r="N32" s="245"/>
      <c r="O32" s="210"/>
      <c r="P32" s="211"/>
      <c r="Q32" s="275"/>
    </row>
    <row r="33" spans="1:17" ht="15" thickBot="1" x14ac:dyDescent="0.35">
      <c r="A33" s="201">
        <v>43279</v>
      </c>
      <c r="B33" s="243"/>
      <c r="C33" s="244"/>
      <c r="D33" s="244"/>
      <c r="E33" s="244">
        <f t="shared" si="15"/>
        <v>0</v>
      </c>
      <c r="F33" s="244"/>
      <c r="G33" s="203">
        <f>SUMIF(date,A33,qtélot)</f>
        <v>0</v>
      </c>
      <c r="H33" s="244">
        <f t="shared" si="14"/>
        <v>0</v>
      </c>
      <c r="I33" s="244"/>
      <c r="J33" s="244"/>
      <c r="K33" s="266"/>
      <c r="L33" s="241">
        <f>+J33-G33</f>
        <v>0</v>
      </c>
      <c r="M33" s="244"/>
      <c r="N33" s="245"/>
      <c r="O33" s="210"/>
      <c r="P33" s="211"/>
      <c r="Q33" s="275"/>
    </row>
    <row r="34" spans="1:17" x14ac:dyDescent="0.3">
      <c r="A34" s="201">
        <v>43280</v>
      </c>
      <c r="B34" s="243"/>
      <c r="C34" s="244"/>
      <c r="D34" s="244"/>
      <c r="E34" s="244">
        <f t="shared" si="15"/>
        <v>0</v>
      </c>
      <c r="F34" s="244"/>
      <c r="G34" s="203">
        <f>SUMIF(date,A34,qtélot)</f>
        <v>0</v>
      </c>
      <c r="H34" s="244">
        <f t="shared" si="14"/>
        <v>0</v>
      </c>
      <c r="I34" s="244"/>
      <c r="J34" s="244"/>
      <c r="K34" s="266"/>
      <c r="L34" s="241">
        <f>+J34-G34</f>
        <v>0</v>
      </c>
      <c r="M34" s="244"/>
      <c r="N34" s="245"/>
      <c r="O34" s="210"/>
      <c r="P34" s="211"/>
      <c r="Q34" s="275"/>
    </row>
    <row r="35" spans="1:17" x14ac:dyDescent="0.3">
      <c r="A35" s="214" t="s">
        <v>228</v>
      </c>
      <c r="B35" s="246"/>
      <c r="C35" s="247">
        <f>SUM(C30:C34)</f>
        <v>0</v>
      </c>
      <c r="D35" s="247">
        <f>SUM(D30:D34)</f>
        <v>0</v>
      </c>
      <c r="E35" s="247">
        <f>SUM(E30:E34)</f>
        <v>0</v>
      </c>
      <c r="F35" s="247"/>
      <c r="G35" s="247"/>
      <c r="H35" s="247">
        <f t="shared" ref="H35:P35" si="16">SUM(H30:H34)</f>
        <v>0</v>
      </c>
      <c r="I35" s="247">
        <f t="shared" si="16"/>
        <v>0</v>
      </c>
      <c r="J35" s="247"/>
      <c r="K35" s="247"/>
      <c r="L35" s="247">
        <f t="shared" si="16"/>
        <v>0</v>
      </c>
      <c r="M35" s="247">
        <f t="shared" si="16"/>
        <v>0</v>
      </c>
      <c r="N35" s="248">
        <f t="shared" si="16"/>
        <v>0</v>
      </c>
      <c r="O35" s="218">
        <f t="shared" si="16"/>
        <v>0</v>
      </c>
      <c r="P35" s="219">
        <f t="shared" si="16"/>
        <v>0</v>
      </c>
      <c r="Q35" s="275"/>
    </row>
    <row r="36" spans="1:17" ht="15" thickBot="1" x14ac:dyDescent="0.35">
      <c r="A36" s="232" t="s">
        <v>229</v>
      </c>
      <c r="B36" s="249"/>
      <c r="C36" s="250">
        <f>SUM(C30:C34)/5</f>
        <v>0</v>
      </c>
      <c r="D36" s="250">
        <f t="shared" ref="D36:P36" si="17">SUM(D30:D34)/5</f>
        <v>0</v>
      </c>
      <c r="E36" s="250">
        <f t="shared" si="17"/>
        <v>0</v>
      </c>
      <c r="F36" s="250">
        <f t="shared" si="17"/>
        <v>0</v>
      </c>
      <c r="G36" s="250">
        <f t="shared" si="17"/>
        <v>0</v>
      </c>
      <c r="H36" s="250">
        <f t="shared" si="17"/>
        <v>0</v>
      </c>
      <c r="I36" s="250">
        <f t="shared" si="17"/>
        <v>0</v>
      </c>
      <c r="J36" s="250">
        <f t="shared" si="17"/>
        <v>0</v>
      </c>
      <c r="K36" s="250"/>
      <c r="L36" s="250">
        <f t="shared" si="17"/>
        <v>0</v>
      </c>
      <c r="M36" s="250">
        <f t="shared" si="17"/>
        <v>0</v>
      </c>
      <c r="N36" s="251">
        <f t="shared" si="17"/>
        <v>0</v>
      </c>
      <c r="O36" s="224">
        <f t="shared" si="17"/>
        <v>0</v>
      </c>
      <c r="P36" s="225">
        <f t="shared" si="17"/>
        <v>0</v>
      </c>
      <c r="Q36" s="275"/>
    </row>
    <row r="37" spans="1:17" ht="15" thickBot="1" x14ac:dyDescent="0.35">
      <c r="A37" s="252" t="s">
        <v>230</v>
      </c>
      <c r="B37" s="253"/>
      <c r="C37" s="254">
        <f>+C11+C19+C27+C35</f>
        <v>0</v>
      </c>
      <c r="D37" s="254">
        <f t="shared" ref="D37:P37" si="18">+D11+D19+D27+D35</f>
        <v>0</v>
      </c>
      <c r="E37" s="254">
        <f t="shared" si="18"/>
        <v>0</v>
      </c>
      <c r="F37" s="254">
        <f t="shared" si="18"/>
        <v>4423</v>
      </c>
      <c r="G37" s="254">
        <f t="shared" si="18"/>
        <v>1579</v>
      </c>
      <c r="H37" s="254">
        <f t="shared" si="18"/>
        <v>6002</v>
      </c>
      <c r="I37" s="254">
        <f t="shared" si="18"/>
        <v>0</v>
      </c>
      <c r="J37" s="254">
        <f t="shared" si="18"/>
        <v>216</v>
      </c>
      <c r="K37" s="254"/>
      <c r="L37" s="254">
        <f t="shared" si="18"/>
        <v>-433</v>
      </c>
      <c r="M37" s="254">
        <f t="shared" si="18"/>
        <v>0</v>
      </c>
      <c r="N37" s="255">
        <f t="shared" si="18"/>
        <v>0</v>
      </c>
      <c r="O37" s="256">
        <f t="shared" si="18"/>
        <v>0</v>
      </c>
      <c r="P37" s="255">
        <f t="shared" si="18"/>
        <v>0</v>
      </c>
      <c r="Q37" s="275"/>
    </row>
    <row r="38" spans="1:17" x14ac:dyDescent="0.3">
      <c r="A38" s="257"/>
      <c r="B38" s="151"/>
      <c r="M38" s="258" t="s">
        <v>231</v>
      </c>
      <c r="N38" s="259"/>
      <c r="O38" s="259"/>
      <c r="P38" s="206"/>
      <c r="Q38" s="275"/>
    </row>
    <row r="39" spans="1:17" x14ac:dyDescent="0.3">
      <c r="A39" s="257"/>
      <c r="B39" s="151"/>
      <c r="M39" s="210" t="s">
        <v>232</v>
      </c>
      <c r="N39" s="244">
        <f>+O11+O19+O27+O35</f>
        <v>0</v>
      </c>
      <c r="O39" s="244"/>
      <c r="P39" s="260">
        <f>+P11+P19+P27+P35</f>
        <v>0</v>
      </c>
      <c r="Q39" s="275"/>
    </row>
    <row r="40" spans="1:17" ht="15" thickBot="1" x14ac:dyDescent="0.35">
      <c r="A40" s="257"/>
      <c r="B40" s="151"/>
      <c r="M40" s="261" t="s">
        <v>233</v>
      </c>
      <c r="N40" s="262">
        <f>+N38-N39</f>
        <v>0</v>
      </c>
      <c r="O40" s="262">
        <f>+O38-O39</f>
        <v>0</v>
      </c>
      <c r="P40" s="263">
        <f>+P38-P39</f>
        <v>0</v>
      </c>
      <c r="Q40" s="275"/>
    </row>
  </sheetData>
  <mergeCells count="11">
    <mergeCell ref="O3:O5"/>
    <mergeCell ref="P3:P5"/>
    <mergeCell ref="A1:N2"/>
    <mergeCell ref="C3:D4"/>
    <mergeCell ref="E3:E5"/>
    <mergeCell ref="F3:G4"/>
    <mergeCell ref="H3:H5"/>
    <mergeCell ref="I3:J4"/>
    <mergeCell ref="L3:L5"/>
    <mergeCell ref="M3:M5"/>
    <mergeCell ref="N3:N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4" sqref="C4"/>
    </sheetView>
  </sheetViews>
  <sheetFormatPr baseColWidth="10" defaultRowHeight="14.4" x14ac:dyDescent="0.3"/>
  <cols>
    <col min="1" max="1" width="12.33203125" customWidth="1"/>
  </cols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Suivi de production</vt:lpstr>
      <vt:lpstr>Suivi de commande</vt:lpstr>
      <vt:lpstr>Total</vt:lpstr>
      <vt:lpstr>Juin 2018</vt:lpstr>
      <vt:lpstr>Feuil1</vt:lpstr>
      <vt:lpstr>CATÉ</vt:lpstr>
      <vt:lpstr>Inventaire!Criteres</vt:lpstr>
      <vt:lpstr>date</vt:lpstr>
      <vt:lpstr>FAIT</vt:lpstr>
      <vt:lpstr>FORMAT</vt:lpstr>
      <vt:lpstr>format5</vt:lpstr>
      <vt:lpstr>Total!lot</vt:lpstr>
      <vt:lpstr>Total!NOSEMAINE</vt:lpstr>
      <vt:lpstr>qtélot</vt:lpstr>
      <vt:lpstr>Total!SEMAINE</vt:lpstr>
      <vt:lpstr>SEMAINE</vt:lpstr>
      <vt:lpstr>xx</vt:lpstr>
      <vt:lpstr>'Suivi de production'!Zone_d_impression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Pier-Luc</dc:creator>
  <cp:lastModifiedBy>Ingenieur</cp:lastModifiedBy>
  <cp:lastPrinted>2018-06-05T20:46:38Z</cp:lastPrinted>
  <dcterms:created xsi:type="dcterms:W3CDTF">2012-07-04T12:41:39Z</dcterms:created>
  <dcterms:modified xsi:type="dcterms:W3CDTF">2018-06-19T17:26:11Z</dcterms:modified>
</cp:coreProperties>
</file>