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pivotTables/pivotTable1.xml" ContentType="application/vnd.openxmlformats-officedocument.spreadsheetml.pivot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charts/chart25.xml" ContentType="application/vnd.openxmlformats-officedocument.drawingml.chart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 tabRatio="908"/>
  </bookViews>
  <sheets>
    <sheet name="ACCEUIL" sheetId="4" r:id="rId1"/>
    <sheet name="JANVIER" sheetId="1" r:id="rId2"/>
    <sheet name="FÉ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ÉCEMBRE" sheetId="15" r:id="rId13"/>
    <sheet name="SYNTHÈSES DÉPENSE" sheetId="16" r:id="rId14"/>
    <sheet name="ÉVOLUTIONS" sheetId="17" r:id="rId15"/>
    <sheet name="Listes" sheetId="2" state="hidden" r:id="rId16"/>
  </sheets>
  <functionGroups builtInGroupCount="17"/>
  <definedNames>
    <definedName name="Abonnement">Listes!$B$15:$B$20</definedName>
    <definedName name="Alimentation">Listes!$C$15:$C$21</definedName>
    <definedName name="CATÉGORIE">Listes!$B$11:$N$11</definedName>
    <definedName name="CATÉGORIES">Listes!$B$14:$M$14</definedName>
    <definedName name="Divers">Listes!$D$15:$D$22</definedName>
    <definedName name="E_commerce">Listes!$E$15:$E$21</definedName>
    <definedName name="Frais_bancaires">Listes!$F$15:$F$18</definedName>
    <definedName name="Habillement">Listes!$G$15:$G$17</definedName>
    <definedName name="Impôts">Listes!$I$15:$I$18</definedName>
    <definedName name="Maison">Listes!$H$15:$H$23</definedName>
    <definedName name="Remboursement_prêt">Listes!$J$15:$J$17</definedName>
    <definedName name="Salaires_Pensions">Listes!$K$15:$K$17</definedName>
    <definedName name="Santé">Listes!$M$15:$M$21</definedName>
    <definedName name="Voiture">Listes!$L$15:$L$20</definedName>
  </definedNames>
  <calcPr calcId="145621"/>
  <pivotCaches>
    <pivotCache cacheId="0" r:id="rId17"/>
  </pivotCaches>
</workbook>
</file>

<file path=xl/calcChain.xml><?xml version="1.0" encoding="utf-8"?>
<calcChain xmlns="http://schemas.openxmlformats.org/spreadsheetml/2006/main">
  <c r="B66" i="1" l="1"/>
  <c r="E66" i="15"/>
  <c r="B66" i="15"/>
  <c r="E66" i="14"/>
  <c r="B66" i="14"/>
  <c r="E66" i="13"/>
  <c r="B66" i="13"/>
  <c r="E66" i="12"/>
  <c r="B66" i="12"/>
  <c r="E66" i="11"/>
  <c r="B66" i="11"/>
  <c r="E66" i="10"/>
  <c r="B66" i="10"/>
  <c r="E66" i="9"/>
  <c r="B66" i="9"/>
  <c r="E66" i="8"/>
  <c r="B66" i="8"/>
  <c r="B66" i="7"/>
  <c r="E66" i="7"/>
  <c r="E66" i="6" l="1"/>
  <c r="B66" i="6"/>
  <c r="E66" i="5"/>
  <c r="B66" i="5"/>
  <c r="E66" i="1"/>
  <c r="F65" i="15" l="1"/>
  <c r="E65" i="15"/>
  <c r="C65" i="15"/>
  <c r="B65" i="15"/>
  <c r="F65" i="14"/>
  <c r="E65" i="14"/>
  <c r="C65" i="14"/>
  <c r="B65" i="14"/>
  <c r="F65" i="13"/>
  <c r="E65" i="13"/>
  <c r="C65" i="13"/>
  <c r="B65" i="13"/>
  <c r="F65" i="12"/>
  <c r="E65" i="12"/>
  <c r="C65" i="12"/>
  <c r="B65" i="12"/>
  <c r="F65" i="11"/>
  <c r="E65" i="11"/>
  <c r="C65" i="11"/>
  <c r="B65" i="11"/>
  <c r="F65" i="10"/>
  <c r="E65" i="10"/>
  <c r="C65" i="10"/>
  <c r="B65" i="10"/>
  <c r="F65" i="9"/>
  <c r="E65" i="9"/>
  <c r="C65" i="9"/>
  <c r="B65" i="9"/>
  <c r="F65" i="8"/>
  <c r="E65" i="8"/>
  <c r="C65" i="8"/>
  <c r="B65" i="8"/>
  <c r="F65" i="7"/>
  <c r="E65" i="7"/>
  <c r="C65" i="7"/>
  <c r="B65" i="7"/>
  <c r="F65" i="6"/>
  <c r="E65" i="6"/>
  <c r="F65" i="5"/>
  <c r="E65" i="5"/>
  <c r="F64" i="15"/>
  <c r="E64" i="15"/>
  <c r="C64" i="15"/>
  <c r="B64" i="15"/>
  <c r="F64" i="14"/>
  <c r="E64" i="14"/>
  <c r="C64" i="14"/>
  <c r="B64" i="14"/>
  <c r="F64" i="13"/>
  <c r="E64" i="13"/>
  <c r="C64" i="13"/>
  <c r="B64" i="13"/>
  <c r="F64" i="12"/>
  <c r="E64" i="12"/>
  <c r="C64" i="12"/>
  <c r="B64" i="12"/>
  <c r="F64" i="11"/>
  <c r="E64" i="11"/>
  <c r="C64" i="11"/>
  <c r="B64" i="11"/>
  <c r="F64" i="10"/>
  <c r="E64" i="10"/>
  <c r="C64" i="10"/>
  <c r="B64" i="10"/>
  <c r="F64" i="9"/>
  <c r="E64" i="9"/>
  <c r="C64" i="9"/>
  <c r="B64" i="9"/>
  <c r="F64" i="8"/>
  <c r="E64" i="8"/>
  <c r="C64" i="8"/>
  <c r="B64" i="8"/>
  <c r="F64" i="7"/>
  <c r="E64" i="7"/>
  <c r="C64" i="7"/>
  <c r="B64" i="7"/>
  <c r="F64" i="6"/>
  <c r="E64" i="6"/>
  <c r="F64" i="5"/>
  <c r="E64" i="5"/>
  <c r="C65" i="6"/>
  <c r="C64" i="6"/>
  <c r="B65" i="6"/>
  <c r="B64" i="6"/>
  <c r="C65" i="5"/>
  <c r="C64" i="5"/>
  <c r="B65" i="5"/>
  <c r="B64" i="5"/>
  <c r="E65" i="1"/>
  <c r="F65" i="1"/>
  <c r="F64" i="1"/>
  <c r="E64" i="1"/>
  <c r="C65" i="1"/>
  <c r="B65" i="1"/>
  <c r="C64" i="1"/>
  <c r="B64" i="1"/>
  <c r="G1" i="1" l="1"/>
  <c r="M60" i="16"/>
  <c r="L60" i="16"/>
  <c r="K60" i="16"/>
  <c r="J60" i="16"/>
  <c r="H60" i="16"/>
  <c r="G60" i="16"/>
  <c r="F60" i="16"/>
  <c r="E60" i="16"/>
  <c r="M59" i="16"/>
  <c r="L59" i="16"/>
  <c r="K59" i="16"/>
  <c r="J59" i="16"/>
  <c r="I59" i="16"/>
  <c r="H59" i="16"/>
  <c r="G59" i="16"/>
  <c r="F59" i="16"/>
  <c r="E59" i="16"/>
  <c r="D59" i="16"/>
  <c r="C59" i="16"/>
  <c r="B59" i="16"/>
  <c r="M58" i="16"/>
  <c r="L58" i="16"/>
  <c r="K58" i="16"/>
  <c r="J58" i="16"/>
  <c r="I58" i="16"/>
  <c r="H58" i="16"/>
  <c r="G58" i="16"/>
  <c r="F58" i="16"/>
  <c r="E58" i="16"/>
  <c r="D58" i="16"/>
  <c r="C58" i="16"/>
  <c r="B58" i="16"/>
  <c r="M57" i="16"/>
  <c r="L57" i="16"/>
  <c r="K57" i="16"/>
  <c r="J57" i="16"/>
  <c r="I57" i="16"/>
  <c r="H57" i="16"/>
  <c r="G57" i="16"/>
  <c r="F57" i="16"/>
  <c r="E57" i="16"/>
  <c r="D57" i="16"/>
  <c r="C57" i="16"/>
  <c r="B57" i="16"/>
  <c r="M56" i="16"/>
  <c r="L56" i="16"/>
  <c r="K56" i="16"/>
  <c r="J56" i="16"/>
  <c r="I56" i="16"/>
  <c r="H56" i="16"/>
  <c r="G56" i="16"/>
  <c r="F56" i="16"/>
  <c r="E56" i="16"/>
  <c r="D56" i="16"/>
  <c r="C56" i="16"/>
  <c r="B56" i="16"/>
  <c r="M55" i="16"/>
  <c r="L55" i="16"/>
  <c r="K55" i="16"/>
  <c r="J55" i="16"/>
  <c r="I55" i="16"/>
  <c r="H55" i="16"/>
  <c r="G55" i="16"/>
  <c r="F55" i="16"/>
  <c r="E55" i="16"/>
  <c r="D55" i="16"/>
  <c r="C55" i="16"/>
  <c r="B55" i="16"/>
  <c r="M54" i="16"/>
  <c r="L54" i="16"/>
  <c r="K54" i="16"/>
  <c r="J54" i="16"/>
  <c r="I54" i="16"/>
  <c r="H54" i="16"/>
  <c r="G54" i="16"/>
  <c r="F54" i="16"/>
  <c r="E54" i="16"/>
  <c r="D54" i="16"/>
  <c r="C54" i="16"/>
  <c r="B54" i="16"/>
  <c r="M53" i="16"/>
  <c r="L53" i="16"/>
  <c r="K53" i="16"/>
  <c r="J53" i="16"/>
  <c r="I53" i="16"/>
  <c r="H53" i="16"/>
  <c r="G53" i="16"/>
  <c r="F53" i="16"/>
  <c r="E53" i="16"/>
  <c r="D53" i="16"/>
  <c r="C53" i="16"/>
  <c r="B53" i="16"/>
  <c r="M52" i="16"/>
  <c r="L52" i="16"/>
  <c r="K52" i="16"/>
  <c r="J52" i="16"/>
  <c r="I52" i="16"/>
  <c r="H52" i="16"/>
  <c r="G52" i="16"/>
  <c r="F52" i="16"/>
  <c r="E52" i="16"/>
  <c r="D52" i="16"/>
  <c r="C52" i="16"/>
  <c r="B52" i="16"/>
  <c r="M51" i="16"/>
  <c r="L51" i="16"/>
  <c r="K51" i="16"/>
  <c r="J51" i="16"/>
  <c r="I51" i="16"/>
  <c r="H51" i="16"/>
  <c r="G51" i="16"/>
  <c r="F51" i="16"/>
  <c r="E51" i="16"/>
  <c r="D51" i="16"/>
  <c r="C51" i="16"/>
  <c r="B51" i="16"/>
  <c r="M50" i="16"/>
  <c r="L50" i="16"/>
  <c r="K50" i="16"/>
  <c r="J50" i="16"/>
  <c r="I50" i="16"/>
  <c r="H50" i="16"/>
  <c r="G50" i="16"/>
  <c r="F50" i="16"/>
  <c r="E50" i="16"/>
  <c r="D50" i="16"/>
  <c r="C50" i="16"/>
  <c r="B50" i="16"/>
  <c r="M49" i="16"/>
  <c r="L49" i="16"/>
  <c r="K49" i="16"/>
  <c r="J49" i="16"/>
  <c r="I49" i="16"/>
  <c r="H49" i="16"/>
  <c r="G49" i="16"/>
  <c r="F49" i="16"/>
  <c r="E49" i="16"/>
  <c r="D49" i="16"/>
  <c r="C49" i="16"/>
  <c r="B49" i="16"/>
  <c r="M48" i="16"/>
  <c r="L48" i="16"/>
  <c r="K48" i="16"/>
  <c r="J48" i="16"/>
  <c r="I48" i="16"/>
  <c r="H48" i="16"/>
  <c r="G48" i="16"/>
  <c r="F48" i="16"/>
  <c r="E48" i="16"/>
  <c r="D48" i="16"/>
  <c r="C48" i="16"/>
  <c r="B48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M46" i="16"/>
  <c r="L46" i="16"/>
  <c r="K46" i="16"/>
  <c r="J46" i="16"/>
  <c r="I46" i="16"/>
  <c r="H46" i="16"/>
  <c r="G46" i="16"/>
  <c r="F46" i="16"/>
  <c r="E46" i="16"/>
  <c r="D46" i="16"/>
  <c r="C46" i="16"/>
  <c r="B46" i="16"/>
  <c r="M45" i="16"/>
  <c r="L45" i="16"/>
  <c r="K45" i="16"/>
  <c r="J45" i="16"/>
  <c r="I45" i="16"/>
  <c r="H45" i="16"/>
  <c r="G45" i="16"/>
  <c r="F45" i="16"/>
  <c r="E45" i="16"/>
  <c r="D45" i="16"/>
  <c r="C45" i="16"/>
  <c r="B45" i="16"/>
  <c r="M44" i="16"/>
  <c r="L44" i="16"/>
  <c r="K44" i="16"/>
  <c r="J44" i="16"/>
  <c r="I44" i="16"/>
  <c r="H44" i="16"/>
  <c r="G44" i="16"/>
  <c r="F44" i="16"/>
  <c r="E44" i="16"/>
  <c r="D44" i="16"/>
  <c r="C44" i="16"/>
  <c r="B44" i="16"/>
  <c r="M43" i="16"/>
  <c r="L43" i="16"/>
  <c r="K43" i="16"/>
  <c r="J43" i="16"/>
  <c r="I43" i="16"/>
  <c r="H43" i="16"/>
  <c r="G43" i="16"/>
  <c r="F43" i="16"/>
  <c r="E43" i="16"/>
  <c r="D43" i="16"/>
  <c r="C43" i="16"/>
  <c r="B43" i="16"/>
  <c r="M42" i="16"/>
  <c r="L42" i="16"/>
  <c r="K42" i="16"/>
  <c r="J42" i="16"/>
  <c r="I42" i="16"/>
  <c r="H42" i="16"/>
  <c r="G42" i="16"/>
  <c r="F42" i="16"/>
  <c r="E42" i="16"/>
  <c r="D42" i="16"/>
  <c r="C42" i="16"/>
  <c r="B42" i="16"/>
  <c r="M41" i="16"/>
  <c r="L41" i="16"/>
  <c r="K41" i="16"/>
  <c r="J41" i="16"/>
  <c r="I41" i="16"/>
  <c r="H41" i="16"/>
  <c r="G41" i="16"/>
  <c r="F41" i="16"/>
  <c r="E41" i="16"/>
  <c r="D41" i="16"/>
  <c r="C41" i="16"/>
  <c r="B41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M39" i="16"/>
  <c r="L39" i="16"/>
  <c r="K39" i="16"/>
  <c r="J39" i="16"/>
  <c r="I39" i="16"/>
  <c r="H39" i="16"/>
  <c r="G39" i="16"/>
  <c r="F39" i="16"/>
  <c r="E39" i="16"/>
  <c r="D39" i="16"/>
  <c r="C39" i="16"/>
  <c r="B39" i="16"/>
  <c r="M38" i="16"/>
  <c r="L38" i="16"/>
  <c r="K38" i="16"/>
  <c r="J38" i="16"/>
  <c r="I38" i="16"/>
  <c r="H38" i="16"/>
  <c r="G38" i="16"/>
  <c r="F38" i="16"/>
  <c r="E38" i="16"/>
  <c r="D38" i="16"/>
  <c r="C38" i="16"/>
  <c r="B38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M36" i="16"/>
  <c r="L36" i="16"/>
  <c r="K36" i="16"/>
  <c r="J36" i="16"/>
  <c r="I36" i="16"/>
  <c r="H36" i="16"/>
  <c r="G36" i="16"/>
  <c r="F36" i="16"/>
  <c r="E36" i="16"/>
  <c r="D36" i="16"/>
  <c r="C36" i="16"/>
  <c r="B36" i="16"/>
  <c r="M35" i="16"/>
  <c r="L35" i="16"/>
  <c r="K35" i="16"/>
  <c r="J35" i="16"/>
  <c r="I35" i="16"/>
  <c r="H35" i="16"/>
  <c r="G35" i="16"/>
  <c r="F35" i="16"/>
  <c r="E35" i="16"/>
  <c r="D35" i="16"/>
  <c r="C35" i="16"/>
  <c r="B35" i="16"/>
  <c r="M34" i="16"/>
  <c r="L34" i="16"/>
  <c r="K34" i="16"/>
  <c r="J34" i="16"/>
  <c r="I34" i="16"/>
  <c r="H34" i="16"/>
  <c r="G34" i="16"/>
  <c r="F34" i="16"/>
  <c r="E34" i="16"/>
  <c r="D34" i="16"/>
  <c r="C34" i="16"/>
  <c r="B34" i="16"/>
  <c r="M33" i="16"/>
  <c r="L33" i="16"/>
  <c r="K33" i="16"/>
  <c r="J33" i="16"/>
  <c r="I33" i="16"/>
  <c r="H33" i="16"/>
  <c r="G33" i="16"/>
  <c r="F33" i="16"/>
  <c r="E33" i="16"/>
  <c r="D33" i="16"/>
  <c r="C33" i="16"/>
  <c r="B33" i="16"/>
  <c r="M32" i="16"/>
  <c r="L32" i="16"/>
  <c r="K32" i="16"/>
  <c r="J32" i="16"/>
  <c r="I32" i="16"/>
  <c r="H32" i="16"/>
  <c r="G32" i="16"/>
  <c r="F32" i="16"/>
  <c r="E32" i="16"/>
  <c r="D32" i="16"/>
  <c r="C32" i="16"/>
  <c r="B32" i="16"/>
  <c r="M31" i="16"/>
  <c r="L31" i="16"/>
  <c r="K31" i="16"/>
  <c r="J31" i="16"/>
  <c r="I31" i="16"/>
  <c r="H31" i="16"/>
  <c r="G31" i="16"/>
  <c r="F31" i="16"/>
  <c r="E31" i="16"/>
  <c r="D31" i="16"/>
  <c r="C31" i="16"/>
  <c r="B31" i="16"/>
  <c r="M30" i="16"/>
  <c r="L30" i="16"/>
  <c r="K30" i="16"/>
  <c r="J30" i="16"/>
  <c r="I30" i="16"/>
  <c r="H30" i="16"/>
  <c r="G30" i="16"/>
  <c r="F30" i="16"/>
  <c r="E30" i="16"/>
  <c r="D30" i="16"/>
  <c r="C30" i="16"/>
  <c r="B30" i="16"/>
  <c r="M29" i="16"/>
  <c r="L29" i="16"/>
  <c r="K29" i="16"/>
  <c r="J29" i="16"/>
  <c r="I29" i="16"/>
  <c r="H29" i="16"/>
  <c r="G29" i="16"/>
  <c r="F29" i="16"/>
  <c r="E29" i="16"/>
  <c r="D29" i="16"/>
  <c r="C29" i="16"/>
  <c r="B29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M27" i="16"/>
  <c r="L27" i="16"/>
  <c r="K27" i="16"/>
  <c r="J27" i="16"/>
  <c r="I27" i="16"/>
  <c r="H27" i="16"/>
  <c r="G27" i="16"/>
  <c r="F27" i="16"/>
  <c r="E27" i="16"/>
  <c r="D27" i="16"/>
  <c r="C27" i="16"/>
  <c r="B27" i="16"/>
  <c r="M26" i="16"/>
  <c r="L26" i="16"/>
  <c r="K26" i="16"/>
  <c r="J26" i="16"/>
  <c r="I26" i="16"/>
  <c r="H26" i="16"/>
  <c r="G26" i="16"/>
  <c r="F26" i="16"/>
  <c r="E26" i="16"/>
  <c r="D26" i="16"/>
  <c r="C26" i="16"/>
  <c r="B26" i="16"/>
  <c r="M25" i="16"/>
  <c r="L25" i="16"/>
  <c r="K25" i="16"/>
  <c r="J25" i="16"/>
  <c r="I25" i="16"/>
  <c r="H25" i="16"/>
  <c r="G25" i="16"/>
  <c r="F25" i="16"/>
  <c r="E25" i="16"/>
  <c r="D25" i="16"/>
  <c r="C25" i="16"/>
  <c r="B25" i="16"/>
  <c r="M24" i="16"/>
  <c r="L24" i="16"/>
  <c r="K24" i="16"/>
  <c r="J24" i="16"/>
  <c r="I24" i="16"/>
  <c r="H24" i="16"/>
  <c r="G24" i="16"/>
  <c r="F24" i="16"/>
  <c r="E24" i="16"/>
  <c r="D24" i="16"/>
  <c r="C24" i="16"/>
  <c r="B24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M22" i="16"/>
  <c r="L22" i="16"/>
  <c r="K22" i="16"/>
  <c r="J22" i="16"/>
  <c r="I22" i="16"/>
  <c r="H22" i="16"/>
  <c r="G22" i="16"/>
  <c r="F22" i="16"/>
  <c r="E22" i="16"/>
  <c r="D22" i="16"/>
  <c r="C22" i="16"/>
  <c r="B22" i="16"/>
  <c r="M21" i="16"/>
  <c r="L21" i="16"/>
  <c r="K21" i="16"/>
  <c r="J21" i="16"/>
  <c r="I21" i="16"/>
  <c r="H21" i="16"/>
  <c r="G21" i="16"/>
  <c r="F21" i="16"/>
  <c r="E21" i="16"/>
  <c r="D21" i="16"/>
  <c r="C21" i="16"/>
  <c r="B21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M19" i="16"/>
  <c r="L19" i="16"/>
  <c r="K19" i="16"/>
  <c r="J19" i="16"/>
  <c r="I19" i="16"/>
  <c r="H19" i="16"/>
  <c r="G19" i="16"/>
  <c r="F19" i="16"/>
  <c r="E19" i="16"/>
  <c r="D19" i="16"/>
  <c r="C19" i="16"/>
  <c r="B19" i="16"/>
  <c r="M18" i="16"/>
  <c r="L18" i="16"/>
  <c r="K18" i="16"/>
  <c r="J18" i="16"/>
  <c r="I18" i="16"/>
  <c r="H18" i="16"/>
  <c r="G18" i="16"/>
  <c r="F18" i="16"/>
  <c r="E18" i="16"/>
  <c r="D18" i="16"/>
  <c r="C18" i="16"/>
  <c r="B18" i="16"/>
  <c r="M17" i="16"/>
  <c r="L17" i="16"/>
  <c r="K17" i="16"/>
  <c r="J17" i="16"/>
  <c r="I17" i="16"/>
  <c r="H17" i="16"/>
  <c r="G17" i="16"/>
  <c r="F17" i="16"/>
  <c r="E17" i="16"/>
  <c r="D17" i="16"/>
  <c r="C17" i="16"/>
  <c r="B17" i="16"/>
  <c r="M16" i="16"/>
  <c r="L16" i="16"/>
  <c r="K16" i="16"/>
  <c r="J16" i="16"/>
  <c r="I16" i="16"/>
  <c r="H16" i="16"/>
  <c r="G16" i="16"/>
  <c r="F16" i="16"/>
  <c r="E16" i="16"/>
  <c r="D16" i="16"/>
  <c r="C16" i="16"/>
  <c r="B16" i="16"/>
  <c r="M15" i="16"/>
  <c r="L15" i="16"/>
  <c r="K15" i="16"/>
  <c r="J15" i="16"/>
  <c r="I15" i="16"/>
  <c r="H15" i="16"/>
  <c r="G15" i="16"/>
  <c r="F15" i="16"/>
  <c r="E15" i="16"/>
  <c r="D15" i="16"/>
  <c r="C15" i="16"/>
  <c r="B15" i="16"/>
  <c r="M14" i="16"/>
  <c r="L14" i="16"/>
  <c r="K14" i="16"/>
  <c r="J14" i="16"/>
  <c r="I14" i="16"/>
  <c r="H14" i="16"/>
  <c r="G14" i="16"/>
  <c r="F14" i="16"/>
  <c r="E14" i="16"/>
  <c r="D14" i="16"/>
  <c r="C14" i="16"/>
  <c r="B14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M12" i="16"/>
  <c r="L12" i="16"/>
  <c r="K12" i="16"/>
  <c r="J12" i="16"/>
  <c r="I12" i="16"/>
  <c r="H12" i="16"/>
  <c r="G12" i="16"/>
  <c r="F12" i="16"/>
  <c r="E12" i="16"/>
  <c r="D12" i="16"/>
  <c r="C12" i="16"/>
  <c r="B12" i="16"/>
  <c r="M11" i="16"/>
  <c r="L11" i="16"/>
  <c r="K11" i="16"/>
  <c r="J11" i="16"/>
  <c r="I11" i="16"/>
  <c r="H11" i="16"/>
  <c r="G11" i="16"/>
  <c r="F11" i="16"/>
  <c r="E11" i="16"/>
  <c r="D11" i="16"/>
  <c r="C11" i="16"/>
  <c r="B11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M9" i="16"/>
  <c r="L9" i="16"/>
  <c r="K9" i="16"/>
  <c r="J9" i="16"/>
  <c r="I9" i="16"/>
  <c r="H9" i="16"/>
  <c r="G9" i="16"/>
  <c r="F9" i="16"/>
  <c r="E9" i="16"/>
  <c r="D9" i="16"/>
  <c r="C9" i="16"/>
  <c r="B9" i="16"/>
  <c r="M8" i="16"/>
  <c r="L8" i="16"/>
  <c r="K8" i="16"/>
  <c r="J8" i="16"/>
  <c r="I8" i="16"/>
  <c r="H8" i="16"/>
  <c r="G8" i="16"/>
  <c r="F8" i="16"/>
  <c r="E8" i="16"/>
  <c r="D8" i="16"/>
  <c r="C8" i="16"/>
  <c r="B8" i="16"/>
  <c r="M7" i="16"/>
  <c r="L7" i="16"/>
  <c r="K7" i="16"/>
  <c r="J7" i="16"/>
  <c r="I7" i="16"/>
  <c r="H7" i="16"/>
  <c r="G7" i="16"/>
  <c r="F7" i="16"/>
  <c r="E7" i="16"/>
  <c r="D7" i="16"/>
  <c r="C7" i="16"/>
  <c r="B7" i="16"/>
  <c r="M6" i="16"/>
  <c r="L6" i="16"/>
  <c r="K6" i="16"/>
  <c r="J6" i="16"/>
  <c r="I6" i="16"/>
  <c r="H6" i="16"/>
  <c r="G6" i="16"/>
  <c r="F6" i="16"/>
  <c r="E6" i="16"/>
  <c r="D6" i="16"/>
  <c r="C6" i="16"/>
  <c r="B6" i="16"/>
  <c r="M5" i="16"/>
  <c r="L5" i="16"/>
  <c r="K5" i="16"/>
  <c r="J5" i="16"/>
  <c r="I5" i="16"/>
  <c r="H5" i="16"/>
  <c r="G5" i="16"/>
  <c r="F5" i="16"/>
  <c r="E5" i="16"/>
  <c r="D5" i="16"/>
  <c r="C5" i="16"/>
  <c r="B5" i="16"/>
  <c r="M4" i="16"/>
  <c r="L4" i="16"/>
  <c r="K4" i="16"/>
  <c r="J4" i="16"/>
  <c r="I4" i="16"/>
  <c r="H4" i="16"/>
  <c r="G4" i="16"/>
  <c r="F4" i="16"/>
  <c r="E4" i="16"/>
  <c r="D4" i="16"/>
  <c r="C4" i="16"/>
  <c r="B4" i="16"/>
  <c r="M3" i="16"/>
  <c r="L3" i="16"/>
  <c r="K3" i="16"/>
  <c r="J3" i="16"/>
  <c r="I3" i="16"/>
  <c r="H3" i="16"/>
  <c r="G3" i="16"/>
  <c r="F3" i="16"/>
  <c r="E3" i="16"/>
  <c r="D3" i="16"/>
  <c r="C3" i="16"/>
  <c r="B3" i="16"/>
  <c r="M2" i="16"/>
  <c r="L2" i="16"/>
  <c r="K2" i="16"/>
  <c r="J2" i="16"/>
  <c r="I2" i="16"/>
  <c r="H2" i="16"/>
  <c r="G2" i="16"/>
  <c r="F2" i="16"/>
  <c r="E2" i="16"/>
  <c r="D2" i="16"/>
  <c r="D60" i="16" s="1"/>
  <c r="C2" i="16"/>
  <c r="C60" i="16" s="1"/>
  <c r="B2" i="16"/>
  <c r="D1" i="1"/>
  <c r="G7" i="4"/>
  <c r="I60" i="16" l="1"/>
  <c r="N3" i="16"/>
  <c r="N5" i="16"/>
  <c r="N7" i="16"/>
  <c r="N9" i="16"/>
  <c r="N11" i="16"/>
  <c r="N13" i="16"/>
  <c r="N15" i="16"/>
  <c r="N17" i="16"/>
  <c r="N19" i="16"/>
  <c r="N21" i="16"/>
  <c r="N23" i="16"/>
  <c r="N25" i="16"/>
  <c r="N27" i="16"/>
  <c r="N29" i="16"/>
  <c r="N31" i="16"/>
  <c r="N33" i="16"/>
  <c r="N35" i="16"/>
  <c r="N37" i="16"/>
  <c r="N39" i="16"/>
  <c r="N41" i="16"/>
  <c r="N43" i="16"/>
  <c r="N45" i="16"/>
  <c r="N47" i="16"/>
  <c r="N49" i="16"/>
  <c r="N51" i="16"/>
  <c r="N53" i="16"/>
  <c r="N55" i="16"/>
  <c r="N57" i="16"/>
  <c r="N59" i="16"/>
  <c r="N2" i="16"/>
  <c r="N4" i="16"/>
  <c r="N6" i="16"/>
  <c r="N8" i="16"/>
  <c r="N10" i="16"/>
  <c r="N12" i="16"/>
  <c r="N14" i="16"/>
  <c r="N16" i="16"/>
  <c r="N18" i="16"/>
  <c r="N20" i="16"/>
  <c r="N22" i="16"/>
  <c r="N24" i="16"/>
  <c r="N26" i="16"/>
  <c r="N28" i="16"/>
  <c r="N30" i="16"/>
  <c r="N32" i="16"/>
  <c r="N34" i="16"/>
  <c r="N36" i="16"/>
  <c r="N38" i="16"/>
  <c r="N40" i="16"/>
  <c r="N42" i="16"/>
  <c r="N44" i="16"/>
  <c r="N46" i="16"/>
  <c r="N48" i="16"/>
  <c r="N50" i="16"/>
  <c r="N52" i="16"/>
  <c r="N54" i="16"/>
  <c r="N56" i="16"/>
  <c r="N58" i="16"/>
  <c r="B60" i="16"/>
  <c r="D1" i="5"/>
  <c r="B2" i="17"/>
  <c r="N60" i="16" l="1"/>
  <c r="G1" i="5"/>
  <c r="C2" i="17"/>
  <c r="B3" i="17"/>
  <c r="D1" i="6"/>
  <c r="G1" i="6" l="1"/>
  <c r="C3" i="17"/>
  <c r="D1" i="7"/>
  <c r="B4" i="17"/>
  <c r="C4" i="17" l="1"/>
  <c r="G1" i="7"/>
  <c r="C5" i="17" s="1"/>
  <c r="B5" i="17"/>
  <c r="D1" i="8"/>
  <c r="G1" i="8" l="1"/>
  <c r="G1" i="9" s="1"/>
  <c r="G1" i="10" s="1"/>
  <c r="D1" i="9"/>
  <c r="B6" i="17"/>
  <c r="C7" i="17" l="1"/>
  <c r="C6" i="17"/>
  <c r="G1" i="11"/>
  <c r="C8" i="17"/>
  <c r="B7" i="17"/>
  <c r="D1" i="10"/>
  <c r="D1" i="11" l="1"/>
  <c r="B8" i="17"/>
  <c r="C9" i="17"/>
  <c r="G1" i="12"/>
  <c r="B9" i="17" l="1"/>
  <c r="D1" i="12"/>
  <c r="G1" i="13"/>
  <c r="C10" i="17"/>
  <c r="C11" i="17" l="1"/>
  <c r="G1" i="14"/>
  <c r="D1" i="13"/>
  <c r="B10" i="17"/>
  <c r="G1" i="15" l="1"/>
  <c r="C13" i="17" s="1"/>
  <c r="C12" i="17"/>
  <c r="B11" i="17"/>
  <c r="D1" i="14"/>
  <c r="D1" i="15" l="1"/>
  <c r="B13" i="17" s="1"/>
  <c r="B12" i="17"/>
</calcChain>
</file>

<file path=xl/sharedStrings.xml><?xml version="1.0" encoding="utf-8"?>
<sst xmlns="http://schemas.openxmlformats.org/spreadsheetml/2006/main" count="522" uniqueCount="116">
  <si>
    <t>DATE</t>
  </si>
  <si>
    <t>DÉBIT</t>
  </si>
  <si>
    <t>CRÉDIT</t>
  </si>
  <si>
    <t>CHÈQUE</t>
  </si>
  <si>
    <t>PRÉLÈVEMENT</t>
  </si>
  <si>
    <t>N° CHÈQUE</t>
  </si>
  <si>
    <t>Alimentation</t>
  </si>
  <si>
    <t>MOYENS PAIEMENT</t>
  </si>
  <si>
    <t>CATÉGORIES</t>
  </si>
  <si>
    <t>Boulangerie</t>
  </si>
  <si>
    <t>Electricité</t>
  </si>
  <si>
    <t>Santé</t>
  </si>
  <si>
    <t>Cotisation mutuelle</t>
  </si>
  <si>
    <t>SOLDE SOCIÉTÉ GÉNÉRALE</t>
  </si>
  <si>
    <t>SOLDE BNP</t>
  </si>
  <si>
    <t>LIBÉLLÉS</t>
  </si>
  <si>
    <t>S/CATÉGORIES</t>
  </si>
  <si>
    <t>SOCIÉTÉ GÉNÉRALE</t>
  </si>
  <si>
    <t>COMPTES</t>
  </si>
  <si>
    <t>BNP PARIBAS</t>
  </si>
  <si>
    <t>Prêt immobilier</t>
  </si>
  <si>
    <t>Supermarché</t>
  </si>
  <si>
    <t>Entretient/réparation JETTA</t>
  </si>
  <si>
    <t>VIREMENT</t>
  </si>
  <si>
    <t>Entretient/réparation C1</t>
  </si>
  <si>
    <t>Divers</t>
  </si>
  <si>
    <t>Restaurant</t>
  </si>
  <si>
    <t>Habillement</t>
  </si>
  <si>
    <t>Médecin</t>
  </si>
  <si>
    <t>Pharmacie</t>
  </si>
  <si>
    <t>Remboursement mutuelle</t>
  </si>
  <si>
    <t>Remboursement CPAM Bobigny</t>
  </si>
  <si>
    <t>Remboursement CPAM Melun</t>
  </si>
  <si>
    <t>Vidéo surveillance</t>
  </si>
  <si>
    <t>SOLDE RÉEL</t>
  </si>
  <si>
    <t>Abonnement</t>
  </si>
  <si>
    <t>Diesel</t>
  </si>
  <si>
    <t>Essence</t>
  </si>
  <si>
    <t>Electroménager</t>
  </si>
  <si>
    <t>NON POINTÉS</t>
  </si>
  <si>
    <t>BONJOUR</t>
  </si>
  <si>
    <t xml:space="preserve">NOUS SOMMES LE </t>
  </si>
  <si>
    <t xml:space="preserve">ET BIENENU DANS </t>
  </si>
  <si>
    <t>Remise de chèque</t>
  </si>
  <si>
    <t>POINTÉS</t>
  </si>
  <si>
    <t>Amazon</t>
  </si>
  <si>
    <t>Assainissement eaux</t>
  </si>
  <si>
    <t>Assurance auto</t>
  </si>
  <si>
    <t>Assurance vie</t>
  </si>
  <si>
    <t>Bien-être</t>
  </si>
  <si>
    <t>Bouygues télécom</t>
  </si>
  <si>
    <t>Consomation eaux</t>
  </si>
  <si>
    <t>Cotisation esprit libre</t>
  </si>
  <si>
    <t>Cotisation JAZZ</t>
  </si>
  <si>
    <t>Elior airbus</t>
  </si>
  <si>
    <t>Entretient  maison</t>
  </si>
  <si>
    <t>Free internet</t>
  </si>
  <si>
    <t>Free mobile</t>
  </si>
  <si>
    <t>Impôt salaires</t>
  </si>
  <si>
    <t>JAZZ duo</t>
  </si>
  <si>
    <t>Le petit vapoteur</t>
  </si>
  <si>
    <t>Prêt volet/garage</t>
  </si>
  <si>
    <t>Taxes foncières</t>
  </si>
  <si>
    <t>Taxes habitation</t>
  </si>
  <si>
    <t>Tenue de compte</t>
  </si>
  <si>
    <t>Impôts</t>
  </si>
  <si>
    <t>Voiture</t>
  </si>
  <si>
    <t>Maison</t>
  </si>
  <si>
    <t>Paie Airbus Helicopters</t>
  </si>
  <si>
    <t>Retrait Espèces</t>
  </si>
  <si>
    <t>Canalsat</t>
  </si>
  <si>
    <t>Chaussures</t>
  </si>
  <si>
    <t>PAYPAL</t>
  </si>
  <si>
    <t>CNRACL</t>
  </si>
  <si>
    <t>Hospital</t>
  </si>
  <si>
    <t>Amendes</t>
  </si>
  <si>
    <t>Remboursement</t>
  </si>
  <si>
    <t>Vêtements</t>
  </si>
  <si>
    <t>Bon prix</t>
  </si>
  <si>
    <t>E_commerce</t>
  </si>
  <si>
    <t>Frais_bancaires</t>
  </si>
  <si>
    <t>Remboursement_prêt</t>
  </si>
  <si>
    <t>Salaires_Pensions</t>
  </si>
  <si>
    <t>LISTES</t>
  </si>
  <si>
    <t>Cadeaux</t>
  </si>
  <si>
    <t>S/CATÉGORIE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</si>
  <si>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</si>
  <si>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</si>
  <si>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</si>
  <si>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</si>
  <si>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</si>
  <si>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</si>
  <si>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</si>
  <si>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</si>
  <si>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</si>
  <si>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</si>
  <si>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</si>
  <si>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</si>
  <si>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</si>
  <si>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Étiquettes de lignes</t>
  </si>
  <si>
    <t>Total général</t>
  </si>
  <si>
    <t>Somme de JANVIER</t>
  </si>
  <si>
    <t>CARTE BLEUE</t>
  </si>
  <si>
    <t>ANNÉE 2018</t>
  </si>
  <si>
    <t>FÉVRIER</t>
  </si>
  <si>
    <t>Pipeline</t>
  </si>
  <si>
    <t>Epicerie</t>
  </si>
  <si>
    <t>E-liquide</t>
  </si>
  <si>
    <t>Meubles</t>
  </si>
  <si>
    <t>Ustensiles cuisine</t>
  </si>
  <si>
    <t>Outillage</t>
  </si>
  <si>
    <t>Jardin</t>
  </si>
  <si>
    <t>Mitsu</t>
  </si>
  <si>
    <t>Pistolet à bille</t>
  </si>
  <si>
    <t>INTERNET</t>
  </si>
  <si>
    <t>VOTRE RELEVE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</si>
</sst>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entaur"/>
      <family val="1"/>
    </font>
    <font>
      <b/>
      <sz val="11"/>
      <color theme="0"/>
      <name val="Centaur"/>
      <family val="1"/>
    </font>
    <font>
      <b/>
      <sz val="11"/>
      <color theme="5" tint="-0.249977111117893"/>
      <name val="Centaur"/>
      <family val="1"/>
    </font>
    <font>
      <sz val="72"/>
      <color theme="5" tint="-0.249977111117893"/>
      <name val="Algerian"/>
      <family val="5"/>
    </font>
    <font>
      <sz val="48"/>
      <color theme="5" tint="-0.249977111117893"/>
      <name val="Algerian"/>
      <family val="5"/>
    </font>
    <font>
      <b/>
      <sz val="11"/>
      <color theme="0"/>
      <name val="Calibri"/>
      <family val="2"/>
      <scheme val="minor"/>
    </font>
    <font>
      <sz val="11"/>
      <color rgb="FF00B050"/>
      <name val="Wingdings"/>
      <charset val="2"/>
    </font>
    <font>
      <sz val="12"/>
      <color rgb="FF00B050"/>
      <name val="Wingdings"/>
      <charset val="2"/>
    </font>
    <font>
      <b/>
      <sz val="12"/>
      <color rgb="FF00B05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4" borderId="0" xfId="0" applyFill="1"/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4" fontId="10" fillId="4" borderId="0" xfId="0" applyNumberFormat="1" applyFont="1" applyFill="1"/>
    <xf numFmtId="0" fontId="11" fillId="4" borderId="0" xfId="0" applyFont="1" applyFill="1"/>
    <xf numFmtId="14" fontId="11" fillId="4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0" fontId="0" fillId="6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447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border outline="0">
        <left style="thin">
          <color theme="6" tint="0.39997558519241921"/>
        </lef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b/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1361792"/>
        <c:axId val="191363328"/>
        <c:axId val="0"/>
      </c:bar3DChart>
      <c:catAx>
        <c:axId val="19136179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1363328"/>
        <c:crosses val="autoZero"/>
        <c:auto val="1"/>
        <c:lblAlgn val="ctr"/>
        <c:lblOffset val="100"/>
        <c:noMultiLvlLbl val="0"/>
      </c:catAx>
      <c:valAx>
        <c:axId val="1913633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1361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1406464"/>
        <c:axId val="191408000"/>
        <c:axId val="0"/>
      </c:bar3DChart>
      <c:catAx>
        <c:axId val="19140646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1408000"/>
        <c:crosses val="autoZero"/>
        <c:auto val="1"/>
        <c:lblAlgn val="ctr"/>
        <c:lblOffset val="100"/>
        <c:noMultiLvlLbl val="0"/>
      </c:catAx>
      <c:valAx>
        <c:axId val="19140800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1406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0850944"/>
        <c:axId val="190852480"/>
        <c:axId val="0"/>
      </c:bar3DChart>
      <c:catAx>
        <c:axId val="1908509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0852480"/>
        <c:crosses val="autoZero"/>
        <c:auto val="1"/>
        <c:lblAlgn val="ctr"/>
        <c:lblOffset val="100"/>
        <c:noMultiLvlLbl val="0"/>
      </c:catAx>
      <c:valAx>
        <c:axId val="1908524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085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2132608"/>
        <c:axId val="192134144"/>
        <c:axId val="0"/>
      </c:bar3DChart>
      <c:catAx>
        <c:axId val="19213260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2134144"/>
        <c:crosses val="autoZero"/>
        <c:auto val="1"/>
        <c:lblAlgn val="ctr"/>
        <c:lblOffset val="100"/>
        <c:noMultiLvlLbl val="0"/>
      </c:catAx>
      <c:valAx>
        <c:axId val="19213414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2132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2262912"/>
        <c:axId val="192264448"/>
        <c:axId val="0"/>
      </c:bar3DChart>
      <c:catAx>
        <c:axId val="19226291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2264448"/>
        <c:crosses val="autoZero"/>
        <c:auto val="1"/>
        <c:lblAlgn val="ctr"/>
        <c:lblOffset val="100"/>
        <c:noMultiLvlLbl val="0"/>
      </c:catAx>
      <c:valAx>
        <c:axId val="19226444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2262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92443136"/>
        <c:axId val="192444672"/>
        <c:axId val="0"/>
      </c:bar3DChart>
      <c:catAx>
        <c:axId val="19244313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92444672"/>
        <c:crosses val="autoZero"/>
        <c:auto val="1"/>
        <c:lblAlgn val="ctr"/>
        <c:lblOffset val="100"/>
        <c:noMultiLvlLbl val="0"/>
      </c:catAx>
      <c:valAx>
        <c:axId val="19244467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2443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236544"/>
        <c:axId val="212238336"/>
        <c:axId val="0"/>
      </c:bar3DChart>
      <c:catAx>
        <c:axId val="212236544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238336"/>
        <c:crosses val="autoZero"/>
        <c:auto val="1"/>
        <c:lblAlgn val="ctr"/>
        <c:lblOffset val="100"/>
        <c:noMultiLvlLbl val="0"/>
      </c:catAx>
      <c:valAx>
        <c:axId val="21223833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236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291968"/>
        <c:axId val="212293504"/>
        <c:axId val="0"/>
      </c:bar3DChart>
      <c:catAx>
        <c:axId val="21229196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293504"/>
        <c:crosses val="autoZero"/>
        <c:auto val="1"/>
        <c:lblAlgn val="ctr"/>
        <c:lblOffset val="100"/>
        <c:noMultiLvlLbl val="0"/>
      </c:catAx>
      <c:valAx>
        <c:axId val="2122935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291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403712"/>
        <c:axId val="212405248"/>
        <c:axId val="0"/>
      </c:bar3DChart>
      <c:catAx>
        <c:axId val="21240371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405248"/>
        <c:crosses val="autoZero"/>
        <c:auto val="1"/>
        <c:lblAlgn val="ctr"/>
        <c:lblOffset val="100"/>
        <c:noMultiLvlLbl val="0"/>
      </c:catAx>
      <c:valAx>
        <c:axId val="21240524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403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464768"/>
        <c:axId val="212466304"/>
        <c:axId val="0"/>
      </c:bar3DChart>
      <c:catAx>
        <c:axId val="21246476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466304"/>
        <c:crosses val="autoZero"/>
        <c:auto val="1"/>
        <c:lblAlgn val="ctr"/>
        <c:lblOffset val="100"/>
        <c:noMultiLvlLbl val="0"/>
      </c:catAx>
      <c:valAx>
        <c:axId val="2124663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464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122240"/>
        <c:axId val="212124032"/>
        <c:axId val="0"/>
      </c:bar3DChart>
      <c:catAx>
        <c:axId val="21212224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124032"/>
        <c:crosses val="autoZero"/>
        <c:auto val="1"/>
        <c:lblAlgn val="ctr"/>
        <c:lblOffset val="100"/>
        <c:noMultiLvlLbl val="0"/>
      </c:catAx>
      <c:valAx>
        <c:axId val="21212403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122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777216"/>
        <c:axId val="212783104"/>
        <c:axId val="0"/>
      </c:bar3DChart>
      <c:catAx>
        <c:axId val="2127772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783104"/>
        <c:crosses val="autoZero"/>
        <c:auto val="1"/>
        <c:lblAlgn val="ctr"/>
        <c:lblOffset val="100"/>
        <c:noMultiLvlLbl val="0"/>
      </c:catAx>
      <c:valAx>
        <c:axId val="2127831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777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590976"/>
        <c:axId val="212592512"/>
        <c:axId val="0"/>
      </c:bar3DChart>
      <c:catAx>
        <c:axId val="21259097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592512"/>
        <c:crosses val="autoZero"/>
        <c:auto val="1"/>
        <c:lblAlgn val="ctr"/>
        <c:lblOffset val="100"/>
        <c:noMultiLvlLbl val="0"/>
      </c:catAx>
      <c:valAx>
        <c:axId val="21259251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590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2336640"/>
        <c:axId val="212338176"/>
        <c:axId val="0"/>
      </c:bar3DChart>
      <c:catAx>
        <c:axId val="21233664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2338176"/>
        <c:crosses val="autoZero"/>
        <c:auto val="1"/>
        <c:lblAlgn val="ctr"/>
        <c:lblOffset val="100"/>
        <c:noMultiLvlLbl val="0"/>
      </c:catAx>
      <c:valAx>
        <c:axId val="21233817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2336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153280"/>
        <c:axId val="213154816"/>
        <c:axId val="0"/>
      </c:bar3DChart>
      <c:catAx>
        <c:axId val="21315328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154816"/>
        <c:crosses val="autoZero"/>
        <c:auto val="1"/>
        <c:lblAlgn val="ctr"/>
        <c:lblOffset val="100"/>
        <c:noMultiLvlLbl val="0"/>
      </c:catAx>
      <c:valAx>
        <c:axId val="21315481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1532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333120"/>
        <c:axId val="213334656"/>
        <c:axId val="0"/>
      </c:bar3DChart>
      <c:catAx>
        <c:axId val="21333312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334656"/>
        <c:crosses val="autoZero"/>
        <c:auto val="1"/>
        <c:lblAlgn val="ctr"/>
        <c:lblOffset val="100"/>
        <c:noMultiLvlLbl val="0"/>
      </c:catAx>
      <c:valAx>
        <c:axId val="21333465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333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478016"/>
        <c:axId val="213483904"/>
        <c:axId val="0"/>
      </c:bar3DChart>
      <c:catAx>
        <c:axId val="2134780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483904"/>
        <c:crosses val="autoZero"/>
        <c:auto val="1"/>
        <c:lblAlgn val="ctr"/>
        <c:lblOffset val="100"/>
        <c:noMultiLvlLbl val="0"/>
      </c:catAx>
      <c:valAx>
        <c:axId val="2134839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478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514496"/>
        <c:axId val="213401600"/>
        <c:axId val="0"/>
      </c:bar3DChart>
      <c:catAx>
        <c:axId val="21351449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401600"/>
        <c:crosses val="autoZero"/>
        <c:auto val="1"/>
        <c:lblAlgn val="ctr"/>
        <c:lblOffset val="100"/>
        <c:noMultiLvlLbl val="0"/>
      </c:catAx>
      <c:valAx>
        <c:axId val="21340160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514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552512"/>
        <c:axId val="213664896"/>
        <c:axId val="0"/>
      </c:bar3DChart>
      <c:catAx>
        <c:axId val="21355251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664896"/>
        <c:crosses val="autoZero"/>
        <c:auto val="1"/>
        <c:lblAlgn val="ctr"/>
        <c:lblOffset val="100"/>
        <c:noMultiLvlLbl val="0"/>
      </c:catAx>
      <c:valAx>
        <c:axId val="21366489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552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695488"/>
        <c:axId val="213697280"/>
        <c:axId val="0"/>
      </c:bar3DChart>
      <c:catAx>
        <c:axId val="21369548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697280"/>
        <c:crosses val="autoZero"/>
        <c:auto val="1"/>
        <c:lblAlgn val="ctr"/>
        <c:lblOffset val="100"/>
        <c:noMultiLvlLbl val="0"/>
      </c:catAx>
      <c:valAx>
        <c:axId val="21369728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695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844736"/>
        <c:axId val="213846272"/>
        <c:axId val="0"/>
      </c:bar3DChart>
      <c:catAx>
        <c:axId val="21384473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846272"/>
        <c:crosses val="autoZero"/>
        <c:auto val="1"/>
        <c:lblAlgn val="ctr"/>
        <c:lblOffset val="100"/>
        <c:noMultiLvlLbl val="0"/>
      </c:catAx>
      <c:valAx>
        <c:axId val="21384627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844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877120"/>
        <c:axId val="213878656"/>
        <c:axId val="0"/>
      </c:bar3DChart>
      <c:catAx>
        <c:axId val="21387712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878656"/>
        <c:crosses val="autoZero"/>
        <c:auto val="1"/>
        <c:lblAlgn val="ctr"/>
        <c:lblOffset val="100"/>
        <c:noMultiLvlLbl val="0"/>
      </c:catAx>
      <c:valAx>
        <c:axId val="21387865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877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DÉCEMBRE!$B$64:$B$65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DÉCEMBRE!$C$64:$C$65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031168"/>
        <c:axId val="213032320"/>
        <c:axId val="0"/>
      </c:bar3DChart>
      <c:catAx>
        <c:axId val="21303116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032320"/>
        <c:crosses val="autoZero"/>
        <c:auto val="1"/>
        <c:lblAlgn val="ctr"/>
        <c:lblOffset val="100"/>
        <c:noMultiLvlLbl val="0"/>
      </c:catAx>
      <c:valAx>
        <c:axId val="21303232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031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DÉCEMBRE!$E$64:$E$65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DÉCEMBRE!$F$64:$F$65</c:f>
              <c:numCache>
                <c:formatCode>#,##0.00\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13935616"/>
        <c:axId val="213937152"/>
        <c:axId val="0"/>
      </c:bar3DChart>
      <c:catAx>
        <c:axId val="2139356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213937152"/>
        <c:crosses val="autoZero"/>
        <c:auto val="1"/>
        <c:lblAlgn val="ctr"/>
        <c:lblOffset val="100"/>
        <c:noMultiLvlLbl val="0"/>
      </c:catAx>
      <c:valAx>
        <c:axId val="21393715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3935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[Compte OR_1 en cous.xlsm]SYNTHÈSES DÉPENSE!Tableau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 SG/BNP</a:t>
            </a:r>
          </a:p>
        </c:rich>
      </c:tx>
      <c:layout>
        <c:manualLayout>
          <c:xMode val="edge"/>
          <c:yMode val="edge"/>
          <c:x val="0.77602998812140356"/>
          <c:y val="9.7298430857335715E-3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</c:pivotFmt>
      <c:pivotFmt>
        <c:idx val="13"/>
      </c:pivotFmt>
      <c:pivotFmt>
        <c:idx val="14"/>
        <c:marker>
          <c:symbol val="none"/>
        </c:marker>
      </c:pivotFmt>
    </c:pivotFmts>
    <c:view3D>
      <c:rotX val="6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297853504653962"/>
          <c:y val="1.8105329130500659E-2"/>
          <c:w val="0.47211102175173469"/>
          <c:h val="0.50191594396511785"/>
        </c:manualLayout>
      </c:layout>
      <c:pie3DChart>
        <c:varyColors val="1"/>
        <c:ser>
          <c:idx val="0"/>
          <c:order val="0"/>
          <c:tx>
            <c:strRef>
              <c:f>'SYNTHÈSES DÉPENSE'!$B$62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'SYNTHÈSES DÉPENSE'!$A$63:$A$121</c:f>
              <c:strCache>
                <c:ptCount val="58"/>
                <c:pt idx="0">
                  <c:v>Amazon</c:v>
                </c:pt>
                <c:pt idx="1">
                  <c:v>Amendes</c:v>
                </c:pt>
                <c:pt idx="2">
                  <c:v>Assainissement eaux</c:v>
                </c:pt>
                <c:pt idx="3">
                  <c:v>Assurance auto</c:v>
                </c:pt>
                <c:pt idx="4">
                  <c:v>Assurance vie</c:v>
                </c:pt>
                <c:pt idx="5">
                  <c:v>Bien-être</c:v>
                </c:pt>
                <c:pt idx="6">
                  <c:v>Bon prix</c:v>
                </c:pt>
                <c:pt idx="7">
                  <c:v>Boulangerie</c:v>
                </c:pt>
                <c:pt idx="8">
                  <c:v>Bouygues télécom</c:v>
                </c:pt>
                <c:pt idx="9">
                  <c:v>Cadeaux</c:v>
                </c:pt>
                <c:pt idx="10">
                  <c:v>Canalsat</c:v>
                </c:pt>
                <c:pt idx="11">
                  <c:v>Chaussures</c:v>
                </c:pt>
                <c:pt idx="12">
                  <c:v>CNRACL</c:v>
                </c:pt>
                <c:pt idx="13">
                  <c:v>Consomation eaux</c:v>
                </c:pt>
                <c:pt idx="14">
                  <c:v>Cotisation esprit libre</c:v>
                </c:pt>
                <c:pt idx="15">
                  <c:v>Cotisation JAZZ</c:v>
                </c:pt>
                <c:pt idx="16">
                  <c:v>Cotisation mutuelle</c:v>
                </c:pt>
                <c:pt idx="17">
                  <c:v>Diesel</c:v>
                </c:pt>
                <c:pt idx="18">
                  <c:v>Electricité</c:v>
                </c:pt>
                <c:pt idx="19">
                  <c:v>Electroménager</c:v>
                </c:pt>
                <c:pt idx="20">
                  <c:v>Elior airbus</c:v>
                </c:pt>
                <c:pt idx="21">
                  <c:v>E-liquide</c:v>
                </c:pt>
                <c:pt idx="22">
                  <c:v>Entretient  maison</c:v>
                </c:pt>
                <c:pt idx="23">
                  <c:v>Entretient/réparation C1</c:v>
                </c:pt>
                <c:pt idx="24">
                  <c:v>Entretient/réparation JETTA</c:v>
                </c:pt>
                <c:pt idx="25">
                  <c:v>Epicerie</c:v>
                </c:pt>
                <c:pt idx="26">
                  <c:v>Essence</c:v>
                </c:pt>
                <c:pt idx="27">
                  <c:v>Free internet</c:v>
                </c:pt>
                <c:pt idx="28">
                  <c:v>Free mobile</c:v>
                </c:pt>
                <c:pt idx="29">
                  <c:v>Hospital</c:v>
                </c:pt>
                <c:pt idx="30">
                  <c:v>Impôt salaires</c:v>
                </c:pt>
                <c:pt idx="31">
                  <c:v>Jardin</c:v>
                </c:pt>
                <c:pt idx="32">
                  <c:v>JAZZ duo</c:v>
                </c:pt>
                <c:pt idx="33">
                  <c:v>Le petit vapoteur</c:v>
                </c:pt>
                <c:pt idx="34">
                  <c:v>Médecin</c:v>
                </c:pt>
                <c:pt idx="35">
                  <c:v>Meubles</c:v>
                </c:pt>
                <c:pt idx="36">
                  <c:v>Mitsu</c:v>
                </c:pt>
                <c:pt idx="37">
                  <c:v>Outillage</c:v>
                </c:pt>
                <c:pt idx="38">
                  <c:v>Paie Airbus Helicopters</c:v>
                </c:pt>
                <c:pt idx="39">
                  <c:v>Pharmacie</c:v>
                </c:pt>
                <c:pt idx="40">
                  <c:v>Pipeline</c:v>
                </c:pt>
                <c:pt idx="41">
                  <c:v>Pistolet à bille</c:v>
                </c:pt>
                <c:pt idx="42">
                  <c:v>Prêt immobilier</c:v>
                </c:pt>
                <c:pt idx="43">
                  <c:v>Prêt volet/garage</c:v>
                </c:pt>
                <c:pt idx="44">
                  <c:v>Remboursement</c:v>
                </c:pt>
                <c:pt idx="45">
                  <c:v>Remboursement CPAM Bobigny</c:v>
                </c:pt>
                <c:pt idx="46">
                  <c:v>Remboursement CPAM Melun</c:v>
                </c:pt>
                <c:pt idx="47">
                  <c:v>Remboursement mutuelle</c:v>
                </c:pt>
                <c:pt idx="48">
                  <c:v>Remise de chèque</c:v>
                </c:pt>
                <c:pt idx="49">
                  <c:v>Restaurant</c:v>
                </c:pt>
                <c:pt idx="50">
                  <c:v>Retrait Espèces</c:v>
                </c:pt>
                <c:pt idx="51">
                  <c:v>Supermarché</c:v>
                </c:pt>
                <c:pt idx="52">
                  <c:v>Taxes foncières</c:v>
                </c:pt>
                <c:pt idx="53">
                  <c:v>Taxes habitation</c:v>
                </c:pt>
                <c:pt idx="54">
                  <c:v>Tenue de compte</c:v>
                </c:pt>
                <c:pt idx="55">
                  <c:v>Ustensiles cuisine</c:v>
                </c:pt>
                <c:pt idx="56">
                  <c:v>Vêtements</c:v>
                </c:pt>
                <c:pt idx="57">
                  <c:v>Vidéo surveillance</c:v>
                </c:pt>
              </c:strCache>
            </c:strRef>
          </c:cat>
          <c:val>
            <c:numRef>
              <c:f>'SYNTHÈSES DÉPENSE'!$B$63:$B$121</c:f>
              <c:numCache>
                <c:formatCode>#,##0.00\ "€"</c:formatCode>
                <c:ptCount val="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3.5765526107718854E-2"/>
          <c:y val="0.50937730256467584"/>
          <c:w val="0.76533939355141578"/>
          <c:h val="0.4906226980271616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  <c:spPr>
        <a:solidFill>
          <a:schemeClr val="accent1">
            <a:lumMod val="20000"/>
            <a:lumOff val="80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ÉVOLUTIONS!$B$1</c:f>
              <c:strCache>
                <c:ptCount val="1"/>
                <c:pt idx="0">
                  <c:v>SOLDE SOCIÉTÉ GÉNÉRALE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ÉVOLUTIONS!$B$2:$B$13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ÉVOLUTIONS!$C$1</c:f>
              <c:strCache>
                <c:ptCount val="1"/>
                <c:pt idx="0">
                  <c:v>SOLDE BNP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ÉVOLUTIONS!$C$2:$C$13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189184"/>
        <c:axId val="214190720"/>
        <c:axId val="213039744"/>
      </c:line3DChart>
      <c:catAx>
        <c:axId val="214189184"/>
        <c:scaling>
          <c:orientation val="minMax"/>
        </c:scaling>
        <c:delete val="0"/>
        <c:axPos val="b"/>
        <c:majorTickMark val="out"/>
        <c:minorTickMark val="none"/>
        <c:tickLblPos val="nextTo"/>
        <c:crossAx val="214190720"/>
        <c:crosses val="autoZero"/>
        <c:auto val="1"/>
        <c:lblAlgn val="ctr"/>
        <c:lblOffset val="100"/>
        <c:noMultiLvlLbl val="0"/>
      </c:catAx>
      <c:valAx>
        <c:axId val="21419072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14189184"/>
        <c:crosses val="autoZero"/>
        <c:crossBetween val="between"/>
      </c:valAx>
      <c:serAx>
        <c:axId val="213039744"/>
        <c:scaling>
          <c:orientation val="minMax"/>
        </c:scaling>
        <c:delete val="1"/>
        <c:axPos val="b"/>
        <c:majorTickMark val="out"/>
        <c:minorTickMark val="none"/>
        <c:tickLblPos val="nextTo"/>
        <c:crossAx val="214190720"/>
        <c:crosses val="autoZero"/>
      </c:serAx>
    </c:plotArea>
    <c:legend>
      <c:legendPos val="b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61</xdr:row>
      <xdr:rowOff>114298</xdr:rowOff>
    </xdr:from>
    <xdr:to>
      <xdr:col>11</xdr:col>
      <xdr:colOff>152400</xdr:colOff>
      <xdr:row>101</xdr:row>
      <xdr:rowOff>38099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0</xdr:row>
      <xdr:rowOff>85724</xdr:rowOff>
    </xdr:from>
    <xdr:to>
      <xdr:col>11</xdr:col>
      <xdr:colOff>304800</xdr:colOff>
      <xdr:row>22</xdr:row>
      <xdr:rowOff>47624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3412.873563194444" createdVersion="4" refreshedVersion="4" minRefreshableVersion="3" recordCount="58">
  <cacheSource type="worksheet">
    <worksheetSource name="Tableau14"/>
  </cacheSource>
  <cacheFields count="14">
    <cacheField name="S/CATÉGORIE" numFmtId="0">
      <sharedItems count="58">
        <s v="Amazon"/>
        <s v="Amendes"/>
        <s v="Assainissement eaux"/>
        <s v="Assurance auto"/>
        <s v="Assurance vie"/>
        <s v="Bien-être"/>
        <s v="Bon prix"/>
        <s v="Boulangerie"/>
        <s v="Bouygues télécom"/>
        <s v="Cadeaux"/>
        <s v="Canalsat"/>
        <s v="Chaussures"/>
        <s v="CNRACL"/>
        <s v="Consomation eaux"/>
        <s v="Cotisation esprit libre"/>
        <s v="Cotisation JAZZ"/>
        <s v="Cotisation mutuelle"/>
        <s v="Diesel"/>
        <s v="Electricité"/>
        <s v="Electroménager"/>
        <s v="Elior airbus"/>
        <s v="E-liquide"/>
        <s v="Entretient  maison"/>
        <s v="Entretient/réparation C1"/>
        <s v="Entretient/réparation JETTA"/>
        <s v="Epicerie"/>
        <s v="Essence"/>
        <s v="Free internet"/>
        <s v="Free mobile"/>
        <s v="Hospital"/>
        <s v="Impôt salaires"/>
        <s v="Jardin"/>
        <s v="JAZZ duo"/>
        <s v="Le petit vapoteur"/>
        <s v="Médecin"/>
        <s v="Meubles"/>
        <s v="Mitsu"/>
        <s v="Outillage"/>
        <s v="Paie Airbus Helicopters"/>
        <s v="Pharmacie"/>
        <s v="Pipeline"/>
        <s v="Pistolet à bille"/>
        <s v="Prêt immobilier"/>
        <s v="Prêt volet/garage"/>
        <s v="Remboursement"/>
        <s v="Remboursement CPAM Bobigny"/>
        <s v="Remboursement CPAM Melun"/>
        <s v="Remboursement mutuelle"/>
        <s v="Remise de chèque"/>
        <s v="Restaurant"/>
        <s v="Retrait Espèces"/>
        <s v="Supermarché"/>
        <s v="Taxes foncières"/>
        <s v="Taxes habitation"/>
        <s v="Tenue de compte"/>
        <s v="Ustensiles cuisine"/>
        <s v="Vêtements"/>
        <s v="Vidéo surveillance"/>
      </sharedItems>
    </cacheField>
    <cacheField name="JANVIER" numFmtId="164">
      <sharedItems containsSemiMixedTypes="0" containsString="0" containsNumber="1" containsInteger="1" minValue="0" maxValue="0"/>
    </cacheField>
    <cacheField name="FEVRIER" numFmtId="164">
      <sharedItems containsSemiMixedTypes="0" containsString="0" containsNumber="1" containsInteger="1" minValue="0" maxValue="0"/>
    </cacheField>
    <cacheField name="MARS" numFmtId="164">
      <sharedItems containsSemiMixedTypes="0" containsString="0" containsNumber="1" containsInteger="1" minValue="0" maxValue="0"/>
    </cacheField>
    <cacheField name="AVRIL" numFmtId="164">
      <sharedItems containsSemiMixedTypes="0" containsString="0" containsNumber="1" containsInteger="1" minValue="0" maxValue="0"/>
    </cacheField>
    <cacheField name="MAI" numFmtId="164">
      <sharedItems containsSemiMixedTypes="0" containsString="0" containsNumber="1" containsInteger="1" minValue="0" maxValue="0"/>
    </cacheField>
    <cacheField name="JUIN" numFmtId="164">
      <sharedItems containsSemiMixedTypes="0" containsString="0" containsNumber="1" containsInteger="1" minValue="0" maxValue="0"/>
    </cacheField>
    <cacheField name="JUILLET" numFmtId="164">
      <sharedItems containsSemiMixedTypes="0" containsString="0" containsNumber="1" containsInteger="1" minValue="0" maxValue="0"/>
    </cacheField>
    <cacheField name="AOÛT" numFmtId="164">
      <sharedItems containsSemiMixedTypes="0" containsString="0" containsNumber="1" containsInteger="1" minValue="0" maxValue="0"/>
    </cacheField>
    <cacheField name="SEPTEMBRE" numFmtId="164">
      <sharedItems containsSemiMixedTypes="0" containsString="0" containsNumber="1" containsInteger="1" minValue="0" maxValue="0"/>
    </cacheField>
    <cacheField name="OCTOBRE" numFmtId="164">
      <sharedItems containsSemiMixedTypes="0" containsString="0" containsNumber="1" containsInteger="1" minValue="0" maxValue="0"/>
    </cacheField>
    <cacheField name="NOVEMBRE" numFmtId="164">
      <sharedItems containsSemiMixedTypes="0" containsString="0" containsNumber="1" containsInteger="1" minValue="0" maxValue="0"/>
    </cacheField>
    <cacheField name="DÉCEMBRE" numFmtId="164">
      <sharedItems containsSemiMixedTypes="0" containsString="0" containsNumber="1" containsInteger="1" minValue="0" maxValue="0"/>
    </cacheField>
    <cacheField name="TOTAUX" numFmtId="164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">
  <r>
    <x v="0"/>
    <n v="0"/>
    <n v="0"/>
    <n v="0"/>
    <n v="0"/>
    <n v="0"/>
    <n v="0"/>
    <n v="0"/>
    <n v="0"/>
    <n v="0"/>
    <n v="0"/>
    <n v="0"/>
    <n v="0"/>
    <n v="0"/>
  </r>
  <r>
    <x v="1"/>
    <n v="0"/>
    <n v="0"/>
    <n v="0"/>
    <n v="0"/>
    <n v="0"/>
    <n v="0"/>
    <n v="0"/>
    <n v="0"/>
    <n v="0"/>
    <n v="0"/>
    <n v="0"/>
    <n v="0"/>
    <n v="0"/>
  </r>
  <r>
    <x v="2"/>
    <n v="0"/>
    <n v="0"/>
    <n v="0"/>
    <n v="0"/>
    <n v="0"/>
    <n v="0"/>
    <n v="0"/>
    <n v="0"/>
    <n v="0"/>
    <n v="0"/>
    <n v="0"/>
    <n v="0"/>
    <n v="0"/>
  </r>
  <r>
    <x v="3"/>
    <n v="0"/>
    <n v="0"/>
    <n v="0"/>
    <n v="0"/>
    <n v="0"/>
    <n v="0"/>
    <n v="0"/>
    <n v="0"/>
    <n v="0"/>
    <n v="0"/>
    <n v="0"/>
    <n v="0"/>
    <n v="0"/>
  </r>
  <r>
    <x v="4"/>
    <n v="0"/>
    <n v="0"/>
    <n v="0"/>
    <n v="0"/>
    <n v="0"/>
    <n v="0"/>
    <n v="0"/>
    <n v="0"/>
    <n v="0"/>
    <n v="0"/>
    <n v="0"/>
    <n v="0"/>
    <n v="0"/>
  </r>
  <r>
    <x v="5"/>
    <n v="0"/>
    <n v="0"/>
    <n v="0"/>
    <n v="0"/>
    <n v="0"/>
    <n v="0"/>
    <n v="0"/>
    <n v="0"/>
    <n v="0"/>
    <n v="0"/>
    <n v="0"/>
    <n v="0"/>
    <n v="0"/>
  </r>
  <r>
    <x v="6"/>
    <n v="0"/>
    <n v="0"/>
    <n v="0"/>
    <n v="0"/>
    <n v="0"/>
    <n v="0"/>
    <n v="0"/>
    <n v="0"/>
    <n v="0"/>
    <n v="0"/>
    <n v="0"/>
    <n v="0"/>
    <n v="0"/>
  </r>
  <r>
    <x v="7"/>
    <n v="0"/>
    <n v="0"/>
    <n v="0"/>
    <n v="0"/>
    <n v="0"/>
    <n v="0"/>
    <n v="0"/>
    <n v="0"/>
    <n v="0"/>
    <n v="0"/>
    <n v="0"/>
    <n v="0"/>
    <n v="0"/>
  </r>
  <r>
    <x v="8"/>
    <n v="0"/>
    <n v="0"/>
    <n v="0"/>
    <n v="0"/>
    <n v="0"/>
    <n v="0"/>
    <n v="0"/>
    <n v="0"/>
    <n v="0"/>
    <n v="0"/>
    <n v="0"/>
    <n v="0"/>
    <n v="0"/>
  </r>
  <r>
    <x v="9"/>
    <n v="0"/>
    <n v="0"/>
    <n v="0"/>
    <n v="0"/>
    <n v="0"/>
    <n v="0"/>
    <n v="0"/>
    <n v="0"/>
    <n v="0"/>
    <n v="0"/>
    <n v="0"/>
    <n v="0"/>
    <n v="0"/>
  </r>
  <r>
    <x v="10"/>
    <n v="0"/>
    <n v="0"/>
    <n v="0"/>
    <n v="0"/>
    <n v="0"/>
    <n v="0"/>
    <n v="0"/>
    <n v="0"/>
    <n v="0"/>
    <n v="0"/>
    <n v="0"/>
    <n v="0"/>
    <n v="0"/>
  </r>
  <r>
    <x v="11"/>
    <n v="0"/>
    <n v="0"/>
    <n v="0"/>
    <n v="0"/>
    <n v="0"/>
    <n v="0"/>
    <n v="0"/>
    <n v="0"/>
    <n v="0"/>
    <n v="0"/>
    <n v="0"/>
    <n v="0"/>
    <n v="0"/>
  </r>
  <r>
    <x v="12"/>
    <n v="0"/>
    <n v="0"/>
    <n v="0"/>
    <n v="0"/>
    <n v="0"/>
    <n v="0"/>
    <n v="0"/>
    <n v="0"/>
    <n v="0"/>
    <n v="0"/>
    <n v="0"/>
    <n v="0"/>
    <n v="0"/>
  </r>
  <r>
    <x v="13"/>
    <n v="0"/>
    <n v="0"/>
    <n v="0"/>
    <n v="0"/>
    <n v="0"/>
    <n v="0"/>
    <n v="0"/>
    <n v="0"/>
    <n v="0"/>
    <n v="0"/>
    <n v="0"/>
    <n v="0"/>
    <n v="0"/>
  </r>
  <r>
    <x v="14"/>
    <n v="0"/>
    <n v="0"/>
    <n v="0"/>
    <n v="0"/>
    <n v="0"/>
    <n v="0"/>
    <n v="0"/>
    <n v="0"/>
    <n v="0"/>
    <n v="0"/>
    <n v="0"/>
    <n v="0"/>
    <n v="0"/>
  </r>
  <r>
    <x v="15"/>
    <n v="0"/>
    <n v="0"/>
    <n v="0"/>
    <n v="0"/>
    <n v="0"/>
    <n v="0"/>
    <n v="0"/>
    <n v="0"/>
    <n v="0"/>
    <n v="0"/>
    <n v="0"/>
    <n v="0"/>
    <n v="0"/>
  </r>
  <r>
    <x v="16"/>
    <n v="0"/>
    <n v="0"/>
    <n v="0"/>
    <n v="0"/>
    <n v="0"/>
    <n v="0"/>
    <n v="0"/>
    <n v="0"/>
    <n v="0"/>
    <n v="0"/>
    <n v="0"/>
    <n v="0"/>
    <n v="0"/>
  </r>
  <r>
    <x v="17"/>
    <n v="0"/>
    <n v="0"/>
    <n v="0"/>
    <n v="0"/>
    <n v="0"/>
    <n v="0"/>
    <n v="0"/>
    <n v="0"/>
    <n v="0"/>
    <n v="0"/>
    <n v="0"/>
    <n v="0"/>
    <n v="0"/>
  </r>
  <r>
    <x v="18"/>
    <n v="0"/>
    <n v="0"/>
    <n v="0"/>
    <n v="0"/>
    <n v="0"/>
    <n v="0"/>
    <n v="0"/>
    <n v="0"/>
    <n v="0"/>
    <n v="0"/>
    <n v="0"/>
    <n v="0"/>
    <n v="0"/>
  </r>
  <r>
    <x v="19"/>
    <n v="0"/>
    <n v="0"/>
    <n v="0"/>
    <n v="0"/>
    <n v="0"/>
    <n v="0"/>
    <n v="0"/>
    <n v="0"/>
    <n v="0"/>
    <n v="0"/>
    <n v="0"/>
    <n v="0"/>
    <n v="0"/>
  </r>
  <r>
    <x v="20"/>
    <n v="0"/>
    <n v="0"/>
    <n v="0"/>
    <n v="0"/>
    <n v="0"/>
    <n v="0"/>
    <n v="0"/>
    <n v="0"/>
    <n v="0"/>
    <n v="0"/>
    <n v="0"/>
    <n v="0"/>
    <n v="0"/>
  </r>
  <r>
    <x v="21"/>
    <n v="0"/>
    <n v="0"/>
    <n v="0"/>
    <n v="0"/>
    <n v="0"/>
    <n v="0"/>
    <n v="0"/>
    <n v="0"/>
    <n v="0"/>
    <n v="0"/>
    <n v="0"/>
    <n v="0"/>
    <n v="0"/>
  </r>
  <r>
    <x v="22"/>
    <n v="0"/>
    <n v="0"/>
    <n v="0"/>
    <n v="0"/>
    <n v="0"/>
    <n v="0"/>
    <n v="0"/>
    <n v="0"/>
    <n v="0"/>
    <n v="0"/>
    <n v="0"/>
    <n v="0"/>
    <n v="0"/>
  </r>
  <r>
    <x v="23"/>
    <n v="0"/>
    <n v="0"/>
    <n v="0"/>
    <n v="0"/>
    <n v="0"/>
    <n v="0"/>
    <n v="0"/>
    <n v="0"/>
    <n v="0"/>
    <n v="0"/>
    <n v="0"/>
    <n v="0"/>
    <n v="0"/>
  </r>
  <r>
    <x v="24"/>
    <n v="0"/>
    <n v="0"/>
    <n v="0"/>
    <n v="0"/>
    <n v="0"/>
    <n v="0"/>
    <n v="0"/>
    <n v="0"/>
    <n v="0"/>
    <n v="0"/>
    <n v="0"/>
    <n v="0"/>
    <n v="0"/>
  </r>
  <r>
    <x v="25"/>
    <n v="0"/>
    <n v="0"/>
    <n v="0"/>
    <n v="0"/>
    <n v="0"/>
    <n v="0"/>
    <n v="0"/>
    <n v="0"/>
    <n v="0"/>
    <n v="0"/>
    <n v="0"/>
    <n v="0"/>
    <n v="0"/>
  </r>
  <r>
    <x v="26"/>
    <n v="0"/>
    <n v="0"/>
    <n v="0"/>
    <n v="0"/>
    <n v="0"/>
    <n v="0"/>
    <n v="0"/>
    <n v="0"/>
    <n v="0"/>
    <n v="0"/>
    <n v="0"/>
    <n v="0"/>
    <n v="0"/>
  </r>
  <r>
    <x v="27"/>
    <n v="0"/>
    <n v="0"/>
    <n v="0"/>
    <n v="0"/>
    <n v="0"/>
    <n v="0"/>
    <n v="0"/>
    <n v="0"/>
    <n v="0"/>
    <n v="0"/>
    <n v="0"/>
    <n v="0"/>
    <n v="0"/>
  </r>
  <r>
    <x v="28"/>
    <n v="0"/>
    <n v="0"/>
    <n v="0"/>
    <n v="0"/>
    <n v="0"/>
    <n v="0"/>
    <n v="0"/>
    <n v="0"/>
    <n v="0"/>
    <n v="0"/>
    <n v="0"/>
    <n v="0"/>
    <n v="0"/>
  </r>
  <r>
    <x v="29"/>
    <n v="0"/>
    <n v="0"/>
    <n v="0"/>
    <n v="0"/>
    <n v="0"/>
    <n v="0"/>
    <n v="0"/>
    <n v="0"/>
    <n v="0"/>
    <n v="0"/>
    <n v="0"/>
    <n v="0"/>
    <n v="0"/>
  </r>
  <r>
    <x v="30"/>
    <n v="0"/>
    <n v="0"/>
    <n v="0"/>
    <n v="0"/>
    <n v="0"/>
    <n v="0"/>
    <n v="0"/>
    <n v="0"/>
    <n v="0"/>
    <n v="0"/>
    <n v="0"/>
    <n v="0"/>
    <n v="0"/>
  </r>
  <r>
    <x v="31"/>
    <n v="0"/>
    <n v="0"/>
    <n v="0"/>
    <n v="0"/>
    <n v="0"/>
    <n v="0"/>
    <n v="0"/>
    <n v="0"/>
    <n v="0"/>
    <n v="0"/>
    <n v="0"/>
    <n v="0"/>
    <n v="0"/>
  </r>
  <r>
    <x v="32"/>
    <n v="0"/>
    <n v="0"/>
    <n v="0"/>
    <n v="0"/>
    <n v="0"/>
    <n v="0"/>
    <n v="0"/>
    <n v="0"/>
    <n v="0"/>
    <n v="0"/>
    <n v="0"/>
    <n v="0"/>
    <n v="0"/>
  </r>
  <r>
    <x v="33"/>
    <n v="0"/>
    <n v="0"/>
    <n v="0"/>
    <n v="0"/>
    <n v="0"/>
    <n v="0"/>
    <n v="0"/>
    <n v="0"/>
    <n v="0"/>
    <n v="0"/>
    <n v="0"/>
    <n v="0"/>
    <n v="0"/>
  </r>
  <r>
    <x v="34"/>
    <n v="0"/>
    <n v="0"/>
    <n v="0"/>
    <n v="0"/>
    <n v="0"/>
    <n v="0"/>
    <n v="0"/>
    <n v="0"/>
    <n v="0"/>
    <n v="0"/>
    <n v="0"/>
    <n v="0"/>
    <n v="0"/>
  </r>
  <r>
    <x v="35"/>
    <n v="0"/>
    <n v="0"/>
    <n v="0"/>
    <n v="0"/>
    <n v="0"/>
    <n v="0"/>
    <n v="0"/>
    <n v="0"/>
    <n v="0"/>
    <n v="0"/>
    <n v="0"/>
    <n v="0"/>
    <n v="0"/>
  </r>
  <r>
    <x v="36"/>
    <n v="0"/>
    <n v="0"/>
    <n v="0"/>
    <n v="0"/>
    <n v="0"/>
    <n v="0"/>
    <n v="0"/>
    <n v="0"/>
    <n v="0"/>
    <n v="0"/>
    <n v="0"/>
    <n v="0"/>
    <n v="0"/>
  </r>
  <r>
    <x v="37"/>
    <n v="0"/>
    <n v="0"/>
    <n v="0"/>
    <n v="0"/>
    <n v="0"/>
    <n v="0"/>
    <n v="0"/>
    <n v="0"/>
    <n v="0"/>
    <n v="0"/>
    <n v="0"/>
    <n v="0"/>
    <n v="0"/>
  </r>
  <r>
    <x v="38"/>
    <n v="0"/>
    <n v="0"/>
    <n v="0"/>
    <n v="0"/>
    <n v="0"/>
    <n v="0"/>
    <n v="0"/>
    <n v="0"/>
    <n v="0"/>
    <n v="0"/>
    <n v="0"/>
    <n v="0"/>
    <n v="0"/>
  </r>
  <r>
    <x v="39"/>
    <n v="0"/>
    <n v="0"/>
    <n v="0"/>
    <n v="0"/>
    <n v="0"/>
    <n v="0"/>
    <n v="0"/>
    <n v="0"/>
    <n v="0"/>
    <n v="0"/>
    <n v="0"/>
    <n v="0"/>
    <n v="0"/>
  </r>
  <r>
    <x v="40"/>
    <n v="0"/>
    <n v="0"/>
    <n v="0"/>
    <n v="0"/>
    <n v="0"/>
    <n v="0"/>
    <n v="0"/>
    <n v="0"/>
    <n v="0"/>
    <n v="0"/>
    <n v="0"/>
    <n v="0"/>
    <n v="0"/>
  </r>
  <r>
    <x v="41"/>
    <n v="0"/>
    <n v="0"/>
    <n v="0"/>
    <n v="0"/>
    <n v="0"/>
    <n v="0"/>
    <n v="0"/>
    <n v="0"/>
    <n v="0"/>
    <n v="0"/>
    <n v="0"/>
    <n v="0"/>
    <n v="0"/>
  </r>
  <r>
    <x v="42"/>
    <n v="0"/>
    <n v="0"/>
    <n v="0"/>
    <n v="0"/>
    <n v="0"/>
    <n v="0"/>
    <n v="0"/>
    <n v="0"/>
    <n v="0"/>
    <n v="0"/>
    <n v="0"/>
    <n v="0"/>
    <n v="0"/>
  </r>
  <r>
    <x v="43"/>
    <n v="0"/>
    <n v="0"/>
    <n v="0"/>
    <n v="0"/>
    <n v="0"/>
    <n v="0"/>
    <n v="0"/>
    <n v="0"/>
    <n v="0"/>
    <n v="0"/>
    <n v="0"/>
    <n v="0"/>
    <n v="0"/>
  </r>
  <r>
    <x v="44"/>
    <n v="0"/>
    <n v="0"/>
    <n v="0"/>
    <n v="0"/>
    <n v="0"/>
    <n v="0"/>
    <n v="0"/>
    <n v="0"/>
    <n v="0"/>
    <n v="0"/>
    <n v="0"/>
    <n v="0"/>
    <n v="0"/>
  </r>
  <r>
    <x v="45"/>
    <n v="0"/>
    <n v="0"/>
    <n v="0"/>
    <n v="0"/>
    <n v="0"/>
    <n v="0"/>
    <n v="0"/>
    <n v="0"/>
    <n v="0"/>
    <n v="0"/>
    <n v="0"/>
    <n v="0"/>
    <n v="0"/>
  </r>
  <r>
    <x v="46"/>
    <n v="0"/>
    <n v="0"/>
    <n v="0"/>
    <n v="0"/>
    <n v="0"/>
    <n v="0"/>
    <n v="0"/>
    <n v="0"/>
    <n v="0"/>
    <n v="0"/>
    <n v="0"/>
    <n v="0"/>
    <n v="0"/>
  </r>
  <r>
    <x v="47"/>
    <n v="0"/>
    <n v="0"/>
    <n v="0"/>
    <n v="0"/>
    <n v="0"/>
    <n v="0"/>
    <n v="0"/>
    <n v="0"/>
    <n v="0"/>
    <n v="0"/>
    <n v="0"/>
    <n v="0"/>
    <n v="0"/>
  </r>
  <r>
    <x v="48"/>
    <n v="0"/>
    <n v="0"/>
    <n v="0"/>
    <n v="0"/>
    <n v="0"/>
    <n v="0"/>
    <n v="0"/>
    <n v="0"/>
    <n v="0"/>
    <n v="0"/>
    <n v="0"/>
    <n v="0"/>
    <n v="0"/>
  </r>
  <r>
    <x v="49"/>
    <n v="0"/>
    <n v="0"/>
    <n v="0"/>
    <n v="0"/>
    <n v="0"/>
    <n v="0"/>
    <n v="0"/>
    <n v="0"/>
    <n v="0"/>
    <n v="0"/>
    <n v="0"/>
    <n v="0"/>
    <n v="0"/>
  </r>
  <r>
    <x v="50"/>
    <n v="0"/>
    <n v="0"/>
    <n v="0"/>
    <n v="0"/>
    <n v="0"/>
    <n v="0"/>
    <n v="0"/>
    <n v="0"/>
    <n v="0"/>
    <n v="0"/>
    <n v="0"/>
    <n v="0"/>
    <n v="0"/>
  </r>
  <r>
    <x v="51"/>
    <n v="0"/>
    <n v="0"/>
    <n v="0"/>
    <n v="0"/>
    <n v="0"/>
    <n v="0"/>
    <n v="0"/>
    <n v="0"/>
    <n v="0"/>
    <n v="0"/>
    <n v="0"/>
    <n v="0"/>
    <n v="0"/>
  </r>
  <r>
    <x v="52"/>
    <n v="0"/>
    <n v="0"/>
    <n v="0"/>
    <n v="0"/>
    <n v="0"/>
    <n v="0"/>
    <n v="0"/>
    <n v="0"/>
    <n v="0"/>
    <n v="0"/>
    <n v="0"/>
    <n v="0"/>
    <n v="0"/>
  </r>
  <r>
    <x v="53"/>
    <n v="0"/>
    <n v="0"/>
    <n v="0"/>
    <n v="0"/>
    <n v="0"/>
    <n v="0"/>
    <n v="0"/>
    <n v="0"/>
    <n v="0"/>
    <n v="0"/>
    <n v="0"/>
    <n v="0"/>
    <n v="0"/>
  </r>
  <r>
    <x v="54"/>
    <n v="0"/>
    <n v="0"/>
    <n v="0"/>
    <n v="0"/>
    <n v="0"/>
    <n v="0"/>
    <n v="0"/>
    <n v="0"/>
    <n v="0"/>
    <n v="0"/>
    <n v="0"/>
    <n v="0"/>
    <n v="0"/>
  </r>
  <r>
    <x v="55"/>
    <n v="0"/>
    <n v="0"/>
    <n v="0"/>
    <n v="0"/>
    <n v="0"/>
    <n v="0"/>
    <n v="0"/>
    <n v="0"/>
    <n v="0"/>
    <n v="0"/>
    <n v="0"/>
    <n v="0"/>
    <n v="0"/>
  </r>
  <r>
    <x v="56"/>
    <n v="0"/>
    <n v="0"/>
    <n v="0"/>
    <n v="0"/>
    <n v="0"/>
    <n v="0"/>
    <n v="0"/>
    <n v="0"/>
    <n v="0"/>
    <n v="0"/>
    <n v="0"/>
    <n v="0"/>
    <n v="0"/>
  </r>
  <r>
    <x v="57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2:B121" firstHeaderRow="1" firstDataRow="1" firstDataCol="1"/>
  <pivotFields count="14">
    <pivotField axis="axisRow" showAll="0" sortType="ascending">
      <items count="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t="default"/>
      </items>
    </pivotField>
    <pivotField dataField="1"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</pivotFields>
  <rowFields count="1">
    <field x="0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Somme de JANVIER" fld="1" baseField="0" baseItem="0"/>
  </dataFields>
  <formats count="1">
    <format dxfId="38">
      <pivotArea outline="0" collapsedLevelsAreSubtotals="1" fieldPosition="0"/>
    </format>
  </formats>
  <chartFormats count="1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J60" totalsRowShown="0" headerRowDxfId="446" dataDxfId="445">
  <autoFilter ref="A2:J60"/>
  <sortState ref="A3:J60">
    <sortCondition ref="A3"/>
  </sortState>
  <tableColumns count="10">
    <tableColumn id="1" name="DATE" dataDxfId="444"/>
    <tableColumn id="2" name="DÉBIT" dataDxfId="443"/>
    <tableColumn id="3" name="CRÉDIT" dataDxfId="442"/>
    <tableColumn id="10" name="COMPTES" dataDxfId="441"/>
    <tableColumn id="8" name="MOYENS PAIEMENT" dataDxfId="440"/>
    <tableColumn id="9" name="N° CHÈQUE" dataDxfId="439"/>
    <tableColumn id="4" name="LIBÉLLÉS" dataDxfId="438"/>
    <tableColumn id="5" name="CATÉGORIES" dataDxfId="437"/>
    <tableColumn id="6" name="S/CATÉGORIES" dataDxfId="436"/>
    <tableColumn id="7" name="POINTÉS" dataDxfId="43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J60" totalsRowShown="0" headerRowDxfId="410" dataDxfId="409">
  <autoFilter ref="A2:J60"/>
  <tableColumns count="10">
    <tableColumn id="1" name="DATE" dataDxfId="408"/>
    <tableColumn id="2" name="DÉBIT" dataDxfId="407"/>
    <tableColumn id="3" name="CRÉDIT" dataDxfId="406"/>
    <tableColumn id="10" name="COMPTES" dataDxfId="405"/>
    <tableColumn id="8" name="MOYENS PAIEMENT" dataDxfId="404"/>
    <tableColumn id="9" name="N° CHÈQUE" dataDxfId="403"/>
    <tableColumn id="4" name="LIBÉLLÉS" dataDxfId="402"/>
    <tableColumn id="5" name="CATÉGORIES" dataDxfId="401"/>
    <tableColumn id="6" name="S/CATÉGORIES" dataDxfId="400"/>
    <tableColumn id="7" name="POINTÉS" dataDxfId="39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J60" totalsRowShown="0" headerRowDxfId="374" dataDxfId="373">
  <autoFilter ref="A2:J60"/>
  <tableColumns count="10">
    <tableColumn id="1" name="DATE" dataDxfId="372"/>
    <tableColumn id="2" name="DÉBIT" dataDxfId="371"/>
    <tableColumn id="3" name="CRÉDIT" dataDxfId="370"/>
    <tableColumn id="10" name="COMPTES" dataDxfId="369"/>
    <tableColumn id="8" name="MOYENS PAIEMENT" dataDxfId="368"/>
    <tableColumn id="9" name="N° CHÈQUE" dataDxfId="367"/>
    <tableColumn id="4" name="LIBÉLLÉS" dataDxfId="366"/>
    <tableColumn id="5" name="CATÉGORIES" dataDxfId="365"/>
    <tableColumn id="6" name="S/CATÉGORIES" dataDxfId="364"/>
    <tableColumn id="7" name="POINTÉS" dataDxfId="36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2:J60" totalsRowShown="0" headerRowDxfId="338" dataDxfId="337">
  <autoFilter ref="A2:J60"/>
  <tableColumns count="10">
    <tableColumn id="1" name="DATE" dataDxfId="336"/>
    <tableColumn id="2" name="DÉBIT" dataDxfId="335"/>
    <tableColumn id="3" name="CRÉDIT" dataDxfId="334"/>
    <tableColumn id="10" name="COMPTES" dataDxfId="333"/>
    <tableColumn id="8" name="MOYENS PAIEMENT" dataDxfId="332"/>
    <tableColumn id="9" name="N° CHÈQUE" dataDxfId="331"/>
    <tableColumn id="4" name="LIBÉLLÉS" dataDxfId="330"/>
    <tableColumn id="5" name="CATÉGORIES" dataDxfId="329"/>
    <tableColumn id="6" name="S/CATÉGORIES" dataDxfId="328"/>
    <tableColumn id="7" name="POINTÉS" dataDxfId="327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2:J60" totalsRowShown="0" headerRowDxfId="302" dataDxfId="301">
  <autoFilter ref="A2:J60"/>
  <tableColumns count="10">
    <tableColumn id="1" name="DATE" dataDxfId="300"/>
    <tableColumn id="2" name="DÉBIT" dataDxfId="299"/>
    <tableColumn id="3" name="CRÉDIT" dataDxfId="298"/>
    <tableColumn id="10" name="COMPTES" dataDxfId="297"/>
    <tableColumn id="8" name="MOYENS PAIEMENT" dataDxfId="296"/>
    <tableColumn id="9" name="N° CHÈQUE" dataDxfId="295"/>
    <tableColumn id="4" name="LIBÉLLÉS" dataDxfId="294"/>
    <tableColumn id="5" name="CATÉGORIES" dataDxfId="293"/>
    <tableColumn id="6" name="S/CATÉGORIES" dataDxfId="292"/>
    <tableColumn id="7" name="POINTÉS" dataDxfId="29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2:J60" totalsRowShown="0" headerRowDxfId="266" dataDxfId="265">
  <autoFilter ref="A2:J60"/>
  <tableColumns count="10">
    <tableColumn id="1" name="DATE" dataDxfId="264"/>
    <tableColumn id="2" name="DÉBIT" dataDxfId="263"/>
    <tableColumn id="3" name="CRÉDIT" dataDxfId="262"/>
    <tableColumn id="10" name="COMPTES" dataDxfId="261"/>
    <tableColumn id="8" name="MOYENS PAIEMENT" dataDxfId="260"/>
    <tableColumn id="9" name="N° CHÈQUE" dataDxfId="259"/>
    <tableColumn id="4" name="LIBÉLLÉS" dataDxfId="258"/>
    <tableColumn id="5" name="CATÉGORIES" dataDxfId="257"/>
    <tableColumn id="6" name="S/CATÉGORIES" dataDxfId="256"/>
    <tableColumn id="7" name="POINTÉS" dataDxfId="255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2:J60" totalsRowShown="0" headerRowDxfId="230" dataDxfId="229">
  <autoFilter ref="A2:J60"/>
  <tableColumns count="10">
    <tableColumn id="1" name="DATE" dataDxfId="228"/>
    <tableColumn id="2" name="DÉBIT" dataDxfId="227"/>
    <tableColumn id="3" name="CRÉDIT" dataDxfId="226"/>
    <tableColumn id="10" name="COMPTES" dataDxfId="225"/>
    <tableColumn id="8" name="MOYENS PAIEMENT" dataDxfId="224"/>
    <tableColumn id="9" name="N° CHÈQUE" dataDxfId="223"/>
    <tableColumn id="4" name="LIBÉLLÉS" dataDxfId="222"/>
    <tableColumn id="5" name="CATÉGORIES" dataDxfId="221"/>
    <tableColumn id="6" name="S/CATÉGORIES" dataDxfId="220"/>
    <tableColumn id="7" name="POINTÉS" dataDxfId="219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2:J60" totalsRowShown="0" headerRowDxfId="194" dataDxfId="193">
  <autoFilter ref="A2:J60"/>
  <tableColumns count="10">
    <tableColumn id="1" name="DATE" dataDxfId="192"/>
    <tableColumn id="2" name="DÉBIT" dataDxfId="191"/>
    <tableColumn id="3" name="CRÉDIT" dataDxfId="190"/>
    <tableColumn id="10" name="COMPTES" dataDxfId="189"/>
    <tableColumn id="8" name="MOYENS PAIEMENT" dataDxfId="188"/>
    <tableColumn id="9" name="N° CHÈQUE" dataDxfId="187"/>
    <tableColumn id="4" name="LIBÉLLÉS" dataDxfId="186"/>
    <tableColumn id="5" name="CATÉGORIES" dataDxfId="185"/>
    <tableColumn id="6" name="S/CATÉGORIES" dataDxfId="184"/>
    <tableColumn id="7" name="POINTÉS" dataDxfId="18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2:J60" totalsRowShown="0" headerRowDxfId="158" dataDxfId="157">
  <autoFilter ref="A2:J60"/>
  <tableColumns count="10">
    <tableColumn id="1" name="DATE" dataDxfId="156"/>
    <tableColumn id="2" name="DÉBIT" dataDxfId="155"/>
    <tableColumn id="3" name="CRÉDIT" dataDxfId="154"/>
    <tableColumn id="10" name="COMPTES" dataDxfId="153"/>
    <tableColumn id="8" name="MOYENS PAIEMENT" dataDxfId="152"/>
    <tableColumn id="9" name="N° CHÈQUE" dataDxfId="151"/>
    <tableColumn id="4" name="LIBÉLLÉS" dataDxfId="150"/>
    <tableColumn id="5" name="CATÉGORIES" dataDxfId="149"/>
    <tableColumn id="6" name="S/CATÉGORIES" dataDxfId="148"/>
    <tableColumn id="7" name="POINTÉS" dataDxfId="147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2:J60" totalsRowShown="0" headerRowDxfId="122" dataDxfId="121">
  <autoFilter ref="A2:J60"/>
  <tableColumns count="10">
    <tableColumn id="1" name="DATE" dataDxfId="120"/>
    <tableColumn id="2" name="DÉBIT" dataDxfId="119"/>
    <tableColumn id="3" name="CRÉDIT" dataDxfId="118"/>
    <tableColumn id="10" name="COMPTES" dataDxfId="117"/>
    <tableColumn id="8" name="MOYENS PAIEMENT" dataDxfId="116"/>
    <tableColumn id="9" name="N° CHÈQUE" dataDxfId="115"/>
    <tableColumn id="4" name="LIBÉLLÉS" dataDxfId="114"/>
    <tableColumn id="5" name="CATÉGORIES" dataDxfId="113"/>
    <tableColumn id="6" name="S/CATÉGORIES" dataDxfId="112"/>
    <tableColumn id="7" name="POINTÉS" dataDxfId="111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id="11" name="Tableau13456789101112" displayName="Tableau13456789101112" ref="A2:J60" totalsRowShown="0" headerRowDxfId="86" dataDxfId="85">
  <autoFilter ref="A2:J60"/>
  <tableColumns count="10">
    <tableColumn id="1" name="DATE" dataDxfId="84"/>
    <tableColumn id="2" name="DÉBIT" dataDxfId="83"/>
    <tableColumn id="3" name="CRÉDIT" dataDxfId="82"/>
    <tableColumn id="10" name="COMPTES" dataDxfId="81"/>
    <tableColumn id="8" name="MOYENS PAIEMENT" dataDxfId="80"/>
    <tableColumn id="9" name="N° CHÈQUE" dataDxfId="79"/>
    <tableColumn id="4" name="LIBÉLLÉS" dataDxfId="78"/>
    <tableColumn id="5" name="CATÉGORIES" dataDxfId="77"/>
    <tableColumn id="6" name="S/CATÉGORIES" dataDxfId="76"/>
    <tableColumn id="7" name="POINTÉS" dataDxfId="75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id="12" name="Tableau1345678910111213" displayName="Tableau1345678910111213" ref="A2:J60" totalsRowShown="0" headerRowDxfId="50" dataDxfId="49">
  <autoFilter ref="A2:J60"/>
  <tableColumns count="10">
    <tableColumn id="1" name="DATE" dataDxfId="48"/>
    <tableColumn id="2" name="DÉBIT" dataDxfId="47"/>
    <tableColumn id="3" name="CRÉDIT" dataDxfId="46"/>
    <tableColumn id="10" name="COMPTES" dataDxfId="45"/>
    <tableColumn id="8" name="MOYENS PAIEMENT" dataDxfId="44"/>
    <tableColumn id="9" name="N° CHÈQUE" dataDxfId="43"/>
    <tableColumn id="4" name="LIBÉLLÉS" dataDxfId="42"/>
    <tableColumn id="5" name="CATÉGORIES" dataDxfId="41"/>
    <tableColumn id="6" name="S/CATÉGORIES" dataDxfId="40"/>
    <tableColumn id="7" name="POINTÉS" dataDxfId="39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id="13" name="Tableau14" displayName="Tableau14" ref="A1:N60" totalsRowCount="1" headerRowDxfId="37" dataDxfId="35" headerRowBorderDxfId="36" tableBorderDxfId="34">
  <autoFilter ref="A1:N59"/>
  <sortState ref="A2:N59">
    <sortCondition ref="A2"/>
  </sortState>
  <tableColumns count="14">
    <tableColumn id="1" name="S/CATÉGORIE" dataDxfId="33" totalsRowDxfId="32"/>
    <tableColumn id="2" name="JANVIER" totalsRowFunction="sum" dataDxfId="31" totalsRowDxfId="30">
      <calculatedColumnFormula>SUMIF(Tableau1[S/CATÉGORIES],A2,Tableau1[DÉBIT])</calculatedColumnFormula>
    </tableColumn>
    <tableColumn id="3" name="FEVRIER" totalsRowFunction="sum" dataDxfId="29" totalsRowDxfId="28">
      <calculatedColumnFormula>SUMIF(Tableau13[S/CATÉGORIES],A2,Tableau13[DÉBIT])</calculatedColumnFormula>
    </tableColumn>
    <tableColumn id="4" name="MARS" totalsRowFunction="sum" dataDxfId="27" totalsRowDxfId="26">
      <calculatedColumnFormula>SUMIF(Tableau134[S/CATÉGORIES],A2,Tableau134[DÉBIT])</calculatedColumnFormula>
    </tableColumn>
    <tableColumn id="5" name="AVRIL" totalsRowFunction="sum" dataDxfId="25" totalsRowDxfId="24">
      <calculatedColumnFormula>SUMIF(Tableau1345[S/CATÉGORIES],A2,Tableau1345[DÉBIT])</calculatedColumnFormula>
    </tableColumn>
    <tableColumn id="6" name="MAI" totalsRowFunction="sum" dataDxfId="23" totalsRowDxfId="22">
      <calculatedColumnFormula>SUMIF(Tableau13456[S/CATÉGORIES],A2,Tableau13456[DÉBIT])</calculatedColumnFormula>
    </tableColumn>
    <tableColumn id="7" name="JUIN" totalsRowFunction="sum" dataDxfId="21" totalsRowDxfId="20">
      <calculatedColumnFormula>SUMIF(Tableau134567[S/CATÉGORIES],A2,Tableau134567[DÉBIT])</calculatedColumnFormula>
    </tableColumn>
    <tableColumn id="8" name="JUILLET" totalsRowFunction="sum" dataDxfId="19" totalsRowDxfId="18">
      <calculatedColumnFormula>SUMIF(Tableau1345678[S/CATÉGORIES],A2,Tableau1345678[DÉBIT])</calculatedColumnFormula>
    </tableColumn>
    <tableColumn id="9" name="AOÛT" totalsRowFunction="sum" dataDxfId="17" totalsRowDxfId="16">
      <calculatedColumnFormula>SUMIF(Tableau13456789[S/CATÉGORIES],A2,Tableau13456789[DÉBIT])</calculatedColumnFormula>
    </tableColumn>
    <tableColumn id="10" name="SEPTEMBRE" totalsRowFunction="sum" dataDxfId="15" totalsRowDxfId="14">
      <calculatedColumnFormula>SUMIF(Tableau1345678910[S/CATÉGORIES],A2,Tableau1345678910[DÉBIT])</calculatedColumnFormula>
    </tableColumn>
    <tableColumn id="11" name="OCTOBRE" totalsRowFunction="sum" dataDxfId="13" totalsRowDxfId="12">
      <calculatedColumnFormula>SUMIF(Tableau134567891011[S/CATÉGORIES],A2,Tableau134567891011[DÉBIT])</calculatedColumnFormula>
    </tableColumn>
    <tableColumn id="12" name="NOVEMBRE" totalsRowFunction="sum" dataDxfId="11" totalsRowDxfId="10">
      <calculatedColumnFormula>SUMIF(Tableau13456789101112[S/CATÉGORIES],A2,Tableau13456789101112[DÉBIT])</calculatedColumnFormula>
    </tableColumn>
    <tableColumn id="13" name="DÉCEMBRE" totalsRowFunction="sum" dataDxfId="9" totalsRowDxfId="8">
      <calculatedColumnFormula>SUMIF(Tableau1345678910111213[S/CATÉGORIES],A2,Tableau1345678910111213[DÉBIT])</calculatedColumnFormula>
    </tableColumn>
    <tableColumn id="14" name="TOTAUX" totalsRowFunction="sum" dataDxfId="7" totalsRowDxfId="6">
      <calculatedColumnFormula>SUM(Tableau14[[#This Row],[JANVIER]:[DÉCEMBRE]])</calculatedColumnFormula>
    </tableColumn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id="14" name="Tableau15" displayName="Tableau15" ref="A1:C13" totalsRowShown="0" headerRowDxfId="5" dataDxfId="4" tableBorderDxfId="3">
  <autoFilter ref="A1:C13"/>
  <tableColumns count="3">
    <tableColumn id="1" name="ANNÉE 2018" dataDxfId="2"/>
    <tableColumn id="2" name="SOLDE SOCIÉTÉ GÉNÉRALE" dataDxfId="1"/>
    <tableColumn id="3" name="SOLDE BNP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L7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1" width="11.42578125" style="16" customWidth="1"/>
    <col min="2" max="3" width="11.42578125" style="16"/>
    <col min="4" max="4" width="11.42578125" style="16" customWidth="1"/>
    <col min="5" max="5" width="11.42578125" style="16"/>
    <col min="6" max="6" width="17.7109375" style="16" customWidth="1"/>
    <col min="7" max="7" width="56.85546875" style="16" customWidth="1"/>
    <col min="8" max="8" width="11.7109375" style="16" customWidth="1"/>
    <col min="9" max="10" width="11.42578125" style="16"/>
    <col min="11" max="11" width="13.7109375" style="16" customWidth="1"/>
    <col min="12" max="12" width="9.5703125" style="16" customWidth="1"/>
    <col min="13" max="16384" width="11.42578125" style="16"/>
  </cols>
  <sheetData>
    <row r="4" spans="1:12" ht="68.25" x14ac:dyDescent="1.05">
      <c r="A4" s="23" t="s">
        <v>40</v>
      </c>
    </row>
    <row r="5" spans="1:12" ht="68.25" x14ac:dyDescent="1.05">
      <c r="A5" s="23" t="s">
        <v>42</v>
      </c>
    </row>
    <row r="6" spans="1:12" ht="68.25" x14ac:dyDescent="1.05">
      <c r="A6" s="23" t="s">
        <v>115</v>
      </c>
    </row>
    <row r="7" spans="1:12" ht="71.25" customHeight="1" x14ac:dyDescent="1.55">
      <c r="A7" s="23" t="s">
        <v>41</v>
      </c>
      <c r="G7" s="24">
        <f ca="1">TODAY()</f>
        <v>43421</v>
      </c>
      <c r="L7" s="2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(E1-(B64-C64))</f>
        <v>0</v>
      </c>
      <c r="E1" s="9"/>
      <c r="F1" s="14" t="s">
        <v>14</v>
      </c>
      <c r="G1" s="15">
        <f>H1-(E64-F64)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1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SUMIFS(Tableau1[DÉBIT],Tableau1[COMPTES],"SOCIÉTÉ GÉNÉRALE",Tableau1[POINTÉS],"ü")</f>
        <v>0</v>
      </c>
      <c r="C64" s="12">
        <f>SUMIFS(Tableau1[CRÉDIT],Tableau1[COMPTES],"SOCIÉTÉ GÉNÉRALE",Tableau1[POINTÉS],"ü")</f>
        <v>0</v>
      </c>
      <c r="D64" s="10" t="s">
        <v>44</v>
      </c>
      <c r="E64" s="11">
        <f>SUMIFS(Tableau1[DÉBIT],Tableau1[COMPTES],"BNP PARIBAS",Tableau1[POINTÉS],"ü")</f>
        <v>0</v>
      </c>
      <c r="F64" s="12">
        <f>SUMIFS(Tableau1[CRÉDIT],Tableau1[COMPTES],"BNP PARIBAS",Tableau1[POINTÉS],"ü")</f>
        <v>0</v>
      </c>
    </row>
    <row r="65" spans="1:6" x14ac:dyDescent="0.25">
      <c r="A65" s="10" t="s">
        <v>39</v>
      </c>
      <c r="B65" s="11">
        <f>SUMIFS(Tableau1[DÉBIT],Tableau1[COMPTES],"SOCIÉTÉ GÉNÉRALE",Tableau1[POINTÉS],"")</f>
        <v>0</v>
      </c>
      <c r="C65" s="12">
        <f>SUMIFS(Tableau1[CRÉDIT],Tableau1[COMPTES],"SOCIÉTÉ GÉNÉRALE",Tableau1[POINTÉS],"")</f>
        <v>0</v>
      </c>
      <c r="D65" s="10" t="s">
        <v>39</v>
      </c>
      <c r="E65" s="11">
        <f>SUMIFS(Tableau1[DÉBIT],Tableau1[COMPTES],"BNP PARIBAS",Tableau1[POINTÉS],"")</f>
        <v>0</v>
      </c>
      <c r="F65" s="12">
        <f>SUMIFS(Tableau1[CRÉDIT],Tableau1[COMPTES],"BNP PARIBAS",Tableau1[POINTÉS],"")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(JANVIER!$D$1-(B64)+(C64))</f>
        <v>0</v>
      </c>
      <c r="E1" s="9"/>
      <c r="F1" s="14" t="s">
        <v>14</v>
      </c>
      <c r="G1" s="15">
        <f>(JANVIER!$G$1-(E64)+(F64))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SUMIFS(Tableau13[DÉBIT],Tableau13[COMPTES],"SOCIÉTÉ GÉNÉRALE",Tableau13[POINTÉS],"ü")</f>
        <v>0</v>
      </c>
      <c r="C64" s="12">
        <f>SUMIFS(Tableau13[CRÉDIT],Tableau13[COMPTES],"SOCIÉTÉ GÉNÉRALE",Tableau13[POINTÉS],"ü")</f>
        <v>0</v>
      </c>
      <c r="D64" s="10" t="s">
        <v>44</v>
      </c>
      <c r="E64" s="11">
        <f>SUMIFS(Tableau13[DÉBIT],Tableau13[COMPTES],"BNP PARIBAS",Tableau13[POINTÉS],"ü")</f>
        <v>0</v>
      </c>
      <c r="F64" s="12">
        <f>SUMIFS(Tableau13[CRÉDIT],Tableau13[COMPTES],"BNP PARIBAS",Tableau13[POINTÉS],"ü")</f>
        <v>0</v>
      </c>
    </row>
    <row r="65" spans="1:6" x14ac:dyDescent="0.25">
      <c r="A65" s="10" t="s">
        <v>39</v>
      </c>
      <c r="B65" s="11">
        <f>SUMIFS(Tableau13[DÉBIT],Tableau13[COMPTES],"SOCIÉTÉ GÉNÉRALE",Tableau13[POINTÉS],"")</f>
        <v>0</v>
      </c>
      <c r="C65" s="12">
        <f>SUMIFS(Tableau13[CRÉDIT],Tableau13[COMPTES],"SOCIÉTÉ GÉNÉRALE",Tableau13[POINTÉS],"")</f>
        <v>0</v>
      </c>
      <c r="D65" s="10" t="s">
        <v>39</v>
      </c>
      <c r="E65" s="11">
        <f>SUMIFS(Tableau13[DÉBIT],Tableau13[COMPTES],"BNP PARIBAS",Tableau13[POINTÉS],"")</f>
        <v>0</v>
      </c>
      <c r="F65" s="12">
        <f>SUMIFS(Tableau13[CRÉDIT],Tableau13[COMPTES],"BNP PARIBAS",Tableau13[POINTÉS],"")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434" priority="23" operator="equal">
      <formula>FALSE</formula>
    </cfRule>
    <cfRule type="cellIs" dxfId="433" priority="24" operator="equal">
      <formula>TRUE</formula>
    </cfRule>
  </conditionalFormatting>
  <conditionalFormatting sqref="J4">
    <cfRule type="cellIs" dxfId="432" priority="21" operator="equal">
      <formula>FALSE</formula>
    </cfRule>
    <cfRule type="cellIs" dxfId="431" priority="22" operator="equal">
      <formula>TRUE</formula>
    </cfRule>
  </conditionalFormatting>
  <conditionalFormatting sqref="J5">
    <cfRule type="cellIs" dxfId="430" priority="19" operator="equal">
      <formula>FALSE</formula>
    </cfRule>
    <cfRule type="cellIs" dxfId="429" priority="20" operator="equal">
      <formula>TRUE</formula>
    </cfRule>
  </conditionalFormatting>
  <conditionalFormatting sqref="J6">
    <cfRule type="cellIs" dxfId="428" priority="17" operator="equal">
      <formula>FALSE</formula>
    </cfRule>
    <cfRule type="cellIs" dxfId="427" priority="18" operator="equal">
      <formula>TRUE</formula>
    </cfRule>
  </conditionalFormatting>
  <conditionalFormatting sqref="J7">
    <cfRule type="cellIs" dxfId="426" priority="15" operator="equal">
      <formula>FALSE</formula>
    </cfRule>
    <cfRule type="cellIs" dxfId="425" priority="16" operator="equal">
      <formula>TRUE</formula>
    </cfRule>
  </conditionalFormatting>
  <conditionalFormatting sqref="J8 J10">
    <cfRule type="cellIs" dxfId="424" priority="13" operator="equal">
      <formula>FALSE</formula>
    </cfRule>
    <cfRule type="cellIs" dxfId="423" priority="14" operator="equal">
      <formula>TRUE</formula>
    </cfRule>
  </conditionalFormatting>
  <conditionalFormatting sqref="J9 J11 J13 J15 J17 J19 J21 J23 J25 J27">
    <cfRule type="cellIs" dxfId="422" priority="11" operator="equal">
      <formula>FALSE</formula>
    </cfRule>
    <cfRule type="cellIs" dxfId="421" priority="12" operator="equal">
      <formula>TRUE</formula>
    </cfRule>
  </conditionalFormatting>
  <conditionalFormatting sqref="J12 J14 J16 J18 J20 J22 J24 J26 J28">
    <cfRule type="cellIs" dxfId="420" priority="9" operator="equal">
      <formula>FALSE</formula>
    </cfRule>
    <cfRule type="cellIs" dxfId="419" priority="10" operator="equal">
      <formula>TRUE</formula>
    </cfRule>
  </conditionalFormatting>
  <conditionalFormatting sqref="J29">
    <cfRule type="cellIs" dxfId="418" priority="7" operator="equal">
      <formula>FALSE</formula>
    </cfRule>
    <cfRule type="cellIs" dxfId="417" priority="8" operator="equal">
      <formula>TRUE</formula>
    </cfRule>
  </conditionalFormatting>
  <conditionalFormatting sqref="J30">
    <cfRule type="cellIs" dxfId="416" priority="5" operator="equal">
      <formula>FALSE</formula>
    </cfRule>
    <cfRule type="cellIs" dxfId="415" priority="6" operator="equal">
      <formula>TRUE</formula>
    </cfRule>
  </conditionalFormatting>
  <conditionalFormatting sqref="J31 J33 J35 J37 J39 J41 J43 J45 J47 J49 J51 J53 J55 J57 J59">
    <cfRule type="cellIs" dxfId="414" priority="3" operator="equal">
      <formula>FALSE</formula>
    </cfRule>
    <cfRule type="cellIs" dxfId="413" priority="4" operator="equal">
      <formula>TRUE</formula>
    </cfRule>
  </conditionalFormatting>
  <conditionalFormatting sqref="J32 J34 J36 J38 J40 J42 J44 J46 J48 J50 J52 J54 J56 J58 J60">
    <cfRule type="cellIs" dxfId="412" priority="1" operator="equal">
      <formula>FALSE</formula>
    </cfRule>
    <cfRule type="cellIs" dxfId="41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(FÉVRIER!$D$1-(B64)+(C64))</f>
        <v>0</v>
      </c>
      <c r="E1" s="9"/>
      <c r="F1" s="14" t="s">
        <v>14</v>
      </c>
      <c r="G1" s="15">
        <f>(FÉVRIER!$G$1-(E64)+(F64))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SUMIFS(Tableau134[DÉBIT],Tableau134[COMPTES],"SOCIÉTÉ GÉNÉRALE",Tableau134[POINTÉS],"ü")</f>
        <v>0</v>
      </c>
      <c r="C64" s="12">
        <f>SUMIFS(Tableau134[CRÉDIT],Tableau134[COMPTES],"SOCIÉTÉ GÉNÉRALE",Tableau134[POINTÉS],"ü")</f>
        <v>0</v>
      </c>
      <c r="D64" s="10" t="s">
        <v>44</v>
      </c>
      <c r="E64" s="11">
        <f>SUMIFS(Tableau134[DÉBIT],Tableau134[COMPTES],"BNP PARIBAS",Tableau134[POINTÉS],"ü")</f>
        <v>0</v>
      </c>
      <c r="F64" s="12">
        <f>SUMIFS(Tableau134[CRÉDIT],Tableau134[COMPTES],"BNP PARIBAS",Tableau134[POINTÉS],"ü")</f>
        <v>0</v>
      </c>
    </row>
    <row r="65" spans="1:6" x14ac:dyDescent="0.25">
      <c r="A65" s="10" t="s">
        <v>39</v>
      </c>
      <c r="B65" s="11">
        <f>SUMIFS(Tableau134[DÉBIT],Tableau134[COMPTES],"SOCIÉTÉ GÉNÉRALE",Tableau134[POINTÉS],"")</f>
        <v>0</v>
      </c>
      <c r="C65" s="12">
        <f>SUMIFS(Tableau134[CRÉDIT],Tableau134[COMPTES],"SOCIÉTÉ GÉNÉRALE",Tableau134[POINTÉS],"")</f>
        <v>0</v>
      </c>
      <c r="D65" s="10" t="s">
        <v>39</v>
      </c>
      <c r="E65" s="11">
        <f>SUMIFS(Tableau134[DÉBIT],Tableau134[COMPTES],"BNP PARIBAS",Tableau134[POINTÉS],"")</f>
        <v>0</v>
      </c>
      <c r="F65" s="12">
        <f>SUMIFS(Tableau134[CRÉDIT],Tableau134[COMPTES],"BNP PARIBAS",Tableau134[POINTÉS],"")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98" priority="23" operator="equal">
      <formula>FALSE</formula>
    </cfRule>
    <cfRule type="cellIs" dxfId="397" priority="24" operator="equal">
      <formula>TRUE</formula>
    </cfRule>
  </conditionalFormatting>
  <conditionalFormatting sqref="J4">
    <cfRule type="cellIs" dxfId="396" priority="21" operator="equal">
      <formula>FALSE</formula>
    </cfRule>
    <cfRule type="cellIs" dxfId="395" priority="22" operator="equal">
      <formula>TRUE</formula>
    </cfRule>
  </conditionalFormatting>
  <conditionalFormatting sqref="J5">
    <cfRule type="cellIs" dxfId="394" priority="19" operator="equal">
      <formula>FALSE</formula>
    </cfRule>
    <cfRule type="cellIs" dxfId="393" priority="20" operator="equal">
      <formula>TRUE</formula>
    </cfRule>
  </conditionalFormatting>
  <conditionalFormatting sqref="J6">
    <cfRule type="cellIs" dxfId="392" priority="17" operator="equal">
      <formula>FALSE</formula>
    </cfRule>
    <cfRule type="cellIs" dxfId="391" priority="18" operator="equal">
      <formula>TRUE</formula>
    </cfRule>
  </conditionalFormatting>
  <conditionalFormatting sqref="J7">
    <cfRule type="cellIs" dxfId="390" priority="15" operator="equal">
      <formula>FALSE</formula>
    </cfRule>
    <cfRule type="cellIs" dxfId="389" priority="16" operator="equal">
      <formula>TRUE</formula>
    </cfRule>
  </conditionalFormatting>
  <conditionalFormatting sqref="J8 J10">
    <cfRule type="cellIs" dxfId="388" priority="13" operator="equal">
      <formula>FALSE</formula>
    </cfRule>
    <cfRule type="cellIs" dxfId="387" priority="14" operator="equal">
      <formula>TRUE</formula>
    </cfRule>
  </conditionalFormatting>
  <conditionalFormatting sqref="J9 J11 J13 J15 J17 J19 J21 J23 J25 J27">
    <cfRule type="cellIs" dxfId="386" priority="11" operator="equal">
      <formula>FALSE</formula>
    </cfRule>
    <cfRule type="cellIs" dxfId="385" priority="12" operator="equal">
      <formula>TRUE</formula>
    </cfRule>
  </conditionalFormatting>
  <conditionalFormatting sqref="J12 J14 J16 J18 J20 J22 J24 J26 J28">
    <cfRule type="cellIs" dxfId="384" priority="9" operator="equal">
      <formula>FALSE</formula>
    </cfRule>
    <cfRule type="cellIs" dxfId="383" priority="10" operator="equal">
      <formula>TRUE</formula>
    </cfRule>
  </conditionalFormatting>
  <conditionalFormatting sqref="J29">
    <cfRule type="cellIs" dxfId="382" priority="7" operator="equal">
      <formula>FALSE</formula>
    </cfRule>
    <cfRule type="cellIs" dxfId="381" priority="8" operator="equal">
      <formula>TRUE</formula>
    </cfRule>
  </conditionalFormatting>
  <conditionalFormatting sqref="J30">
    <cfRule type="cellIs" dxfId="380" priority="5" operator="equal">
      <formula>FALSE</formula>
    </cfRule>
    <cfRule type="cellIs" dxfId="379" priority="6" operator="equal">
      <formula>TRUE</formula>
    </cfRule>
  </conditionalFormatting>
  <conditionalFormatting sqref="J31 J33 J35 J37 J39 J41 J43 J45 J47 J49 J51 J53 J55 J57 J59">
    <cfRule type="cellIs" dxfId="378" priority="3" operator="equal">
      <formula>FALSE</formula>
    </cfRule>
    <cfRule type="cellIs" dxfId="377" priority="4" operator="equal">
      <formula>TRUE</formula>
    </cfRule>
  </conditionalFormatting>
  <conditionalFormatting sqref="J32 J34 J36 J38 J40 J42 J44 J46 J48 J50 J52 J54 J56 J58 J60">
    <cfRule type="cellIs" dxfId="376" priority="1" operator="equal">
      <formula>FALSE</formula>
    </cfRule>
    <cfRule type="cellIs" dxfId="375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8"/>
  <sheetViews>
    <sheetView showGridLines="0" zoomScaleNormal="10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(MARS!$D$1-(B64)+(C64))</f>
        <v>0</v>
      </c>
      <c r="E1" s="9"/>
      <c r="F1" s="14" t="s">
        <v>14</v>
      </c>
      <c r="G1" s="15">
        <f>(MARS!$G$1-(E64)+(F64))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</row>
    <row r="4" spans="1:10" x14ac:dyDescent="0.25">
      <c r="A4" s="2"/>
      <c r="B4" s="3"/>
      <c r="C4" s="4"/>
      <c r="D4" s="4"/>
      <c r="E4" s="4"/>
      <c r="F4" s="26"/>
      <c r="J4" s="1" t="b">
        <v>0</v>
      </c>
    </row>
    <row r="5" spans="1:10" x14ac:dyDescent="0.25">
      <c r="A5" s="2"/>
      <c r="B5" s="3"/>
      <c r="C5" s="4"/>
      <c r="D5" s="4"/>
      <c r="E5" s="4"/>
      <c r="F5" s="26"/>
    </row>
    <row r="6" spans="1:10" x14ac:dyDescent="0.25">
      <c r="A6" s="2"/>
      <c r="B6" s="3"/>
      <c r="C6" s="4"/>
      <c r="D6" s="4"/>
      <c r="E6" s="4"/>
      <c r="F6" s="26"/>
    </row>
    <row r="7" spans="1:10" x14ac:dyDescent="0.25">
      <c r="A7" s="2"/>
      <c r="B7" s="3"/>
      <c r="C7" s="4"/>
      <c r="D7" s="4"/>
      <c r="E7" s="4"/>
      <c r="F7" s="26"/>
    </row>
    <row r="8" spans="1:10" x14ac:dyDescent="0.25">
      <c r="A8" s="2"/>
      <c r="B8" s="3"/>
      <c r="C8" s="4"/>
      <c r="D8" s="4"/>
      <c r="E8" s="4"/>
      <c r="F8" s="26"/>
    </row>
    <row r="9" spans="1:10" x14ac:dyDescent="0.25">
      <c r="A9" s="2"/>
      <c r="B9" s="3"/>
      <c r="C9" s="4"/>
      <c r="D9" s="4"/>
      <c r="E9" s="4"/>
      <c r="F9" s="26"/>
    </row>
    <row r="10" spans="1:10" x14ac:dyDescent="0.25">
      <c r="A10" s="2"/>
      <c r="B10" s="3"/>
      <c r="C10" s="4"/>
      <c r="D10" s="4"/>
      <c r="E10" s="4"/>
      <c r="F10" s="26"/>
    </row>
    <row r="11" spans="1:10" x14ac:dyDescent="0.25">
      <c r="A11" s="2"/>
      <c r="B11" s="3"/>
      <c r="C11" s="4"/>
      <c r="D11" s="4"/>
      <c r="E11" s="4"/>
      <c r="F11" s="26"/>
    </row>
    <row r="12" spans="1:10" x14ac:dyDescent="0.25">
      <c r="A12" s="2"/>
      <c r="B12" s="3"/>
      <c r="C12" s="4"/>
      <c r="D12" s="4"/>
      <c r="E12" s="4"/>
      <c r="F12" s="26"/>
    </row>
    <row r="13" spans="1:10" x14ac:dyDescent="0.25">
      <c r="A13" s="2"/>
      <c r="B13" s="3"/>
      <c r="C13" s="4"/>
      <c r="D13" s="4"/>
      <c r="E13" s="4"/>
      <c r="F13" s="26"/>
    </row>
    <row r="14" spans="1:10" x14ac:dyDescent="0.25">
      <c r="A14" s="2"/>
      <c r="B14" s="3"/>
      <c r="C14" s="4"/>
      <c r="D14" s="4"/>
      <c r="E14" s="4"/>
      <c r="F14" s="26"/>
    </row>
    <row r="15" spans="1:10" x14ac:dyDescent="0.25">
      <c r="A15" s="2"/>
      <c r="B15" s="3"/>
      <c r="C15" s="4"/>
      <c r="D15" s="4"/>
      <c r="E15" s="4"/>
      <c r="F15" s="26"/>
    </row>
    <row r="16" spans="1:10" x14ac:dyDescent="0.25">
      <c r="A16" s="2"/>
      <c r="B16" s="3"/>
      <c r="C16" s="4"/>
      <c r="D16" s="4"/>
      <c r="E16" s="4"/>
      <c r="F16" s="26"/>
    </row>
    <row r="17" spans="1:6" x14ac:dyDescent="0.25">
      <c r="A17" s="2"/>
      <c r="B17" s="3"/>
      <c r="C17" s="4"/>
      <c r="D17" s="4"/>
      <c r="E17" s="4"/>
      <c r="F17" s="26"/>
    </row>
    <row r="18" spans="1:6" x14ac:dyDescent="0.25">
      <c r="A18" s="2"/>
      <c r="B18" s="3"/>
      <c r="C18" s="4"/>
      <c r="D18" s="4"/>
      <c r="E18" s="4"/>
      <c r="F18" s="26"/>
    </row>
    <row r="19" spans="1:6" x14ac:dyDescent="0.25">
      <c r="A19" s="2"/>
      <c r="B19" s="3"/>
      <c r="C19" s="4"/>
      <c r="D19" s="4"/>
      <c r="E19" s="4"/>
      <c r="F19" s="26"/>
    </row>
    <row r="20" spans="1:6" x14ac:dyDescent="0.25">
      <c r="A20" s="2"/>
      <c r="B20" s="3"/>
      <c r="C20" s="4"/>
      <c r="D20" s="4"/>
      <c r="E20" s="4"/>
      <c r="F20" s="26"/>
    </row>
    <row r="21" spans="1:6" x14ac:dyDescent="0.25">
      <c r="A21" s="2"/>
      <c r="B21" s="3"/>
      <c r="C21" s="4"/>
      <c r="D21" s="4"/>
      <c r="E21" s="4"/>
      <c r="F21" s="26"/>
    </row>
    <row r="22" spans="1:6" x14ac:dyDescent="0.25">
      <c r="A22" s="2"/>
      <c r="B22" s="3"/>
      <c r="C22" s="4"/>
      <c r="D22" s="4"/>
      <c r="E22" s="4"/>
      <c r="F22" s="26"/>
    </row>
    <row r="23" spans="1:6" x14ac:dyDescent="0.25">
      <c r="A23" s="2"/>
      <c r="B23" s="3"/>
      <c r="C23" s="4"/>
      <c r="D23" s="4"/>
      <c r="E23" s="4"/>
      <c r="F23" s="26"/>
    </row>
    <row r="24" spans="1:6" x14ac:dyDescent="0.25">
      <c r="A24" s="2"/>
      <c r="B24" s="3"/>
      <c r="C24" s="4"/>
      <c r="D24" s="4"/>
      <c r="E24" s="4"/>
      <c r="F24" s="26"/>
    </row>
    <row r="25" spans="1:6" x14ac:dyDescent="0.25">
      <c r="A25" s="2"/>
      <c r="B25" s="3"/>
      <c r="C25" s="4"/>
      <c r="D25" s="4"/>
      <c r="E25" s="4"/>
      <c r="F25" s="26"/>
    </row>
    <row r="26" spans="1:6" x14ac:dyDescent="0.25">
      <c r="A26" s="2"/>
      <c r="B26" s="3"/>
      <c r="C26" s="4"/>
      <c r="D26" s="4"/>
      <c r="E26" s="4"/>
      <c r="F26" s="26"/>
    </row>
    <row r="27" spans="1:6" x14ac:dyDescent="0.25">
      <c r="A27" s="2"/>
      <c r="B27" s="3"/>
      <c r="C27" s="4"/>
      <c r="D27" s="4"/>
      <c r="E27" s="4"/>
      <c r="F27" s="26"/>
    </row>
    <row r="28" spans="1:6" x14ac:dyDescent="0.25">
      <c r="A28" s="2"/>
      <c r="B28" s="3"/>
      <c r="C28" s="4"/>
      <c r="D28" s="4"/>
      <c r="E28" s="4"/>
      <c r="F28" s="26"/>
    </row>
    <row r="29" spans="1:6" x14ac:dyDescent="0.25">
      <c r="A29" s="2"/>
      <c r="B29" s="3"/>
      <c r="C29" s="4"/>
      <c r="D29" s="4"/>
      <c r="E29" s="4"/>
      <c r="F29" s="26"/>
    </row>
    <row r="30" spans="1:6" x14ac:dyDescent="0.25">
      <c r="A30" s="2"/>
      <c r="B30" s="3"/>
      <c r="C30" s="4"/>
      <c r="D30" s="4"/>
      <c r="E30" s="4"/>
      <c r="F30" s="26"/>
    </row>
    <row r="31" spans="1:6" x14ac:dyDescent="0.25">
      <c r="A31" s="2"/>
      <c r="B31" s="3"/>
      <c r="C31" s="4"/>
      <c r="D31" s="4"/>
      <c r="E31" s="4"/>
      <c r="F31" s="26"/>
    </row>
    <row r="32" spans="1:6" x14ac:dyDescent="0.25">
      <c r="A32" s="2"/>
      <c r="B32" s="3"/>
      <c r="C32" s="4"/>
      <c r="D32" s="4"/>
      <c r="E32" s="4"/>
      <c r="F32" s="26"/>
    </row>
    <row r="33" spans="1:6" x14ac:dyDescent="0.25">
      <c r="A33" s="2"/>
      <c r="B33" s="3"/>
      <c r="C33" s="4"/>
      <c r="D33" s="4"/>
      <c r="E33" s="4"/>
      <c r="F33" s="26"/>
    </row>
    <row r="34" spans="1:6" x14ac:dyDescent="0.25">
      <c r="A34" s="2"/>
      <c r="B34" s="3"/>
      <c r="C34" s="4"/>
      <c r="D34" s="4"/>
      <c r="E34" s="4"/>
      <c r="F34" s="26"/>
    </row>
    <row r="35" spans="1:6" x14ac:dyDescent="0.25">
      <c r="A35" s="2"/>
      <c r="B35" s="3"/>
      <c r="C35" s="4"/>
      <c r="D35" s="4"/>
      <c r="E35" s="4"/>
      <c r="F35" s="26"/>
    </row>
    <row r="36" spans="1:6" x14ac:dyDescent="0.25">
      <c r="A36" s="2"/>
      <c r="B36" s="3"/>
      <c r="C36" s="4"/>
      <c r="D36" s="4"/>
      <c r="E36" s="4"/>
      <c r="F36" s="26"/>
    </row>
    <row r="37" spans="1:6" x14ac:dyDescent="0.25">
      <c r="A37" s="2"/>
      <c r="B37" s="3"/>
      <c r="C37" s="4"/>
      <c r="D37" s="4"/>
      <c r="E37" s="4"/>
      <c r="F37" s="26"/>
    </row>
    <row r="38" spans="1:6" x14ac:dyDescent="0.25">
      <c r="A38" s="2"/>
      <c r="B38" s="3"/>
      <c r="C38" s="4"/>
      <c r="D38" s="4"/>
      <c r="E38" s="4"/>
      <c r="F38" s="26"/>
    </row>
    <row r="39" spans="1:6" x14ac:dyDescent="0.25">
      <c r="A39" s="2"/>
      <c r="B39" s="3"/>
      <c r="C39" s="4"/>
      <c r="D39" s="4"/>
      <c r="E39" s="4"/>
      <c r="F39" s="26"/>
    </row>
    <row r="40" spans="1:6" x14ac:dyDescent="0.25">
      <c r="A40" s="2"/>
      <c r="B40" s="3"/>
      <c r="C40" s="4"/>
      <c r="D40" s="4"/>
      <c r="E40" s="4"/>
      <c r="F40" s="26"/>
    </row>
    <row r="41" spans="1:6" x14ac:dyDescent="0.25">
      <c r="A41" s="2"/>
      <c r="B41" s="3"/>
      <c r="C41" s="4"/>
      <c r="D41" s="4"/>
      <c r="E41" s="4"/>
      <c r="F41" s="26"/>
    </row>
    <row r="42" spans="1:6" x14ac:dyDescent="0.25">
      <c r="A42" s="2"/>
      <c r="B42" s="3"/>
      <c r="C42" s="4"/>
      <c r="D42" s="4"/>
      <c r="E42" s="4"/>
      <c r="F42" s="26"/>
    </row>
    <row r="43" spans="1:6" x14ac:dyDescent="0.25">
      <c r="A43" s="2"/>
      <c r="B43" s="3"/>
      <c r="C43" s="4"/>
      <c r="D43" s="4"/>
      <c r="E43" s="4"/>
      <c r="F43" s="26"/>
    </row>
    <row r="44" spans="1:6" x14ac:dyDescent="0.25">
      <c r="A44" s="2"/>
      <c r="B44" s="3"/>
      <c r="C44" s="4"/>
      <c r="D44" s="4"/>
      <c r="E44" s="4"/>
      <c r="F44" s="26"/>
    </row>
    <row r="45" spans="1:6" x14ac:dyDescent="0.25">
      <c r="A45" s="2"/>
      <c r="B45" s="3"/>
      <c r="C45" s="4"/>
      <c r="D45" s="4"/>
      <c r="E45" s="4"/>
      <c r="F45" s="26"/>
    </row>
    <row r="46" spans="1:6" x14ac:dyDescent="0.25">
      <c r="A46" s="2"/>
      <c r="B46" s="3"/>
      <c r="C46" s="4"/>
      <c r="D46" s="4"/>
      <c r="E46" s="4"/>
      <c r="F46" s="26"/>
    </row>
    <row r="47" spans="1:6" x14ac:dyDescent="0.25">
      <c r="A47" s="2"/>
      <c r="B47" s="3"/>
      <c r="C47" s="4"/>
      <c r="D47" s="4"/>
      <c r="E47" s="4"/>
      <c r="F47" s="26"/>
    </row>
    <row r="48" spans="1:6" x14ac:dyDescent="0.25">
      <c r="A48" s="2"/>
      <c r="B48" s="3"/>
      <c r="C48" s="4"/>
      <c r="D48" s="4"/>
      <c r="E48" s="4"/>
      <c r="F48" s="26"/>
    </row>
    <row r="49" spans="1:6" x14ac:dyDescent="0.25">
      <c r="A49" s="2"/>
      <c r="B49" s="3"/>
      <c r="C49" s="4"/>
      <c r="D49" s="4"/>
      <c r="E49" s="4"/>
      <c r="F49" s="26"/>
    </row>
    <row r="50" spans="1:6" x14ac:dyDescent="0.25">
      <c r="A50" s="2"/>
      <c r="B50" s="3"/>
      <c r="C50" s="4"/>
      <c r="D50" s="4"/>
      <c r="E50" s="4"/>
      <c r="F50" s="26"/>
    </row>
    <row r="51" spans="1:6" x14ac:dyDescent="0.25">
      <c r="A51" s="2"/>
      <c r="B51" s="3"/>
      <c r="C51" s="4"/>
      <c r="D51" s="4"/>
      <c r="E51" s="4"/>
      <c r="F51" s="26"/>
    </row>
    <row r="52" spans="1:6" x14ac:dyDescent="0.25">
      <c r="A52" s="2"/>
      <c r="B52" s="3"/>
      <c r="C52" s="4"/>
      <c r="D52" s="4"/>
      <c r="E52" s="4"/>
      <c r="F52" s="26"/>
    </row>
    <row r="53" spans="1:6" x14ac:dyDescent="0.25">
      <c r="A53" s="2"/>
      <c r="B53" s="3"/>
      <c r="C53" s="4"/>
      <c r="D53" s="4"/>
      <c r="E53" s="4"/>
      <c r="F53" s="26"/>
    </row>
    <row r="54" spans="1:6" x14ac:dyDescent="0.25">
      <c r="A54" s="2"/>
      <c r="B54" s="3"/>
      <c r="C54" s="4"/>
      <c r="D54" s="4"/>
      <c r="E54" s="4"/>
      <c r="F54" s="26"/>
    </row>
    <row r="55" spans="1:6" x14ac:dyDescent="0.25">
      <c r="A55" s="2"/>
      <c r="B55" s="3"/>
      <c r="C55" s="4"/>
      <c r="D55" s="4"/>
      <c r="E55" s="4"/>
      <c r="F55" s="26"/>
    </row>
    <row r="56" spans="1:6" x14ac:dyDescent="0.25">
      <c r="A56" s="2"/>
      <c r="B56" s="3"/>
      <c r="C56" s="4"/>
      <c r="D56" s="4"/>
      <c r="E56" s="4"/>
      <c r="F56" s="26"/>
    </row>
    <row r="57" spans="1:6" x14ac:dyDescent="0.25">
      <c r="A57" s="2"/>
      <c r="B57" s="3"/>
      <c r="C57" s="4"/>
      <c r="D57" s="4"/>
      <c r="E57" s="4"/>
      <c r="F57" s="26"/>
    </row>
    <row r="58" spans="1:6" x14ac:dyDescent="0.25">
      <c r="A58" s="2"/>
      <c r="B58" s="3"/>
      <c r="C58" s="4"/>
      <c r="D58" s="4"/>
      <c r="E58" s="4"/>
      <c r="F58" s="26"/>
    </row>
    <row r="59" spans="1:6" x14ac:dyDescent="0.25">
      <c r="A59" s="2"/>
      <c r="B59" s="3"/>
      <c r="C59" s="4"/>
      <c r="D59" s="4"/>
      <c r="E59" s="4"/>
      <c r="F59" s="26"/>
    </row>
    <row r="60" spans="1:6" x14ac:dyDescent="0.25">
      <c r="A60" s="2"/>
      <c r="B60" s="3"/>
      <c r="C60" s="4"/>
      <c r="D60" s="4"/>
      <c r="E60" s="4"/>
      <c r="F60" s="26"/>
    </row>
    <row r="62" spans="1:6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6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6" x14ac:dyDescent="0.25">
      <c r="A64" s="10" t="s">
        <v>44</v>
      </c>
      <c r="B64" s="11">
        <f>SUMIFS(Tableau1345[DÉBIT],Tableau1345[COMPTES],"SOCIÉTÉ GÉNÉRALE",Tableau1345[POINTÉS],"ü")</f>
        <v>0</v>
      </c>
      <c r="C64" s="12">
        <f>SUMIFS(Tableau1345[CRÉDIT],Tableau1345[COMPTES],"SOCIÉTÉ GÉNÉRALE",Tableau1345[POINTÉS],"ü")</f>
        <v>0</v>
      </c>
      <c r="D64" s="10" t="s">
        <v>44</v>
      </c>
      <c r="E64" s="11">
        <f>SUMIFS(Tableau1345[DÉBIT],Tableau1345[COMPTES],"BNP PARIBAS",Tableau1345[POINTÉS],"ü")</f>
        <v>0</v>
      </c>
      <c r="F64" s="12">
        <f>SUMIFS(Tableau1345[CRÉDIT],Tableau1345[COMPTES],"BNP PARIBAS",Tableau1345[POINTÉS],"ü")</f>
        <v>0</v>
      </c>
    </row>
    <row r="65" spans="1:6" x14ac:dyDescent="0.25">
      <c r="A65" s="10" t="s">
        <v>39</v>
      </c>
      <c r="B65" s="11">
        <f>SUMIFS(Tableau1345[DÉBIT],Tableau1345[COMPTES],"SOCIÉTÉ GÉNÉRALE",Tableau1345[POINTÉS],"")</f>
        <v>0</v>
      </c>
      <c r="C65" s="12">
        <f>SUMIFS(Tableau1345[CRÉDIT],Tableau1345[COMPTES],"SOCIÉTÉ GÉNÉRALE",Tableau1345[POINTÉS],"")</f>
        <v>0</v>
      </c>
      <c r="D65" s="10" t="s">
        <v>39</v>
      </c>
      <c r="E65" s="11">
        <f>SUMIFS(Tableau1345[DÉBIT],Tableau1345[COMPTES],"BNP PARIBAS",Tableau1345[POINTÉS],"")</f>
        <v>0</v>
      </c>
      <c r="F65" s="12">
        <f>SUMIFS(Tableau1345[CRÉDIT],Tableau1345[COMPTES],"BNP PARIBAS",Tableau1345[POINTÉS],"")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62" priority="23" operator="equal">
      <formula>FALSE</formula>
    </cfRule>
    <cfRule type="cellIs" dxfId="361" priority="24" operator="equal">
      <formula>TRUE</formula>
    </cfRule>
  </conditionalFormatting>
  <conditionalFormatting sqref="J4">
    <cfRule type="cellIs" dxfId="360" priority="21" operator="equal">
      <formula>FALSE</formula>
    </cfRule>
    <cfRule type="cellIs" dxfId="359" priority="22" operator="equal">
      <formula>TRUE</formula>
    </cfRule>
  </conditionalFormatting>
  <conditionalFormatting sqref="J5">
    <cfRule type="cellIs" dxfId="358" priority="19" operator="equal">
      <formula>FALSE</formula>
    </cfRule>
    <cfRule type="cellIs" dxfId="357" priority="20" operator="equal">
      <formula>TRUE</formula>
    </cfRule>
  </conditionalFormatting>
  <conditionalFormatting sqref="J6">
    <cfRule type="cellIs" dxfId="356" priority="17" operator="equal">
      <formula>FALSE</formula>
    </cfRule>
    <cfRule type="cellIs" dxfId="355" priority="18" operator="equal">
      <formula>TRUE</formula>
    </cfRule>
  </conditionalFormatting>
  <conditionalFormatting sqref="J7">
    <cfRule type="cellIs" dxfId="354" priority="15" operator="equal">
      <formula>FALSE</formula>
    </cfRule>
    <cfRule type="cellIs" dxfId="353" priority="16" operator="equal">
      <formula>TRUE</formula>
    </cfRule>
  </conditionalFormatting>
  <conditionalFormatting sqref="J8 J10">
    <cfRule type="cellIs" dxfId="352" priority="13" operator="equal">
      <formula>FALSE</formula>
    </cfRule>
    <cfRule type="cellIs" dxfId="351" priority="14" operator="equal">
      <formula>TRUE</formula>
    </cfRule>
  </conditionalFormatting>
  <conditionalFormatting sqref="J9 J11 J13 J15 J17 J19 J21 J23 J25 J27">
    <cfRule type="cellIs" dxfId="350" priority="11" operator="equal">
      <formula>FALSE</formula>
    </cfRule>
    <cfRule type="cellIs" dxfId="349" priority="12" operator="equal">
      <formula>TRUE</formula>
    </cfRule>
  </conditionalFormatting>
  <conditionalFormatting sqref="J12 J14 J16 J18 J20 J22 J24 J26 J28">
    <cfRule type="cellIs" dxfId="348" priority="9" operator="equal">
      <formula>FALSE</formula>
    </cfRule>
    <cfRule type="cellIs" dxfId="347" priority="10" operator="equal">
      <formula>TRUE</formula>
    </cfRule>
  </conditionalFormatting>
  <conditionalFormatting sqref="J29">
    <cfRule type="cellIs" dxfId="346" priority="7" operator="equal">
      <formula>FALSE</formula>
    </cfRule>
    <cfRule type="cellIs" dxfId="345" priority="8" operator="equal">
      <formula>TRUE</formula>
    </cfRule>
  </conditionalFormatting>
  <conditionalFormatting sqref="J30">
    <cfRule type="cellIs" dxfId="344" priority="5" operator="equal">
      <formula>FALSE</formula>
    </cfRule>
    <cfRule type="cellIs" dxfId="343" priority="6" operator="equal">
      <formula>TRUE</formula>
    </cfRule>
  </conditionalFormatting>
  <conditionalFormatting sqref="J31 J33 J35 J37 J39 J41 J43 J45 J47 J49 J51 J53 J55 J57 J59">
    <cfRule type="cellIs" dxfId="342" priority="3" operator="equal">
      <formula>FALSE</formula>
    </cfRule>
    <cfRule type="cellIs" dxfId="341" priority="4" operator="equal">
      <formula>TRUE</formula>
    </cfRule>
  </conditionalFormatting>
  <conditionalFormatting sqref="J32 J34 J36 J38 J40 J42 J44 J46 J48 J50 J52 J54 J56 J58 J60">
    <cfRule type="cellIs" dxfId="340" priority="1" operator="equal">
      <formula>FALSE</formula>
    </cfRule>
    <cfRule type="cellIs" dxfId="339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(AVRIL!$D$1-(B64)+(C64))</f>
        <v>0</v>
      </c>
      <c r="E1" s="9"/>
      <c r="F1" s="14" t="s">
        <v>14</v>
      </c>
      <c r="G1" s="15">
        <f>(AVRIL!$G$1-(E64)+(F64))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3"/>
    </row>
    <row r="4" spans="1:10" x14ac:dyDescent="0.25">
      <c r="A4" s="2"/>
      <c r="B4" s="3"/>
      <c r="C4" s="4"/>
      <c r="D4" s="4"/>
      <c r="E4" s="4"/>
      <c r="F4" s="26"/>
      <c r="J4" s="43"/>
    </row>
    <row r="5" spans="1:10" x14ac:dyDescent="0.25">
      <c r="A5" s="2"/>
      <c r="B5" s="3"/>
      <c r="C5" s="4"/>
      <c r="D5" s="4"/>
      <c r="E5" s="4"/>
      <c r="F5" s="26"/>
      <c r="J5" s="43"/>
    </row>
    <row r="6" spans="1:10" x14ac:dyDescent="0.25">
      <c r="A6" s="2"/>
      <c r="B6" s="3"/>
      <c r="C6" s="4"/>
      <c r="D6" s="4"/>
      <c r="E6" s="4"/>
      <c r="F6" s="26"/>
      <c r="J6" s="43"/>
    </row>
    <row r="7" spans="1:10" x14ac:dyDescent="0.25">
      <c r="A7" s="2"/>
      <c r="B7" s="3"/>
      <c r="C7" s="4"/>
      <c r="D7" s="4"/>
      <c r="E7" s="4"/>
      <c r="F7" s="26"/>
      <c r="J7" s="43"/>
    </row>
    <row r="8" spans="1:10" x14ac:dyDescent="0.25">
      <c r="A8" s="2"/>
      <c r="B8" s="3"/>
      <c r="C8" s="4"/>
      <c r="D8" s="4"/>
      <c r="E8" s="4"/>
      <c r="F8" s="26"/>
      <c r="J8" s="43"/>
    </row>
    <row r="9" spans="1:10" x14ac:dyDescent="0.25">
      <c r="A9" s="2"/>
      <c r="B9" s="3"/>
      <c r="C9" s="4"/>
      <c r="D9" s="4"/>
      <c r="E9" s="4"/>
      <c r="F9" s="26"/>
      <c r="J9" s="43"/>
    </row>
    <row r="10" spans="1:10" x14ac:dyDescent="0.25">
      <c r="A10" s="2"/>
      <c r="B10" s="3"/>
      <c r="C10" s="4"/>
      <c r="D10" s="4"/>
      <c r="E10" s="4"/>
      <c r="F10" s="26"/>
      <c r="J10" s="43"/>
    </row>
    <row r="11" spans="1:10" x14ac:dyDescent="0.25">
      <c r="A11" s="2"/>
      <c r="B11" s="3"/>
      <c r="C11" s="4"/>
      <c r="D11" s="4"/>
      <c r="E11" s="4"/>
      <c r="F11" s="26"/>
      <c r="J11" s="43"/>
    </row>
    <row r="12" spans="1:10" x14ac:dyDescent="0.25">
      <c r="A12" s="2"/>
      <c r="B12" s="3"/>
      <c r="C12" s="4"/>
      <c r="D12" s="4"/>
      <c r="E12" s="4"/>
      <c r="F12" s="26"/>
      <c r="J12" s="43"/>
    </row>
    <row r="13" spans="1:10" x14ac:dyDescent="0.25">
      <c r="A13" s="2"/>
      <c r="B13" s="3"/>
      <c r="C13" s="4"/>
      <c r="D13" s="4"/>
      <c r="E13" s="4"/>
      <c r="F13" s="26"/>
      <c r="J13" s="43"/>
    </row>
    <row r="14" spans="1:10" x14ac:dyDescent="0.25">
      <c r="A14" s="2"/>
      <c r="B14" s="3"/>
      <c r="C14" s="4"/>
      <c r="D14" s="4"/>
      <c r="E14" s="4"/>
      <c r="F14" s="26"/>
      <c r="J14" s="43"/>
    </row>
    <row r="15" spans="1:10" x14ac:dyDescent="0.25">
      <c r="A15" s="2"/>
      <c r="B15" s="3"/>
      <c r="C15" s="4"/>
      <c r="D15" s="4"/>
      <c r="E15" s="4"/>
      <c r="F15" s="26"/>
      <c r="J15" s="43"/>
    </row>
    <row r="16" spans="1:10" x14ac:dyDescent="0.25">
      <c r="A16" s="2"/>
      <c r="B16" s="3"/>
      <c r="C16" s="4"/>
      <c r="D16" s="4"/>
      <c r="E16" s="4"/>
      <c r="F16" s="26"/>
      <c r="J16" s="43"/>
    </row>
    <row r="17" spans="1:10" x14ac:dyDescent="0.25">
      <c r="A17" s="2"/>
      <c r="B17" s="3"/>
      <c r="C17" s="4"/>
      <c r="D17" s="4"/>
      <c r="E17" s="4"/>
      <c r="F17" s="26"/>
      <c r="J17" s="43"/>
    </row>
    <row r="18" spans="1:10" x14ac:dyDescent="0.25">
      <c r="A18" s="2"/>
      <c r="B18" s="3"/>
      <c r="C18" s="4"/>
      <c r="D18" s="4"/>
      <c r="E18" s="4"/>
      <c r="F18" s="26"/>
      <c r="J18" s="43"/>
    </row>
    <row r="19" spans="1:10" x14ac:dyDescent="0.25">
      <c r="A19" s="2"/>
      <c r="B19" s="3"/>
      <c r="C19" s="4"/>
      <c r="D19" s="4"/>
      <c r="E19" s="4"/>
      <c r="F19" s="26"/>
      <c r="J19" s="43"/>
    </row>
    <row r="20" spans="1:10" x14ac:dyDescent="0.25">
      <c r="A20" s="2"/>
      <c r="B20" s="3"/>
      <c r="C20" s="4"/>
      <c r="D20" s="4"/>
      <c r="E20" s="4"/>
      <c r="F20" s="26"/>
      <c r="J20" s="43"/>
    </row>
    <row r="21" spans="1:10" x14ac:dyDescent="0.25">
      <c r="A21" s="2"/>
      <c r="B21" s="3"/>
      <c r="C21" s="4"/>
      <c r="D21" s="4"/>
      <c r="E21" s="4"/>
      <c r="F21" s="26"/>
      <c r="J21" s="43"/>
    </row>
    <row r="22" spans="1:10" x14ac:dyDescent="0.25">
      <c r="A22" s="2"/>
      <c r="B22" s="3"/>
      <c r="C22" s="4"/>
      <c r="D22" s="4"/>
      <c r="E22" s="4"/>
      <c r="F22" s="26"/>
      <c r="J22" s="43"/>
    </row>
    <row r="23" spans="1:10" x14ac:dyDescent="0.25">
      <c r="A23" s="2"/>
      <c r="B23" s="3"/>
      <c r="C23" s="4"/>
      <c r="D23" s="4"/>
      <c r="E23" s="4"/>
      <c r="F23" s="26"/>
      <c r="J23" s="43"/>
    </row>
    <row r="24" spans="1:10" x14ac:dyDescent="0.25">
      <c r="A24" s="2"/>
      <c r="B24" s="3"/>
      <c r="C24" s="4"/>
      <c r="D24" s="4"/>
      <c r="E24" s="4"/>
      <c r="F24" s="26"/>
      <c r="J24" s="43"/>
    </row>
    <row r="25" spans="1:10" x14ac:dyDescent="0.25">
      <c r="A25" s="2"/>
      <c r="B25" s="3"/>
      <c r="C25" s="4"/>
      <c r="D25" s="4"/>
      <c r="E25" s="4"/>
      <c r="F25" s="26"/>
      <c r="J25" s="43"/>
    </row>
    <row r="26" spans="1:10" x14ac:dyDescent="0.25">
      <c r="A26" s="2"/>
      <c r="B26" s="3"/>
      <c r="C26" s="4"/>
      <c r="D26" s="4"/>
      <c r="E26" s="4"/>
      <c r="F26" s="26"/>
      <c r="J26" s="43"/>
    </row>
    <row r="27" spans="1:10" x14ac:dyDescent="0.25">
      <c r="A27" s="2"/>
      <c r="B27" s="3"/>
      <c r="C27" s="4"/>
      <c r="D27" s="4"/>
      <c r="E27" s="4"/>
      <c r="F27" s="26"/>
      <c r="J27" s="43"/>
    </row>
    <row r="28" spans="1:10" x14ac:dyDescent="0.25">
      <c r="A28" s="2"/>
      <c r="B28" s="3"/>
      <c r="C28" s="4"/>
      <c r="D28" s="4"/>
      <c r="E28" s="4"/>
      <c r="F28" s="26"/>
      <c r="J28" s="43"/>
    </row>
    <row r="29" spans="1:10" x14ac:dyDescent="0.25">
      <c r="A29" s="2"/>
      <c r="B29" s="3"/>
      <c r="C29" s="4"/>
      <c r="D29" s="4"/>
      <c r="E29" s="4"/>
      <c r="F29" s="26"/>
      <c r="J29" s="43"/>
    </row>
    <row r="30" spans="1:10" x14ac:dyDescent="0.25">
      <c r="A30" s="2"/>
      <c r="B30" s="3"/>
      <c r="C30" s="4"/>
      <c r="D30" s="4"/>
      <c r="E30" s="4"/>
      <c r="F30" s="26"/>
      <c r="J30" s="43"/>
    </row>
    <row r="31" spans="1:10" x14ac:dyDescent="0.25">
      <c r="A31" s="2"/>
      <c r="B31" s="3"/>
      <c r="C31" s="4"/>
      <c r="D31" s="4"/>
      <c r="E31" s="4"/>
      <c r="F31" s="26"/>
      <c r="J31" s="43"/>
    </row>
    <row r="32" spans="1:10" x14ac:dyDescent="0.25">
      <c r="A32" s="2"/>
      <c r="B32" s="3"/>
      <c r="C32" s="4"/>
      <c r="D32" s="4"/>
      <c r="E32" s="4"/>
      <c r="F32" s="26"/>
      <c r="J32" s="43"/>
    </row>
    <row r="33" spans="1:10" x14ac:dyDescent="0.25">
      <c r="A33" s="2"/>
      <c r="B33" s="3"/>
      <c r="C33" s="4"/>
      <c r="D33" s="4"/>
      <c r="E33" s="4"/>
      <c r="F33" s="26"/>
      <c r="J33" s="43"/>
    </row>
    <row r="34" spans="1:10" x14ac:dyDescent="0.25">
      <c r="A34" s="2"/>
      <c r="B34" s="3"/>
      <c r="C34" s="4"/>
      <c r="D34" s="4"/>
      <c r="E34" s="4"/>
      <c r="F34" s="26"/>
      <c r="J34" s="43"/>
    </row>
    <row r="35" spans="1:10" x14ac:dyDescent="0.25">
      <c r="A35" s="2"/>
      <c r="B35" s="3"/>
      <c r="C35" s="4"/>
      <c r="D35" s="4"/>
      <c r="E35" s="4"/>
      <c r="F35" s="26"/>
      <c r="J35" s="43"/>
    </row>
    <row r="36" spans="1:10" x14ac:dyDescent="0.25">
      <c r="A36" s="2"/>
      <c r="B36" s="3"/>
      <c r="C36" s="4"/>
      <c r="D36" s="4"/>
      <c r="E36" s="4"/>
      <c r="F36" s="26"/>
      <c r="J36" s="43"/>
    </row>
    <row r="37" spans="1:10" x14ac:dyDescent="0.25">
      <c r="A37" s="2"/>
      <c r="B37" s="3"/>
      <c r="C37" s="4"/>
      <c r="D37" s="4"/>
      <c r="E37" s="4"/>
      <c r="F37" s="26"/>
      <c r="J37" s="43"/>
    </row>
    <row r="38" spans="1:10" x14ac:dyDescent="0.25">
      <c r="A38" s="2"/>
      <c r="B38" s="3"/>
      <c r="C38" s="4"/>
      <c r="D38" s="4"/>
      <c r="E38" s="4"/>
      <c r="F38" s="26"/>
      <c r="J38" s="43"/>
    </row>
    <row r="39" spans="1:10" x14ac:dyDescent="0.25">
      <c r="A39" s="2"/>
      <c r="B39" s="3"/>
      <c r="C39" s="4"/>
      <c r="D39" s="4"/>
      <c r="E39" s="4"/>
      <c r="F39" s="26"/>
      <c r="J39" s="43"/>
    </row>
    <row r="40" spans="1:10" x14ac:dyDescent="0.25">
      <c r="A40" s="2"/>
      <c r="B40" s="3"/>
      <c r="C40" s="4"/>
      <c r="D40" s="4"/>
      <c r="E40" s="4"/>
      <c r="F40" s="26"/>
      <c r="J40" s="43"/>
    </row>
    <row r="41" spans="1:10" x14ac:dyDescent="0.25">
      <c r="A41" s="2"/>
      <c r="B41" s="3"/>
      <c r="C41" s="4"/>
      <c r="D41" s="4"/>
      <c r="E41" s="4"/>
      <c r="F41" s="26"/>
      <c r="J41" s="43"/>
    </row>
    <row r="42" spans="1:10" x14ac:dyDescent="0.25">
      <c r="A42" s="2"/>
      <c r="B42" s="3"/>
      <c r="C42" s="4"/>
      <c r="D42" s="4"/>
      <c r="E42" s="4"/>
      <c r="F42" s="26"/>
      <c r="J42" s="43"/>
    </row>
    <row r="43" spans="1:10" x14ac:dyDescent="0.25">
      <c r="A43" s="2"/>
      <c r="B43" s="3"/>
      <c r="C43" s="4"/>
      <c r="D43" s="4"/>
      <c r="E43" s="4"/>
      <c r="F43" s="26"/>
      <c r="J43" s="43"/>
    </row>
    <row r="44" spans="1:10" x14ac:dyDescent="0.25">
      <c r="A44" s="2"/>
      <c r="B44" s="3"/>
      <c r="C44" s="4"/>
      <c r="D44" s="4"/>
      <c r="E44" s="4"/>
      <c r="F44" s="26"/>
      <c r="J44" s="43"/>
    </row>
    <row r="45" spans="1:10" x14ac:dyDescent="0.25">
      <c r="A45" s="2"/>
      <c r="B45" s="3"/>
      <c r="C45" s="4"/>
      <c r="D45" s="4"/>
      <c r="E45" s="4"/>
      <c r="F45" s="26"/>
      <c r="J45" s="43"/>
    </row>
    <row r="46" spans="1:10" x14ac:dyDescent="0.25">
      <c r="A46" s="2"/>
      <c r="B46" s="3"/>
      <c r="C46" s="4"/>
      <c r="D46" s="4"/>
      <c r="E46" s="4"/>
      <c r="F46" s="26"/>
      <c r="J46" s="43"/>
    </row>
    <row r="47" spans="1:10" x14ac:dyDescent="0.25">
      <c r="A47" s="2"/>
      <c r="B47" s="3"/>
      <c r="C47" s="4"/>
      <c r="D47" s="4"/>
      <c r="E47" s="4"/>
      <c r="F47" s="26"/>
      <c r="J47" s="43"/>
    </row>
    <row r="48" spans="1:10" x14ac:dyDescent="0.25">
      <c r="A48" s="2"/>
      <c r="B48" s="3"/>
      <c r="C48" s="4"/>
      <c r="D48" s="4"/>
      <c r="E48" s="4"/>
      <c r="F48" s="26"/>
      <c r="J48" s="43"/>
    </row>
    <row r="49" spans="1:10" x14ac:dyDescent="0.25">
      <c r="A49" s="2"/>
      <c r="B49" s="3"/>
      <c r="C49" s="4"/>
      <c r="D49" s="4"/>
      <c r="E49" s="4"/>
      <c r="F49" s="26"/>
      <c r="J49" s="43"/>
    </row>
    <row r="50" spans="1:10" x14ac:dyDescent="0.25">
      <c r="A50" s="2"/>
      <c r="B50" s="3"/>
      <c r="C50" s="4"/>
      <c r="D50" s="4"/>
      <c r="E50" s="4"/>
      <c r="F50" s="26"/>
      <c r="J50" s="43"/>
    </row>
    <row r="51" spans="1:10" x14ac:dyDescent="0.25">
      <c r="A51" s="2"/>
      <c r="B51" s="3"/>
      <c r="C51" s="4"/>
      <c r="D51" s="4"/>
      <c r="E51" s="4"/>
      <c r="F51" s="26"/>
      <c r="J51" s="43"/>
    </row>
    <row r="52" spans="1:10" x14ac:dyDescent="0.25">
      <c r="A52" s="2"/>
      <c r="B52" s="3"/>
      <c r="C52" s="4"/>
      <c r="D52" s="4"/>
      <c r="E52" s="4"/>
      <c r="F52" s="26"/>
      <c r="J52" s="43"/>
    </row>
    <row r="53" spans="1:10" x14ac:dyDescent="0.25">
      <c r="A53" s="2"/>
      <c r="B53" s="3"/>
      <c r="C53" s="4"/>
      <c r="D53" s="4"/>
      <c r="E53" s="4"/>
      <c r="F53" s="26"/>
      <c r="J53" s="43"/>
    </row>
    <row r="54" spans="1:10" x14ac:dyDescent="0.25">
      <c r="A54" s="2"/>
      <c r="B54" s="3"/>
      <c r="C54" s="4"/>
      <c r="D54" s="4"/>
      <c r="E54" s="4"/>
      <c r="F54" s="26"/>
      <c r="J54" s="43"/>
    </row>
    <row r="55" spans="1:10" x14ac:dyDescent="0.25">
      <c r="A55" s="2"/>
      <c r="B55" s="3"/>
      <c r="C55" s="4"/>
      <c r="D55" s="4"/>
      <c r="E55" s="4"/>
      <c r="F55" s="26"/>
      <c r="J55" s="43"/>
    </row>
    <row r="56" spans="1:10" x14ac:dyDescent="0.25">
      <c r="A56" s="2"/>
      <c r="B56" s="3"/>
      <c r="C56" s="4"/>
      <c r="D56" s="4"/>
      <c r="E56" s="4"/>
      <c r="F56" s="26"/>
      <c r="J56" s="43"/>
    </row>
    <row r="57" spans="1:10" x14ac:dyDescent="0.25">
      <c r="A57" s="2"/>
      <c r="B57" s="3"/>
      <c r="C57" s="4"/>
      <c r="D57" s="4"/>
      <c r="E57" s="4"/>
      <c r="F57" s="26"/>
      <c r="J57" s="43"/>
    </row>
    <row r="58" spans="1:10" x14ac:dyDescent="0.25">
      <c r="A58" s="2"/>
      <c r="B58" s="3"/>
      <c r="C58" s="4"/>
      <c r="D58" s="4"/>
      <c r="E58" s="4"/>
      <c r="F58" s="26"/>
      <c r="J58" s="43"/>
    </row>
    <row r="59" spans="1:10" x14ac:dyDescent="0.25">
      <c r="A59" s="2"/>
      <c r="B59" s="3"/>
      <c r="C59" s="4"/>
      <c r="D59" s="4"/>
      <c r="E59" s="4"/>
      <c r="F59" s="26"/>
      <c r="J59" s="43"/>
    </row>
    <row r="60" spans="1:10" x14ac:dyDescent="0.25">
      <c r="A60" s="2"/>
      <c r="B60" s="3"/>
      <c r="C60" s="4"/>
      <c r="D60" s="4"/>
      <c r="E60" s="4"/>
      <c r="F60" s="26"/>
      <c r="J60" s="43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SUMIFS(Tableau13456[DÉBIT],Tableau13456[COMPTES],"SOCIÉTÉ GÉNÉRALE",Tableau13456[POINTÉS],"ü")</f>
        <v>0</v>
      </c>
      <c r="C64" s="12">
        <f>SUMIFS(Tableau13456[CRÉDIT],Tableau13456[COMPTES],"SOCIÉTÉ GÉNÉRALE",Tableau13456[POINTÉS],"ü")</f>
        <v>0</v>
      </c>
      <c r="D64" s="10" t="s">
        <v>44</v>
      </c>
      <c r="E64" s="11">
        <f>SUMIFS(Tableau13456[DÉBIT],Tableau13456[COMPTES],"BNP PARIBAS",Tableau13456[POINTÉS],"ü")</f>
        <v>0</v>
      </c>
      <c r="F64" s="12">
        <f>SUMIFS(Tableau13456[CRÉDIT],Tableau13456[COMPTES],"BNP PARIBAS",Tableau13456[POINTÉS],"ü")</f>
        <v>0</v>
      </c>
    </row>
    <row r="65" spans="1:6" x14ac:dyDescent="0.25">
      <c r="A65" s="10" t="s">
        <v>39</v>
      </c>
      <c r="B65" s="11">
        <f>SUMIFS(Tableau13456[DÉBIT],Tableau13456[COMPTES],"SOCIÉTÉ GÉNÉRALE",Tableau13456[POINTÉS],"")</f>
        <v>0</v>
      </c>
      <c r="C65" s="12">
        <f>SUMIFS(Tableau13456[CRÉDIT],Tableau13456[COMPTES],"SOCIÉTÉ GÉNÉRALE",Tableau13456[POINTÉS],"")</f>
        <v>0</v>
      </c>
      <c r="D65" s="10" t="s">
        <v>39</v>
      </c>
      <c r="E65" s="11">
        <f>SUMIFS(Tableau13456[DÉBIT],Tableau13456[COMPTES],"BNP PARIBAS",Tableau13456[POINTÉS],"")</f>
        <v>0</v>
      </c>
      <c r="F65" s="12">
        <f>SUMIFS(Tableau13456[CRÉDIT],Tableau13456[COMPTES],"BNP PARIBAS",Tableau13456[POINTÉS],"")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(H1-E65)+F65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26" priority="23" operator="equal">
      <formula>FALSE</formula>
    </cfRule>
    <cfRule type="cellIs" dxfId="325" priority="24" operator="equal">
      <formula>TRUE</formula>
    </cfRule>
  </conditionalFormatting>
  <conditionalFormatting sqref="J4">
    <cfRule type="cellIs" dxfId="324" priority="21" operator="equal">
      <formula>FALSE</formula>
    </cfRule>
    <cfRule type="cellIs" dxfId="323" priority="22" operator="equal">
      <formula>TRUE</formula>
    </cfRule>
  </conditionalFormatting>
  <conditionalFormatting sqref="J5">
    <cfRule type="cellIs" dxfId="322" priority="19" operator="equal">
      <formula>FALSE</formula>
    </cfRule>
    <cfRule type="cellIs" dxfId="321" priority="20" operator="equal">
      <formula>TRUE</formula>
    </cfRule>
  </conditionalFormatting>
  <conditionalFormatting sqref="J6">
    <cfRule type="cellIs" dxfId="320" priority="17" operator="equal">
      <formula>FALSE</formula>
    </cfRule>
    <cfRule type="cellIs" dxfId="319" priority="18" operator="equal">
      <formula>TRUE</formula>
    </cfRule>
  </conditionalFormatting>
  <conditionalFormatting sqref="J7">
    <cfRule type="cellIs" dxfId="318" priority="15" operator="equal">
      <formula>FALSE</formula>
    </cfRule>
    <cfRule type="cellIs" dxfId="317" priority="16" operator="equal">
      <formula>TRUE</formula>
    </cfRule>
  </conditionalFormatting>
  <conditionalFormatting sqref="J8 J10">
    <cfRule type="cellIs" dxfId="316" priority="13" operator="equal">
      <formula>FALSE</formula>
    </cfRule>
    <cfRule type="cellIs" dxfId="315" priority="14" operator="equal">
      <formula>TRUE</formula>
    </cfRule>
  </conditionalFormatting>
  <conditionalFormatting sqref="J9 J11 J13 J15 J17 J19 J21 J23 J25 J27">
    <cfRule type="cellIs" dxfId="314" priority="11" operator="equal">
      <formula>FALSE</formula>
    </cfRule>
    <cfRule type="cellIs" dxfId="313" priority="12" operator="equal">
      <formula>TRUE</formula>
    </cfRule>
  </conditionalFormatting>
  <conditionalFormatting sqref="J12 J14 J16 J18 J20 J22 J24 J26 J28">
    <cfRule type="cellIs" dxfId="312" priority="9" operator="equal">
      <formula>FALSE</formula>
    </cfRule>
    <cfRule type="cellIs" dxfId="311" priority="10" operator="equal">
      <formula>TRUE</formula>
    </cfRule>
  </conditionalFormatting>
  <conditionalFormatting sqref="J29">
    <cfRule type="cellIs" dxfId="310" priority="7" operator="equal">
      <formula>FALSE</formula>
    </cfRule>
    <cfRule type="cellIs" dxfId="309" priority="8" operator="equal">
      <formula>TRUE</formula>
    </cfRule>
  </conditionalFormatting>
  <conditionalFormatting sqref="J30">
    <cfRule type="cellIs" dxfId="308" priority="5" operator="equal">
      <formula>FALSE</formula>
    </cfRule>
    <cfRule type="cellIs" dxfId="307" priority="6" operator="equal">
      <formula>TRUE</formula>
    </cfRule>
  </conditionalFormatting>
  <conditionalFormatting sqref="J31 J33 J35 J37 J39 J41 J43 J45 J47 J49 J51 J53 J55 J57 J59">
    <cfRule type="cellIs" dxfId="306" priority="3" operator="equal">
      <formula>FALSE</formula>
    </cfRule>
    <cfRule type="cellIs" dxfId="305" priority="4" operator="equal">
      <formula>TRUE</formula>
    </cfRule>
  </conditionalFormatting>
  <conditionalFormatting sqref="J32 J34 J36 J38 J40 J42 J44 J46 J48 J50 J52 J54 J56 J58 J60">
    <cfRule type="cellIs" dxfId="304" priority="1" operator="equal">
      <formula>FALSE</formula>
    </cfRule>
    <cfRule type="cellIs" dxfId="303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(MAI!$D$1-(B64)+(C64))</f>
        <v>0</v>
      </c>
      <c r="E1" s="9"/>
      <c r="F1" s="14" t="s">
        <v>14</v>
      </c>
      <c r="G1" s="15">
        <f>(MAI!$G$1-(E64)+(F64))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SUMIFS(Tableau134567[DÉBIT],Tableau134567[COMPTES],"SOCIÉTÉ GÉNÉRALE",Tableau134567[POINTÉS],"ü")</f>
        <v>0</v>
      </c>
      <c r="C64" s="12">
        <f>SUMIFS(Tableau134567[CRÉDIT],Tableau134567[COMPTES],"SOCIÉTÉ GÉNÉRALE",Tableau134567[POINTÉS],"ü")</f>
        <v>0</v>
      </c>
      <c r="D64" s="10" t="s">
        <v>44</v>
      </c>
      <c r="E64" s="11">
        <f>SUMIFS(Tableau134567[DÉBIT],Tableau134567[COMPTES],"BNP PARIBAS",Tableau134567[POINTÉS],"ü")</f>
        <v>0</v>
      </c>
      <c r="F64" s="12">
        <f>SUMIFS(Tableau134567[CRÉDIT],Tableau134567[COMPTES],"BNP PARIBAS",Tableau134567[POINTÉS],"ü")</f>
        <v>0</v>
      </c>
    </row>
    <row r="65" spans="1:6" x14ac:dyDescent="0.25">
      <c r="A65" s="10" t="s">
        <v>39</v>
      </c>
      <c r="B65" s="11">
        <f>SUMIFS(Tableau134567[DÉBIT],Tableau134567[COMPTES],"SOCIÉTÉ GÉNÉRALE",Tableau134567[POINTÉS],"")</f>
        <v>0</v>
      </c>
      <c r="C65" s="12">
        <f>SUMIFS(Tableau134567[CRÉDIT],Tableau134567[COMPTES],"SOCIÉTÉ GÉNÉRALE",Tableau134567[POINTÉS],"")</f>
        <v>0</v>
      </c>
      <c r="D65" s="10" t="s">
        <v>39</v>
      </c>
      <c r="E65" s="11">
        <f>SUMIFS(Tableau134567[DÉBIT],Tableau134567[COMPTES],"BNP PARIBAS",Tableau134567[POINTÉS],"")</f>
        <v>0</v>
      </c>
      <c r="F65" s="12">
        <f>SUMIFS(Tableau134567[CRÉDIT],Tableau134567[COMPTES],"BNP PARIBAS",Tableau134567[POINTÉS],"")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90" priority="23" operator="equal">
      <formula>FALSE</formula>
    </cfRule>
    <cfRule type="cellIs" dxfId="289" priority="24" operator="equal">
      <formula>TRUE</formula>
    </cfRule>
  </conditionalFormatting>
  <conditionalFormatting sqref="J4">
    <cfRule type="cellIs" dxfId="288" priority="21" operator="equal">
      <formula>FALSE</formula>
    </cfRule>
    <cfRule type="cellIs" dxfId="287" priority="22" operator="equal">
      <formula>TRUE</formula>
    </cfRule>
  </conditionalFormatting>
  <conditionalFormatting sqref="J5">
    <cfRule type="cellIs" dxfId="286" priority="19" operator="equal">
      <formula>FALSE</formula>
    </cfRule>
    <cfRule type="cellIs" dxfId="285" priority="20" operator="equal">
      <formula>TRUE</formula>
    </cfRule>
  </conditionalFormatting>
  <conditionalFormatting sqref="J6">
    <cfRule type="cellIs" dxfId="284" priority="17" operator="equal">
      <formula>FALSE</formula>
    </cfRule>
    <cfRule type="cellIs" dxfId="283" priority="18" operator="equal">
      <formula>TRUE</formula>
    </cfRule>
  </conditionalFormatting>
  <conditionalFormatting sqref="J7">
    <cfRule type="cellIs" dxfId="282" priority="15" operator="equal">
      <formula>FALSE</formula>
    </cfRule>
    <cfRule type="cellIs" dxfId="281" priority="16" operator="equal">
      <formula>TRUE</formula>
    </cfRule>
  </conditionalFormatting>
  <conditionalFormatting sqref="J8 J10">
    <cfRule type="cellIs" dxfId="280" priority="13" operator="equal">
      <formula>FALSE</formula>
    </cfRule>
    <cfRule type="cellIs" dxfId="279" priority="14" operator="equal">
      <formula>TRUE</formula>
    </cfRule>
  </conditionalFormatting>
  <conditionalFormatting sqref="J9 J11 J13 J15 J17 J19 J21 J23 J25 J27">
    <cfRule type="cellIs" dxfId="278" priority="11" operator="equal">
      <formula>FALSE</formula>
    </cfRule>
    <cfRule type="cellIs" dxfId="277" priority="12" operator="equal">
      <formula>TRUE</formula>
    </cfRule>
  </conditionalFormatting>
  <conditionalFormatting sqref="J12 J14 J16 J18 J20 J22 J24 J26 J28">
    <cfRule type="cellIs" dxfId="276" priority="9" operator="equal">
      <formula>FALSE</formula>
    </cfRule>
    <cfRule type="cellIs" dxfId="275" priority="10" operator="equal">
      <formula>TRUE</formula>
    </cfRule>
  </conditionalFormatting>
  <conditionalFormatting sqref="J29">
    <cfRule type="cellIs" dxfId="274" priority="7" operator="equal">
      <formula>FALSE</formula>
    </cfRule>
    <cfRule type="cellIs" dxfId="273" priority="8" operator="equal">
      <formula>TRUE</formula>
    </cfRule>
  </conditionalFormatting>
  <conditionalFormatting sqref="J30">
    <cfRule type="cellIs" dxfId="272" priority="5" operator="equal">
      <formula>FALSE</formula>
    </cfRule>
    <cfRule type="cellIs" dxfId="271" priority="6" operator="equal">
      <formula>TRUE</formula>
    </cfRule>
  </conditionalFormatting>
  <conditionalFormatting sqref="J31 J33 J35 J37 J39 J41 J43 J45 J47 J49 J51 J53 J55 J57 J59">
    <cfRule type="cellIs" dxfId="270" priority="3" operator="equal">
      <formula>FALSE</formula>
    </cfRule>
    <cfRule type="cellIs" dxfId="269" priority="4" operator="equal">
      <formula>TRUE</formula>
    </cfRule>
  </conditionalFormatting>
  <conditionalFormatting sqref="J32 J34 J36 J38 J40 J42 J44 J46 J48 J50 J52 J54 J56 J58 J60">
    <cfRule type="cellIs" dxfId="268" priority="1" operator="equal">
      <formula>FALSE</formula>
    </cfRule>
    <cfRule type="cellIs" dxfId="267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(JUIN!$D$1-(B64)+(C64))</f>
        <v>0</v>
      </c>
      <c r="E1" s="9"/>
      <c r="F1" s="14" t="s">
        <v>14</v>
      </c>
      <c r="G1" s="15">
        <f>(JUIN!$G$1-(E64)+(F64))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SUMIFS(Tableau1345678[DÉBIT],Tableau1345678[COMPTES],"SOCIÉTÉ GÉNÉRALE",Tableau1345678[POINTÉS],"ü")</f>
        <v>0</v>
      </c>
      <c r="C64" s="12">
        <f>SUMIFS(Tableau1345678[CRÉDIT],Tableau1345678[COMPTES],"SOCIÉTÉ GÉNÉRALE",Tableau1345678[POINTÉS],"ü")</f>
        <v>0</v>
      </c>
      <c r="D64" s="10" t="s">
        <v>44</v>
      </c>
      <c r="E64" s="11">
        <f>SUMIFS(Tableau1345678[DÉBIT],Tableau1345678[COMPTES],"BNP PARIBAS",Tableau1345678[POINTÉS],"ü")</f>
        <v>0</v>
      </c>
      <c r="F64" s="12">
        <f>SUMIFS(Tableau1345678[CRÉDIT],Tableau1345678[COMPTES],"BNP PARIBAS",Tableau1345678[POINTÉS],"ü")</f>
        <v>0</v>
      </c>
    </row>
    <row r="65" spans="1:6" x14ac:dyDescent="0.25">
      <c r="A65" s="10" t="s">
        <v>39</v>
      </c>
      <c r="B65" s="11">
        <f>SUMIFS(Tableau1345678[DÉBIT],Tableau1345678[COMPTES],"SOCIÉTÉ GÉNÉRALE",Tableau1345678[POINTÉS],"")</f>
        <v>0</v>
      </c>
      <c r="C65" s="12">
        <f>SUMIFS(Tableau1345678[CRÉDIT],Tableau1345678[COMPTES],"SOCIÉTÉ GÉNÉRALE",Tableau1345678[POINTÉS],"")</f>
        <v>0</v>
      </c>
      <c r="D65" s="10" t="s">
        <v>39</v>
      </c>
      <c r="E65" s="11">
        <f>SUMIFS(Tableau1345678[DÉBIT],Tableau1345678[COMPTES],"BNP PARIBAS",Tableau1345678[POINTÉS],"")</f>
        <v>0</v>
      </c>
      <c r="F65" s="12">
        <f>SUMIFS(Tableau1345678[CRÉDIT],Tableau1345678[COMPTES],"BNP PARIBAS",Tableau1345678[POINTÉS],"")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54" priority="23" operator="equal">
      <formula>FALSE</formula>
    </cfRule>
    <cfRule type="cellIs" dxfId="253" priority="24" operator="equal">
      <formula>TRUE</formula>
    </cfRule>
  </conditionalFormatting>
  <conditionalFormatting sqref="J4">
    <cfRule type="cellIs" dxfId="252" priority="21" operator="equal">
      <formula>FALSE</formula>
    </cfRule>
    <cfRule type="cellIs" dxfId="251" priority="22" operator="equal">
      <formula>TRUE</formula>
    </cfRule>
  </conditionalFormatting>
  <conditionalFormatting sqref="J5">
    <cfRule type="cellIs" dxfId="250" priority="19" operator="equal">
      <formula>FALSE</formula>
    </cfRule>
    <cfRule type="cellIs" dxfId="249" priority="20" operator="equal">
      <formula>TRUE</formula>
    </cfRule>
  </conditionalFormatting>
  <conditionalFormatting sqref="J6">
    <cfRule type="cellIs" dxfId="248" priority="17" operator="equal">
      <formula>FALSE</formula>
    </cfRule>
    <cfRule type="cellIs" dxfId="247" priority="18" operator="equal">
      <formula>TRUE</formula>
    </cfRule>
  </conditionalFormatting>
  <conditionalFormatting sqref="J7">
    <cfRule type="cellIs" dxfId="246" priority="15" operator="equal">
      <formula>FALSE</formula>
    </cfRule>
    <cfRule type="cellIs" dxfId="245" priority="16" operator="equal">
      <formula>TRUE</formula>
    </cfRule>
  </conditionalFormatting>
  <conditionalFormatting sqref="J8 J10">
    <cfRule type="cellIs" dxfId="244" priority="13" operator="equal">
      <formula>FALSE</formula>
    </cfRule>
    <cfRule type="cellIs" dxfId="243" priority="14" operator="equal">
      <formula>TRUE</formula>
    </cfRule>
  </conditionalFormatting>
  <conditionalFormatting sqref="J9 J11 J13 J15 J17 J19 J21 J23 J25 J27">
    <cfRule type="cellIs" dxfId="242" priority="11" operator="equal">
      <formula>FALSE</formula>
    </cfRule>
    <cfRule type="cellIs" dxfId="241" priority="12" operator="equal">
      <formula>TRUE</formula>
    </cfRule>
  </conditionalFormatting>
  <conditionalFormatting sqref="J12 J14 J16 J18 J20 J22 J24 J26 J28">
    <cfRule type="cellIs" dxfId="240" priority="9" operator="equal">
      <formula>FALSE</formula>
    </cfRule>
    <cfRule type="cellIs" dxfId="239" priority="10" operator="equal">
      <formula>TRUE</formula>
    </cfRule>
  </conditionalFormatting>
  <conditionalFormatting sqref="J29">
    <cfRule type="cellIs" dxfId="238" priority="7" operator="equal">
      <formula>FALSE</formula>
    </cfRule>
    <cfRule type="cellIs" dxfId="237" priority="8" operator="equal">
      <formula>TRUE</formula>
    </cfRule>
  </conditionalFormatting>
  <conditionalFormatting sqref="J30">
    <cfRule type="cellIs" dxfId="236" priority="5" operator="equal">
      <formula>FALSE</formula>
    </cfRule>
    <cfRule type="cellIs" dxfId="235" priority="6" operator="equal">
      <formula>TRUE</formula>
    </cfRule>
  </conditionalFormatting>
  <conditionalFormatting sqref="J31 J33 J35 J37 J39 J41 J43 J45 J47 J49 J51 J53 J55 J57 J59">
    <cfRule type="cellIs" dxfId="234" priority="3" operator="equal">
      <formula>FALSE</formula>
    </cfRule>
    <cfRule type="cellIs" dxfId="233" priority="4" operator="equal">
      <formula>TRUE</formula>
    </cfRule>
  </conditionalFormatting>
  <conditionalFormatting sqref="J32 J34 J36 J38 J40 J42 J44 J46 J48 J50 J52 J54 J56 J58 J60">
    <cfRule type="cellIs" dxfId="232" priority="1" operator="equal">
      <formula>FALSE</formula>
    </cfRule>
    <cfRule type="cellIs" dxfId="231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(JUILLET!$D$1-(B64)+(C64))</f>
        <v>0</v>
      </c>
      <c r="E1" s="9"/>
      <c r="F1" s="14" t="s">
        <v>14</v>
      </c>
      <c r="G1" s="15">
        <f>(JUILLET!$G$1-(E64)+(F64))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1" spans="1:10" x14ac:dyDescent="0.25">
      <c r="A61" s="2"/>
      <c r="B61" s="3"/>
      <c r="C61" s="4"/>
      <c r="D61" s="4"/>
      <c r="E61" s="4"/>
      <c r="F61" s="26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SUMIFS(Tableau13456789[DÉBIT],Tableau13456789[COMPTES],"SOCIÉTÉ GÉNÉRALE",Tableau13456789[POINTÉS],"ü")</f>
        <v>0</v>
      </c>
      <c r="C64" s="12">
        <f>SUMIFS(Tableau13456789[CRÉDIT],Tableau13456789[COMPTES],"SOCIÉTÉ GÉNÉRALE",Tableau13456789[POINTÉS],"ü")</f>
        <v>0</v>
      </c>
      <c r="D64" s="10" t="s">
        <v>44</v>
      </c>
      <c r="E64" s="11">
        <f>SUMIFS(Tableau13456789[DÉBIT],Tableau13456789[COMPTES],"BNP PARIBAS",Tableau13456789[POINTÉS],"ü")</f>
        <v>0</v>
      </c>
      <c r="F64" s="12">
        <f>SUMIFS(Tableau13456789[CRÉDIT],Tableau13456789[COMPTES],"BNP PARIBAS",Tableau13456789[POINTÉS],"ü")</f>
        <v>0</v>
      </c>
    </row>
    <row r="65" spans="1:6" x14ac:dyDescent="0.25">
      <c r="A65" s="10" t="s">
        <v>39</v>
      </c>
      <c r="B65" s="11">
        <f>SUMIFS(Tableau13456789[DÉBIT],Tableau13456789[COMPTES],"SOCIÉTÉ GÉNÉRALE",Tableau13456789[POINTÉS],"")</f>
        <v>0</v>
      </c>
      <c r="C65" s="12">
        <f>SUMIFS(Tableau13456789[CRÉDIT],Tableau13456789[COMPTES],"SOCIÉTÉ GÉNÉRALE",Tableau13456789[POINTÉS],"")</f>
        <v>0</v>
      </c>
      <c r="D65" s="10" t="s">
        <v>39</v>
      </c>
      <c r="E65" s="11">
        <f>SUMIFS(Tableau13456789[DÉBIT],Tableau13456789[COMPTES],"BNP PARIBAS",Tableau13456789[POINTÉS],"")</f>
        <v>0</v>
      </c>
      <c r="F65" s="12">
        <f>SUMIFS(Tableau13456789[CRÉDIT],Tableau13456789[COMPTES],"BNP PARIBAS",Tableau13456789[POINTÉS],"")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18" priority="23" operator="equal">
      <formula>FALSE</formula>
    </cfRule>
    <cfRule type="cellIs" dxfId="217" priority="24" operator="equal">
      <formula>TRUE</formula>
    </cfRule>
  </conditionalFormatting>
  <conditionalFormatting sqref="J4">
    <cfRule type="cellIs" dxfId="216" priority="21" operator="equal">
      <formula>FALSE</formula>
    </cfRule>
    <cfRule type="cellIs" dxfId="215" priority="22" operator="equal">
      <formula>TRUE</formula>
    </cfRule>
  </conditionalFormatting>
  <conditionalFormatting sqref="J5">
    <cfRule type="cellIs" dxfId="214" priority="19" operator="equal">
      <formula>FALSE</formula>
    </cfRule>
    <cfRule type="cellIs" dxfId="213" priority="20" operator="equal">
      <formula>TRUE</formula>
    </cfRule>
  </conditionalFormatting>
  <conditionalFormatting sqref="J6">
    <cfRule type="cellIs" dxfId="212" priority="17" operator="equal">
      <formula>FALSE</formula>
    </cfRule>
    <cfRule type="cellIs" dxfId="211" priority="18" operator="equal">
      <formula>TRUE</formula>
    </cfRule>
  </conditionalFormatting>
  <conditionalFormatting sqref="J7">
    <cfRule type="cellIs" dxfId="210" priority="15" operator="equal">
      <formula>FALSE</formula>
    </cfRule>
    <cfRule type="cellIs" dxfId="209" priority="16" operator="equal">
      <formula>TRUE</formula>
    </cfRule>
  </conditionalFormatting>
  <conditionalFormatting sqref="J8 J10">
    <cfRule type="cellIs" dxfId="208" priority="13" operator="equal">
      <formula>FALSE</formula>
    </cfRule>
    <cfRule type="cellIs" dxfId="207" priority="14" operator="equal">
      <formula>TRUE</formula>
    </cfRule>
  </conditionalFormatting>
  <conditionalFormatting sqref="J9 J11 J13 J15 J17 J19 J21 J23 J25 J27">
    <cfRule type="cellIs" dxfId="206" priority="11" operator="equal">
      <formula>FALSE</formula>
    </cfRule>
    <cfRule type="cellIs" dxfId="205" priority="12" operator="equal">
      <formula>TRUE</formula>
    </cfRule>
  </conditionalFormatting>
  <conditionalFormatting sqref="J12 J14 J16 J18 J20 J22 J24 J26 J28">
    <cfRule type="cellIs" dxfId="204" priority="9" operator="equal">
      <formula>FALSE</formula>
    </cfRule>
    <cfRule type="cellIs" dxfId="203" priority="10" operator="equal">
      <formula>TRUE</formula>
    </cfRule>
  </conditionalFormatting>
  <conditionalFormatting sqref="J29">
    <cfRule type="cellIs" dxfId="202" priority="7" operator="equal">
      <formula>FALSE</formula>
    </cfRule>
    <cfRule type="cellIs" dxfId="201" priority="8" operator="equal">
      <formula>TRUE</formula>
    </cfRule>
  </conditionalFormatting>
  <conditionalFormatting sqref="J30">
    <cfRule type="cellIs" dxfId="200" priority="5" operator="equal">
      <formula>FALSE</formula>
    </cfRule>
    <cfRule type="cellIs" dxfId="199" priority="6" operator="equal">
      <formula>TRUE</formula>
    </cfRule>
  </conditionalFormatting>
  <conditionalFormatting sqref="J31 J33 J35 J37 J39 J41 J43 J45 J47 J49 J51 J53 J55 J57 J59">
    <cfRule type="cellIs" dxfId="198" priority="3" operator="equal">
      <formula>FALSE</formula>
    </cfRule>
    <cfRule type="cellIs" dxfId="197" priority="4" operator="equal">
      <formula>TRUE</formula>
    </cfRule>
  </conditionalFormatting>
  <conditionalFormatting sqref="J32 J34 J36 J38 J40 J42 J44 J46 J48 J50 J52 J54 J56 J58 J60">
    <cfRule type="cellIs" dxfId="196" priority="1" operator="equal">
      <formula>FALSE</formula>
    </cfRule>
    <cfRule type="cellIs" dxfId="195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(AOUT!$D$1-(B64)+(C64))</f>
        <v>0</v>
      </c>
      <c r="E1" s="9"/>
      <c r="F1" s="14" t="s">
        <v>14</v>
      </c>
      <c r="G1" s="15">
        <f>(AOUT!$G$1-(E64)+(F64))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SUMIFS(Tableau1345678910[DÉBIT],Tableau1345678910[COMPTES],"SOCIÉTÉ GÉNÉRALE",Tableau1345678910[POINTÉS],"ü")</f>
        <v>0</v>
      </c>
      <c r="C64" s="12">
        <f>SUMIFS(Tableau1345678910[CRÉDIT],Tableau1345678910[COMPTES],"SOCIÉTÉ GÉNÉRALE",Tableau1345678910[POINTÉS],"ü")</f>
        <v>0</v>
      </c>
      <c r="D64" s="10" t="s">
        <v>44</v>
      </c>
      <c r="E64" s="11">
        <f>SUMIFS(Tableau1345678910[DÉBIT],Tableau1345678910[COMPTES],"BNP PARIBAS",Tableau1345678910[POINTÉS],"ü")</f>
        <v>0</v>
      </c>
      <c r="F64" s="12">
        <f>SUMIFS(Tableau1345678910[CRÉDIT],Tableau1345678910[COMPTES],"BNP PARIBAS",Tableau1345678910[POINTÉS],"ü")</f>
        <v>0</v>
      </c>
    </row>
    <row r="65" spans="1:6" x14ac:dyDescent="0.25">
      <c r="A65" s="10" t="s">
        <v>39</v>
      </c>
      <c r="B65" s="11">
        <f>SUMIFS(Tableau1345678910[DÉBIT],Tableau1345678910[COMPTES],"SOCIÉTÉ GÉNÉRALE",Tableau1345678910[POINTÉS],"")</f>
        <v>0</v>
      </c>
      <c r="C65" s="12">
        <f>SUMIFS(Tableau1345678910[CRÉDIT],Tableau1345678910[COMPTES],"SOCIÉTÉ GÉNÉRALE",Tableau1345678910[POINTÉS],"")</f>
        <v>0</v>
      </c>
      <c r="D65" s="10" t="s">
        <v>39</v>
      </c>
      <c r="E65" s="11">
        <f>SUMIFS(Tableau1345678910[DÉBIT],Tableau1345678910[COMPTES],"BNP PARIBAS",Tableau1345678910[POINTÉS],"")</f>
        <v>0</v>
      </c>
      <c r="F65" s="12">
        <f>SUMIFS(Tableau1345678910[CRÉDIT],Tableau1345678910[COMPTES],"BNP PARIBAS",Tableau1345678910[POINTÉS],"")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82" priority="23" operator="equal">
      <formula>FALSE</formula>
    </cfRule>
    <cfRule type="cellIs" dxfId="181" priority="24" operator="equal">
      <formula>TRUE</formula>
    </cfRule>
  </conditionalFormatting>
  <conditionalFormatting sqref="J4">
    <cfRule type="cellIs" dxfId="180" priority="21" operator="equal">
      <formula>FALSE</formula>
    </cfRule>
    <cfRule type="cellIs" dxfId="179" priority="22" operator="equal">
      <formula>TRUE</formula>
    </cfRule>
  </conditionalFormatting>
  <conditionalFormatting sqref="J5">
    <cfRule type="cellIs" dxfId="178" priority="19" operator="equal">
      <formula>FALSE</formula>
    </cfRule>
    <cfRule type="cellIs" dxfId="177" priority="20" operator="equal">
      <formula>TRUE</formula>
    </cfRule>
  </conditionalFormatting>
  <conditionalFormatting sqref="J6">
    <cfRule type="cellIs" dxfId="176" priority="17" operator="equal">
      <formula>FALSE</formula>
    </cfRule>
    <cfRule type="cellIs" dxfId="175" priority="18" operator="equal">
      <formula>TRUE</formula>
    </cfRule>
  </conditionalFormatting>
  <conditionalFormatting sqref="J7">
    <cfRule type="cellIs" dxfId="174" priority="15" operator="equal">
      <formula>FALSE</formula>
    </cfRule>
    <cfRule type="cellIs" dxfId="173" priority="16" operator="equal">
      <formula>TRUE</formula>
    </cfRule>
  </conditionalFormatting>
  <conditionalFormatting sqref="J8 J10">
    <cfRule type="cellIs" dxfId="172" priority="13" operator="equal">
      <formula>FALSE</formula>
    </cfRule>
    <cfRule type="cellIs" dxfId="171" priority="14" operator="equal">
      <formula>TRUE</formula>
    </cfRule>
  </conditionalFormatting>
  <conditionalFormatting sqref="J9 J11 J13 J15 J17 J19 J21 J23 J25 J27">
    <cfRule type="cellIs" dxfId="170" priority="11" operator="equal">
      <formula>FALSE</formula>
    </cfRule>
    <cfRule type="cellIs" dxfId="169" priority="12" operator="equal">
      <formula>TRUE</formula>
    </cfRule>
  </conditionalFormatting>
  <conditionalFormatting sqref="J12 J14 J16 J18 J20 J22 J24 J26 J28">
    <cfRule type="cellIs" dxfId="168" priority="9" operator="equal">
      <formula>FALSE</formula>
    </cfRule>
    <cfRule type="cellIs" dxfId="167" priority="10" operator="equal">
      <formula>TRUE</formula>
    </cfRule>
  </conditionalFormatting>
  <conditionalFormatting sqref="J29">
    <cfRule type="cellIs" dxfId="166" priority="7" operator="equal">
      <formula>FALSE</formula>
    </cfRule>
    <cfRule type="cellIs" dxfId="165" priority="8" operator="equal">
      <formula>TRUE</formula>
    </cfRule>
  </conditionalFormatting>
  <conditionalFormatting sqref="J30">
    <cfRule type="cellIs" dxfId="164" priority="5" operator="equal">
      <formula>FALSE</formula>
    </cfRule>
    <cfRule type="cellIs" dxfId="163" priority="6" operator="equal">
      <formula>TRUE</formula>
    </cfRule>
  </conditionalFormatting>
  <conditionalFormatting sqref="J31 J33 J35 J37 J39 J41 J43 J45 J47 J49 J51 J53 J55 J57 J59">
    <cfRule type="cellIs" dxfId="162" priority="3" operator="equal">
      <formula>FALSE</formula>
    </cfRule>
    <cfRule type="cellIs" dxfId="161" priority="4" operator="equal">
      <formula>TRUE</formula>
    </cfRule>
  </conditionalFormatting>
  <conditionalFormatting sqref="J32 J34 J36 J38 J40 J42 J44 J46 J48 J50 J52 J54 J56 J58 J60">
    <cfRule type="cellIs" dxfId="160" priority="1" operator="equal">
      <formula>FALSE</formula>
    </cfRule>
    <cfRule type="cellIs" dxfId="159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(SEPTEMBRE!$D$1-(B64)+(C64))</f>
        <v>0</v>
      </c>
      <c r="E1" s="9"/>
      <c r="F1" s="14" t="s">
        <v>14</v>
      </c>
      <c r="G1" s="15">
        <f>(SEPTEMBRE!$G$1-(E64)+(F64))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SUMIFS(Tableau134567891011[DÉBIT],Tableau134567891011[COMPTES],"SOCIÉTÉ GÉNÉRALE",Tableau134567891011[POINTÉS],"ü")</f>
        <v>0</v>
      </c>
      <c r="C64" s="12">
        <f>SUMIFS(Tableau134567891011[CRÉDIT],Tableau134567891011[COMPTES],"SOCIÉTÉ GÉNÉRALE",Tableau134567891011[POINTÉS],"ü")</f>
        <v>0</v>
      </c>
      <c r="D64" s="10" t="s">
        <v>44</v>
      </c>
      <c r="E64" s="11">
        <f>SUMIFS(Tableau134567891011[DÉBIT],Tableau134567891011[COMPTES],"BNP PARIBAS",Tableau134567891011[POINTÉS],"ü")</f>
        <v>0</v>
      </c>
      <c r="F64" s="12">
        <f>SUMIFS(Tableau134567891011[CRÉDIT],Tableau134567891011[COMPTES],"BNP PARIBAS",Tableau134567891011[POINTÉS],"ü")</f>
        <v>0</v>
      </c>
    </row>
    <row r="65" spans="1:6" x14ac:dyDescent="0.25">
      <c r="A65" s="10" t="s">
        <v>39</v>
      </c>
      <c r="B65" s="11">
        <f>SUMIFS(Tableau134567891011[DÉBIT],Tableau134567891011[COMPTES],"SOCIÉTÉ GÉNÉRALE",Tableau134567891011[POINTÉS],"")</f>
        <v>0</v>
      </c>
      <c r="C65" s="12">
        <f>SUMIFS(Tableau134567891011[CRÉDIT],Tableau134567891011[COMPTES],"SOCIÉTÉ GÉNÉRALE",Tableau134567891011[POINTÉS],"")</f>
        <v>0</v>
      </c>
      <c r="D65" s="10" t="s">
        <v>39</v>
      </c>
      <c r="E65" s="11">
        <f>SUMIFS(Tableau134567891011[DÉBIT],Tableau134567891011[COMPTES],"BNP PARIBAS",Tableau134567891011[POINTÉS],"")</f>
        <v>0</v>
      </c>
      <c r="F65" s="12">
        <f>SUMIFS(Tableau134567891011[CRÉDIT],Tableau134567891011[COMPTES],"BNP PARIBAS",Tableau134567891011[POINTÉS],"")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46" priority="23" operator="equal">
      <formula>FALSE</formula>
    </cfRule>
    <cfRule type="cellIs" dxfId="145" priority="24" operator="equal">
      <formula>TRUE</formula>
    </cfRule>
  </conditionalFormatting>
  <conditionalFormatting sqref="J4">
    <cfRule type="cellIs" dxfId="144" priority="21" operator="equal">
      <formula>FALSE</formula>
    </cfRule>
    <cfRule type="cellIs" dxfId="143" priority="22" operator="equal">
      <formula>TRUE</formula>
    </cfRule>
  </conditionalFormatting>
  <conditionalFormatting sqref="J5">
    <cfRule type="cellIs" dxfId="142" priority="19" operator="equal">
      <formula>FALSE</formula>
    </cfRule>
    <cfRule type="cellIs" dxfId="141" priority="20" operator="equal">
      <formula>TRUE</formula>
    </cfRule>
  </conditionalFormatting>
  <conditionalFormatting sqref="J6">
    <cfRule type="cellIs" dxfId="140" priority="17" operator="equal">
      <formula>FALSE</formula>
    </cfRule>
    <cfRule type="cellIs" dxfId="139" priority="18" operator="equal">
      <formula>TRUE</formula>
    </cfRule>
  </conditionalFormatting>
  <conditionalFormatting sqref="J7">
    <cfRule type="cellIs" dxfId="138" priority="15" operator="equal">
      <formula>FALSE</formula>
    </cfRule>
    <cfRule type="cellIs" dxfId="137" priority="16" operator="equal">
      <formula>TRUE</formula>
    </cfRule>
  </conditionalFormatting>
  <conditionalFormatting sqref="J8 J10">
    <cfRule type="cellIs" dxfId="136" priority="13" operator="equal">
      <formula>FALSE</formula>
    </cfRule>
    <cfRule type="cellIs" dxfId="135" priority="14" operator="equal">
      <formula>TRUE</formula>
    </cfRule>
  </conditionalFormatting>
  <conditionalFormatting sqref="J9 J11 J13 J15 J17 J19 J21 J23 J25 J27">
    <cfRule type="cellIs" dxfId="134" priority="11" operator="equal">
      <formula>FALSE</formula>
    </cfRule>
    <cfRule type="cellIs" dxfId="133" priority="12" operator="equal">
      <formula>TRUE</formula>
    </cfRule>
  </conditionalFormatting>
  <conditionalFormatting sqref="J12 J14 J16 J18 J20 J22 J24 J26 J28">
    <cfRule type="cellIs" dxfId="132" priority="9" operator="equal">
      <formula>FALSE</formula>
    </cfRule>
    <cfRule type="cellIs" dxfId="131" priority="10" operator="equal">
      <formula>TRUE</formula>
    </cfRule>
  </conditionalFormatting>
  <conditionalFormatting sqref="J29">
    <cfRule type="cellIs" dxfId="130" priority="7" operator="equal">
      <formula>FALSE</formula>
    </cfRule>
    <cfRule type="cellIs" dxfId="129" priority="8" operator="equal">
      <formula>TRUE</formula>
    </cfRule>
  </conditionalFormatting>
  <conditionalFormatting sqref="J30">
    <cfRule type="cellIs" dxfId="128" priority="5" operator="equal">
      <formula>FALSE</formula>
    </cfRule>
    <cfRule type="cellIs" dxfId="127" priority="6" operator="equal">
      <formula>TRUE</formula>
    </cfRule>
  </conditionalFormatting>
  <conditionalFormatting sqref="J31 J33 J35 J37 J39 J41 J43 J45 J47 J49 J51 J53 J55 J57 J59">
    <cfRule type="cellIs" dxfId="126" priority="3" operator="equal">
      <formula>FALSE</formula>
    </cfRule>
    <cfRule type="cellIs" dxfId="125" priority="4" operator="equal">
      <formula>TRUE</formula>
    </cfRule>
  </conditionalFormatting>
  <conditionalFormatting sqref="J32 J34 J36 J38 J40 J42 J44 J46 J48 J50 J52 J54 J56 J58 J60">
    <cfRule type="cellIs" dxfId="124" priority="1" operator="equal">
      <formula>FALSE</formula>
    </cfRule>
    <cfRule type="cellIs" dxfId="123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(OCTOBRE!$D$1-(B64)+(C64))</f>
        <v>0</v>
      </c>
      <c r="E1" s="9"/>
      <c r="F1" s="14" t="s">
        <v>14</v>
      </c>
      <c r="G1" s="15">
        <f>(OCTOBRE!$G$1-(E64)+(F64))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SUMIFS(Tableau13456789101112[DÉBIT],Tableau13456789101112[COMPTES],"SOCIÉTÉ GÉNÉRALE",Tableau13456789101112[POINTÉS],"ü")</f>
        <v>0</v>
      </c>
      <c r="C64" s="12">
        <f>SUMIFS(Tableau13456789101112[CRÉDIT],Tableau13456789101112[COMPTES],"SOCIÉTÉ GÉNÉRALE",Tableau13456789101112[POINTÉS],"ü")</f>
        <v>0</v>
      </c>
      <c r="D64" s="10" t="s">
        <v>44</v>
      </c>
      <c r="E64" s="11">
        <f>SUMIFS(Tableau13456789101112[DÉBIT],Tableau13456789101112[COMPTES],"BNP PARIBAS",Tableau13456789101112[POINTÉS],"ü")</f>
        <v>0</v>
      </c>
      <c r="F64" s="12">
        <f>SUMIFS(Tableau13456789101112[CRÉDIT],Tableau13456789101112[COMPTES],"BNP PARIBAS",Tableau13456789101112[POINTÉS],"ü")</f>
        <v>0</v>
      </c>
    </row>
    <row r="65" spans="1:6" x14ac:dyDescent="0.25">
      <c r="A65" s="10" t="s">
        <v>39</v>
      </c>
      <c r="B65" s="11">
        <f>SUMIFS(Tableau13456789101112[DÉBIT],Tableau13456789101112[COMPTES],"SOCIÉTÉ GÉNÉRALE",Tableau13456789101112[POINTÉS],"")</f>
        <v>0</v>
      </c>
      <c r="C65" s="12">
        <f>SUMIFS(Tableau13456789101112[CRÉDIT],Tableau13456789101112[COMPTES],"SOCIÉTÉ GÉNÉRALE",Tableau13456789101112[POINTÉS],"")</f>
        <v>0</v>
      </c>
      <c r="D65" s="10" t="s">
        <v>39</v>
      </c>
      <c r="E65" s="11">
        <f>SUMIFS(Tableau13456789101112[DÉBIT],Tableau13456789101112[COMPTES],"BNP PARIBAS",Tableau13456789101112[POINTÉS],"")</f>
        <v>0</v>
      </c>
      <c r="F65" s="12">
        <f>SUMIFS(Tableau13456789101112[CRÉDIT],Tableau13456789101112[COMPTES],"BNP PARIBAS",Tableau13456789101112[POINTÉS],"")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10" priority="23" operator="equal">
      <formula>FALSE</formula>
    </cfRule>
    <cfRule type="cellIs" dxfId="109" priority="24" operator="equal">
      <formula>TRUE</formula>
    </cfRule>
  </conditionalFormatting>
  <conditionalFormatting sqref="J4">
    <cfRule type="cellIs" dxfId="108" priority="21" operator="equal">
      <formula>FALSE</formula>
    </cfRule>
    <cfRule type="cellIs" dxfId="107" priority="22" operator="equal">
      <formula>TRUE</formula>
    </cfRule>
  </conditionalFormatting>
  <conditionalFormatting sqref="J5">
    <cfRule type="cellIs" dxfId="106" priority="19" operator="equal">
      <formula>FALSE</formula>
    </cfRule>
    <cfRule type="cellIs" dxfId="105" priority="20" operator="equal">
      <formula>TRUE</formula>
    </cfRule>
  </conditionalFormatting>
  <conditionalFormatting sqref="J6">
    <cfRule type="cellIs" dxfId="104" priority="17" operator="equal">
      <formula>FALSE</formula>
    </cfRule>
    <cfRule type="cellIs" dxfId="103" priority="18" operator="equal">
      <formula>TRUE</formula>
    </cfRule>
  </conditionalFormatting>
  <conditionalFormatting sqref="J7">
    <cfRule type="cellIs" dxfId="102" priority="15" operator="equal">
      <formula>FALSE</formula>
    </cfRule>
    <cfRule type="cellIs" dxfId="101" priority="16" operator="equal">
      <formula>TRUE</formula>
    </cfRule>
  </conditionalFormatting>
  <conditionalFormatting sqref="J8 J10">
    <cfRule type="cellIs" dxfId="100" priority="13" operator="equal">
      <formula>FALSE</formula>
    </cfRule>
    <cfRule type="cellIs" dxfId="99" priority="14" operator="equal">
      <formula>TRUE</formula>
    </cfRule>
  </conditionalFormatting>
  <conditionalFormatting sqref="J9 J11 J13 J15 J17 J19 J21 J23 J25 J27">
    <cfRule type="cellIs" dxfId="98" priority="11" operator="equal">
      <formula>FALSE</formula>
    </cfRule>
    <cfRule type="cellIs" dxfId="97" priority="12" operator="equal">
      <formula>TRUE</formula>
    </cfRule>
  </conditionalFormatting>
  <conditionalFormatting sqref="J12 J14 J16 J18 J20 J22 J24 J26 J28">
    <cfRule type="cellIs" dxfId="96" priority="9" operator="equal">
      <formula>FALSE</formula>
    </cfRule>
    <cfRule type="cellIs" dxfId="95" priority="10" operator="equal">
      <formula>TRUE</formula>
    </cfRule>
  </conditionalFormatting>
  <conditionalFormatting sqref="J29">
    <cfRule type="cellIs" dxfId="94" priority="7" operator="equal">
      <formula>FALSE</formula>
    </cfRule>
    <cfRule type="cellIs" dxfId="93" priority="8" operator="equal">
      <formula>TRUE</formula>
    </cfRule>
  </conditionalFormatting>
  <conditionalFormatting sqref="J30">
    <cfRule type="cellIs" dxfId="92" priority="5" operator="equal">
      <formula>FALSE</formula>
    </cfRule>
    <cfRule type="cellIs" dxfId="91" priority="6" operator="equal">
      <formula>TRUE</formula>
    </cfRule>
  </conditionalFormatting>
  <conditionalFormatting sqref="J31 J33 J35 J37 J39 J41 J43 J45 J47 J49 J51 J53 J55 J57 J59">
    <cfRule type="cellIs" dxfId="90" priority="3" operator="equal">
      <formula>FALSE</formula>
    </cfRule>
    <cfRule type="cellIs" dxfId="89" priority="4" operator="equal">
      <formula>TRUE</formula>
    </cfRule>
  </conditionalFormatting>
  <conditionalFormatting sqref="J32 J34 J36 J38 J40 J42 J44 J46 J48 J50 J52 J54 J56 J58 J60">
    <cfRule type="cellIs" dxfId="88" priority="1" operator="equal">
      <formula>FALSE</formula>
    </cfRule>
    <cfRule type="cellIs" dxfId="87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109375" defaultRowHeight="15" x14ac:dyDescent="0.25"/>
  <cols>
    <col min="1" max="1" width="18.85546875" style="1" customWidth="1"/>
    <col min="2" max="2" width="14" style="1" customWidth="1"/>
    <col min="3" max="3" width="13.42578125" style="1" customWidth="1"/>
    <col min="4" max="4" width="19.85546875" style="1" customWidth="1"/>
    <col min="5" max="5" width="23" style="1" customWidth="1"/>
    <col min="6" max="6" width="19.140625" style="1" customWidth="1"/>
    <col min="7" max="7" width="37.7109375" style="1" customWidth="1"/>
    <col min="8" max="8" width="21.28515625" style="1" customWidth="1"/>
    <col min="9" max="9" width="29.5703125" style="1" customWidth="1"/>
    <col min="10" max="10" width="13.140625" style="1" bestFit="1" customWidth="1"/>
    <col min="11" max="16384" width="19.7109375" style="1"/>
  </cols>
  <sheetData>
    <row r="1" spans="1:10" ht="18.75" x14ac:dyDescent="0.25">
      <c r="A1" s="5"/>
      <c r="B1" s="14" t="s">
        <v>13</v>
      </c>
      <c r="C1" s="5"/>
      <c r="D1" s="15">
        <f>(NOVEMBRE!$D$1-(B64)+(C64))</f>
        <v>0</v>
      </c>
      <c r="E1" s="9"/>
      <c r="F1" s="14" t="s">
        <v>14</v>
      </c>
      <c r="G1" s="15">
        <f>(NOVEMBRE!$G$1-(E64)+(F64))</f>
        <v>0</v>
      </c>
      <c r="H1" s="9"/>
    </row>
    <row r="2" spans="1:10" x14ac:dyDescent="0.25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x14ac:dyDescent="0.25">
      <c r="A3" s="2"/>
      <c r="B3" s="3"/>
      <c r="C3" s="4"/>
      <c r="D3" s="4"/>
      <c r="E3" s="4"/>
      <c r="F3" s="26"/>
      <c r="J3" s="42"/>
    </row>
    <row r="4" spans="1:10" x14ac:dyDescent="0.25">
      <c r="A4" s="2"/>
      <c r="B4" s="3"/>
      <c r="C4" s="4"/>
      <c r="D4" s="4"/>
      <c r="E4" s="4"/>
      <c r="F4" s="26"/>
      <c r="J4" s="42"/>
    </row>
    <row r="5" spans="1:10" x14ac:dyDescent="0.25">
      <c r="A5" s="2"/>
      <c r="B5" s="3"/>
      <c r="C5" s="4"/>
      <c r="D5" s="4"/>
      <c r="E5" s="4"/>
      <c r="F5" s="26"/>
      <c r="J5" s="42"/>
    </row>
    <row r="6" spans="1:10" x14ac:dyDescent="0.25">
      <c r="A6" s="2"/>
      <c r="B6" s="3"/>
      <c r="C6" s="4"/>
      <c r="D6" s="4"/>
      <c r="E6" s="4"/>
      <c r="F6" s="26"/>
      <c r="J6" s="42"/>
    </row>
    <row r="7" spans="1:10" x14ac:dyDescent="0.25">
      <c r="A7" s="2"/>
      <c r="B7" s="3"/>
      <c r="C7" s="4"/>
      <c r="D7" s="4"/>
      <c r="E7" s="4"/>
      <c r="F7" s="26"/>
      <c r="J7" s="42"/>
    </row>
    <row r="8" spans="1:10" x14ac:dyDescent="0.25">
      <c r="A8" s="2"/>
      <c r="B8" s="3"/>
      <c r="C8" s="4"/>
      <c r="D8" s="4"/>
      <c r="E8" s="4"/>
      <c r="F8" s="26"/>
      <c r="J8" s="42"/>
    </row>
    <row r="9" spans="1:10" x14ac:dyDescent="0.25">
      <c r="A9" s="2"/>
      <c r="B9" s="3"/>
      <c r="C9" s="4"/>
      <c r="D9" s="4"/>
      <c r="E9" s="4"/>
      <c r="F9" s="26"/>
      <c r="J9" s="42"/>
    </row>
    <row r="10" spans="1:10" x14ac:dyDescent="0.25">
      <c r="A10" s="2"/>
      <c r="B10" s="3"/>
      <c r="C10" s="4"/>
      <c r="D10" s="4"/>
      <c r="E10" s="4"/>
      <c r="F10" s="26"/>
      <c r="J10" s="42"/>
    </row>
    <row r="11" spans="1:10" x14ac:dyDescent="0.25">
      <c r="A11" s="2"/>
      <c r="B11" s="3"/>
      <c r="C11" s="4"/>
      <c r="D11" s="4"/>
      <c r="E11" s="4"/>
      <c r="F11" s="26"/>
      <c r="J11" s="42"/>
    </row>
    <row r="12" spans="1:10" x14ac:dyDescent="0.25">
      <c r="A12" s="2"/>
      <c r="B12" s="3"/>
      <c r="C12" s="4"/>
      <c r="D12" s="4"/>
      <c r="E12" s="4"/>
      <c r="F12" s="26"/>
      <c r="J12" s="42"/>
    </row>
    <row r="13" spans="1:10" x14ac:dyDescent="0.25">
      <c r="A13" s="2"/>
      <c r="B13" s="3"/>
      <c r="C13" s="4"/>
      <c r="D13" s="4"/>
      <c r="E13" s="4"/>
      <c r="F13" s="26"/>
      <c r="J13" s="42"/>
    </row>
    <row r="14" spans="1:10" x14ac:dyDescent="0.25">
      <c r="A14" s="2"/>
      <c r="B14" s="3"/>
      <c r="C14" s="4"/>
      <c r="D14" s="4"/>
      <c r="E14" s="4"/>
      <c r="F14" s="26"/>
      <c r="J14" s="42"/>
    </row>
    <row r="15" spans="1:10" x14ac:dyDescent="0.25">
      <c r="A15" s="2"/>
      <c r="B15" s="3"/>
      <c r="C15" s="4"/>
      <c r="D15" s="4"/>
      <c r="E15" s="4"/>
      <c r="F15" s="26"/>
      <c r="J15" s="42"/>
    </row>
    <row r="16" spans="1:10" x14ac:dyDescent="0.25">
      <c r="A16" s="2"/>
      <c r="B16" s="3"/>
      <c r="C16" s="4"/>
      <c r="D16" s="4"/>
      <c r="E16" s="4"/>
      <c r="F16" s="26"/>
      <c r="J16" s="42"/>
    </row>
    <row r="17" spans="1:10" x14ac:dyDescent="0.25">
      <c r="A17" s="2"/>
      <c r="B17" s="3"/>
      <c r="C17" s="4"/>
      <c r="D17" s="4"/>
      <c r="E17" s="4"/>
      <c r="F17" s="26"/>
      <c r="J17" s="42"/>
    </row>
    <row r="18" spans="1:10" x14ac:dyDescent="0.25">
      <c r="A18" s="2"/>
      <c r="B18" s="3"/>
      <c r="C18" s="4"/>
      <c r="D18" s="4"/>
      <c r="E18" s="4"/>
      <c r="F18" s="26"/>
      <c r="J18" s="42"/>
    </row>
    <row r="19" spans="1:10" x14ac:dyDescent="0.25">
      <c r="A19" s="2"/>
      <c r="B19" s="3"/>
      <c r="C19" s="4"/>
      <c r="D19" s="4"/>
      <c r="E19" s="4"/>
      <c r="F19" s="26"/>
      <c r="J19" s="42"/>
    </row>
    <row r="20" spans="1:10" x14ac:dyDescent="0.25">
      <c r="A20" s="2"/>
      <c r="B20" s="3"/>
      <c r="C20" s="4"/>
      <c r="D20" s="4"/>
      <c r="E20" s="4"/>
      <c r="F20" s="26"/>
      <c r="J20" s="42"/>
    </row>
    <row r="21" spans="1:10" x14ac:dyDescent="0.25">
      <c r="A21" s="2"/>
      <c r="B21" s="3"/>
      <c r="C21" s="4"/>
      <c r="D21" s="4"/>
      <c r="E21" s="4"/>
      <c r="F21" s="26"/>
      <c r="J21" s="42"/>
    </row>
    <row r="22" spans="1:10" x14ac:dyDescent="0.25">
      <c r="A22" s="2"/>
      <c r="B22" s="3"/>
      <c r="C22" s="4"/>
      <c r="D22" s="4"/>
      <c r="E22" s="4"/>
      <c r="F22" s="26"/>
      <c r="J22" s="42"/>
    </row>
    <row r="23" spans="1:10" x14ac:dyDescent="0.25">
      <c r="A23" s="2"/>
      <c r="B23" s="3"/>
      <c r="C23" s="4"/>
      <c r="D23" s="4"/>
      <c r="E23" s="4"/>
      <c r="F23" s="26"/>
      <c r="J23" s="42"/>
    </row>
    <row r="24" spans="1:10" x14ac:dyDescent="0.25">
      <c r="A24" s="2"/>
      <c r="B24" s="3"/>
      <c r="C24" s="4"/>
      <c r="D24" s="4"/>
      <c r="E24" s="4"/>
      <c r="F24" s="26"/>
      <c r="J24" s="42"/>
    </row>
    <row r="25" spans="1:10" x14ac:dyDescent="0.25">
      <c r="A25" s="2"/>
      <c r="B25" s="3"/>
      <c r="C25" s="4"/>
      <c r="D25" s="4"/>
      <c r="E25" s="4"/>
      <c r="F25" s="26"/>
      <c r="J25" s="42"/>
    </row>
    <row r="26" spans="1:10" x14ac:dyDescent="0.25">
      <c r="A26" s="2"/>
      <c r="B26" s="3"/>
      <c r="C26" s="4"/>
      <c r="D26" s="4"/>
      <c r="E26" s="4"/>
      <c r="F26" s="26"/>
      <c r="J26" s="42"/>
    </row>
    <row r="27" spans="1:10" x14ac:dyDescent="0.25">
      <c r="A27" s="2"/>
      <c r="B27" s="3"/>
      <c r="C27" s="4"/>
      <c r="D27" s="4"/>
      <c r="E27" s="4"/>
      <c r="F27" s="26"/>
      <c r="J27" s="42"/>
    </row>
    <row r="28" spans="1:10" x14ac:dyDescent="0.25">
      <c r="A28" s="2"/>
      <c r="B28" s="3"/>
      <c r="C28" s="4"/>
      <c r="D28" s="4"/>
      <c r="E28" s="4"/>
      <c r="F28" s="26"/>
      <c r="J28" s="42"/>
    </row>
    <row r="29" spans="1:10" x14ac:dyDescent="0.25">
      <c r="A29" s="2"/>
      <c r="B29" s="3"/>
      <c r="C29" s="4"/>
      <c r="D29" s="4"/>
      <c r="E29" s="4"/>
      <c r="F29" s="26"/>
      <c r="J29" s="42"/>
    </row>
    <row r="30" spans="1:10" x14ac:dyDescent="0.25">
      <c r="A30" s="2"/>
      <c r="B30" s="3"/>
      <c r="C30" s="4"/>
      <c r="D30" s="4"/>
      <c r="E30" s="4"/>
      <c r="F30" s="26"/>
      <c r="J30" s="42"/>
    </row>
    <row r="31" spans="1:10" x14ac:dyDescent="0.25">
      <c r="A31" s="2"/>
      <c r="B31" s="3"/>
      <c r="C31" s="4"/>
      <c r="D31" s="4"/>
      <c r="E31" s="4"/>
      <c r="F31" s="26"/>
      <c r="J31" s="42"/>
    </row>
    <row r="32" spans="1:10" x14ac:dyDescent="0.25">
      <c r="A32" s="2"/>
      <c r="B32" s="3"/>
      <c r="C32" s="4"/>
      <c r="D32" s="4"/>
      <c r="E32" s="4"/>
      <c r="F32" s="26"/>
      <c r="J32" s="42"/>
    </row>
    <row r="33" spans="1:10" x14ac:dyDescent="0.25">
      <c r="A33" s="2"/>
      <c r="B33" s="3"/>
      <c r="C33" s="4"/>
      <c r="D33" s="4"/>
      <c r="E33" s="4"/>
      <c r="F33" s="26"/>
      <c r="J33" s="42"/>
    </row>
    <row r="34" spans="1:10" x14ac:dyDescent="0.25">
      <c r="A34" s="2"/>
      <c r="B34" s="3"/>
      <c r="C34" s="4"/>
      <c r="D34" s="4"/>
      <c r="E34" s="4"/>
      <c r="F34" s="26"/>
      <c r="J34" s="42"/>
    </row>
    <row r="35" spans="1:10" x14ac:dyDescent="0.25">
      <c r="A35" s="2"/>
      <c r="B35" s="3"/>
      <c r="C35" s="4"/>
      <c r="D35" s="4"/>
      <c r="E35" s="4"/>
      <c r="F35" s="26"/>
      <c r="J35" s="42"/>
    </row>
    <row r="36" spans="1:10" x14ac:dyDescent="0.25">
      <c r="A36" s="2"/>
      <c r="B36" s="3"/>
      <c r="C36" s="4"/>
      <c r="D36" s="4"/>
      <c r="E36" s="4"/>
      <c r="F36" s="26"/>
      <c r="J36" s="42"/>
    </row>
    <row r="37" spans="1:10" x14ac:dyDescent="0.25">
      <c r="A37" s="2"/>
      <c r="B37" s="3"/>
      <c r="C37" s="4"/>
      <c r="D37" s="4"/>
      <c r="E37" s="4"/>
      <c r="F37" s="26"/>
      <c r="J37" s="42"/>
    </row>
    <row r="38" spans="1:10" x14ac:dyDescent="0.25">
      <c r="A38" s="2"/>
      <c r="B38" s="3"/>
      <c r="C38" s="4"/>
      <c r="D38" s="4"/>
      <c r="E38" s="4"/>
      <c r="F38" s="26"/>
      <c r="J38" s="42"/>
    </row>
    <row r="39" spans="1:10" x14ac:dyDescent="0.25">
      <c r="A39" s="2"/>
      <c r="B39" s="3"/>
      <c r="C39" s="4"/>
      <c r="D39" s="4"/>
      <c r="E39" s="4"/>
      <c r="F39" s="26"/>
      <c r="J39" s="42"/>
    </row>
    <row r="40" spans="1:10" x14ac:dyDescent="0.25">
      <c r="A40" s="2"/>
      <c r="B40" s="3"/>
      <c r="C40" s="4"/>
      <c r="D40" s="4"/>
      <c r="E40" s="4"/>
      <c r="F40" s="26"/>
      <c r="J40" s="42"/>
    </row>
    <row r="41" spans="1:10" x14ac:dyDescent="0.25">
      <c r="A41" s="2"/>
      <c r="B41" s="3"/>
      <c r="C41" s="4"/>
      <c r="D41" s="4"/>
      <c r="E41" s="4"/>
      <c r="F41" s="26"/>
      <c r="J41" s="42"/>
    </row>
    <row r="42" spans="1:10" x14ac:dyDescent="0.25">
      <c r="A42" s="2"/>
      <c r="B42" s="3"/>
      <c r="C42" s="4"/>
      <c r="D42" s="4"/>
      <c r="E42" s="4"/>
      <c r="F42" s="26"/>
      <c r="J42" s="42"/>
    </row>
    <row r="43" spans="1:10" x14ac:dyDescent="0.25">
      <c r="A43" s="2"/>
      <c r="B43" s="3"/>
      <c r="C43" s="4"/>
      <c r="D43" s="4"/>
      <c r="E43" s="4"/>
      <c r="F43" s="26"/>
      <c r="J43" s="42"/>
    </row>
    <row r="44" spans="1:10" x14ac:dyDescent="0.25">
      <c r="A44" s="2"/>
      <c r="B44" s="3"/>
      <c r="C44" s="4"/>
      <c r="D44" s="4"/>
      <c r="E44" s="4"/>
      <c r="F44" s="26"/>
      <c r="J44" s="42"/>
    </row>
    <row r="45" spans="1:10" x14ac:dyDescent="0.25">
      <c r="A45" s="2"/>
      <c r="B45" s="3"/>
      <c r="C45" s="4"/>
      <c r="D45" s="4"/>
      <c r="E45" s="4"/>
      <c r="F45" s="26"/>
      <c r="J45" s="42"/>
    </row>
    <row r="46" spans="1:10" x14ac:dyDescent="0.25">
      <c r="A46" s="2"/>
      <c r="B46" s="3"/>
      <c r="C46" s="4"/>
      <c r="D46" s="4"/>
      <c r="E46" s="4"/>
      <c r="F46" s="26"/>
      <c r="J46" s="42"/>
    </row>
    <row r="47" spans="1:10" x14ac:dyDescent="0.25">
      <c r="A47" s="2"/>
      <c r="B47" s="3"/>
      <c r="C47" s="4"/>
      <c r="D47" s="4"/>
      <c r="E47" s="4"/>
      <c r="F47" s="26"/>
      <c r="J47" s="42"/>
    </row>
    <row r="48" spans="1:10" x14ac:dyDescent="0.25">
      <c r="A48" s="2"/>
      <c r="B48" s="3"/>
      <c r="C48" s="4"/>
      <c r="D48" s="4"/>
      <c r="E48" s="4"/>
      <c r="F48" s="26"/>
      <c r="J48" s="42"/>
    </row>
    <row r="49" spans="1:10" x14ac:dyDescent="0.25">
      <c r="A49" s="2"/>
      <c r="B49" s="3"/>
      <c r="C49" s="4"/>
      <c r="D49" s="4"/>
      <c r="E49" s="4"/>
      <c r="F49" s="26"/>
      <c r="J49" s="42"/>
    </row>
    <row r="50" spans="1:10" x14ac:dyDescent="0.25">
      <c r="A50" s="2"/>
      <c r="B50" s="3"/>
      <c r="C50" s="4"/>
      <c r="D50" s="4"/>
      <c r="E50" s="4"/>
      <c r="F50" s="26"/>
      <c r="J50" s="42"/>
    </row>
    <row r="51" spans="1:10" x14ac:dyDescent="0.25">
      <c r="A51" s="2"/>
      <c r="B51" s="3"/>
      <c r="C51" s="4"/>
      <c r="D51" s="4"/>
      <c r="E51" s="4"/>
      <c r="F51" s="26"/>
      <c r="J51" s="42"/>
    </row>
    <row r="52" spans="1:10" x14ac:dyDescent="0.25">
      <c r="A52" s="2"/>
      <c r="B52" s="3"/>
      <c r="C52" s="4"/>
      <c r="D52" s="4"/>
      <c r="E52" s="4"/>
      <c r="F52" s="26"/>
      <c r="J52" s="42"/>
    </row>
    <row r="53" spans="1:10" x14ac:dyDescent="0.25">
      <c r="A53" s="2"/>
      <c r="B53" s="3"/>
      <c r="C53" s="4"/>
      <c r="D53" s="4"/>
      <c r="E53" s="4"/>
      <c r="F53" s="26"/>
      <c r="J53" s="42"/>
    </row>
    <row r="54" spans="1:10" x14ac:dyDescent="0.25">
      <c r="A54" s="2"/>
      <c r="B54" s="3"/>
      <c r="C54" s="4"/>
      <c r="D54" s="4"/>
      <c r="E54" s="4"/>
      <c r="F54" s="26"/>
      <c r="J54" s="42"/>
    </row>
    <row r="55" spans="1:10" x14ac:dyDescent="0.25">
      <c r="A55" s="2"/>
      <c r="B55" s="3"/>
      <c r="C55" s="4"/>
      <c r="D55" s="4"/>
      <c r="E55" s="4"/>
      <c r="F55" s="26"/>
      <c r="J55" s="42"/>
    </row>
    <row r="56" spans="1:10" x14ac:dyDescent="0.25">
      <c r="A56" s="2"/>
      <c r="B56" s="3"/>
      <c r="C56" s="4"/>
      <c r="D56" s="4"/>
      <c r="E56" s="4"/>
      <c r="F56" s="26"/>
      <c r="J56" s="42"/>
    </row>
    <row r="57" spans="1:10" x14ac:dyDescent="0.25">
      <c r="A57" s="2"/>
      <c r="B57" s="3"/>
      <c r="C57" s="4"/>
      <c r="D57" s="4"/>
      <c r="E57" s="4"/>
      <c r="F57" s="26"/>
      <c r="J57" s="42"/>
    </row>
    <row r="58" spans="1:10" x14ac:dyDescent="0.25">
      <c r="A58" s="2"/>
      <c r="B58" s="3"/>
      <c r="C58" s="4"/>
      <c r="D58" s="4"/>
      <c r="E58" s="4"/>
      <c r="F58" s="26"/>
      <c r="J58" s="42"/>
    </row>
    <row r="59" spans="1:10" x14ac:dyDescent="0.25">
      <c r="A59" s="2"/>
      <c r="B59" s="3"/>
      <c r="C59" s="4"/>
      <c r="D59" s="4"/>
      <c r="E59" s="4"/>
      <c r="F59" s="26"/>
      <c r="J59" s="42"/>
    </row>
    <row r="60" spans="1:10" x14ac:dyDescent="0.25">
      <c r="A60" s="2"/>
      <c r="B60" s="3"/>
      <c r="C60" s="4"/>
      <c r="D60" s="4"/>
      <c r="E60" s="4"/>
      <c r="F60" s="26"/>
      <c r="J60" s="42"/>
    </row>
    <row r="62" spans="1:10" x14ac:dyDescent="0.25">
      <c r="A62" s="44" t="s">
        <v>17</v>
      </c>
      <c r="B62" s="44"/>
      <c r="C62" s="44"/>
      <c r="D62" s="44" t="s">
        <v>19</v>
      </c>
      <c r="E62" s="44"/>
      <c r="F62" s="44"/>
    </row>
    <row r="63" spans="1:10" x14ac:dyDescent="0.25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 x14ac:dyDescent="0.25">
      <c r="A64" s="10" t="s">
        <v>44</v>
      </c>
      <c r="B64" s="11">
        <f>SUMIFS(Tableau1345678910111213[DÉBIT],Tableau1345678910111213[COMPTES],"SOCIÉTÉ GÉNÉRALE",Tableau1345678910111213[POINTÉS],"ü")</f>
        <v>0</v>
      </c>
      <c r="C64" s="12">
        <f>SUMIFS(Tableau1345678910111213[CRÉDIT],Tableau1345678910111213[COMPTES],"SOCIÉTÉ GÉNÉRALE",Tableau1345678910111213[POINTÉS],"ü")</f>
        <v>0</v>
      </c>
      <c r="D64" s="10" t="s">
        <v>44</v>
      </c>
      <c r="E64" s="11">
        <f>SUMIFS(Tableau1345678910111213[DÉBIT],Tableau1345678910111213[COMPTES],"BNP PARIBAS",Tableau1345678910111213[POINTÉS],"ü")</f>
        <v>0</v>
      </c>
      <c r="F64" s="12">
        <f>SUMIFS(Tableau1345678910111213[CRÉDIT],Tableau1345678910111213[COMPTES],"BNP PARIBAS",Tableau1345678910111213[POINTÉS],"ü")</f>
        <v>0</v>
      </c>
    </row>
    <row r="65" spans="1:6" x14ac:dyDescent="0.25">
      <c r="A65" s="10" t="s">
        <v>39</v>
      </c>
      <c r="B65" s="11">
        <f>SUMIFS(Tableau1345678910111213[DÉBIT],Tableau1345678910111213[COMPTES],"SOCIÉTÉ GÉNÉRALE",Tableau1345678910111213[POINTÉS],"")</f>
        <v>0</v>
      </c>
      <c r="C65" s="12">
        <f>SUMIFS(Tableau1345678910111213[CRÉDIT],Tableau1345678910111213[COMPTES],"SOCIÉTÉ GÉNÉRALE",Tableau1345678910111213[POINTÉS],"")</f>
        <v>0</v>
      </c>
      <c r="D65" s="10" t="s">
        <v>39</v>
      </c>
      <c r="E65" s="11">
        <f>SUMIFS(Tableau1345678910111213[DÉBIT],Tableau1345678910111213[COMPTES],"BNP PARIBAS",Tableau1345678910111213[POINTÉS],"")</f>
        <v>0</v>
      </c>
      <c r="F65" s="12">
        <f>SUMIFS(Tableau1345678910111213[CRÉDIT],Tableau1345678910111213[COMPTES],"BNP PARIBAS",Tableau1345678910111213[POINTÉS],"")</f>
        <v>0</v>
      </c>
    </row>
    <row r="66" spans="1:6" x14ac:dyDescent="0.25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 x14ac:dyDescent="0.25">
      <c r="A67" s="25"/>
      <c r="B67" s="25"/>
      <c r="C67" s="25"/>
      <c r="D67" s="25"/>
      <c r="E67" s="25"/>
      <c r="F67" s="25"/>
    </row>
    <row r="68" spans="1:6" x14ac:dyDescent="0.25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74" priority="23" operator="equal">
      <formula>FALSE</formula>
    </cfRule>
    <cfRule type="cellIs" dxfId="73" priority="24" operator="equal">
      <formula>TRUE</formula>
    </cfRule>
  </conditionalFormatting>
  <conditionalFormatting sqref="J4">
    <cfRule type="cellIs" dxfId="72" priority="21" operator="equal">
      <formula>FALSE</formula>
    </cfRule>
    <cfRule type="cellIs" dxfId="71" priority="22" operator="equal">
      <formula>TRUE</formula>
    </cfRule>
  </conditionalFormatting>
  <conditionalFormatting sqref="J5">
    <cfRule type="cellIs" dxfId="70" priority="19" operator="equal">
      <formula>FALSE</formula>
    </cfRule>
    <cfRule type="cellIs" dxfId="69" priority="20" operator="equal">
      <formula>TRUE</formula>
    </cfRule>
  </conditionalFormatting>
  <conditionalFormatting sqref="J6">
    <cfRule type="cellIs" dxfId="68" priority="17" operator="equal">
      <formula>FALSE</formula>
    </cfRule>
    <cfRule type="cellIs" dxfId="67" priority="18" operator="equal">
      <formula>TRUE</formula>
    </cfRule>
  </conditionalFormatting>
  <conditionalFormatting sqref="J7">
    <cfRule type="cellIs" dxfId="66" priority="15" operator="equal">
      <formula>FALSE</formula>
    </cfRule>
    <cfRule type="cellIs" dxfId="65" priority="16" operator="equal">
      <formula>TRUE</formula>
    </cfRule>
  </conditionalFormatting>
  <conditionalFormatting sqref="J8 J10">
    <cfRule type="cellIs" dxfId="64" priority="13" operator="equal">
      <formula>FALSE</formula>
    </cfRule>
    <cfRule type="cellIs" dxfId="63" priority="14" operator="equal">
      <formula>TRUE</formula>
    </cfRule>
  </conditionalFormatting>
  <conditionalFormatting sqref="J9 J11 J13 J15 J17 J19 J21 J23 J25 J27">
    <cfRule type="cellIs" dxfId="62" priority="11" operator="equal">
      <formula>FALSE</formula>
    </cfRule>
    <cfRule type="cellIs" dxfId="61" priority="12" operator="equal">
      <formula>TRUE</formula>
    </cfRule>
  </conditionalFormatting>
  <conditionalFormatting sqref="J12 J14 J16 J18 J20 J22 J24 J26 J28">
    <cfRule type="cellIs" dxfId="60" priority="9" operator="equal">
      <formula>FALSE</formula>
    </cfRule>
    <cfRule type="cellIs" dxfId="59" priority="10" operator="equal">
      <formula>TRUE</formula>
    </cfRule>
  </conditionalFormatting>
  <conditionalFormatting sqref="J29">
    <cfRule type="cellIs" dxfId="58" priority="7" operator="equal">
      <formula>FALSE</formula>
    </cfRule>
    <cfRule type="cellIs" dxfId="57" priority="8" operator="equal">
      <formula>TRUE</formula>
    </cfRule>
  </conditionalFormatting>
  <conditionalFormatting sqref="J30">
    <cfRule type="cellIs" dxfId="56" priority="5" operator="equal">
      <formula>FALSE</formula>
    </cfRule>
    <cfRule type="cellIs" dxfId="55" priority="6" operator="equal">
      <formula>TRUE</formula>
    </cfRule>
  </conditionalFormatting>
  <conditionalFormatting sqref="J31 J33 J35 J37 J39 J41 J43 J45 J47 J49 J51 J53 J55 J57 J59">
    <cfRule type="cellIs" dxfId="54" priority="3" operator="equal">
      <formula>FALSE</formula>
    </cfRule>
    <cfRule type="cellIs" dxfId="53" priority="4" operator="equal">
      <formula>TRUE</formula>
    </cfRule>
  </conditionalFormatting>
  <conditionalFormatting sqref="J32 J34 J36 J38 J40 J42 J44 J46 J48 J50 J52 J54 J56 J58 J60">
    <cfRule type="cellIs" dxfId="52" priority="1" operator="equal">
      <formula>FALSE</formula>
    </cfRule>
    <cfRule type="cellIs" dxfId="5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Y121"/>
  <sheetViews>
    <sheetView showGridLines="0" topLeftCell="A49" workbookViewId="0">
      <selection activeCell="A73" sqref="A73"/>
    </sheetView>
  </sheetViews>
  <sheetFormatPr baseColWidth="10" defaultRowHeight="15" x14ac:dyDescent="0.25"/>
  <cols>
    <col min="1" max="1" width="29.5703125" style="1" customWidth="1"/>
    <col min="2" max="2" width="18.42578125" style="1" bestFit="1" customWidth="1"/>
    <col min="3" max="3" width="12.7109375" style="1" bestFit="1" customWidth="1"/>
    <col min="4" max="4" width="10.85546875" style="1" bestFit="1" customWidth="1"/>
    <col min="5" max="5" width="10.7109375" style="1" bestFit="1" customWidth="1"/>
    <col min="6" max="6" width="9.28515625" style="1" bestFit="1" customWidth="1"/>
    <col min="7" max="7" width="9.7109375" style="1" bestFit="1" customWidth="1"/>
    <col min="8" max="8" width="12" style="1" customWidth="1"/>
    <col min="9" max="9" width="11.7109375" style="1" bestFit="1" customWidth="1"/>
    <col min="10" max="10" width="15.85546875" style="1" bestFit="1" customWidth="1"/>
    <col min="11" max="11" width="13.85546875" style="1" bestFit="1" customWidth="1"/>
    <col min="12" max="12" width="15.85546875" style="1" bestFit="1" customWidth="1"/>
    <col min="13" max="13" width="15.140625" style="1" bestFit="1" customWidth="1"/>
    <col min="14" max="14" width="12.85546875" style="1" bestFit="1" customWidth="1"/>
    <col min="15" max="15" width="17.5703125" style="1" bestFit="1" customWidth="1"/>
    <col min="16" max="16" width="20.28515625" style="1" bestFit="1" customWidth="1"/>
    <col min="17" max="17" width="14.42578125" style="1" bestFit="1" customWidth="1"/>
    <col min="18" max="18" width="18.7109375" style="1" bestFit="1" customWidth="1"/>
    <col min="19" max="19" width="6.5703125" style="1" customWidth="1"/>
    <col min="20" max="20" width="9.85546875" style="1" customWidth="1"/>
    <col min="21" max="21" width="15" style="1" bestFit="1" customWidth="1"/>
    <col min="22" max="22" width="10.85546875" style="1" customWidth="1"/>
    <col min="23" max="23" width="17.42578125" style="1" bestFit="1" customWidth="1"/>
    <col min="24" max="24" width="23" style="1" bestFit="1" customWidth="1"/>
    <col min="25" max="25" width="25.85546875" style="1" bestFit="1" customWidth="1"/>
    <col min="26" max="26" width="8" style="1" customWidth="1"/>
    <col min="27" max="27" width="12.7109375" style="1" bestFit="1" customWidth="1"/>
    <col min="28" max="28" width="11.7109375" style="1" bestFit="1" customWidth="1"/>
    <col min="29" max="29" width="8.28515625" style="1" customWidth="1"/>
    <col min="30" max="30" width="13.42578125" style="1" bestFit="1" customWidth="1"/>
    <col min="31" max="31" width="8.85546875" style="1" customWidth="1"/>
    <col min="32" max="32" width="16.28515625" style="1" bestFit="1" customWidth="1"/>
    <col min="33" max="33" width="8.85546875" style="1" customWidth="1"/>
    <col min="34" max="34" width="21.85546875" style="1" bestFit="1" customWidth="1"/>
    <col min="35" max="35" width="10.28515625" style="1" customWidth="1"/>
    <col min="36" max="36" width="15" style="1" bestFit="1" customWidth="1"/>
    <col min="37" max="37" width="16.5703125" style="1" bestFit="1" customWidth="1"/>
    <col min="38" max="38" width="15.85546875" style="1" bestFit="1" customWidth="1"/>
    <col min="39" max="39" width="29.7109375" style="1" bestFit="1" customWidth="1"/>
    <col min="40" max="40" width="28.42578125" style="1" bestFit="1" customWidth="1"/>
    <col min="41" max="41" width="24.7109375" style="1" bestFit="1" customWidth="1"/>
    <col min="42" max="42" width="17.42578125" style="1" bestFit="1" customWidth="1"/>
    <col min="43" max="43" width="10.5703125" style="1" customWidth="1"/>
    <col min="44" max="44" width="14.42578125" style="1" bestFit="1" customWidth="1"/>
    <col min="45" max="45" width="12.7109375" style="1" bestFit="1" customWidth="1"/>
    <col min="46" max="46" width="14.7109375" style="1" bestFit="1" customWidth="1"/>
    <col min="47" max="47" width="15.5703125" style="1" bestFit="1" customWidth="1"/>
    <col min="48" max="48" width="16.5703125" style="1" bestFit="1" customWidth="1"/>
    <col min="49" max="49" width="10.85546875" style="1" customWidth="1"/>
    <col min="50" max="50" width="17.5703125" style="1" bestFit="1" customWidth="1"/>
    <col min="51" max="51" width="12.5703125" style="1" bestFit="1" customWidth="1"/>
    <col min="52" max="16384" width="11.42578125" style="1"/>
  </cols>
  <sheetData>
    <row r="1" spans="1:14" x14ac:dyDescent="0.25">
      <c r="A1" s="29" t="s">
        <v>85</v>
      </c>
      <c r="B1" s="30" t="s">
        <v>86</v>
      </c>
      <c r="C1" s="30" t="s">
        <v>87</v>
      </c>
      <c r="D1" s="30" t="s">
        <v>88</v>
      </c>
      <c r="E1" s="30" t="s">
        <v>89</v>
      </c>
      <c r="F1" s="30" t="s">
        <v>90</v>
      </c>
      <c r="G1" s="30" t="s">
        <v>91</v>
      </c>
      <c r="H1" s="30" t="s">
        <v>92</v>
      </c>
      <c r="I1" s="30" t="s">
        <v>93</v>
      </c>
      <c r="J1" s="30" t="s">
        <v>94</v>
      </c>
      <c r="K1" s="30" t="s">
        <v>95</v>
      </c>
      <c r="L1" s="30" t="s">
        <v>96</v>
      </c>
      <c r="M1" s="30" t="s">
        <v>97</v>
      </c>
      <c r="N1" s="31" t="s">
        <v>98</v>
      </c>
    </row>
    <row r="2" spans="1:14" x14ac:dyDescent="0.25">
      <c r="A2" s="35" t="s">
        <v>45</v>
      </c>
      <c r="B2" s="32">
        <f>SUMIF(Tableau1[S/CATÉGORIES],A2,Tableau1[DÉBIT])</f>
        <v>0</v>
      </c>
      <c r="C2" s="32">
        <f>SUMIF(Tableau13[S/CATÉGORIES],A2,Tableau13[DÉBIT])</f>
        <v>0</v>
      </c>
      <c r="D2" s="32">
        <f>SUMIF(Tableau134[S/CATÉGORIES],A2,Tableau134[DÉBIT])</f>
        <v>0</v>
      </c>
      <c r="E2" s="32">
        <f>SUMIF(Tableau1345[S/CATÉGORIES],A2,Tableau1345[DÉBIT])</f>
        <v>0</v>
      </c>
      <c r="F2" s="32">
        <f>SUMIF(Tableau13456[S/CATÉGORIES],A2,Tableau13456[DÉBIT])</f>
        <v>0</v>
      </c>
      <c r="G2" s="32">
        <f>SUMIF(Tableau134567[S/CATÉGORIES],A2,Tableau134567[DÉBIT])</f>
        <v>0</v>
      </c>
      <c r="H2" s="32">
        <f>SUMIF(Tableau1345678[S/CATÉGORIES],A2,Tableau1345678[DÉBIT])</f>
        <v>0</v>
      </c>
      <c r="I2" s="32">
        <f>SUMIF(Tableau13456789[S/CATÉGORIES],A2,Tableau13456789[DÉBIT])</f>
        <v>0</v>
      </c>
      <c r="J2" s="32">
        <f>SUMIF(Tableau1345678910[S/CATÉGORIES],A2,Tableau1345678910[DÉBIT])</f>
        <v>0</v>
      </c>
      <c r="K2" s="32">
        <f>SUMIF(Tableau134567891011[S/CATÉGORIES],A2,Tableau134567891011[DÉBIT])</f>
        <v>0</v>
      </c>
      <c r="L2" s="32">
        <f>SUMIF(Tableau13456789101112[S/CATÉGORIES],A2,Tableau13456789101112[DÉBIT])</f>
        <v>0</v>
      </c>
      <c r="M2" s="32">
        <f>SUMIF(Tableau1345678910111213[S/CATÉGORIES],A2,Tableau1345678910111213[DÉBIT])</f>
        <v>0</v>
      </c>
      <c r="N2" s="32">
        <f>SUM(Tableau14[[#This Row],[JANVIER]:[DÉCEMBRE]])</f>
        <v>0</v>
      </c>
    </row>
    <row r="3" spans="1:14" x14ac:dyDescent="0.25">
      <c r="A3" s="36" t="s">
        <v>75</v>
      </c>
      <c r="B3" s="32">
        <f>SUMIF(Tableau1[S/CATÉGORIES],A3,Tableau1[DÉBIT])</f>
        <v>0</v>
      </c>
      <c r="C3" s="32">
        <f>SUMIF(Tableau13[S/CATÉGORIES],A3,Tableau13[DÉBIT])</f>
        <v>0</v>
      </c>
      <c r="D3" s="32">
        <f>SUMIF(Tableau134[S/CATÉGORIES],A3,Tableau134[DÉBIT])</f>
        <v>0</v>
      </c>
      <c r="E3" s="32">
        <f>SUMIF(Tableau1345[S/CATÉGORIES],A3,Tableau1345[DÉBIT])</f>
        <v>0</v>
      </c>
      <c r="F3" s="32">
        <f>SUMIF(Tableau13456[S/CATÉGORIES],A3,Tableau13456[DÉBIT])</f>
        <v>0</v>
      </c>
      <c r="G3" s="32">
        <f>SUMIF(Tableau134567[S/CATÉGORIES],A3,Tableau134567[DÉBIT])</f>
        <v>0</v>
      </c>
      <c r="H3" s="32">
        <f>SUMIF(Tableau1345678[S/CATÉGORIES],A3,Tableau1345678[DÉBIT])</f>
        <v>0</v>
      </c>
      <c r="I3" s="32">
        <f>SUMIF(Tableau13456789[S/CATÉGORIES],A3,Tableau13456789[DÉBIT])</f>
        <v>0</v>
      </c>
      <c r="J3" s="32">
        <f>SUMIF(Tableau1345678910[S/CATÉGORIES],A3,Tableau1345678910[DÉBIT])</f>
        <v>0</v>
      </c>
      <c r="K3" s="32">
        <f>SUMIF(Tableau134567891011[S/CATÉGORIES],A3,Tableau134567891011[DÉBIT])</f>
        <v>0</v>
      </c>
      <c r="L3" s="32">
        <f>SUMIF(Tableau13456789101112[S/CATÉGORIES],A3,Tableau13456789101112[DÉBIT])</f>
        <v>0</v>
      </c>
      <c r="M3" s="32">
        <f>SUMIF(Tableau1345678910111213[S/CATÉGORIES],A3,Tableau1345678910111213[DÉBIT])</f>
        <v>0</v>
      </c>
      <c r="N3" s="32">
        <f>SUM(Tableau14[[#This Row],[JANVIER]:[DÉCEMBRE]])</f>
        <v>0</v>
      </c>
    </row>
    <row r="4" spans="1:14" x14ac:dyDescent="0.25">
      <c r="A4" s="35" t="s">
        <v>46</v>
      </c>
      <c r="B4" s="32">
        <f>SUMIF(Tableau1[S/CATÉGORIES],A4,Tableau1[DÉBIT])</f>
        <v>0</v>
      </c>
      <c r="C4" s="32">
        <f>SUMIF(Tableau13[S/CATÉGORIES],A4,Tableau13[DÉBIT])</f>
        <v>0</v>
      </c>
      <c r="D4" s="32">
        <f>SUMIF(Tableau134[S/CATÉGORIES],A4,Tableau134[DÉBIT])</f>
        <v>0</v>
      </c>
      <c r="E4" s="32">
        <f>SUMIF(Tableau1345[S/CATÉGORIES],A4,Tableau1345[DÉBIT])</f>
        <v>0</v>
      </c>
      <c r="F4" s="32">
        <f>SUMIF(Tableau13456[S/CATÉGORIES],A4,Tableau13456[DÉBIT])</f>
        <v>0</v>
      </c>
      <c r="G4" s="32">
        <f>SUMIF(Tableau134567[S/CATÉGORIES],A4,Tableau134567[DÉBIT])</f>
        <v>0</v>
      </c>
      <c r="H4" s="32">
        <f>SUMIF(Tableau1345678[S/CATÉGORIES],A4,Tableau1345678[DÉBIT])</f>
        <v>0</v>
      </c>
      <c r="I4" s="32">
        <f>SUMIF(Tableau13456789[S/CATÉGORIES],A4,Tableau13456789[DÉBIT])</f>
        <v>0</v>
      </c>
      <c r="J4" s="32">
        <f>SUMIF(Tableau1345678910[S/CATÉGORIES],A4,Tableau1345678910[DÉBIT])</f>
        <v>0</v>
      </c>
      <c r="K4" s="32">
        <f>SUMIF(Tableau134567891011[S/CATÉGORIES],A4,Tableau134567891011[DÉBIT])</f>
        <v>0</v>
      </c>
      <c r="L4" s="32">
        <f>SUMIF(Tableau13456789101112[S/CATÉGORIES],A4,Tableau13456789101112[DÉBIT])</f>
        <v>0</v>
      </c>
      <c r="M4" s="32">
        <f>SUMIF(Tableau1345678910111213[S/CATÉGORIES],A4,Tableau1345678910111213[DÉBIT])</f>
        <v>0</v>
      </c>
      <c r="N4" s="32">
        <f>SUM(Tableau14[[#This Row],[JANVIER]:[DÉCEMBRE]])</f>
        <v>0</v>
      </c>
    </row>
    <row r="5" spans="1:14" x14ac:dyDescent="0.25">
      <c r="A5" s="35" t="s">
        <v>47</v>
      </c>
      <c r="B5" s="32">
        <f>SUMIF(Tableau1[S/CATÉGORIES],A5,Tableau1[DÉBIT])</f>
        <v>0</v>
      </c>
      <c r="C5" s="32">
        <f>SUMIF(Tableau13[S/CATÉGORIES],A5,Tableau13[DÉBIT])</f>
        <v>0</v>
      </c>
      <c r="D5" s="32">
        <f>SUMIF(Tableau134[S/CATÉGORIES],A5,Tableau134[DÉBIT])</f>
        <v>0</v>
      </c>
      <c r="E5" s="32">
        <f>SUMIF(Tableau1345[S/CATÉGORIES],A5,Tableau1345[DÉBIT])</f>
        <v>0</v>
      </c>
      <c r="F5" s="32">
        <f>SUMIF(Tableau13456[S/CATÉGORIES],A5,Tableau13456[DÉBIT])</f>
        <v>0</v>
      </c>
      <c r="G5" s="32">
        <f>SUMIF(Tableau134567[S/CATÉGORIES],A5,Tableau134567[DÉBIT])</f>
        <v>0</v>
      </c>
      <c r="H5" s="32">
        <f>SUMIF(Tableau1345678[S/CATÉGORIES],A5,Tableau1345678[DÉBIT])</f>
        <v>0</v>
      </c>
      <c r="I5" s="32">
        <f>SUMIF(Tableau13456789[S/CATÉGORIES],A5,Tableau13456789[DÉBIT])</f>
        <v>0</v>
      </c>
      <c r="J5" s="32">
        <f>SUMIF(Tableau1345678910[S/CATÉGORIES],A5,Tableau1345678910[DÉBIT])</f>
        <v>0</v>
      </c>
      <c r="K5" s="32">
        <f>SUMIF(Tableau134567891011[S/CATÉGORIES],A5,Tableau134567891011[DÉBIT])</f>
        <v>0</v>
      </c>
      <c r="L5" s="32">
        <f>SUMIF(Tableau13456789101112[S/CATÉGORIES],A5,Tableau13456789101112[DÉBIT])</f>
        <v>0</v>
      </c>
      <c r="M5" s="32">
        <f>SUMIF(Tableau1345678910111213[S/CATÉGORIES],A5,Tableau1345678910111213[DÉBIT])</f>
        <v>0</v>
      </c>
      <c r="N5" s="32">
        <f>SUM(Tableau14[[#This Row],[JANVIER]:[DÉCEMBRE]])</f>
        <v>0</v>
      </c>
    </row>
    <row r="6" spans="1:14" x14ac:dyDescent="0.25">
      <c r="A6" s="35" t="s">
        <v>48</v>
      </c>
      <c r="B6" s="32">
        <f>SUMIF(Tableau1[S/CATÉGORIES],A6,Tableau1[DÉBIT])</f>
        <v>0</v>
      </c>
      <c r="C6" s="32">
        <f>SUMIF(Tableau13[S/CATÉGORIES],A6,Tableau13[DÉBIT])</f>
        <v>0</v>
      </c>
      <c r="D6" s="32">
        <f>SUMIF(Tableau134[S/CATÉGORIES],A6,Tableau134[DÉBIT])</f>
        <v>0</v>
      </c>
      <c r="E6" s="32">
        <f>SUMIF(Tableau1345[S/CATÉGORIES],A6,Tableau1345[DÉBIT])</f>
        <v>0</v>
      </c>
      <c r="F6" s="32">
        <f>SUMIF(Tableau13456[S/CATÉGORIES],A6,Tableau13456[DÉBIT])</f>
        <v>0</v>
      </c>
      <c r="G6" s="32">
        <f>SUMIF(Tableau134567[S/CATÉGORIES],A6,Tableau134567[DÉBIT])</f>
        <v>0</v>
      </c>
      <c r="H6" s="32">
        <f>SUMIF(Tableau1345678[S/CATÉGORIES],A6,Tableau1345678[DÉBIT])</f>
        <v>0</v>
      </c>
      <c r="I6" s="32">
        <f>SUMIF(Tableau13456789[S/CATÉGORIES],A6,Tableau13456789[DÉBIT])</f>
        <v>0</v>
      </c>
      <c r="J6" s="32">
        <f>SUMIF(Tableau1345678910[S/CATÉGORIES],A6,Tableau1345678910[DÉBIT])</f>
        <v>0</v>
      </c>
      <c r="K6" s="32">
        <f>SUMIF(Tableau134567891011[S/CATÉGORIES],A6,Tableau134567891011[DÉBIT])</f>
        <v>0</v>
      </c>
      <c r="L6" s="32">
        <f>SUMIF(Tableau13456789101112[S/CATÉGORIES],A6,Tableau13456789101112[DÉBIT])</f>
        <v>0</v>
      </c>
      <c r="M6" s="32">
        <f>SUMIF(Tableau1345678910111213[S/CATÉGORIES],A6,Tableau1345678910111213[DÉBIT])</f>
        <v>0</v>
      </c>
      <c r="N6" s="32">
        <f>SUM(Tableau14[[#This Row],[JANVIER]:[DÉCEMBRE]])</f>
        <v>0</v>
      </c>
    </row>
    <row r="7" spans="1:14" x14ac:dyDescent="0.25">
      <c r="A7" s="35" t="s">
        <v>49</v>
      </c>
      <c r="B7" s="32">
        <f>SUMIF(Tableau1[S/CATÉGORIES],A7,Tableau1[DÉBIT])</f>
        <v>0</v>
      </c>
      <c r="C7" s="32">
        <f>SUMIF(Tableau13[S/CATÉGORIES],A7,Tableau13[DÉBIT])</f>
        <v>0</v>
      </c>
      <c r="D7" s="32">
        <f>SUMIF(Tableau134[S/CATÉGORIES],A7,Tableau134[DÉBIT])</f>
        <v>0</v>
      </c>
      <c r="E7" s="32">
        <f>SUMIF(Tableau1345[S/CATÉGORIES],A7,Tableau1345[DÉBIT])</f>
        <v>0</v>
      </c>
      <c r="F7" s="32">
        <f>SUMIF(Tableau13456[S/CATÉGORIES],A7,Tableau13456[DÉBIT])</f>
        <v>0</v>
      </c>
      <c r="G7" s="32">
        <f>SUMIF(Tableau134567[S/CATÉGORIES],A7,Tableau134567[DÉBIT])</f>
        <v>0</v>
      </c>
      <c r="H7" s="32">
        <f>SUMIF(Tableau1345678[S/CATÉGORIES],A7,Tableau1345678[DÉBIT])</f>
        <v>0</v>
      </c>
      <c r="I7" s="32">
        <f>SUMIF(Tableau13456789[S/CATÉGORIES],A7,Tableau13456789[DÉBIT])</f>
        <v>0</v>
      </c>
      <c r="J7" s="32">
        <f>SUMIF(Tableau1345678910[S/CATÉGORIES],A7,Tableau1345678910[DÉBIT])</f>
        <v>0</v>
      </c>
      <c r="K7" s="32">
        <f>SUMIF(Tableau134567891011[S/CATÉGORIES],A7,Tableau134567891011[DÉBIT])</f>
        <v>0</v>
      </c>
      <c r="L7" s="32">
        <f>SUMIF(Tableau13456789101112[S/CATÉGORIES],A7,Tableau13456789101112[DÉBIT])</f>
        <v>0</v>
      </c>
      <c r="M7" s="32">
        <f>SUMIF(Tableau1345678910111213[S/CATÉGORIES],A7,Tableau1345678910111213[DÉBIT])</f>
        <v>0</v>
      </c>
      <c r="N7" s="32">
        <f>SUM(Tableau14[[#This Row],[JANVIER]:[DÉCEMBRE]])</f>
        <v>0</v>
      </c>
    </row>
    <row r="8" spans="1:14" x14ac:dyDescent="0.25">
      <c r="A8" s="36" t="s">
        <v>78</v>
      </c>
      <c r="B8" s="32">
        <f>SUMIF(Tableau1[S/CATÉGORIES],A8,Tableau1[DÉBIT])</f>
        <v>0</v>
      </c>
      <c r="C8" s="32">
        <f>SUMIF(Tableau13[S/CATÉGORIES],A8,Tableau13[DÉBIT])</f>
        <v>0</v>
      </c>
      <c r="D8" s="32">
        <f>SUMIF(Tableau134[S/CATÉGORIES],A8,Tableau134[DÉBIT])</f>
        <v>0</v>
      </c>
      <c r="E8" s="32">
        <f>SUMIF(Tableau1345[S/CATÉGORIES],A8,Tableau1345[DÉBIT])</f>
        <v>0</v>
      </c>
      <c r="F8" s="32">
        <f>SUMIF(Tableau13456[S/CATÉGORIES],A8,Tableau13456[DÉBIT])</f>
        <v>0</v>
      </c>
      <c r="G8" s="32">
        <f>SUMIF(Tableau134567[S/CATÉGORIES],A8,Tableau134567[DÉBIT])</f>
        <v>0</v>
      </c>
      <c r="H8" s="32">
        <f>SUMIF(Tableau1345678[S/CATÉGORIES],A8,Tableau1345678[DÉBIT])</f>
        <v>0</v>
      </c>
      <c r="I8" s="32">
        <f>SUMIF(Tableau13456789[S/CATÉGORIES],A8,Tableau13456789[DÉBIT])</f>
        <v>0</v>
      </c>
      <c r="J8" s="32">
        <f>SUMIF(Tableau1345678910[S/CATÉGORIES],A8,Tableau1345678910[DÉBIT])</f>
        <v>0</v>
      </c>
      <c r="K8" s="32">
        <f>SUMIF(Tableau134567891011[S/CATÉGORIES],A8,Tableau134567891011[DÉBIT])</f>
        <v>0</v>
      </c>
      <c r="L8" s="32">
        <f>SUMIF(Tableau13456789101112[S/CATÉGORIES],A8,Tableau13456789101112[DÉBIT])</f>
        <v>0</v>
      </c>
      <c r="M8" s="32">
        <f>SUMIF(Tableau1345678910111213[S/CATÉGORIES],A8,Tableau1345678910111213[DÉBIT])</f>
        <v>0</v>
      </c>
      <c r="N8" s="32">
        <f>SUM(Tableau14[[#This Row],[JANVIER]:[DÉCEMBRE]])</f>
        <v>0</v>
      </c>
    </row>
    <row r="9" spans="1:14" x14ac:dyDescent="0.25">
      <c r="A9" s="35" t="s">
        <v>9</v>
      </c>
      <c r="B9" s="32">
        <f>SUMIF(Tableau1[S/CATÉGORIES],A9,Tableau1[DÉBIT])</f>
        <v>0</v>
      </c>
      <c r="C9" s="32">
        <f>SUMIF(Tableau13[S/CATÉGORIES],A9,Tableau13[DÉBIT])</f>
        <v>0</v>
      </c>
      <c r="D9" s="32">
        <f>SUMIF(Tableau134[S/CATÉGORIES],A9,Tableau134[DÉBIT])</f>
        <v>0</v>
      </c>
      <c r="E9" s="32">
        <f>SUMIF(Tableau1345[S/CATÉGORIES],A9,Tableau1345[DÉBIT])</f>
        <v>0</v>
      </c>
      <c r="F9" s="32">
        <f>SUMIF(Tableau13456[S/CATÉGORIES],A9,Tableau13456[DÉBIT])</f>
        <v>0</v>
      </c>
      <c r="G9" s="32">
        <f>SUMIF(Tableau134567[S/CATÉGORIES],A9,Tableau134567[DÉBIT])</f>
        <v>0</v>
      </c>
      <c r="H9" s="32">
        <f>SUMIF(Tableau1345678[S/CATÉGORIES],A9,Tableau1345678[DÉBIT])</f>
        <v>0</v>
      </c>
      <c r="I9" s="32">
        <f>SUMIF(Tableau13456789[S/CATÉGORIES],A9,Tableau13456789[DÉBIT])</f>
        <v>0</v>
      </c>
      <c r="J9" s="32">
        <f>SUMIF(Tableau1345678910[S/CATÉGORIES],A9,Tableau1345678910[DÉBIT])</f>
        <v>0</v>
      </c>
      <c r="K9" s="32">
        <f>SUMIF(Tableau134567891011[S/CATÉGORIES],A9,Tableau134567891011[DÉBIT])</f>
        <v>0</v>
      </c>
      <c r="L9" s="32">
        <f>SUMIF(Tableau13456789101112[S/CATÉGORIES],A9,Tableau13456789101112[DÉBIT])</f>
        <v>0</v>
      </c>
      <c r="M9" s="32">
        <f>SUMIF(Tableau1345678910111213[S/CATÉGORIES],A9,Tableau1345678910111213[DÉBIT])</f>
        <v>0</v>
      </c>
      <c r="N9" s="32">
        <f>SUM(Tableau14[[#This Row],[JANVIER]:[DÉCEMBRE]])</f>
        <v>0</v>
      </c>
    </row>
    <row r="10" spans="1:14" x14ac:dyDescent="0.25">
      <c r="A10" s="35" t="s">
        <v>50</v>
      </c>
      <c r="B10" s="32">
        <f>SUMIF(Tableau1[S/CATÉGORIES],A10,Tableau1[DÉBIT])</f>
        <v>0</v>
      </c>
      <c r="C10" s="32">
        <f>SUMIF(Tableau13[S/CATÉGORIES],A10,Tableau13[DÉBIT])</f>
        <v>0</v>
      </c>
      <c r="D10" s="32">
        <f>SUMIF(Tableau134[S/CATÉGORIES],A10,Tableau134[DÉBIT])</f>
        <v>0</v>
      </c>
      <c r="E10" s="32">
        <f>SUMIF(Tableau1345[S/CATÉGORIES],A10,Tableau1345[DÉBIT])</f>
        <v>0</v>
      </c>
      <c r="F10" s="32">
        <f>SUMIF(Tableau13456[S/CATÉGORIES],A10,Tableau13456[DÉBIT])</f>
        <v>0</v>
      </c>
      <c r="G10" s="32">
        <f>SUMIF(Tableau134567[S/CATÉGORIES],A10,Tableau134567[DÉBIT])</f>
        <v>0</v>
      </c>
      <c r="H10" s="32">
        <f>SUMIF(Tableau1345678[S/CATÉGORIES],A10,Tableau1345678[DÉBIT])</f>
        <v>0</v>
      </c>
      <c r="I10" s="32">
        <f>SUMIF(Tableau13456789[S/CATÉGORIES],A10,Tableau13456789[DÉBIT])</f>
        <v>0</v>
      </c>
      <c r="J10" s="32">
        <f>SUMIF(Tableau1345678910[S/CATÉGORIES],A10,Tableau1345678910[DÉBIT])</f>
        <v>0</v>
      </c>
      <c r="K10" s="32">
        <f>SUMIF(Tableau134567891011[S/CATÉGORIES],A10,Tableau134567891011[DÉBIT])</f>
        <v>0</v>
      </c>
      <c r="L10" s="32">
        <f>SUMIF(Tableau13456789101112[S/CATÉGORIES],A10,Tableau13456789101112[DÉBIT])</f>
        <v>0</v>
      </c>
      <c r="M10" s="32">
        <f>SUMIF(Tableau1345678910111213[S/CATÉGORIES],A10,Tableau1345678910111213[DÉBIT])</f>
        <v>0</v>
      </c>
      <c r="N10" s="32">
        <f>SUM(Tableau14[[#This Row],[JANVIER]:[DÉCEMBRE]])</f>
        <v>0</v>
      </c>
    </row>
    <row r="11" spans="1:14" x14ac:dyDescent="0.25">
      <c r="A11" s="35" t="s">
        <v>84</v>
      </c>
      <c r="B11" s="32">
        <f>SUMIF(Tableau1[S/CATÉGORIES],A11,Tableau1[DÉBIT])</f>
        <v>0</v>
      </c>
      <c r="C11" s="32">
        <f>SUMIF(Tableau13[S/CATÉGORIES],A11,Tableau13[DÉBIT])</f>
        <v>0</v>
      </c>
      <c r="D11" s="32">
        <f>SUMIF(Tableau134[S/CATÉGORIES],A11,Tableau134[DÉBIT])</f>
        <v>0</v>
      </c>
      <c r="E11" s="32">
        <f>SUMIF(Tableau1345[S/CATÉGORIES],A11,Tableau1345[DÉBIT])</f>
        <v>0</v>
      </c>
      <c r="F11" s="32">
        <f>SUMIF(Tableau13456[S/CATÉGORIES],A11,Tableau13456[DÉBIT])</f>
        <v>0</v>
      </c>
      <c r="G11" s="32">
        <f>SUMIF(Tableau134567[S/CATÉGORIES],A11,Tableau134567[DÉBIT])</f>
        <v>0</v>
      </c>
      <c r="H11" s="32">
        <f>SUMIF(Tableau1345678[S/CATÉGORIES],A11,Tableau1345678[DÉBIT])</f>
        <v>0</v>
      </c>
      <c r="I11" s="32">
        <f>SUMIF(Tableau13456789[S/CATÉGORIES],A11,Tableau13456789[DÉBIT])</f>
        <v>0</v>
      </c>
      <c r="J11" s="32">
        <f>SUMIF(Tableau1345678910[S/CATÉGORIES],A11,Tableau1345678910[DÉBIT])</f>
        <v>0</v>
      </c>
      <c r="K11" s="32">
        <f>SUMIF(Tableau134567891011[S/CATÉGORIES],A11,Tableau134567891011[DÉBIT])</f>
        <v>0</v>
      </c>
      <c r="L11" s="32">
        <f>SUMIF(Tableau13456789101112[S/CATÉGORIES],A11,Tableau13456789101112[DÉBIT])</f>
        <v>0</v>
      </c>
      <c r="M11" s="32">
        <f>SUMIF(Tableau1345678910111213[S/CATÉGORIES],A11,Tableau1345678910111213[DÉBIT])</f>
        <v>0</v>
      </c>
      <c r="N11" s="32">
        <f>SUM(Tableau14[[#This Row],[JANVIER]:[DÉCEMBRE]])</f>
        <v>0</v>
      </c>
    </row>
    <row r="12" spans="1:14" x14ac:dyDescent="0.25">
      <c r="A12" s="35" t="s">
        <v>70</v>
      </c>
      <c r="B12" s="32">
        <f>SUMIF(Tableau1[S/CATÉGORIES],A12,Tableau1[DÉBIT])</f>
        <v>0</v>
      </c>
      <c r="C12" s="32">
        <f>SUMIF(Tableau13[S/CATÉGORIES],A12,Tableau13[DÉBIT])</f>
        <v>0</v>
      </c>
      <c r="D12" s="32">
        <f>SUMIF(Tableau134[S/CATÉGORIES],A12,Tableau134[DÉBIT])</f>
        <v>0</v>
      </c>
      <c r="E12" s="32">
        <f>SUMIF(Tableau1345[S/CATÉGORIES],A12,Tableau1345[DÉBIT])</f>
        <v>0</v>
      </c>
      <c r="F12" s="32">
        <f>SUMIF(Tableau13456[S/CATÉGORIES],A12,Tableau13456[DÉBIT])</f>
        <v>0</v>
      </c>
      <c r="G12" s="32">
        <f>SUMIF(Tableau134567[S/CATÉGORIES],A12,Tableau134567[DÉBIT])</f>
        <v>0</v>
      </c>
      <c r="H12" s="32">
        <f>SUMIF(Tableau1345678[S/CATÉGORIES],A12,Tableau1345678[DÉBIT])</f>
        <v>0</v>
      </c>
      <c r="I12" s="32">
        <f>SUMIF(Tableau13456789[S/CATÉGORIES],A12,Tableau13456789[DÉBIT])</f>
        <v>0</v>
      </c>
      <c r="J12" s="32">
        <f>SUMIF(Tableau1345678910[S/CATÉGORIES],A12,Tableau1345678910[DÉBIT])</f>
        <v>0</v>
      </c>
      <c r="K12" s="32">
        <f>SUMIF(Tableau134567891011[S/CATÉGORIES],A12,Tableau134567891011[DÉBIT])</f>
        <v>0</v>
      </c>
      <c r="L12" s="32">
        <f>SUMIF(Tableau13456789101112[S/CATÉGORIES],A12,Tableau13456789101112[DÉBIT])</f>
        <v>0</v>
      </c>
      <c r="M12" s="32">
        <f>SUMIF(Tableau1345678910111213[S/CATÉGORIES],A12,Tableau1345678910111213[DÉBIT])</f>
        <v>0</v>
      </c>
      <c r="N12" s="32">
        <f>SUM(Tableau14[[#This Row],[JANVIER]:[DÉCEMBRE]])</f>
        <v>0</v>
      </c>
    </row>
    <row r="13" spans="1:14" x14ac:dyDescent="0.25">
      <c r="A13" s="35" t="s">
        <v>71</v>
      </c>
      <c r="B13" s="32">
        <f>SUMIF(Tableau1[S/CATÉGORIES],A13,Tableau1[DÉBIT])</f>
        <v>0</v>
      </c>
      <c r="C13" s="32">
        <f>SUMIF(Tableau13[S/CATÉGORIES],A13,Tableau13[DÉBIT])</f>
        <v>0</v>
      </c>
      <c r="D13" s="32">
        <f>SUMIF(Tableau134[S/CATÉGORIES],A13,Tableau134[DÉBIT])</f>
        <v>0</v>
      </c>
      <c r="E13" s="32">
        <f>SUMIF(Tableau1345[S/CATÉGORIES],A13,Tableau1345[DÉBIT])</f>
        <v>0</v>
      </c>
      <c r="F13" s="32">
        <f>SUMIF(Tableau13456[S/CATÉGORIES],A13,Tableau13456[DÉBIT])</f>
        <v>0</v>
      </c>
      <c r="G13" s="32">
        <f>SUMIF(Tableau134567[S/CATÉGORIES],A13,Tableau134567[DÉBIT])</f>
        <v>0</v>
      </c>
      <c r="H13" s="32">
        <f>SUMIF(Tableau1345678[S/CATÉGORIES],A13,Tableau1345678[DÉBIT])</f>
        <v>0</v>
      </c>
      <c r="I13" s="32">
        <f>SUMIF(Tableau13456789[S/CATÉGORIES],A13,Tableau13456789[DÉBIT])</f>
        <v>0</v>
      </c>
      <c r="J13" s="32">
        <f>SUMIF(Tableau1345678910[S/CATÉGORIES],A13,Tableau1345678910[DÉBIT])</f>
        <v>0</v>
      </c>
      <c r="K13" s="32">
        <f>SUMIF(Tableau134567891011[S/CATÉGORIES],A13,Tableau134567891011[DÉBIT])</f>
        <v>0</v>
      </c>
      <c r="L13" s="32">
        <f>SUMIF(Tableau13456789101112[S/CATÉGORIES],A13,Tableau13456789101112[DÉBIT])</f>
        <v>0</v>
      </c>
      <c r="M13" s="32">
        <f>SUMIF(Tableau1345678910111213[S/CATÉGORIES],A13,Tableau1345678910111213[DÉBIT])</f>
        <v>0</v>
      </c>
      <c r="N13" s="32">
        <f>SUM(Tableau14[[#This Row],[JANVIER]:[DÉCEMBRE]])</f>
        <v>0</v>
      </c>
    </row>
    <row r="14" spans="1:14" x14ac:dyDescent="0.25">
      <c r="A14" s="36" t="s">
        <v>73</v>
      </c>
      <c r="B14" s="32">
        <f>SUMIF(Tableau1[S/CATÉGORIES],A14,Tableau1[DÉBIT])</f>
        <v>0</v>
      </c>
      <c r="C14" s="32">
        <f>SUMIF(Tableau13[S/CATÉGORIES],A14,Tableau13[DÉBIT])</f>
        <v>0</v>
      </c>
      <c r="D14" s="32">
        <f>SUMIF(Tableau134[S/CATÉGORIES],A14,Tableau134[DÉBIT])</f>
        <v>0</v>
      </c>
      <c r="E14" s="32">
        <f>SUMIF(Tableau1345[S/CATÉGORIES],A14,Tableau1345[DÉBIT])</f>
        <v>0</v>
      </c>
      <c r="F14" s="32">
        <f>SUMIF(Tableau13456[S/CATÉGORIES],A14,Tableau13456[DÉBIT])</f>
        <v>0</v>
      </c>
      <c r="G14" s="32">
        <f>SUMIF(Tableau134567[S/CATÉGORIES],A14,Tableau134567[DÉBIT])</f>
        <v>0</v>
      </c>
      <c r="H14" s="32">
        <f>SUMIF(Tableau1345678[S/CATÉGORIES],A14,Tableau1345678[DÉBIT])</f>
        <v>0</v>
      </c>
      <c r="I14" s="32">
        <f>SUMIF(Tableau13456789[S/CATÉGORIES],A14,Tableau13456789[DÉBIT])</f>
        <v>0</v>
      </c>
      <c r="J14" s="32">
        <f>SUMIF(Tableau1345678910[S/CATÉGORIES],A14,Tableau1345678910[DÉBIT])</f>
        <v>0</v>
      </c>
      <c r="K14" s="32">
        <f>SUMIF(Tableau134567891011[S/CATÉGORIES],A14,Tableau134567891011[DÉBIT])</f>
        <v>0</v>
      </c>
      <c r="L14" s="32">
        <f>SUMIF(Tableau13456789101112[S/CATÉGORIES],A14,Tableau13456789101112[DÉBIT])</f>
        <v>0</v>
      </c>
      <c r="M14" s="32">
        <f>SUMIF(Tableau1345678910111213[S/CATÉGORIES],A14,Tableau1345678910111213[DÉBIT])</f>
        <v>0</v>
      </c>
      <c r="N14" s="32">
        <f>SUM(Tableau14[[#This Row],[JANVIER]:[DÉCEMBRE]])</f>
        <v>0</v>
      </c>
    </row>
    <row r="15" spans="1:14" x14ac:dyDescent="0.25">
      <c r="A15" s="35" t="s">
        <v>51</v>
      </c>
      <c r="B15" s="32">
        <f>SUMIF(Tableau1[S/CATÉGORIES],A15,Tableau1[DÉBIT])</f>
        <v>0</v>
      </c>
      <c r="C15" s="32">
        <f>SUMIF(Tableau13[S/CATÉGORIES],A15,Tableau13[DÉBIT])</f>
        <v>0</v>
      </c>
      <c r="D15" s="32">
        <f>SUMIF(Tableau134[S/CATÉGORIES],A15,Tableau134[DÉBIT])</f>
        <v>0</v>
      </c>
      <c r="E15" s="32">
        <f>SUMIF(Tableau1345[S/CATÉGORIES],A15,Tableau1345[DÉBIT])</f>
        <v>0</v>
      </c>
      <c r="F15" s="32">
        <f>SUMIF(Tableau13456[S/CATÉGORIES],A15,Tableau13456[DÉBIT])</f>
        <v>0</v>
      </c>
      <c r="G15" s="32">
        <f>SUMIF(Tableau134567[S/CATÉGORIES],A15,Tableau134567[DÉBIT])</f>
        <v>0</v>
      </c>
      <c r="H15" s="32">
        <f>SUMIF(Tableau1345678[S/CATÉGORIES],A15,Tableau1345678[DÉBIT])</f>
        <v>0</v>
      </c>
      <c r="I15" s="32">
        <f>SUMIF(Tableau13456789[S/CATÉGORIES],A15,Tableau13456789[DÉBIT])</f>
        <v>0</v>
      </c>
      <c r="J15" s="32">
        <f>SUMIF(Tableau1345678910[S/CATÉGORIES],A15,Tableau1345678910[DÉBIT])</f>
        <v>0</v>
      </c>
      <c r="K15" s="32">
        <f>SUMIF(Tableau134567891011[S/CATÉGORIES],A15,Tableau134567891011[DÉBIT])</f>
        <v>0</v>
      </c>
      <c r="L15" s="32">
        <f>SUMIF(Tableau13456789101112[S/CATÉGORIES],A15,Tableau13456789101112[DÉBIT])</f>
        <v>0</v>
      </c>
      <c r="M15" s="32">
        <f>SUMIF(Tableau1345678910111213[S/CATÉGORIES],A15,Tableau1345678910111213[DÉBIT])</f>
        <v>0</v>
      </c>
      <c r="N15" s="32">
        <f>SUM(Tableau14[[#This Row],[JANVIER]:[DÉCEMBRE]])</f>
        <v>0</v>
      </c>
    </row>
    <row r="16" spans="1:14" x14ac:dyDescent="0.25">
      <c r="A16" s="35" t="s">
        <v>52</v>
      </c>
      <c r="B16" s="32">
        <f>SUMIF(Tableau1[S/CATÉGORIES],A16,Tableau1[DÉBIT])</f>
        <v>0</v>
      </c>
      <c r="C16" s="32">
        <f>SUMIF(Tableau13[S/CATÉGORIES],A16,Tableau13[DÉBIT])</f>
        <v>0</v>
      </c>
      <c r="D16" s="32">
        <f>SUMIF(Tableau134[S/CATÉGORIES],A16,Tableau134[DÉBIT])</f>
        <v>0</v>
      </c>
      <c r="E16" s="32">
        <f>SUMIF(Tableau1345[S/CATÉGORIES],A16,Tableau1345[DÉBIT])</f>
        <v>0</v>
      </c>
      <c r="F16" s="32">
        <f>SUMIF(Tableau13456[S/CATÉGORIES],A16,Tableau13456[DÉBIT])</f>
        <v>0</v>
      </c>
      <c r="G16" s="32">
        <f>SUMIF(Tableau134567[S/CATÉGORIES],A16,Tableau134567[DÉBIT])</f>
        <v>0</v>
      </c>
      <c r="H16" s="32">
        <f>SUMIF(Tableau1345678[S/CATÉGORIES],A16,Tableau1345678[DÉBIT])</f>
        <v>0</v>
      </c>
      <c r="I16" s="32">
        <f>SUMIF(Tableau13456789[S/CATÉGORIES],A16,Tableau13456789[DÉBIT])</f>
        <v>0</v>
      </c>
      <c r="J16" s="32">
        <f>SUMIF(Tableau1345678910[S/CATÉGORIES],A16,Tableau1345678910[DÉBIT])</f>
        <v>0</v>
      </c>
      <c r="K16" s="32">
        <f>SUMIF(Tableau134567891011[S/CATÉGORIES],A16,Tableau134567891011[DÉBIT])</f>
        <v>0</v>
      </c>
      <c r="L16" s="32">
        <f>SUMIF(Tableau13456789101112[S/CATÉGORIES],A16,Tableau13456789101112[DÉBIT])</f>
        <v>0</v>
      </c>
      <c r="M16" s="32">
        <f>SUMIF(Tableau1345678910111213[S/CATÉGORIES],A16,Tableau1345678910111213[DÉBIT])</f>
        <v>0</v>
      </c>
      <c r="N16" s="32">
        <f>SUM(Tableau14[[#This Row],[JANVIER]:[DÉCEMBRE]])</f>
        <v>0</v>
      </c>
    </row>
    <row r="17" spans="1:14" x14ac:dyDescent="0.25">
      <c r="A17" s="35" t="s">
        <v>53</v>
      </c>
      <c r="B17" s="32">
        <f>SUMIF(Tableau1[S/CATÉGORIES],A17,Tableau1[DÉBIT])</f>
        <v>0</v>
      </c>
      <c r="C17" s="32">
        <f>SUMIF(Tableau13[S/CATÉGORIES],A17,Tableau13[DÉBIT])</f>
        <v>0</v>
      </c>
      <c r="D17" s="32">
        <f>SUMIF(Tableau134[S/CATÉGORIES],A17,Tableau134[DÉBIT])</f>
        <v>0</v>
      </c>
      <c r="E17" s="32">
        <f>SUMIF(Tableau1345[S/CATÉGORIES],A17,Tableau1345[DÉBIT])</f>
        <v>0</v>
      </c>
      <c r="F17" s="32">
        <f>SUMIF(Tableau13456[S/CATÉGORIES],A17,Tableau13456[DÉBIT])</f>
        <v>0</v>
      </c>
      <c r="G17" s="32">
        <f>SUMIF(Tableau134567[S/CATÉGORIES],A17,Tableau134567[DÉBIT])</f>
        <v>0</v>
      </c>
      <c r="H17" s="32">
        <f>SUMIF(Tableau1345678[S/CATÉGORIES],A17,Tableau1345678[DÉBIT])</f>
        <v>0</v>
      </c>
      <c r="I17" s="32">
        <f>SUMIF(Tableau13456789[S/CATÉGORIES],A17,Tableau13456789[DÉBIT])</f>
        <v>0</v>
      </c>
      <c r="J17" s="32">
        <f>SUMIF(Tableau1345678910[S/CATÉGORIES],A17,Tableau1345678910[DÉBIT])</f>
        <v>0</v>
      </c>
      <c r="K17" s="32">
        <f>SUMIF(Tableau134567891011[S/CATÉGORIES],A17,Tableau134567891011[DÉBIT])</f>
        <v>0</v>
      </c>
      <c r="L17" s="32">
        <f>SUMIF(Tableau13456789101112[S/CATÉGORIES],A17,Tableau13456789101112[DÉBIT])</f>
        <v>0</v>
      </c>
      <c r="M17" s="32">
        <f>SUMIF(Tableau1345678910111213[S/CATÉGORIES],A17,Tableau1345678910111213[DÉBIT])</f>
        <v>0</v>
      </c>
      <c r="N17" s="32">
        <f>SUM(Tableau14[[#This Row],[JANVIER]:[DÉCEMBRE]])</f>
        <v>0</v>
      </c>
    </row>
    <row r="18" spans="1:14" x14ac:dyDescent="0.25">
      <c r="A18" s="35" t="s">
        <v>12</v>
      </c>
      <c r="B18" s="32">
        <f>SUMIF(Tableau1[S/CATÉGORIES],A18,Tableau1[DÉBIT])</f>
        <v>0</v>
      </c>
      <c r="C18" s="32">
        <f>SUMIF(Tableau13[S/CATÉGORIES],A18,Tableau13[DÉBIT])</f>
        <v>0</v>
      </c>
      <c r="D18" s="32">
        <f>SUMIF(Tableau134[S/CATÉGORIES],A18,Tableau134[DÉBIT])</f>
        <v>0</v>
      </c>
      <c r="E18" s="32">
        <f>SUMIF(Tableau1345[S/CATÉGORIES],A18,Tableau1345[DÉBIT])</f>
        <v>0</v>
      </c>
      <c r="F18" s="32">
        <f>SUMIF(Tableau13456[S/CATÉGORIES],A18,Tableau13456[DÉBIT])</f>
        <v>0</v>
      </c>
      <c r="G18" s="32">
        <f>SUMIF(Tableau134567[S/CATÉGORIES],A18,Tableau134567[DÉBIT])</f>
        <v>0</v>
      </c>
      <c r="H18" s="32">
        <f>SUMIF(Tableau1345678[S/CATÉGORIES],A18,Tableau1345678[DÉBIT])</f>
        <v>0</v>
      </c>
      <c r="I18" s="32">
        <f>SUMIF(Tableau13456789[S/CATÉGORIES],A18,Tableau13456789[DÉBIT])</f>
        <v>0</v>
      </c>
      <c r="J18" s="32">
        <f>SUMIF(Tableau1345678910[S/CATÉGORIES],A18,Tableau1345678910[DÉBIT])</f>
        <v>0</v>
      </c>
      <c r="K18" s="32">
        <f>SUMIF(Tableau134567891011[S/CATÉGORIES],A18,Tableau134567891011[DÉBIT])</f>
        <v>0</v>
      </c>
      <c r="L18" s="32">
        <f>SUMIF(Tableau13456789101112[S/CATÉGORIES],A18,Tableau13456789101112[DÉBIT])</f>
        <v>0</v>
      </c>
      <c r="M18" s="32">
        <f>SUMIF(Tableau1345678910111213[S/CATÉGORIES],A18,Tableau1345678910111213[DÉBIT])</f>
        <v>0</v>
      </c>
      <c r="N18" s="32">
        <f>SUM(Tableau14[[#This Row],[JANVIER]:[DÉCEMBRE]])</f>
        <v>0</v>
      </c>
    </row>
    <row r="19" spans="1:14" x14ac:dyDescent="0.25">
      <c r="A19" s="35" t="s">
        <v>36</v>
      </c>
      <c r="B19" s="32">
        <f>SUMIF(Tableau1[S/CATÉGORIES],A19,Tableau1[DÉBIT])</f>
        <v>0</v>
      </c>
      <c r="C19" s="32">
        <f>SUMIF(Tableau13[S/CATÉGORIES],A19,Tableau13[DÉBIT])</f>
        <v>0</v>
      </c>
      <c r="D19" s="32">
        <f>SUMIF(Tableau134[S/CATÉGORIES],A19,Tableau134[DÉBIT])</f>
        <v>0</v>
      </c>
      <c r="E19" s="32">
        <f>SUMIF(Tableau1345[S/CATÉGORIES],A19,Tableau1345[DÉBIT])</f>
        <v>0</v>
      </c>
      <c r="F19" s="32">
        <f>SUMIF(Tableau13456[S/CATÉGORIES],A19,Tableau13456[DÉBIT])</f>
        <v>0</v>
      </c>
      <c r="G19" s="32">
        <f>SUMIF(Tableau134567[S/CATÉGORIES],A19,Tableau134567[DÉBIT])</f>
        <v>0</v>
      </c>
      <c r="H19" s="32">
        <f>SUMIF(Tableau1345678[S/CATÉGORIES],A19,Tableau1345678[DÉBIT])</f>
        <v>0</v>
      </c>
      <c r="I19" s="32">
        <f>SUMIF(Tableau13456789[S/CATÉGORIES],A19,Tableau13456789[DÉBIT])</f>
        <v>0</v>
      </c>
      <c r="J19" s="32">
        <f>SUMIF(Tableau1345678910[S/CATÉGORIES],A19,Tableau1345678910[DÉBIT])</f>
        <v>0</v>
      </c>
      <c r="K19" s="32">
        <f>SUMIF(Tableau134567891011[S/CATÉGORIES],A19,Tableau134567891011[DÉBIT])</f>
        <v>0</v>
      </c>
      <c r="L19" s="32">
        <f>SUMIF(Tableau13456789101112[S/CATÉGORIES],A19,Tableau13456789101112[DÉBIT])</f>
        <v>0</v>
      </c>
      <c r="M19" s="32">
        <f>SUMIF(Tableau1345678910111213[S/CATÉGORIES],A19,Tableau1345678910111213[DÉBIT])</f>
        <v>0</v>
      </c>
      <c r="N19" s="32">
        <f>SUM(Tableau14[[#This Row],[JANVIER]:[DÉCEMBRE]])</f>
        <v>0</v>
      </c>
    </row>
    <row r="20" spans="1:14" x14ac:dyDescent="0.25">
      <c r="A20" s="35" t="s">
        <v>10</v>
      </c>
      <c r="B20" s="32">
        <f>SUMIF(Tableau1[S/CATÉGORIES],A20,Tableau1[DÉBIT])</f>
        <v>0</v>
      </c>
      <c r="C20" s="32">
        <f>SUMIF(Tableau13[S/CATÉGORIES],A20,Tableau13[DÉBIT])</f>
        <v>0</v>
      </c>
      <c r="D20" s="32">
        <f>SUMIF(Tableau134[S/CATÉGORIES],A20,Tableau134[DÉBIT])</f>
        <v>0</v>
      </c>
      <c r="E20" s="32">
        <f>SUMIF(Tableau1345[S/CATÉGORIES],A20,Tableau1345[DÉBIT])</f>
        <v>0</v>
      </c>
      <c r="F20" s="32">
        <f>SUMIF(Tableau13456[S/CATÉGORIES],A20,Tableau13456[DÉBIT])</f>
        <v>0</v>
      </c>
      <c r="G20" s="32">
        <f>SUMIF(Tableau134567[S/CATÉGORIES],A20,Tableau134567[DÉBIT])</f>
        <v>0</v>
      </c>
      <c r="H20" s="32">
        <f>SUMIF(Tableau1345678[S/CATÉGORIES],A20,Tableau1345678[DÉBIT])</f>
        <v>0</v>
      </c>
      <c r="I20" s="32">
        <f>SUMIF(Tableau13456789[S/CATÉGORIES],A20,Tableau13456789[DÉBIT])</f>
        <v>0</v>
      </c>
      <c r="J20" s="32">
        <f>SUMIF(Tableau1345678910[S/CATÉGORIES],A20,Tableau1345678910[DÉBIT])</f>
        <v>0</v>
      </c>
      <c r="K20" s="32">
        <f>SUMIF(Tableau134567891011[S/CATÉGORIES],A20,Tableau134567891011[DÉBIT])</f>
        <v>0</v>
      </c>
      <c r="L20" s="32">
        <f>SUMIF(Tableau13456789101112[S/CATÉGORIES],A20,Tableau13456789101112[DÉBIT])</f>
        <v>0</v>
      </c>
      <c r="M20" s="32">
        <f>SUMIF(Tableau1345678910111213[S/CATÉGORIES],A20,Tableau1345678910111213[DÉBIT])</f>
        <v>0</v>
      </c>
      <c r="N20" s="32">
        <f>SUM(Tableau14[[#This Row],[JANVIER]:[DÉCEMBRE]])</f>
        <v>0</v>
      </c>
    </row>
    <row r="21" spans="1:14" x14ac:dyDescent="0.25">
      <c r="A21" s="35" t="s">
        <v>38</v>
      </c>
      <c r="B21" s="32">
        <f>SUMIF(Tableau1[S/CATÉGORIES],A21,Tableau1[DÉBIT])</f>
        <v>0</v>
      </c>
      <c r="C21" s="32">
        <f>SUMIF(Tableau13[S/CATÉGORIES],A21,Tableau13[DÉBIT])</f>
        <v>0</v>
      </c>
      <c r="D21" s="32">
        <f>SUMIF(Tableau134[S/CATÉGORIES],A21,Tableau134[DÉBIT])</f>
        <v>0</v>
      </c>
      <c r="E21" s="32">
        <f>SUMIF(Tableau1345[S/CATÉGORIES],A21,Tableau1345[DÉBIT])</f>
        <v>0</v>
      </c>
      <c r="F21" s="32">
        <f>SUMIF(Tableau13456[S/CATÉGORIES],A21,Tableau13456[DÉBIT])</f>
        <v>0</v>
      </c>
      <c r="G21" s="32">
        <f>SUMIF(Tableau134567[S/CATÉGORIES],A21,Tableau134567[DÉBIT])</f>
        <v>0</v>
      </c>
      <c r="H21" s="32">
        <f>SUMIF(Tableau1345678[S/CATÉGORIES],A21,Tableau1345678[DÉBIT])</f>
        <v>0</v>
      </c>
      <c r="I21" s="32">
        <f>SUMIF(Tableau13456789[S/CATÉGORIES],A21,Tableau13456789[DÉBIT])</f>
        <v>0</v>
      </c>
      <c r="J21" s="32">
        <f>SUMIF(Tableau1345678910[S/CATÉGORIES],A21,Tableau1345678910[DÉBIT])</f>
        <v>0</v>
      </c>
      <c r="K21" s="32">
        <f>SUMIF(Tableau134567891011[S/CATÉGORIES],A21,Tableau134567891011[DÉBIT])</f>
        <v>0</v>
      </c>
      <c r="L21" s="32">
        <f>SUMIF(Tableau13456789101112[S/CATÉGORIES],A21,Tableau13456789101112[DÉBIT])</f>
        <v>0</v>
      </c>
      <c r="M21" s="32">
        <f>SUMIF(Tableau1345678910111213[S/CATÉGORIES],A21,Tableau1345678910111213[DÉBIT])</f>
        <v>0</v>
      </c>
      <c r="N21" s="32">
        <f>SUM(Tableau14[[#This Row],[JANVIER]:[DÉCEMBRE]])</f>
        <v>0</v>
      </c>
    </row>
    <row r="22" spans="1:14" x14ac:dyDescent="0.25">
      <c r="A22" s="35" t="s">
        <v>54</v>
      </c>
      <c r="B22" s="32">
        <f>SUMIF(Tableau1[S/CATÉGORIES],A22,Tableau1[DÉBIT])</f>
        <v>0</v>
      </c>
      <c r="C22" s="32">
        <f>SUMIF(Tableau13[S/CATÉGORIES],A22,Tableau13[DÉBIT])</f>
        <v>0</v>
      </c>
      <c r="D22" s="32">
        <f>SUMIF(Tableau134[S/CATÉGORIES],A22,Tableau134[DÉBIT])</f>
        <v>0</v>
      </c>
      <c r="E22" s="32">
        <f>SUMIF(Tableau1345[S/CATÉGORIES],A22,Tableau1345[DÉBIT])</f>
        <v>0</v>
      </c>
      <c r="F22" s="32">
        <f>SUMIF(Tableau13456[S/CATÉGORIES],A22,Tableau13456[DÉBIT])</f>
        <v>0</v>
      </c>
      <c r="G22" s="32">
        <f>SUMIF(Tableau134567[S/CATÉGORIES],A22,Tableau134567[DÉBIT])</f>
        <v>0</v>
      </c>
      <c r="H22" s="32">
        <f>SUMIF(Tableau1345678[S/CATÉGORIES],A22,Tableau1345678[DÉBIT])</f>
        <v>0</v>
      </c>
      <c r="I22" s="32">
        <f>SUMIF(Tableau13456789[S/CATÉGORIES],A22,Tableau13456789[DÉBIT])</f>
        <v>0</v>
      </c>
      <c r="J22" s="32">
        <f>SUMIF(Tableau1345678910[S/CATÉGORIES],A22,Tableau1345678910[DÉBIT])</f>
        <v>0</v>
      </c>
      <c r="K22" s="32">
        <f>SUMIF(Tableau134567891011[S/CATÉGORIES],A22,Tableau134567891011[DÉBIT])</f>
        <v>0</v>
      </c>
      <c r="L22" s="32">
        <f>SUMIF(Tableau13456789101112[S/CATÉGORIES],A22,Tableau13456789101112[DÉBIT])</f>
        <v>0</v>
      </c>
      <c r="M22" s="32">
        <f>SUMIF(Tableau1345678910111213[S/CATÉGORIES],A22,Tableau1345678910111213[DÉBIT])</f>
        <v>0</v>
      </c>
      <c r="N22" s="32">
        <f>SUM(Tableau14[[#This Row],[JANVIER]:[DÉCEMBRE]])</f>
        <v>0</v>
      </c>
    </row>
    <row r="23" spans="1:14" x14ac:dyDescent="0.25">
      <c r="A23" s="35" t="s">
        <v>107</v>
      </c>
      <c r="B23" s="32">
        <f>SUMIF(Tableau1[S/CATÉGORIES],A23,Tableau1[DÉBIT])</f>
        <v>0</v>
      </c>
      <c r="C23" s="32">
        <f>SUMIF(Tableau13[S/CATÉGORIES],A23,Tableau13[DÉBIT])</f>
        <v>0</v>
      </c>
      <c r="D23" s="32">
        <f>SUMIF(Tableau134[S/CATÉGORIES],A23,Tableau134[DÉBIT])</f>
        <v>0</v>
      </c>
      <c r="E23" s="32">
        <f>SUMIF(Tableau1345[S/CATÉGORIES],A23,Tableau1345[DÉBIT])</f>
        <v>0</v>
      </c>
      <c r="F23" s="32">
        <f>SUMIF(Tableau13456[S/CATÉGORIES],A23,Tableau13456[DÉBIT])</f>
        <v>0</v>
      </c>
      <c r="G23" s="32">
        <f>SUMIF(Tableau134567[S/CATÉGORIES],A23,Tableau134567[DÉBIT])</f>
        <v>0</v>
      </c>
      <c r="H23" s="32">
        <f>SUMIF(Tableau1345678[S/CATÉGORIES],A23,Tableau1345678[DÉBIT])</f>
        <v>0</v>
      </c>
      <c r="I23" s="32">
        <f>SUMIF(Tableau13456789[S/CATÉGORIES],A23,Tableau13456789[DÉBIT])</f>
        <v>0</v>
      </c>
      <c r="J23" s="32">
        <f>SUMIF(Tableau1345678910[S/CATÉGORIES],A23,Tableau1345678910[DÉBIT])</f>
        <v>0</v>
      </c>
      <c r="K23" s="32">
        <f>SUMIF(Tableau134567891011[S/CATÉGORIES],A23,Tableau134567891011[DÉBIT])</f>
        <v>0</v>
      </c>
      <c r="L23" s="32">
        <f>SUMIF(Tableau13456789101112[S/CATÉGORIES],A23,Tableau13456789101112[DÉBIT])</f>
        <v>0</v>
      </c>
      <c r="M23" s="32">
        <f>SUMIF(Tableau1345678910111213[S/CATÉGORIES],A23,Tableau1345678910111213[DÉBIT])</f>
        <v>0</v>
      </c>
      <c r="N23" s="32">
        <f>SUM(Tableau14[[#This Row],[JANVIER]:[DÉCEMBRE]])</f>
        <v>0</v>
      </c>
    </row>
    <row r="24" spans="1:14" x14ac:dyDescent="0.25">
      <c r="A24" s="35" t="s">
        <v>55</v>
      </c>
      <c r="B24" s="32">
        <f>SUMIF(Tableau1[S/CATÉGORIES],A24,Tableau1[DÉBIT])</f>
        <v>0</v>
      </c>
      <c r="C24" s="32">
        <f>SUMIF(Tableau13[S/CATÉGORIES],A24,Tableau13[DÉBIT])</f>
        <v>0</v>
      </c>
      <c r="D24" s="32">
        <f>SUMIF(Tableau134[S/CATÉGORIES],A24,Tableau134[DÉBIT])</f>
        <v>0</v>
      </c>
      <c r="E24" s="32">
        <f>SUMIF(Tableau1345[S/CATÉGORIES],A24,Tableau1345[DÉBIT])</f>
        <v>0</v>
      </c>
      <c r="F24" s="32">
        <f>SUMIF(Tableau13456[S/CATÉGORIES],A24,Tableau13456[DÉBIT])</f>
        <v>0</v>
      </c>
      <c r="G24" s="32">
        <f>SUMIF(Tableau134567[S/CATÉGORIES],A24,Tableau134567[DÉBIT])</f>
        <v>0</v>
      </c>
      <c r="H24" s="32">
        <f>SUMIF(Tableau1345678[S/CATÉGORIES],A24,Tableau1345678[DÉBIT])</f>
        <v>0</v>
      </c>
      <c r="I24" s="32">
        <f>SUMIF(Tableau13456789[S/CATÉGORIES],A24,Tableau13456789[DÉBIT])</f>
        <v>0</v>
      </c>
      <c r="J24" s="32">
        <f>SUMIF(Tableau1345678910[S/CATÉGORIES],A24,Tableau1345678910[DÉBIT])</f>
        <v>0</v>
      </c>
      <c r="K24" s="32">
        <f>SUMIF(Tableau134567891011[S/CATÉGORIES],A24,Tableau134567891011[DÉBIT])</f>
        <v>0</v>
      </c>
      <c r="L24" s="32">
        <f>SUMIF(Tableau13456789101112[S/CATÉGORIES],A24,Tableau13456789101112[DÉBIT])</f>
        <v>0</v>
      </c>
      <c r="M24" s="32">
        <f>SUMIF(Tableau1345678910111213[S/CATÉGORIES],A24,Tableau1345678910111213[DÉBIT])</f>
        <v>0</v>
      </c>
      <c r="N24" s="32">
        <f>SUM(Tableau14[[#This Row],[JANVIER]:[DÉCEMBRE]])</f>
        <v>0</v>
      </c>
    </row>
    <row r="25" spans="1:14" x14ac:dyDescent="0.25">
      <c r="A25" s="35" t="s">
        <v>24</v>
      </c>
      <c r="B25" s="32">
        <f>SUMIF(Tableau1[S/CATÉGORIES],A25,Tableau1[DÉBIT])</f>
        <v>0</v>
      </c>
      <c r="C25" s="32">
        <f>SUMIF(Tableau13[S/CATÉGORIES],A25,Tableau13[DÉBIT])</f>
        <v>0</v>
      </c>
      <c r="D25" s="32">
        <f>SUMIF(Tableau134[S/CATÉGORIES],A25,Tableau134[DÉBIT])</f>
        <v>0</v>
      </c>
      <c r="E25" s="32">
        <f>SUMIF(Tableau1345[S/CATÉGORIES],A25,Tableau1345[DÉBIT])</f>
        <v>0</v>
      </c>
      <c r="F25" s="32">
        <f>SUMIF(Tableau13456[S/CATÉGORIES],A25,Tableau13456[DÉBIT])</f>
        <v>0</v>
      </c>
      <c r="G25" s="32">
        <f>SUMIF(Tableau134567[S/CATÉGORIES],A25,Tableau134567[DÉBIT])</f>
        <v>0</v>
      </c>
      <c r="H25" s="32">
        <f>SUMIF(Tableau1345678[S/CATÉGORIES],A25,Tableau1345678[DÉBIT])</f>
        <v>0</v>
      </c>
      <c r="I25" s="32">
        <f>SUMIF(Tableau13456789[S/CATÉGORIES],A25,Tableau13456789[DÉBIT])</f>
        <v>0</v>
      </c>
      <c r="J25" s="32">
        <f>SUMIF(Tableau1345678910[S/CATÉGORIES],A25,Tableau1345678910[DÉBIT])</f>
        <v>0</v>
      </c>
      <c r="K25" s="32">
        <f>SUMIF(Tableau134567891011[S/CATÉGORIES],A25,Tableau134567891011[DÉBIT])</f>
        <v>0</v>
      </c>
      <c r="L25" s="32">
        <f>SUMIF(Tableau13456789101112[S/CATÉGORIES],A25,Tableau13456789101112[DÉBIT])</f>
        <v>0</v>
      </c>
      <c r="M25" s="32">
        <f>SUMIF(Tableau1345678910111213[S/CATÉGORIES],A25,Tableau1345678910111213[DÉBIT])</f>
        <v>0</v>
      </c>
      <c r="N25" s="32">
        <f>SUM(Tableau14[[#This Row],[JANVIER]:[DÉCEMBRE]])</f>
        <v>0</v>
      </c>
    </row>
    <row r="26" spans="1:14" x14ac:dyDescent="0.25">
      <c r="A26" s="35" t="s">
        <v>22</v>
      </c>
      <c r="B26" s="32">
        <f>SUMIF(Tableau1[S/CATÉGORIES],A26,Tableau1[DÉBIT])</f>
        <v>0</v>
      </c>
      <c r="C26" s="32">
        <f>SUMIF(Tableau13[S/CATÉGORIES],A26,Tableau13[DÉBIT])</f>
        <v>0</v>
      </c>
      <c r="D26" s="32">
        <f>SUMIF(Tableau134[S/CATÉGORIES],A26,Tableau134[DÉBIT])</f>
        <v>0</v>
      </c>
      <c r="E26" s="32">
        <f>SUMIF(Tableau1345[S/CATÉGORIES],A26,Tableau1345[DÉBIT])</f>
        <v>0</v>
      </c>
      <c r="F26" s="32">
        <f>SUMIF(Tableau13456[S/CATÉGORIES],A26,Tableau13456[DÉBIT])</f>
        <v>0</v>
      </c>
      <c r="G26" s="32">
        <f>SUMIF(Tableau134567[S/CATÉGORIES],A26,Tableau134567[DÉBIT])</f>
        <v>0</v>
      </c>
      <c r="H26" s="32">
        <f>SUMIF(Tableau1345678[S/CATÉGORIES],A26,Tableau1345678[DÉBIT])</f>
        <v>0</v>
      </c>
      <c r="I26" s="32">
        <f>SUMIF(Tableau13456789[S/CATÉGORIES],A26,Tableau13456789[DÉBIT])</f>
        <v>0</v>
      </c>
      <c r="J26" s="32">
        <f>SUMIF(Tableau1345678910[S/CATÉGORIES],A26,Tableau1345678910[DÉBIT])</f>
        <v>0</v>
      </c>
      <c r="K26" s="32">
        <f>SUMIF(Tableau134567891011[S/CATÉGORIES],A26,Tableau134567891011[DÉBIT])</f>
        <v>0</v>
      </c>
      <c r="L26" s="32">
        <f>SUMIF(Tableau13456789101112[S/CATÉGORIES],A26,Tableau13456789101112[DÉBIT])</f>
        <v>0</v>
      </c>
      <c r="M26" s="32">
        <f>SUMIF(Tableau1345678910111213[S/CATÉGORIES],A26,Tableau1345678910111213[DÉBIT])</f>
        <v>0</v>
      </c>
      <c r="N26" s="32">
        <f>SUM(Tableau14[[#This Row],[JANVIER]:[DÉCEMBRE]])</f>
        <v>0</v>
      </c>
    </row>
    <row r="27" spans="1:14" x14ac:dyDescent="0.25">
      <c r="A27" s="35" t="s">
        <v>106</v>
      </c>
      <c r="B27" s="32">
        <f>SUMIF(Tableau1[S/CATÉGORIES],A27,Tableau1[DÉBIT])</f>
        <v>0</v>
      </c>
      <c r="C27" s="32">
        <f>SUMIF(Tableau13[S/CATÉGORIES],A27,Tableau13[DÉBIT])</f>
        <v>0</v>
      </c>
      <c r="D27" s="32">
        <f>SUMIF(Tableau134[S/CATÉGORIES],A27,Tableau134[DÉBIT])</f>
        <v>0</v>
      </c>
      <c r="E27" s="32">
        <f>SUMIF(Tableau1345[S/CATÉGORIES],A27,Tableau1345[DÉBIT])</f>
        <v>0</v>
      </c>
      <c r="F27" s="32">
        <f>SUMIF(Tableau13456[S/CATÉGORIES],A27,Tableau13456[DÉBIT])</f>
        <v>0</v>
      </c>
      <c r="G27" s="32">
        <f>SUMIF(Tableau134567[S/CATÉGORIES],A27,Tableau134567[DÉBIT])</f>
        <v>0</v>
      </c>
      <c r="H27" s="32">
        <f>SUMIF(Tableau1345678[S/CATÉGORIES],A27,Tableau1345678[DÉBIT])</f>
        <v>0</v>
      </c>
      <c r="I27" s="32">
        <f>SUMIF(Tableau13456789[S/CATÉGORIES],A27,Tableau13456789[DÉBIT])</f>
        <v>0</v>
      </c>
      <c r="J27" s="32">
        <f>SUMIF(Tableau1345678910[S/CATÉGORIES],A27,Tableau1345678910[DÉBIT])</f>
        <v>0</v>
      </c>
      <c r="K27" s="32">
        <f>SUMIF(Tableau134567891011[S/CATÉGORIES],A27,Tableau134567891011[DÉBIT])</f>
        <v>0</v>
      </c>
      <c r="L27" s="32">
        <f>SUMIF(Tableau13456789101112[S/CATÉGORIES],A27,Tableau13456789101112[DÉBIT])</f>
        <v>0</v>
      </c>
      <c r="M27" s="32">
        <f>SUMIF(Tableau1345678910111213[S/CATÉGORIES],A27,Tableau1345678910111213[DÉBIT])</f>
        <v>0</v>
      </c>
      <c r="N27" s="32">
        <f>SUM(Tableau14[[#This Row],[JANVIER]:[DÉCEMBRE]])</f>
        <v>0</v>
      </c>
    </row>
    <row r="28" spans="1:14" x14ac:dyDescent="0.25">
      <c r="A28" s="35" t="s">
        <v>37</v>
      </c>
      <c r="B28" s="32">
        <f>SUMIF(Tableau1[S/CATÉGORIES],A28,Tableau1[DÉBIT])</f>
        <v>0</v>
      </c>
      <c r="C28" s="32">
        <f>SUMIF(Tableau13[S/CATÉGORIES],A28,Tableau13[DÉBIT])</f>
        <v>0</v>
      </c>
      <c r="D28" s="32">
        <f>SUMIF(Tableau134[S/CATÉGORIES],A28,Tableau134[DÉBIT])</f>
        <v>0</v>
      </c>
      <c r="E28" s="32">
        <f>SUMIF(Tableau1345[S/CATÉGORIES],A28,Tableau1345[DÉBIT])</f>
        <v>0</v>
      </c>
      <c r="F28" s="32">
        <f>SUMIF(Tableau13456[S/CATÉGORIES],A28,Tableau13456[DÉBIT])</f>
        <v>0</v>
      </c>
      <c r="G28" s="32">
        <f>SUMIF(Tableau134567[S/CATÉGORIES],A28,Tableau134567[DÉBIT])</f>
        <v>0</v>
      </c>
      <c r="H28" s="32">
        <f>SUMIF(Tableau1345678[S/CATÉGORIES],A28,Tableau1345678[DÉBIT])</f>
        <v>0</v>
      </c>
      <c r="I28" s="32">
        <f>SUMIF(Tableau13456789[S/CATÉGORIES],A28,Tableau13456789[DÉBIT])</f>
        <v>0</v>
      </c>
      <c r="J28" s="32">
        <f>SUMIF(Tableau1345678910[S/CATÉGORIES],A28,Tableau1345678910[DÉBIT])</f>
        <v>0</v>
      </c>
      <c r="K28" s="32">
        <f>SUMIF(Tableau134567891011[S/CATÉGORIES],A28,Tableau134567891011[DÉBIT])</f>
        <v>0</v>
      </c>
      <c r="L28" s="32">
        <f>SUMIF(Tableau13456789101112[S/CATÉGORIES],A28,Tableau13456789101112[DÉBIT])</f>
        <v>0</v>
      </c>
      <c r="M28" s="32">
        <f>SUMIF(Tableau1345678910111213[S/CATÉGORIES],A28,Tableau1345678910111213[DÉBIT])</f>
        <v>0</v>
      </c>
      <c r="N28" s="32">
        <f>SUM(Tableau14[[#This Row],[JANVIER]:[DÉCEMBRE]])</f>
        <v>0</v>
      </c>
    </row>
    <row r="29" spans="1:14" x14ac:dyDescent="0.25">
      <c r="A29" s="35" t="s">
        <v>56</v>
      </c>
      <c r="B29" s="32">
        <f>SUMIF(Tableau1[S/CATÉGORIES],A29,Tableau1[DÉBIT])</f>
        <v>0</v>
      </c>
      <c r="C29" s="32">
        <f>SUMIF(Tableau13[S/CATÉGORIES],A29,Tableau13[DÉBIT])</f>
        <v>0</v>
      </c>
      <c r="D29" s="32">
        <f>SUMIF(Tableau134[S/CATÉGORIES],A29,Tableau134[DÉBIT])</f>
        <v>0</v>
      </c>
      <c r="E29" s="32">
        <f>SUMIF(Tableau1345[S/CATÉGORIES],A29,Tableau1345[DÉBIT])</f>
        <v>0</v>
      </c>
      <c r="F29" s="32">
        <f>SUMIF(Tableau13456[S/CATÉGORIES],A29,Tableau13456[DÉBIT])</f>
        <v>0</v>
      </c>
      <c r="G29" s="32">
        <f>SUMIF(Tableau134567[S/CATÉGORIES],A29,Tableau134567[DÉBIT])</f>
        <v>0</v>
      </c>
      <c r="H29" s="32">
        <f>SUMIF(Tableau1345678[S/CATÉGORIES],A29,Tableau1345678[DÉBIT])</f>
        <v>0</v>
      </c>
      <c r="I29" s="32">
        <f>SUMIF(Tableau13456789[S/CATÉGORIES],A29,Tableau13456789[DÉBIT])</f>
        <v>0</v>
      </c>
      <c r="J29" s="32">
        <f>SUMIF(Tableau1345678910[S/CATÉGORIES],A29,Tableau1345678910[DÉBIT])</f>
        <v>0</v>
      </c>
      <c r="K29" s="32">
        <f>SUMIF(Tableau134567891011[S/CATÉGORIES],A29,Tableau134567891011[DÉBIT])</f>
        <v>0</v>
      </c>
      <c r="L29" s="32">
        <f>SUMIF(Tableau13456789101112[S/CATÉGORIES],A29,Tableau13456789101112[DÉBIT])</f>
        <v>0</v>
      </c>
      <c r="M29" s="32">
        <f>SUMIF(Tableau1345678910111213[S/CATÉGORIES],A29,Tableau1345678910111213[DÉBIT])</f>
        <v>0</v>
      </c>
      <c r="N29" s="32">
        <f>SUM(Tableau14[[#This Row],[JANVIER]:[DÉCEMBRE]])</f>
        <v>0</v>
      </c>
    </row>
    <row r="30" spans="1:14" x14ac:dyDescent="0.25">
      <c r="A30" s="35" t="s">
        <v>57</v>
      </c>
      <c r="B30" s="32">
        <f>SUMIF(Tableau1[S/CATÉGORIES],A30,Tableau1[DÉBIT])</f>
        <v>0</v>
      </c>
      <c r="C30" s="32">
        <f>SUMIF(Tableau13[S/CATÉGORIES],A30,Tableau13[DÉBIT])</f>
        <v>0</v>
      </c>
      <c r="D30" s="32">
        <f>SUMIF(Tableau134[S/CATÉGORIES],A30,Tableau134[DÉBIT])</f>
        <v>0</v>
      </c>
      <c r="E30" s="32">
        <f>SUMIF(Tableau1345[S/CATÉGORIES],A30,Tableau1345[DÉBIT])</f>
        <v>0</v>
      </c>
      <c r="F30" s="32">
        <f>SUMIF(Tableau13456[S/CATÉGORIES],A30,Tableau13456[DÉBIT])</f>
        <v>0</v>
      </c>
      <c r="G30" s="32">
        <f>SUMIF(Tableau134567[S/CATÉGORIES],A30,Tableau134567[DÉBIT])</f>
        <v>0</v>
      </c>
      <c r="H30" s="32">
        <f>SUMIF(Tableau1345678[S/CATÉGORIES],A30,Tableau1345678[DÉBIT])</f>
        <v>0</v>
      </c>
      <c r="I30" s="32">
        <f>SUMIF(Tableau13456789[S/CATÉGORIES],A30,Tableau13456789[DÉBIT])</f>
        <v>0</v>
      </c>
      <c r="J30" s="32">
        <f>SUMIF(Tableau1345678910[S/CATÉGORIES],A30,Tableau1345678910[DÉBIT])</f>
        <v>0</v>
      </c>
      <c r="K30" s="32">
        <f>SUMIF(Tableau134567891011[S/CATÉGORIES],A30,Tableau134567891011[DÉBIT])</f>
        <v>0</v>
      </c>
      <c r="L30" s="32">
        <f>SUMIF(Tableau13456789101112[S/CATÉGORIES],A30,Tableau13456789101112[DÉBIT])</f>
        <v>0</v>
      </c>
      <c r="M30" s="32">
        <f>SUMIF(Tableau1345678910111213[S/CATÉGORIES],A30,Tableau1345678910111213[DÉBIT])</f>
        <v>0</v>
      </c>
      <c r="N30" s="32">
        <f>SUM(Tableau14[[#This Row],[JANVIER]:[DÉCEMBRE]])</f>
        <v>0</v>
      </c>
    </row>
    <row r="31" spans="1:14" x14ac:dyDescent="0.25">
      <c r="A31" s="36" t="s">
        <v>74</v>
      </c>
      <c r="B31" s="32">
        <f>SUMIF(Tableau1[S/CATÉGORIES],A31,Tableau1[DÉBIT])</f>
        <v>0</v>
      </c>
      <c r="C31" s="32">
        <f>SUMIF(Tableau13[S/CATÉGORIES],A31,Tableau13[DÉBIT])</f>
        <v>0</v>
      </c>
      <c r="D31" s="32">
        <f>SUMIF(Tableau134[S/CATÉGORIES],A31,Tableau134[DÉBIT])</f>
        <v>0</v>
      </c>
      <c r="E31" s="32">
        <f>SUMIF(Tableau1345[S/CATÉGORIES],A31,Tableau1345[DÉBIT])</f>
        <v>0</v>
      </c>
      <c r="F31" s="32">
        <f>SUMIF(Tableau13456[S/CATÉGORIES],A31,Tableau13456[DÉBIT])</f>
        <v>0</v>
      </c>
      <c r="G31" s="32">
        <f>SUMIF(Tableau134567[S/CATÉGORIES],A31,Tableau134567[DÉBIT])</f>
        <v>0</v>
      </c>
      <c r="H31" s="32">
        <f>SUMIF(Tableau1345678[S/CATÉGORIES],A31,Tableau1345678[DÉBIT])</f>
        <v>0</v>
      </c>
      <c r="I31" s="32">
        <f>SUMIF(Tableau13456789[S/CATÉGORIES],A31,Tableau13456789[DÉBIT])</f>
        <v>0</v>
      </c>
      <c r="J31" s="32">
        <f>SUMIF(Tableau1345678910[S/CATÉGORIES],A31,Tableau1345678910[DÉBIT])</f>
        <v>0</v>
      </c>
      <c r="K31" s="32">
        <f>SUMIF(Tableau134567891011[S/CATÉGORIES],A31,Tableau134567891011[DÉBIT])</f>
        <v>0</v>
      </c>
      <c r="L31" s="32">
        <f>SUMIF(Tableau13456789101112[S/CATÉGORIES],A31,Tableau13456789101112[DÉBIT])</f>
        <v>0</v>
      </c>
      <c r="M31" s="32">
        <f>SUMIF(Tableau1345678910111213[S/CATÉGORIES],A31,Tableau1345678910111213[DÉBIT])</f>
        <v>0</v>
      </c>
      <c r="N31" s="32">
        <f>SUM(Tableau14[[#This Row],[JANVIER]:[DÉCEMBRE]])</f>
        <v>0</v>
      </c>
    </row>
    <row r="32" spans="1:14" x14ac:dyDescent="0.25">
      <c r="A32" s="35" t="s">
        <v>58</v>
      </c>
      <c r="B32" s="32">
        <f>SUMIF(Tableau1[S/CATÉGORIES],A32,Tableau1[DÉBIT])</f>
        <v>0</v>
      </c>
      <c r="C32" s="32">
        <f>SUMIF(Tableau13[S/CATÉGORIES],A32,Tableau13[DÉBIT])</f>
        <v>0</v>
      </c>
      <c r="D32" s="32">
        <f>SUMIF(Tableau134[S/CATÉGORIES],A32,Tableau134[DÉBIT])</f>
        <v>0</v>
      </c>
      <c r="E32" s="32">
        <f>SUMIF(Tableau1345[S/CATÉGORIES],A32,Tableau1345[DÉBIT])</f>
        <v>0</v>
      </c>
      <c r="F32" s="32">
        <f>SUMIF(Tableau13456[S/CATÉGORIES],A32,Tableau13456[DÉBIT])</f>
        <v>0</v>
      </c>
      <c r="G32" s="32">
        <f>SUMIF(Tableau134567[S/CATÉGORIES],A32,Tableau134567[DÉBIT])</f>
        <v>0</v>
      </c>
      <c r="H32" s="32">
        <f>SUMIF(Tableau1345678[S/CATÉGORIES],A32,Tableau1345678[DÉBIT])</f>
        <v>0</v>
      </c>
      <c r="I32" s="32">
        <f>SUMIF(Tableau13456789[S/CATÉGORIES],A32,Tableau13456789[DÉBIT])</f>
        <v>0</v>
      </c>
      <c r="J32" s="32">
        <f>SUMIF(Tableau1345678910[S/CATÉGORIES],A32,Tableau1345678910[DÉBIT])</f>
        <v>0</v>
      </c>
      <c r="K32" s="32">
        <f>SUMIF(Tableau134567891011[S/CATÉGORIES],A32,Tableau134567891011[DÉBIT])</f>
        <v>0</v>
      </c>
      <c r="L32" s="32">
        <f>SUMIF(Tableau13456789101112[S/CATÉGORIES],A32,Tableau13456789101112[DÉBIT])</f>
        <v>0</v>
      </c>
      <c r="M32" s="32">
        <f>SUMIF(Tableau1345678910111213[S/CATÉGORIES],A32,Tableau1345678910111213[DÉBIT])</f>
        <v>0</v>
      </c>
      <c r="N32" s="32">
        <f>SUM(Tableau14[[#This Row],[JANVIER]:[DÉCEMBRE]])</f>
        <v>0</v>
      </c>
    </row>
    <row r="33" spans="1:14" x14ac:dyDescent="0.25">
      <c r="A33" s="35" t="s">
        <v>111</v>
      </c>
      <c r="B33" s="32">
        <f>SUMIF(Tableau1[S/CATÉGORIES],A33,Tableau1[DÉBIT])</f>
        <v>0</v>
      </c>
      <c r="C33" s="32">
        <f>SUMIF(Tableau13[S/CATÉGORIES],A33,Tableau13[DÉBIT])</f>
        <v>0</v>
      </c>
      <c r="D33" s="32">
        <f>SUMIF(Tableau134[S/CATÉGORIES],A33,Tableau134[DÉBIT])</f>
        <v>0</v>
      </c>
      <c r="E33" s="32">
        <f>SUMIF(Tableau1345[S/CATÉGORIES],A33,Tableau1345[DÉBIT])</f>
        <v>0</v>
      </c>
      <c r="F33" s="32">
        <f>SUMIF(Tableau13456[S/CATÉGORIES],A33,Tableau13456[DÉBIT])</f>
        <v>0</v>
      </c>
      <c r="G33" s="32">
        <f>SUMIF(Tableau134567[S/CATÉGORIES],A33,Tableau134567[DÉBIT])</f>
        <v>0</v>
      </c>
      <c r="H33" s="32">
        <f>SUMIF(Tableau1345678[S/CATÉGORIES],A33,Tableau1345678[DÉBIT])</f>
        <v>0</v>
      </c>
      <c r="I33" s="32">
        <f>SUMIF(Tableau13456789[S/CATÉGORIES],A33,Tableau13456789[DÉBIT])</f>
        <v>0</v>
      </c>
      <c r="J33" s="32">
        <f>SUMIF(Tableau1345678910[S/CATÉGORIES],A33,Tableau1345678910[DÉBIT])</f>
        <v>0</v>
      </c>
      <c r="K33" s="32">
        <f>SUMIF(Tableau134567891011[S/CATÉGORIES],A33,Tableau134567891011[DÉBIT])</f>
        <v>0</v>
      </c>
      <c r="L33" s="32">
        <f>SUMIF(Tableau13456789101112[S/CATÉGORIES],A33,Tableau13456789101112[DÉBIT])</f>
        <v>0</v>
      </c>
      <c r="M33" s="32">
        <f>SUMIF(Tableau1345678910111213[S/CATÉGORIES],A33,Tableau1345678910111213[DÉBIT])</f>
        <v>0</v>
      </c>
      <c r="N33" s="32">
        <f>SUM(Tableau14[[#This Row],[JANVIER]:[DÉCEMBRE]])</f>
        <v>0</v>
      </c>
    </row>
    <row r="34" spans="1:14" x14ac:dyDescent="0.25">
      <c r="A34" s="35" t="s">
        <v>59</v>
      </c>
      <c r="B34" s="32">
        <f>SUMIF(Tableau1[S/CATÉGORIES],A34,Tableau1[DÉBIT])</f>
        <v>0</v>
      </c>
      <c r="C34" s="32">
        <f>SUMIF(Tableau13[S/CATÉGORIES],A34,Tableau13[DÉBIT])</f>
        <v>0</v>
      </c>
      <c r="D34" s="32">
        <f>SUMIF(Tableau134[S/CATÉGORIES],A34,Tableau134[DÉBIT])</f>
        <v>0</v>
      </c>
      <c r="E34" s="32">
        <f>SUMIF(Tableau1345[S/CATÉGORIES],A34,Tableau1345[DÉBIT])</f>
        <v>0</v>
      </c>
      <c r="F34" s="32">
        <f>SUMIF(Tableau13456[S/CATÉGORIES],A34,Tableau13456[DÉBIT])</f>
        <v>0</v>
      </c>
      <c r="G34" s="32">
        <f>SUMIF(Tableau134567[S/CATÉGORIES],A34,Tableau134567[DÉBIT])</f>
        <v>0</v>
      </c>
      <c r="H34" s="32">
        <f>SUMIF(Tableau1345678[S/CATÉGORIES],A34,Tableau1345678[DÉBIT])</f>
        <v>0</v>
      </c>
      <c r="I34" s="32">
        <f>SUMIF(Tableau13456789[S/CATÉGORIES],A34,Tableau13456789[DÉBIT])</f>
        <v>0</v>
      </c>
      <c r="J34" s="32">
        <f>SUMIF(Tableau1345678910[S/CATÉGORIES],A34,Tableau1345678910[DÉBIT])</f>
        <v>0</v>
      </c>
      <c r="K34" s="32">
        <f>SUMIF(Tableau134567891011[S/CATÉGORIES],A34,Tableau134567891011[DÉBIT])</f>
        <v>0</v>
      </c>
      <c r="L34" s="32">
        <f>SUMIF(Tableau13456789101112[S/CATÉGORIES],A34,Tableau13456789101112[DÉBIT])</f>
        <v>0</v>
      </c>
      <c r="M34" s="32">
        <f>SUMIF(Tableau1345678910111213[S/CATÉGORIES],A34,Tableau1345678910111213[DÉBIT])</f>
        <v>0</v>
      </c>
      <c r="N34" s="32">
        <f>SUM(Tableau14[[#This Row],[JANVIER]:[DÉCEMBRE]])</f>
        <v>0</v>
      </c>
    </row>
    <row r="35" spans="1:14" x14ac:dyDescent="0.25">
      <c r="A35" s="35" t="s">
        <v>60</v>
      </c>
      <c r="B35" s="32">
        <f>SUMIF(Tableau1[S/CATÉGORIES],A35,Tableau1[DÉBIT])</f>
        <v>0</v>
      </c>
      <c r="C35" s="32">
        <f>SUMIF(Tableau13[S/CATÉGORIES],A35,Tableau13[DÉBIT])</f>
        <v>0</v>
      </c>
      <c r="D35" s="32">
        <f>SUMIF(Tableau134[S/CATÉGORIES],A35,Tableau134[DÉBIT])</f>
        <v>0</v>
      </c>
      <c r="E35" s="32">
        <f>SUMIF(Tableau1345[S/CATÉGORIES],A35,Tableau1345[DÉBIT])</f>
        <v>0</v>
      </c>
      <c r="F35" s="32">
        <f>SUMIF(Tableau13456[S/CATÉGORIES],A35,Tableau13456[DÉBIT])</f>
        <v>0</v>
      </c>
      <c r="G35" s="32">
        <f>SUMIF(Tableau134567[S/CATÉGORIES],A35,Tableau134567[DÉBIT])</f>
        <v>0</v>
      </c>
      <c r="H35" s="32">
        <f>SUMIF(Tableau1345678[S/CATÉGORIES],A35,Tableau1345678[DÉBIT])</f>
        <v>0</v>
      </c>
      <c r="I35" s="32">
        <f>SUMIF(Tableau13456789[S/CATÉGORIES],A35,Tableau13456789[DÉBIT])</f>
        <v>0</v>
      </c>
      <c r="J35" s="32">
        <f>SUMIF(Tableau1345678910[S/CATÉGORIES],A35,Tableau1345678910[DÉBIT])</f>
        <v>0</v>
      </c>
      <c r="K35" s="32">
        <f>SUMIF(Tableau134567891011[S/CATÉGORIES],A35,Tableau134567891011[DÉBIT])</f>
        <v>0</v>
      </c>
      <c r="L35" s="32">
        <f>SUMIF(Tableau13456789101112[S/CATÉGORIES],A35,Tableau13456789101112[DÉBIT])</f>
        <v>0</v>
      </c>
      <c r="M35" s="32">
        <f>SUMIF(Tableau1345678910111213[S/CATÉGORIES],A35,Tableau1345678910111213[DÉBIT])</f>
        <v>0</v>
      </c>
      <c r="N35" s="32">
        <f>SUM(Tableau14[[#This Row],[JANVIER]:[DÉCEMBRE]])</f>
        <v>0</v>
      </c>
    </row>
    <row r="36" spans="1:14" x14ac:dyDescent="0.25">
      <c r="A36" s="35" t="s">
        <v>28</v>
      </c>
      <c r="B36" s="32">
        <f>SUMIF(Tableau1[S/CATÉGORIES],A36,Tableau1[DÉBIT])</f>
        <v>0</v>
      </c>
      <c r="C36" s="32">
        <f>SUMIF(Tableau13[S/CATÉGORIES],A36,Tableau13[DÉBIT])</f>
        <v>0</v>
      </c>
      <c r="D36" s="32">
        <f>SUMIF(Tableau134[S/CATÉGORIES],A36,Tableau134[DÉBIT])</f>
        <v>0</v>
      </c>
      <c r="E36" s="32">
        <f>SUMIF(Tableau1345[S/CATÉGORIES],A36,Tableau1345[DÉBIT])</f>
        <v>0</v>
      </c>
      <c r="F36" s="32">
        <f>SUMIF(Tableau13456[S/CATÉGORIES],A36,Tableau13456[DÉBIT])</f>
        <v>0</v>
      </c>
      <c r="G36" s="32">
        <f>SUMIF(Tableau134567[S/CATÉGORIES],A36,Tableau134567[DÉBIT])</f>
        <v>0</v>
      </c>
      <c r="H36" s="32">
        <f>SUMIF(Tableau1345678[S/CATÉGORIES],A36,Tableau1345678[DÉBIT])</f>
        <v>0</v>
      </c>
      <c r="I36" s="32">
        <f>SUMIF(Tableau13456789[S/CATÉGORIES],A36,Tableau13456789[DÉBIT])</f>
        <v>0</v>
      </c>
      <c r="J36" s="32">
        <f>SUMIF(Tableau1345678910[S/CATÉGORIES],A36,Tableau1345678910[DÉBIT])</f>
        <v>0</v>
      </c>
      <c r="K36" s="32">
        <f>SUMIF(Tableau134567891011[S/CATÉGORIES],A36,Tableau134567891011[DÉBIT])</f>
        <v>0</v>
      </c>
      <c r="L36" s="32">
        <f>SUMIF(Tableau13456789101112[S/CATÉGORIES],A36,Tableau13456789101112[DÉBIT])</f>
        <v>0</v>
      </c>
      <c r="M36" s="32">
        <f>SUMIF(Tableau1345678910111213[S/CATÉGORIES],A36,Tableau1345678910111213[DÉBIT])</f>
        <v>0</v>
      </c>
      <c r="N36" s="32">
        <f>SUM(Tableau14[[#This Row],[JANVIER]:[DÉCEMBRE]])</f>
        <v>0</v>
      </c>
    </row>
    <row r="37" spans="1:14" x14ac:dyDescent="0.25">
      <c r="A37" s="35" t="s">
        <v>108</v>
      </c>
      <c r="B37" s="32">
        <f>SUMIF(Tableau1[S/CATÉGORIES],A37,Tableau1[DÉBIT])</f>
        <v>0</v>
      </c>
      <c r="C37" s="32">
        <f>SUMIF(Tableau13[S/CATÉGORIES],A37,Tableau13[DÉBIT])</f>
        <v>0</v>
      </c>
      <c r="D37" s="32">
        <f>SUMIF(Tableau134[S/CATÉGORIES],A37,Tableau134[DÉBIT])</f>
        <v>0</v>
      </c>
      <c r="E37" s="32">
        <f>SUMIF(Tableau1345[S/CATÉGORIES],A37,Tableau1345[DÉBIT])</f>
        <v>0</v>
      </c>
      <c r="F37" s="32">
        <f>SUMIF(Tableau13456[S/CATÉGORIES],A37,Tableau13456[DÉBIT])</f>
        <v>0</v>
      </c>
      <c r="G37" s="32">
        <f>SUMIF(Tableau134567[S/CATÉGORIES],A37,Tableau134567[DÉBIT])</f>
        <v>0</v>
      </c>
      <c r="H37" s="32">
        <f>SUMIF(Tableau1345678[S/CATÉGORIES],A37,Tableau1345678[DÉBIT])</f>
        <v>0</v>
      </c>
      <c r="I37" s="32">
        <f>SUMIF(Tableau13456789[S/CATÉGORIES],A37,Tableau13456789[DÉBIT])</f>
        <v>0</v>
      </c>
      <c r="J37" s="32">
        <f>SUMIF(Tableau1345678910[S/CATÉGORIES],A37,Tableau1345678910[DÉBIT])</f>
        <v>0</v>
      </c>
      <c r="K37" s="32">
        <f>SUMIF(Tableau134567891011[S/CATÉGORIES],A37,Tableau134567891011[DÉBIT])</f>
        <v>0</v>
      </c>
      <c r="L37" s="32">
        <f>SUMIF(Tableau13456789101112[S/CATÉGORIES],A37,Tableau13456789101112[DÉBIT])</f>
        <v>0</v>
      </c>
      <c r="M37" s="32">
        <f>SUMIF(Tableau1345678910111213[S/CATÉGORIES],A37,Tableau1345678910111213[DÉBIT])</f>
        <v>0</v>
      </c>
      <c r="N37" s="32">
        <f>SUM(Tableau14[[#This Row],[JANVIER]:[DÉCEMBRE]])</f>
        <v>0</v>
      </c>
    </row>
    <row r="38" spans="1:14" x14ac:dyDescent="0.25">
      <c r="A38" s="35" t="s">
        <v>112</v>
      </c>
      <c r="B38" s="32">
        <f>SUMIF(Tableau1[S/CATÉGORIES],A38,Tableau1[DÉBIT])</f>
        <v>0</v>
      </c>
      <c r="C38" s="32">
        <f>SUMIF(Tableau13[S/CATÉGORIES],A38,Tableau13[DÉBIT])</f>
        <v>0</v>
      </c>
      <c r="D38" s="32">
        <f>SUMIF(Tableau134[S/CATÉGORIES],A38,Tableau134[DÉBIT])</f>
        <v>0</v>
      </c>
      <c r="E38" s="32">
        <f>SUMIF(Tableau1345[S/CATÉGORIES],A38,Tableau1345[DÉBIT])</f>
        <v>0</v>
      </c>
      <c r="F38" s="32">
        <f>SUMIF(Tableau13456[S/CATÉGORIES],A38,Tableau13456[DÉBIT])</f>
        <v>0</v>
      </c>
      <c r="G38" s="32">
        <f>SUMIF(Tableau134567[S/CATÉGORIES],A38,Tableau134567[DÉBIT])</f>
        <v>0</v>
      </c>
      <c r="H38" s="32">
        <f>SUMIF(Tableau1345678[S/CATÉGORIES],A38,Tableau1345678[DÉBIT])</f>
        <v>0</v>
      </c>
      <c r="I38" s="32">
        <f>SUMIF(Tableau13456789[S/CATÉGORIES],A38,Tableau13456789[DÉBIT])</f>
        <v>0</v>
      </c>
      <c r="J38" s="32">
        <f>SUMIF(Tableau1345678910[S/CATÉGORIES],A38,Tableau1345678910[DÉBIT])</f>
        <v>0</v>
      </c>
      <c r="K38" s="32">
        <f>SUMIF(Tableau134567891011[S/CATÉGORIES],A38,Tableau134567891011[DÉBIT])</f>
        <v>0</v>
      </c>
      <c r="L38" s="32">
        <f>SUMIF(Tableau13456789101112[S/CATÉGORIES],A38,Tableau13456789101112[DÉBIT])</f>
        <v>0</v>
      </c>
      <c r="M38" s="32">
        <f>SUMIF(Tableau1345678910111213[S/CATÉGORIES],A38,Tableau1345678910111213[DÉBIT])</f>
        <v>0</v>
      </c>
      <c r="N38" s="32">
        <f>SUM(Tableau14[[#This Row],[JANVIER]:[DÉCEMBRE]])</f>
        <v>0</v>
      </c>
    </row>
    <row r="39" spans="1:14" x14ac:dyDescent="0.25">
      <c r="A39" s="35" t="s">
        <v>110</v>
      </c>
      <c r="B39" s="32">
        <f>SUMIF(Tableau1[S/CATÉGORIES],A39,Tableau1[DÉBIT])</f>
        <v>0</v>
      </c>
      <c r="C39" s="32">
        <f>SUMIF(Tableau13[S/CATÉGORIES],A39,Tableau13[DÉBIT])</f>
        <v>0</v>
      </c>
      <c r="D39" s="32">
        <f>SUMIF(Tableau134[S/CATÉGORIES],A39,Tableau134[DÉBIT])</f>
        <v>0</v>
      </c>
      <c r="E39" s="32">
        <f>SUMIF(Tableau1345[S/CATÉGORIES],A39,Tableau1345[DÉBIT])</f>
        <v>0</v>
      </c>
      <c r="F39" s="32">
        <f>SUMIF(Tableau13456[S/CATÉGORIES],A39,Tableau13456[DÉBIT])</f>
        <v>0</v>
      </c>
      <c r="G39" s="32">
        <f>SUMIF(Tableau134567[S/CATÉGORIES],A39,Tableau134567[DÉBIT])</f>
        <v>0</v>
      </c>
      <c r="H39" s="32">
        <f>SUMIF(Tableau1345678[S/CATÉGORIES],A39,Tableau1345678[DÉBIT])</f>
        <v>0</v>
      </c>
      <c r="I39" s="32">
        <f>SUMIF(Tableau13456789[S/CATÉGORIES],A39,Tableau13456789[DÉBIT])</f>
        <v>0</v>
      </c>
      <c r="J39" s="32">
        <f>SUMIF(Tableau1345678910[S/CATÉGORIES],A39,Tableau1345678910[DÉBIT])</f>
        <v>0</v>
      </c>
      <c r="K39" s="32">
        <f>SUMIF(Tableau134567891011[S/CATÉGORIES],A39,Tableau134567891011[DÉBIT])</f>
        <v>0</v>
      </c>
      <c r="L39" s="32">
        <f>SUMIF(Tableau13456789101112[S/CATÉGORIES],A39,Tableau13456789101112[DÉBIT])</f>
        <v>0</v>
      </c>
      <c r="M39" s="32">
        <f>SUMIF(Tableau1345678910111213[S/CATÉGORIES],A39,Tableau1345678910111213[DÉBIT])</f>
        <v>0</v>
      </c>
      <c r="N39" s="32">
        <f>SUM(Tableau14[[#This Row],[JANVIER]:[DÉCEMBRE]])</f>
        <v>0</v>
      </c>
    </row>
    <row r="40" spans="1:14" x14ac:dyDescent="0.25">
      <c r="A40" s="35" t="s">
        <v>68</v>
      </c>
      <c r="B40" s="32">
        <f>SUMIF(Tableau1[S/CATÉGORIES],A40,Tableau1[DÉBIT])</f>
        <v>0</v>
      </c>
      <c r="C40" s="32">
        <f>SUMIF(Tableau13[S/CATÉGORIES],A40,Tableau13[DÉBIT])</f>
        <v>0</v>
      </c>
      <c r="D40" s="32">
        <f>SUMIF(Tableau134[S/CATÉGORIES],A40,Tableau134[DÉBIT])</f>
        <v>0</v>
      </c>
      <c r="E40" s="32">
        <f>SUMIF(Tableau1345[S/CATÉGORIES],A40,Tableau1345[DÉBIT])</f>
        <v>0</v>
      </c>
      <c r="F40" s="32">
        <f>SUMIF(Tableau13456[S/CATÉGORIES],A40,Tableau13456[DÉBIT])</f>
        <v>0</v>
      </c>
      <c r="G40" s="32">
        <f>SUMIF(Tableau134567[S/CATÉGORIES],A40,Tableau134567[DÉBIT])</f>
        <v>0</v>
      </c>
      <c r="H40" s="32">
        <f>SUMIF(Tableau1345678[S/CATÉGORIES],A40,Tableau1345678[DÉBIT])</f>
        <v>0</v>
      </c>
      <c r="I40" s="32">
        <f>SUMIF(Tableau13456789[S/CATÉGORIES],A40,Tableau13456789[DÉBIT])</f>
        <v>0</v>
      </c>
      <c r="J40" s="32">
        <f>SUMIF(Tableau1345678910[S/CATÉGORIES],A40,Tableau1345678910[DÉBIT])</f>
        <v>0</v>
      </c>
      <c r="K40" s="32">
        <f>SUMIF(Tableau134567891011[S/CATÉGORIES],A40,Tableau134567891011[DÉBIT])</f>
        <v>0</v>
      </c>
      <c r="L40" s="32">
        <f>SUMIF(Tableau13456789101112[S/CATÉGORIES],A40,Tableau13456789101112[DÉBIT])</f>
        <v>0</v>
      </c>
      <c r="M40" s="32">
        <f>SUMIF(Tableau1345678910111213[S/CATÉGORIES],A40,Tableau1345678910111213[DÉBIT])</f>
        <v>0</v>
      </c>
      <c r="N40" s="32">
        <f>SUM(Tableau14[[#This Row],[JANVIER]:[DÉCEMBRE]])</f>
        <v>0</v>
      </c>
    </row>
    <row r="41" spans="1:14" x14ac:dyDescent="0.25">
      <c r="A41" s="35" t="s">
        <v>29</v>
      </c>
      <c r="B41" s="32">
        <f>SUMIF(Tableau1[S/CATÉGORIES],A41,Tableau1[DÉBIT])</f>
        <v>0</v>
      </c>
      <c r="C41" s="32">
        <f>SUMIF(Tableau13[S/CATÉGORIES],A41,Tableau13[DÉBIT])</f>
        <v>0</v>
      </c>
      <c r="D41" s="32">
        <f>SUMIF(Tableau134[S/CATÉGORIES],A41,Tableau134[DÉBIT])</f>
        <v>0</v>
      </c>
      <c r="E41" s="32">
        <f>SUMIF(Tableau1345[S/CATÉGORIES],A41,Tableau1345[DÉBIT])</f>
        <v>0</v>
      </c>
      <c r="F41" s="32">
        <f>SUMIF(Tableau13456[S/CATÉGORIES],A41,Tableau13456[DÉBIT])</f>
        <v>0</v>
      </c>
      <c r="G41" s="32">
        <f>SUMIF(Tableau134567[S/CATÉGORIES],A41,Tableau134567[DÉBIT])</f>
        <v>0</v>
      </c>
      <c r="H41" s="32">
        <f>SUMIF(Tableau1345678[S/CATÉGORIES],A41,Tableau1345678[DÉBIT])</f>
        <v>0</v>
      </c>
      <c r="I41" s="32">
        <f>SUMIF(Tableau13456789[S/CATÉGORIES],A41,Tableau13456789[DÉBIT])</f>
        <v>0</v>
      </c>
      <c r="J41" s="32">
        <f>SUMIF(Tableau1345678910[S/CATÉGORIES],A41,Tableau1345678910[DÉBIT])</f>
        <v>0</v>
      </c>
      <c r="K41" s="32">
        <f>SUMIF(Tableau134567891011[S/CATÉGORIES],A41,Tableau134567891011[DÉBIT])</f>
        <v>0</v>
      </c>
      <c r="L41" s="32">
        <f>SUMIF(Tableau13456789101112[S/CATÉGORIES],A41,Tableau13456789101112[DÉBIT])</f>
        <v>0</v>
      </c>
      <c r="M41" s="32">
        <f>SUMIF(Tableau1345678910111213[S/CATÉGORIES],A41,Tableau1345678910111213[DÉBIT])</f>
        <v>0</v>
      </c>
      <c r="N41" s="32">
        <f>SUM(Tableau14[[#This Row],[JANVIER]:[DÉCEMBRE]])</f>
        <v>0</v>
      </c>
    </row>
    <row r="42" spans="1:14" x14ac:dyDescent="0.25">
      <c r="A42" s="35" t="s">
        <v>105</v>
      </c>
      <c r="B42" s="32">
        <f>SUMIF(Tableau1[S/CATÉGORIES],A42,Tableau1[DÉBIT])</f>
        <v>0</v>
      </c>
      <c r="C42" s="32">
        <f>SUMIF(Tableau13[S/CATÉGORIES],A42,Tableau13[DÉBIT])</f>
        <v>0</v>
      </c>
      <c r="D42" s="32">
        <f>SUMIF(Tableau134[S/CATÉGORIES],A42,Tableau134[DÉBIT])</f>
        <v>0</v>
      </c>
      <c r="E42" s="32">
        <f>SUMIF(Tableau1345[S/CATÉGORIES],A42,Tableau1345[DÉBIT])</f>
        <v>0</v>
      </c>
      <c r="F42" s="32">
        <f>SUMIF(Tableau13456[S/CATÉGORIES],A42,Tableau13456[DÉBIT])</f>
        <v>0</v>
      </c>
      <c r="G42" s="32">
        <f>SUMIF(Tableau134567[S/CATÉGORIES],A42,Tableau134567[DÉBIT])</f>
        <v>0</v>
      </c>
      <c r="H42" s="32">
        <f>SUMIF(Tableau1345678[S/CATÉGORIES],A42,Tableau1345678[DÉBIT])</f>
        <v>0</v>
      </c>
      <c r="I42" s="32">
        <f>SUMIF(Tableau13456789[S/CATÉGORIES],A42,Tableau13456789[DÉBIT])</f>
        <v>0</v>
      </c>
      <c r="J42" s="32">
        <f>SUMIF(Tableau1345678910[S/CATÉGORIES],A42,Tableau1345678910[DÉBIT])</f>
        <v>0</v>
      </c>
      <c r="K42" s="32">
        <f>SUMIF(Tableau134567891011[S/CATÉGORIES],A42,Tableau134567891011[DÉBIT])</f>
        <v>0</v>
      </c>
      <c r="L42" s="32">
        <f>SUMIF(Tableau13456789101112[S/CATÉGORIES],A42,Tableau13456789101112[DÉBIT])</f>
        <v>0</v>
      </c>
      <c r="M42" s="32">
        <f>SUMIF(Tableau1345678910111213[S/CATÉGORIES],A42,Tableau1345678910111213[DÉBIT])</f>
        <v>0</v>
      </c>
      <c r="N42" s="32">
        <f>SUM(Tableau14[[#This Row],[JANVIER]:[DÉCEMBRE]])</f>
        <v>0</v>
      </c>
    </row>
    <row r="43" spans="1:14" x14ac:dyDescent="0.25">
      <c r="A43" s="35" t="s">
        <v>113</v>
      </c>
      <c r="B43" s="32">
        <f>SUMIF(Tableau1[S/CATÉGORIES],A43,Tableau1[DÉBIT])</f>
        <v>0</v>
      </c>
      <c r="C43" s="32">
        <f>SUMIF(Tableau13[S/CATÉGORIES],A43,Tableau13[DÉBIT])</f>
        <v>0</v>
      </c>
      <c r="D43" s="32">
        <f>SUMIF(Tableau134[S/CATÉGORIES],A43,Tableau134[DÉBIT])</f>
        <v>0</v>
      </c>
      <c r="E43" s="32">
        <f>SUMIF(Tableau1345[S/CATÉGORIES],A43,Tableau1345[DÉBIT])</f>
        <v>0</v>
      </c>
      <c r="F43" s="32">
        <f>SUMIF(Tableau13456[S/CATÉGORIES],A43,Tableau13456[DÉBIT])</f>
        <v>0</v>
      </c>
      <c r="G43" s="32">
        <f>SUMIF(Tableau134567[S/CATÉGORIES],A43,Tableau134567[DÉBIT])</f>
        <v>0</v>
      </c>
      <c r="H43" s="32">
        <f>SUMIF(Tableau1345678[S/CATÉGORIES],A43,Tableau1345678[DÉBIT])</f>
        <v>0</v>
      </c>
      <c r="I43" s="32">
        <f>SUMIF(Tableau13456789[S/CATÉGORIES],A43,Tableau13456789[DÉBIT])</f>
        <v>0</v>
      </c>
      <c r="J43" s="32">
        <f>SUMIF(Tableau1345678910[S/CATÉGORIES],A43,Tableau1345678910[DÉBIT])</f>
        <v>0</v>
      </c>
      <c r="K43" s="32">
        <f>SUMIF(Tableau134567891011[S/CATÉGORIES],A43,Tableau134567891011[DÉBIT])</f>
        <v>0</v>
      </c>
      <c r="L43" s="32">
        <f>SUMIF(Tableau13456789101112[S/CATÉGORIES],A43,Tableau13456789101112[DÉBIT])</f>
        <v>0</v>
      </c>
      <c r="M43" s="32">
        <f>SUMIF(Tableau1345678910111213[S/CATÉGORIES],A43,Tableau1345678910111213[DÉBIT])</f>
        <v>0</v>
      </c>
      <c r="N43" s="32">
        <f>SUM(Tableau14[[#This Row],[JANVIER]:[DÉCEMBRE]])</f>
        <v>0</v>
      </c>
    </row>
    <row r="44" spans="1:14" x14ac:dyDescent="0.25">
      <c r="A44" s="35" t="s">
        <v>20</v>
      </c>
      <c r="B44" s="32">
        <f>SUMIF(Tableau1[S/CATÉGORIES],A44,Tableau1[DÉBIT])</f>
        <v>0</v>
      </c>
      <c r="C44" s="32">
        <f>SUMIF(Tableau13[S/CATÉGORIES],A44,Tableau13[DÉBIT])</f>
        <v>0</v>
      </c>
      <c r="D44" s="32">
        <f>SUMIF(Tableau134[S/CATÉGORIES],A44,Tableau134[DÉBIT])</f>
        <v>0</v>
      </c>
      <c r="E44" s="32">
        <f>SUMIF(Tableau1345[S/CATÉGORIES],A44,Tableau1345[DÉBIT])</f>
        <v>0</v>
      </c>
      <c r="F44" s="32">
        <f>SUMIF(Tableau13456[S/CATÉGORIES],A44,Tableau13456[DÉBIT])</f>
        <v>0</v>
      </c>
      <c r="G44" s="32">
        <f>SUMIF(Tableau134567[S/CATÉGORIES],A44,Tableau134567[DÉBIT])</f>
        <v>0</v>
      </c>
      <c r="H44" s="32">
        <f>SUMIF(Tableau1345678[S/CATÉGORIES],A44,Tableau1345678[DÉBIT])</f>
        <v>0</v>
      </c>
      <c r="I44" s="32">
        <f>SUMIF(Tableau13456789[S/CATÉGORIES],A44,Tableau13456789[DÉBIT])</f>
        <v>0</v>
      </c>
      <c r="J44" s="32">
        <f>SUMIF(Tableau1345678910[S/CATÉGORIES],A44,Tableau1345678910[DÉBIT])</f>
        <v>0</v>
      </c>
      <c r="K44" s="32">
        <f>SUMIF(Tableau134567891011[S/CATÉGORIES],A44,Tableau134567891011[DÉBIT])</f>
        <v>0</v>
      </c>
      <c r="L44" s="32">
        <f>SUMIF(Tableau13456789101112[S/CATÉGORIES],A44,Tableau13456789101112[DÉBIT])</f>
        <v>0</v>
      </c>
      <c r="M44" s="32">
        <f>SUMIF(Tableau1345678910111213[S/CATÉGORIES],A44,Tableau1345678910111213[DÉBIT])</f>
        <v>0</v>
      </c>
      <c r="N44" s="32">
        <f>SUM(Tableau14[[#This Row],[JANVIER]:[DÉCEMBRE]])</f>
        <v>0</v>
      </c>
    </row>
    <row r="45" spans="1:14" x14ac:dyDescent="0.25">
      <c r="A45" s="35" t="s">
        <v>61</v>
      </c>
      <c r="B45" s="32">
        <f>SUMIF(Tableau1[S/CATÉGORIES],A45,Tableau1[DÉBIT])</f>
        <v>0</v>
      </c>
      <c r="C45" s="32">
        <f>SUMIF(Tableau13[S/CATÉGORIES],A45,Tableau13[DÉBIT])</f>
        <v>0</v>
      </c>
      <c r="D45" s="32">
        <f>SUMIF(Tableau134[S/CATÉGORIES],A45,Tableau134[DÉBIT])</f>
        <v>0</v>
      </c>
      <c r="E45" s="32">
        <f>SUMIF(Tableau1345[S/CATÉGORIES],A45,Tableau1345[DÉBIT])</f>
        <v>0</v>
      </c>
      <c r="F45" s="32">
        <f>SUMIF(Tableau13456[S/CATÉGORIES],A45,Tableau13456[DÉBIT])</f>
        <v>0</v>
      </c>
      <c r="G45" s="32">
        <f>SUMIF(Tableau134567[S/CATÉGORIES],A45,Tableau134567[DÉBIT])</f>
        <v>0</v>
      </c>
      <c r="H45" s="32">
        <f>SUMIF(Tableau1345678[S/CATÉGORIES],A45,Tableau1345678[DÉBIT])</f>
        <v>0</v>
      </c>
      <c r="I45" s="32">
        <f>SUMIF(Tableau13456789[S/CATÉGORIES],A45,Tableau13456789[DÉBIT])</f>
        <v>0</v>
      </c>
      <c r="J45" s="32">
        <f>SUMIF(Tableau1345678910[S/CATÉGORIES],A45,Tableau1345678910[DÉBIT])</f>
        <v>0</v>
      </c>
      <c r="K45" s="32">
        <f>SUMIF(Tableau134567891011[S/CATÉGORIES],A45,Tableau134567891011[DÉBIT])</f>
        <v>0</v>
      </c>
      <c r="L45" s="32">
        <f>SUMIF(Tableau13456789101112[S/CATÉGORIES],A45,Tableau13456789101112[DÉBIT])</f>
        <v>0</v>
      </c>
      <c r="M45" s="32">
        <f>SUMIF(Tableau1345678910111213[S/CATÉGORIES],A45,Tableau1345678910111213[DÉBIT])</f>
        <v>0</v>
      </c>
      <c r="N45" s="32">
        <f>SUM(Tableau14[[#This Row],[JANVIER]:[DÉCEMBRE]])</f>
        <v>0</v>
      </c>
    </row>
    <row r="46" spans="1:14" x14ac:dyDescent="0.25">
      <c r="A46" s="36" t="s">
        <v>76</v>
      </c>
      <c r="B46" s="32">
        <f>SUMIF(Tableau1[S/CATÉGORIES],A46,Tableau1[DÉBIT])</f>
        <v>0</v>
      </c>
      <c r="C46" s="32">
        <f>SUMIF(Tableau13[S/CATÉGORIES],A46,Tableau13[DÉBIT])</f>
        <v>0</v>
      </c>
      <c r="D46" s="32">
        <f>SUMIF(Tableau134[S/CATÉGORIES],A46,Tableau134[DÉBIT])</f>
        <v>0</v>
      </c>
      <c r="E46" s="32">
        <f>SUMIF(Tableau1345[S/CATÉGORIES],A46,Tableau1345[DÉBIT])</f>
        <v>0</v>
      </c>
      <c r="F46" s="32">
        <f>SUMIF(Tableau13456[S/CATÉGORIES],A46,Tableau13456[DÉBIT])</f>
        <v>0</v>
      </c>
      <c r="G46" s="32">
        <f>SUMIF(Tableau134567[S/CATÉGORIES],A46,Tableau134567[DÉBIT])</f>
        <v>0</v>
      </c>
      <c r="H46" s="32">
        <f>SUMIF(Tableau1345678[S/CATÉGORIES],A46,Tableau1345678[DÉBIT])</f>
        <v>0</v>
      </c>
      <c r="I46" s="32">
        <f>SUMIF(Tableau13456789[S/CATÉGORIES],A46,Tableau13456789[DÉBIT])</f>
        <v>0</v>
      </c>
      <c r="J46" s="32">
        <f>SUMIF(Tableau1345678910[S/CATÉGORIES],A46,Tableau1345678910[DÉBIT])</f>
        <v>0</v>
      </c>
      <c r="K46" s="32">
        <f>SUMIF(Tableau134567891011[S/CATÉGORIES],A46,Tableau134567891011[DÉBIT])</f>
        <v>0</v>
      </c>
      <c r="L46" s="32">
        <f>SUMIF(Tableau13456789101112[S/CATÉGORIES],A46,Tableau13456789101112[DÉBIT])</f>
        <v>0</v>
      </c>
      <c r="M46" s="32">
        <f>SUMIF(Tableau1345678910111213[S/CATÉGORIES],A46,Tableau1345678910111213[DÉBIT])</f>
        <v>0</v>
      </c>
      <c r="N46" s="32">
        <f>SUM(Tableau14[[#This Row],[JANVIER]:[DÉCEMBRE]])</f>
        <v>0</v>
      </c>
    </row>
    <row r="47" spans="1:14" x14ac:dyDescent="0.25">
      <c r="A47" s="35" t="s">
        <v>31</v>
      </c>
      <c r="B47" s="32">
        <f>SUMIF(Tableau1[S/CATÉGORIES],A47,Tableau1[DÉBIT])</f>
        <v>0</v>
      </c>
      <c r="C47" s="32">
        <f>SUMIF(Tableau13[S/CATÉGORIES],A47,Tableau13[DÉBIT])</f>
        <v>0</v>
      </c>
      <c r="D47" s="32">
        <f>SUMIF(Tableau134[S/CATÉGORIES],A47,Tableau134[DÉBIT])</f>
        <v>0</v>
      </c>
      <c r="E47" s="32">
        <f>SUMIF(Tableau1345[S/CATÉGORIES],A47,Tableau1345[DÉBIT])</f>
        <v>0</v>
      </c>
      <c r="F47" s="32">
        <f>SUMIF(Tableau13456[S/CATÉGORIES],A47,Tableau13456[DÉBIT])</f>
        <v>0</v>
      </c>
      <c r="G47" s="32">
        <f>SUMIF(Tableau134567[S/CATÉGORIES],A47,Tableau134567[DÉBIT])</f>
        <v>0</v>
      </c>
      <c r="H47" s="32">
        <f>SUMIF(Tableau1345678[S/CATÉGORIES],A47,Tableau1345678[DÉBIT])</f>
        <v>0</v>
      </c>
      <c r="I47" s="32">
        <f>SUMIF(Tableau13456789[S/CATÉGORIES],A47,Tableau13456789[DÉBIT])</f>
        <v>0</v>
      </c>
      <c r="J47" s="32">
        <f>SUMIF(Tableau1345678910[S/CATÉGORIES],A47,Tableau1345678910[DÉBIT])</f>
        <v>0</v>
      </c>
      <c r="K47" s="32">
        <f>SUMIF(Tableau134567891011[S/CATÉGORIES],A47,Tableau134567891011[DÉBIT])</f>
        <v>0</v>
      </c>
      <c r="L47" s="32">
        <f>SUMIF(Tableau13456789101112[S/CATÉGORIES],A47,Tableau13456789101112[DÉBIT])</f>
        <v>0</v>
      </c>
      <c r="M47" s="32">
        <f>SUMIF(Tableau1345678910111213[S/CATÉGORIES],A47,Tableau1345678910111213[DÉBIT])</f>
        <v>0</v>
      </c>
      <c r="N47" s="32">
        <f>SUM(Tableau14[[#This Row],[JANVIER]:[DÉCEMBRE]])</f>
        <v>0</v>
      </c>
    </row>
    <row r="48" spans="1:14" x14ac:dyDescent="0.25">
      <c r="A48" s="35" t="s">
        <v>32</v>
      </c>
      <c r="B48" s="32">
        <f>SUMIF(Tableau1[S/CATÉGORIES],A48,Tableau1[DÉBIT])</f>
        <v>0</v>
      </c>
      <c r="C48" s="32">
        <f>SUMIF(Tableau13[S/CATÉGORIES],A48,Tableau13[DÉBIT])</f>
        <v>0</v>
      </c>
      <c r="D48" s="32">
        <f>SUMIF(Tableau134[S/CATÉGORIES],A48,Tableau134[DÉBIT])</f>
        <v>0</v>
      </c>
      <c r="E48" s="32">
        <f>SUMIF(Tableau1345[S/CATÉGORIES],A48,Tableau1345[DÉBIT])</f>
        <v>0</v>
      </c>
      <c r="F48" s="32">
        <f>SUMIF(Tableau13456[S/CATÉGORIES],A48,Tableau13456[DÉBIT])</f>
        <v>0</v>
      </c>
      <c r="G48" s="32">
        <f>SUMIF(Tableau134567[S/CATÉGORIES],A48,Tableau134567[DÉBIT])</f>
        <v>0</v>
      </c>
      <c r="H48" s="32">
        <f>SUMIF(Tableau1345678[S/CATÉGORIES],A48,Tableau1345678[DÉBIT])</f>
        <v>0</v>
      </c>
      <c r="I48" s="32">
        <f>SUMIF(Tableau13456789[S/CATÉGORIES],A48,Tableau13456789[DÉBIT])</f>
        <v>0</v>
      </c>
      <c r="J48" s="32">
        <f>SUMIF(Tableau1345678910[S/CATÉGORIES],A48,Tableau1345678910[DÉBIT])</f>
        <v>0</v>
      </c>
      <c r="K48" s="32">
        <f>SUMIF(Tableau134567891011[S/CATÉGORIES],A48,Tableau134567891011[DÉBIT])</f>
        <v>0</v>
      </c>
      <c r="L48" s="32">
        <f>SUMIF(Tableau13456789101112[S/CATÉGORIES],A48,Tableau13456789101112[DÉBIT])</f>
        <v>0</v>
      </c>
      <c r="M48" s="32">
        <f>SUMIF(Tableau1345678910111213[S/CATÉGORIES],A48,Tableau1345678910111213[DÉBIT])</f>
        <v>0</v>
      </c>
      <c r="N48" s="32">
        <f>SUM(Tableau14[[#This Row],[JANVIER]:[DÉCEMBRE]])</f>
        <v>0</v>
      </c>
    </row>
    <row r="49" spans="1:51" x14ac:dyDescent="0.25">
      <c r="A49" s="35" t="s">
        <v>30</v>
      </c>
      <c r="B49" s="32">
        <f>SUMIF(Tableau1[S/CATÉGORIES],A49,Tableau1[DÉBIT])</f>
        <v>0</v>
      </c>
      <c r="C49" s="32">
        <f>SUMIF(Tableau13[S/CATÉGORIES],A49,Tableau13[DÉBIT])</f>
        <v>0</v>
      </c>
      <c r="D49" s="32">
        <f>SUMIF(Tableau134[S/CATÉGORIES],A49,Tableau134[DÉBIT])</f>
        <v>0</v>
      </c>
      <c r="E49" s="32">
        <f>SUMIF(Tableau1345[S/CATÉGORIES],A49,Tableau1345[DÉBIT])</f>
        <v>0</v>
      </c>
      <c r="F49" s="32">
        <f>SUMIF(Tableau13456[S/CATÉGORIES],A49,Tableau13456[DÉBIT])</f>
        <v>0</v>
      </c>
      <c r="G49" s="32">
        <f>SUMIF(Tableau134567[S/CATÉGORIES],A49,Tableau134567[DÉBIT])</f>
        <v>0</v>
      </c>
      <c r="H49" s="32">
        <f>SUMIF(Tableau1345678[S/CATÉGORIES],A49,Tableau1345678[DÉBIT])</f>
        <v>0</v>
      </c>
      <c r="I49" s="32">
        <f>SUMIF(Tableau13456789[S/CATÉGORIES],A49,Tableau13456789[DÉBIT])</f>
        <v>0</v>
      </c>
      <c r="J49" s="32">
        <f>SUMIF(Tableau1345678910[S/CATÉGORIES],A49,Tableau1345678910[DÉBIT])</f>
        <v>0</v>
      </c>
      <c r="K49" s="32">
        <f>SUMIF(Tableau134567891011[S/CATÉGORIES],A49,Tableau134567891011[DÉBIT])</f>
        <v>0</v>
      </c>
      <c r="L49" s="32">
        <f>SUMIF(Tableau13456789101112[S/CATÉGORIES],A49,Tableau13456789101112[DÉBIT])</f>
        <v>0</v>
      </c>
      <c r="M49" s="32">
        <f>SUMIF(Tableau1345678910111213[S/CATÉGORIES],A49,Tableau1345678910111213[DÉBIT])</f>
        <v>0</v>
      </c>
      <c r="N49" s="32">
        <f>SUM(Tableau14[[#This Row],[JANVIER]:[DÉCEMBRE]])</f>
        <v>0</v>
      </c>
    </row>
    <row r="50" spans="1:51" x14ac:dyDescent="0.25">
      <c r="A50" s="35" t="s">
        <v>43</v>
      </c>
      <c r="B50" s="32">
        <f>SUMIF(Tableau1[S/CATÉGORIES],A50,Tableau1[DÉBIT])</f>
        <v>0</v>
      </c>
      <c r="C50" s="32">
        <f>SUMIF(Tableau13[S/CATÉGORIES],A50,Tableau13[DÉBIT])</f>
        <v>0</v>
      </c>
      <c r="D50" s="32">
        <f>SUMIF(Tableau134[S/CATÉGORIES],A50,Tableau134[DÉBIT])</f>
        <v>0</v>
      </c>
      <c r="E50" s="32">
        <f>SUMIF(Tableau1345[S/CATÉGORIES],A50,Tableau1345[DÉBIT])</f>
        <v>0</v>
      </c>
      <c r="F50" s="32">
        <f>SUMIF(Tableau13456[S/CATÉGORIES],A50,Tableau13456[DÉBIT])</f>
        <v>0</v>
      </c>
      <c r="G50" s="32">
        <f>SUMIF(Tableau134567[S/CATÉGORIES],A50,Tableau134567[DÉBIT])</f>
        <v>0</v>
      </c>
      <c r="H50" s="32">
        <f>SUMIF(Tableau1345678[S/CATÉGORIES],A50,Tableau1345678[DÉBIT])</f>
        <v>0</v>
      </c>
      <c r="I50" s="32">
        <f>SUMIF(Tableau13456789[S/CATÉGORIES],A50,Tableau13456789[DÉBIT])</f>
        <v>0</v>
      </c>
      <c r="J50" s="32">
        <f>SUMIF(Tableau1345678910[S/CATÉGORIES],A50,Tableau1345678910[DÉBIT])</f>
        <v>0</v>
      </c>
      <c r="K50" s="32">
        <f>SUMIF(Tableau134567891011[S/CATÉGORIES],A50,Tableau134567891011[DÉBIT])</f>
        <v>0</v>
      </c>
      <c r="L50" s="32">
        <f>SUMIF(Tableau13456789101112[S/CATÉGORIES],A50,Tableau13456789101112[DÉBIT])</f>
        <v>0</v>
      </c>
      <c r="M50" s="32">
        <f>SUMIF(Tableau1345678910111213[S/CATÉGORIES],A50,Tableau1345678910111213[DÉBIT])</f>
        <v>0</v>
      </c>
      <c r="N50" s="32">
        <f>SUM(Tableau14[[#This Row],[JANVIER]:[DÉCEMBRE]])</f>
        <v>0</v>
      </c>
    </row>
    <row r="51" spans="1:51" x14ac:dyDescent="0.25">
      <c r="A51" s="35" t="s">
        <v>26</v>
      </c>
      <c r="B51" s="32">
        <f>SUMIF(Tableau1[S/CATÉGORIES],A51,Tableau1[DÉBIT])</f>
        <v>0</v>
      </c>
      <c r="C51" s="32">
        <f>SUMIF(Tableau13[S/CATÉGORIES],A51,Tableau13[DÉBIT])</f>
        <v>0</v>
      </c>
      <c r="D51" s="32">
        <f>SUMIF(Tableau134[S/CATÉGORIES],A51,Tableau134[DÉBIT])</f>
        <v>0</v>
      </c>
      <c r="E51" s="32">
        <f>SUMIF(Tableau1345[S/CATÉGORIES],A51,Tableau1345[DÉBIT])</f>
        <v>0</v>
      </c>
      <c r="F51" s="32">
        <f>SUMIF(Tableau13456[S/CATÉGORIES],A51,Tableau13456[DÉBIT])</f>
        <v>0</v>
      </c>
      <c r="G51" s="32">
        <f>SUMIF(Tableau134567[S/CATÉGORIES],A51,Tableau134567[DÉBIT])</f>
        <v>0</v>
      </c>
      <c r="H51" s="32">
        <f>SUMIF(Tableau1345678[S/CATÉGORIES],A51,Tableau1345678[DÉBIT])</f>
        <v>0</v>
      </c>
      <c r="I51" s="32">
        <f>SUMIF(Tableau13456789[S/CATÉGORIES],A51,Tableau13456789[DÉBIT])</f>
        <v>0</v>
      </c>
      <c r="J51" s="32">
        <f>SUMIF(Tableau1345678910[S/CATÉGORIES],A51,Tableau1345678910[DÉBIT])</f>
        <v>0</v>
      </c>
      <c r="K51" s="32">
        <f>SUMIF(Tableau134567891011[S/CATÉGORIES],A51,Tableau134567891011[DÉBIT])</f>
        <v>0</v>
      </c>
      <c r="L51" s="32">
        <f>SUMIF(Tableau13456789101112[S/CATÉGORIES],A51,Tableau13456789101112[DÉBIT])</f>
        <v>0</v>
      </c>
      <c r="M51" s="32">
        <f>SUMIF(Tableau1345678910111213[S/CATÉGORIES],A51,Tableau1345678910111213[DÉBIT])</f>
        <v>0</v>
      </c>
      <c r="N51" s="32">
        <f>SUM(Tableau14[[#This Row],[JANVIER]:[DÉCEMBRE]])</f>
        <v>0</v>
      </c>
    </row>
    <row r="52" spans="1:51" x14ac:dyDescent="0.25">
      <c r="A52" s="35" t="s">
        <v>69</v>
      </c>
      <c r="B52" s="32">
        <f>SUMIF(Tableau1[S/CATÉGORIES],A52,Tableau1[DÉBIT])</f>
        <v>0</v>
      </c>
      <c r="C52" s="32">
        <f>SUMIF(Tableau13[S/CATÉGORIES],A52,Tableau13[DÉBIT])</f>
        <v>0</v>
      </c>
      <c r="D52" s="32">
        <f>SUMIF(Tableau134[S/CATÉGORIES],A52,Tableau134[DÉBIT])</f>
        <v>0</v>
      </c>
      <c r="E52" s="32">
        <f>SUMIF(Tableau1345[S/CATÉGORIES],A52,Tableau1345[DÉBIT])</f>
        <v>0</v>
      </c>
      <c r="F52" s="32">
        <f>SUMIF(Tableau13456[S/CATÉGORIES],A52,Tableau13456[DÉBIT])</f>
        <v>0</v>
      </c>
      <c r="G52" s="32">
        <f>SUMIF(Tableau134567[S/CATÉGORIES],A52,Tableau134567[DÉBIT])</f>
        <v>0</v>
      </c>
      <c r="H52" s="32">
        <f>SUMIF(Tableau1345678[S/CATÉGORIES],A52,Tableau1345678[DÉBIT])</f>
        <v>0</v>
      </c>
      <c r="I52" s="32">
        <f>SUMIF(Tableau13456789[S/CATÉGORIES],A52,Tableau13456789[DÉBIT])</f>
        <v>0</v>
      </c>
      <c r="J52" s="32">
        <f>SUMIF(Tableau1345678910[S/CATÉGORIES],A52,Tableau1345678910[DÉBIT])</f>
        <v>0</v>
      </c>
      <c r="K52" s="32">
        <f>SUMIF(Tableau134567891011[S/CATÉGORIES],A52,Tableau134567891011[DÉBIT])</f>
        <v>0</v>
      </c>
      <c r="L52" s="32">
        <f>SUMIF(Tableau13456789101112[S/CATÉGORIES],A52,Tableau13456789101112[DÉBIT])</f>
        <v>0</v>
      </c>
      <c r="M52" s="32">
        <f>SUMIF(Tableau1345678910111213[S/CATÉGORIES],A52,Tableau1345678910111213[DÉBIT])</f>
        <v>0</v>
      </c>
      <c r="N52" s="32">
        <f>SUM(Tableau14[[#This Row],[JANVIER]:[DÉCEMBRE]])</f>
        <v>0</v>
      </c>
    </row>
    <row r="53" spans="1:51" x14ac:dyDescent="0.25">
      <c r="A53" s="35" t="s">
        <v>21</v>
      </c>
      <c r="B53" s="32">
        <f>SUMIF(Tableau1[S/CATÉGORIES],A53,Tableau1[DÉBIT])</f>
        <v>0</v>
      </c>
      <c r="C53" s="32">
        <f>SUMIF(Tableau13[S/CATÉGORIES],A53,Tableau13[DÉBIT])</f>
        <v>0</v>
      </c>
      <c r="D53" s="32">
        <f>SUMIF(Tableau134[S/CATÉGORIES],A53,Tableau134[DÉBIT])</f>
        <v>0</v>
      </c>
      <c r="E53" s="32">
        <f>SUMIF(Tableau1345[S/CATÉGORIES],A53,Tableau1345[DÉBIT])</f>
        <v>0</v>
      </c>
      <c r="F53" s="32">
        <f>SUMIF(Tableau13456[S/CATÉGORIES],A53,Tableau13456[DÉBIT])</f>
        <v>0</v>
      </c>
      <c r="G53" s="32">
        <f>SUMIF(Tableau134567[S/CATÉGORIES],A53,Tableau134567[DÉBIT])</f>
        <v>0</v>
      </c>
      <c r="H53" s="32">
        <f>SUMIF(Tableau1345678[S/CATÉGORIES],A53,Tableau1345678[DÉBIT])</f>
        <v>0</v>
      </c>
      <c r="I53" s="32">
        <f>SUMIF(Tableau13456789[S/CATÉGORIES],A53,Tableau13456789[DÉBIT])</f>
        <v>0</v>
      </c>
      <c r="J53" s="32">
        <f>SUMIF(Tableau1345678910[S/CATÉGORIES],A53,Tableau1345678910[DÉBIT])</f>
        <v>0</v>
      </c>
      <c r="K53" s="32">
        <f>SUMIF(Tableau134567891011[S/CATÉGORIES],A53,Tableau134567891011[DÉBIT])</f>
        <v>0</v>
      </c>
      <c r="L53" s="32">
        <f>SUMIF(Tableau13456789101112[S/CATÉGORIES],A53,Tableau13456789101112[DÉBIT])</f>
        <v>0</v>
      </c>
      <c r="M53" s="32">
        <f>SUMIF(Tableau1345678910111213[S/CATÉGORIES],A53,Tableau1345678910111213[DÉBIT])</f>
        <v>0</v>
      </c>
      <c r="N53" s="32">
        <f>SUM(Tableau14[[#This Row],[JANVIER]:[DÉCEMBRE]])</f>
        <v>0</v>
      </c>
    </row>
    <row r="54" spans="1:51" x14ac:dyDescent="0.25">
      <c r="A54" s="35" t="s">
        <v>62</v>
      </c>
      <c r="B54" s="32">
        <f>SUMIF(Tableau1[S/CATÉGORIES],A54,Tableau1[DÉBIT])</f>
        <v>0</v>
      </c>
      <c r="C54" s="32">
        <f>SUMIF(Tableau13[S/CATÉGORIES],A54,Tableau13[DÉBIT])</f>
        <v>0</v>
      </c>
      <c r="D54" s="32">
        <f>SUMIF(Tableau134[S/CATÉGORIES],A54,Tableau134[DÉBIT])</f>
        <v>0</v>
      </c>
      <c r="E54" s="32">
        <f>SUMIF(Tableau1345[S/CATÉGORIES],A54,Tableau1345[DÉBIT])</f>
        <v>0</v>
      </c>
      <c r="F54" s="32">
        <f>SUMIF(Tableau13456[S/CATÉGORIES],A54,Tableau13456[DÉBIT])</f>
        <v>0</v>
      </c>
      <c r="G54" s="32">
        <f>SUMIF(Tableau134567[S/CATÉGORIES],A54,Tableau134567[DÉBIT])</f>
        <v>0</v>
      </c>
      <c r="H54" s="32">
        <f>SUMIF(Tableau1345678[S/CATÉGORIES],A54,Tableau1345678[DÉBIT])</f>
        <v>0</v>
      </c>
      <c r="I54" s="32">
        <f>SUMIF(Tableau13456789[S/CATÉGORIES],A54,Tableau13456789[DÉBIT])</f>
        <v>0</v>
      </c>
      <c r="J54" s="32">
        <f>SUMIF(Tableau1345678910[S/CATÉGORIES],A54,Tableau1345678910[DÉBIT])</f>
        <v>0</v>
      </c>
      <c r="K54" s="32">
        <f>SUMIF(Tableau134567891011[S/CATÉGORIES],A54,Tableau134567891011[DÉBIT])</f>
        <v>0</v>
      </c>
      <c r="L54" s="32">
        <f>SUMIF(Tableau13456789101112[S/CATÉGORIES],A54,Tableau13456789101112[DÉBIT])</f>
        <v>0</v>
      </c>
      <c r="M54" s="32">
        <f>SUMIF(Tableau1345678910111213[S/CATÉGORIES],A54,Tableau1345678910111213[DÉBIT])</f>
        <v>0</v>
      </c>
      <c r="N54" s="32">
        <f>SUM(Tableau14[[#This Row],[JANVIER]:[DÉCEMBRE]])</f>
        <v>0</v>
      </c>
    </row>
    <row r="55" spans="1:51" x14ac:dyDescent="0.25">
      <c r="A55" s="35" t="s">
        <v>63</v>
      </c>
      <c r="B55" s="32">
        <f>SUMIF(Tableau1[S/CATÉGORIES],A55,Tableau1[DÉBIT])</f>
        <v>0</v>
      </c>
      <c r="C55" s="32">
        <f>SUMIF(Tableau13[S/CATÉGORIES],A55,Tableau13[DÉBIT])</f>
        <v>0</v>
      </c>
      <c r="D55" s="32">
        <f>SUMIF(Tableau134[S/CATÉGORIES],A55,Tableau134[DÉBIT])</f>
        <v>0</v>
      </c>
      <c r="E55" s="32">
        <f>SUMIF(Tableau1345[S/CATÉGORIES],A55,Tableau1345[DÉBIT])</f>
        <v>0</v>
      </c>
      <c r="F55" s="32">
        <f>SUMIF(Tableau13456[S/CATÉGORIES],A55,Tableau13456[DÉBIT])</f>
        <v>0</v>
      </c>
      <c r="G55" s="32">
        <f>SUMIF(Tableau134567[S/CATÉGORIES],A55,Tableau134567[DÉBIT])</f>
        <v>0</v>
      </c>
      <c r="H55" s="32">
        <f>SUMIF(Tableau1345678[S/CATÉGORIES],A55,Tableau1345678[DÉBIT])</f>
        <v>0</v>
      </c>
      <c r="I55" s="32">
        <f>SUMIF(Tableau13456789[S/CATÉGORIES],A55,Tableau13456789[DÉBIT])</f>
        <v>0</v>
      </c>
      <c r="J55" s="32">
        <f>SUMIF(Tableau1345678910[S/CATÉGORIES],A55,Tableau1345678910[DÉBIT])</f>
        <v>0</v>
      </c>
      <c r="K55" s="32">
        <f>SUMIF(Tableau134567891011[S/CATÉGORIES],A55,Tableau134567891011[DÉBIT])</f>
        <v>0</v>
      </c>
      <c r="L55" s="32">
        <f>SUMIF(Tableau13456789101112[S/CATÉGORIES],A55,Tableau13456789101112[DÉBIT])</f>
        <v>0</v>
      </c>
      <c r="M55" s="32">
        <f>SUMIF(Tableau1345678910111213[S/CATÉGORIES],A55,Tableau1345678910111213[DÉBIT])</f>
        <v>0</v>
      </c>
      <c r="N55" s="32">
        <f>SUM(Tableau14[[#This Row],[JANVIER]:[DÉCEMBRE]])</f>
        <v>0</v>
      </c>
    </row>
    <row r="56" spans="1:51" x14ac:dyDescent="0.25">
      <c r="A56" s="35" t="s">
        <v>64</v>
      </c>
      <c r="B56" s="32">
        <f>SUMIF(Tableau1[S/CATÉGORIES],A56,Tableau1[DÉBIT])</f>
        <v>0</v>
      </c>
      <c r="C56" s="32">
        <f>SUMIF(Tableau13[S/CATÉGORIES],A56,Tableau13[DÉBIT])</f>
        <v>0</v>
      </c>
      <c r="D56" s="32">
        <f>SUMIF(Tableau134[S/CATÉGORIES],A56,Tableau134[DÉBIT])</f>
        <v>0</v>
      </c>
      <c r="E56" s="32">
        <f>SUMIF(Tableau1345[S/CATÉGORIES],A56,Tableau1345[DÉBIT])</f>
        <v>0</v>
      </c>
      <c r="F56" s="32">
        <f>SUMIF(Tableau13456[S/CATÉGORIES],A56,Tableau13456[DÉBIT])</f>
        <v>0</v>
      </c>
      <c r="G56" s="32">
        <f>SUMIF(Tableau134567[S/CATÉGORIES],A56,Tableau134567[DÉBIT])</f>
        <v>0</v>
      </c>
      <c r="H56" s="32">
        <f>SUMIF(Tableau1345678[S/CATÉGORIES],A56,Tableau1345678[DÉBIT])</f>
        <v>0</v>
      </c>
      <c r="I56" s="32">
        <f>SUMIF(Tableau13456789[S/CATÉGORIES],A56,Tableau13456789[DÉBIT])</f>
        <v>0</v>
      </c>
      <c r="J56" s="32">
        <f>SUMIF(Tableau1345678910[S/CATÉGORIES],A56,Tableau1345678910[DÉBIT])</f>
        <v>0</v>
      </c>
      <c r="K56" s="32">
        <f>SUMIF(Tableau134567891011[S/CATÉGORIES],A56,Tableau134567891011[DÉBIT])</f>
        <v>0</v>
      </c>
      <c r="L56" s="32">
        <f>SUMIF(Tableau13456789101112[S/CATÉGORIES],A56,Tableau13456789101112[DÉBIT])</f>
        <v>0</v>
      </c>
      <c r="M56" s="32">
        <f>SUMIF(Tableau1345678910111213[S/CATÉGORIES],A56,Tableau1345678910111213[DÉBIT])</f>
        <v>0</v>
      </c>
      <c r="N56" s="32">
        <f>SUM(Tableau14[[#This Row],[JANVIER]:[DÉCEMBRE]])</f>
        <v>0</v>
      </c>
    </row>
    <row r="57" spans="1:51" x14ac:dyDescent="0.25">
      <c r="A57" s="35" t="s">
        <v>109</v>
      </c>
      <c r="B57" s="32">
        <f>SUMIF(Tableau1[S/CATÉGORIES],A57,Tableau1[DÉBIT])</f>
        <v>0</v>
      </c>
      <c r="C57" s="32">
        <f>SUMIF(Tableau13[S/CATÉGORIES],A57,Tableau13[DÉBIT])</f>
        <v>0</v>
      </c>
      <c r="D57" s="32">
        <f>SUMIF(Tableau134[S/CATÉGORIES],A57,Tableau134[DÉBIT])</f>
        <v>0</v>
      </c>
      <c r="E57" s="32">
        <f>SUMIF(Tableau1345[S/CATÉGORIES],A57,Tableau1345[DÉBIT])</f>
        <v>0</v>
      </c>
      <c r="F57" s="32">
        <f>SUMIF(Tableau13456[S/CATÉGORIES],A57,Tableau13456[DÉBIT])</f>
        <v>0</v>
      </c>
      <c r="G57" s="32">
        <f>SUMIF(Tableau134567[S/CATÉGORIES],A57,Tableau134567[DÉBIT])</f>
        <v>0</v>
      </c>
      <c r="H57" s="32">
        <f>SUMIF(Tableau1345678[S/CATÉGORIES],A57,Tableau1345678[DÉBIT])</f>
        <v>0</v>
      </c>
      <c r="I57" s="32">
        <f>SUMIF(Tableau13456789[S/CATÉGORIES],A57,Tableau13456789[DÉBIT])</f>
        <v>0</v>
      </c>
      <c r="J57" s="32">
        <f>SUMIF(Tableau1345678910[S/CATÉGORIES],A57,Tableau1345678910[DÉBIT])</f>
        <v>0</v>
      </c>
      <c r="K57" s="32">
        <f>SUMIF(Tableau134567891011[S/CATÉGORIES],A57,Tableau134567891011[DÉBIT])</f>
        <v>0</v>
      </c>
      <c r="L57" s="32">
        <f>SUMIF(Tableau13456789101112[S/CATÉGORIES],A57,Tableau13456789101112[DÉBIT])</f>
        <v>0</v>
      </c>
      <c r="M57" s="32">
        <f>SUMIF(Tableau1345678910111213[S/CATÉGORIES],A57,Tableau1345678910111213[DÉBIT])</f>
        <v>0</v>
      </c>
      <c r="N57" s="32">
        <f>SUM(Tableau14[[#This Row],[JANVIER]:[DÉCEMBRE]])</f>
        <v>0</v>
      </c>
    </row>
    <row r="58" spans="1:51" x14ac:dyDescent="0.25">
      <c r="A58" s="35" t="s">
        <v>77</v>
      </c>
      <c r="B58" s="32">
        <f>SUMIF(Tableau1[S/CATÉGORIES],A58,Tableau1[DÉBIT])</f>
        <v>0</v>
      </c>
      <c r="C58" s="32">
        <f>SUMIF(Tableau13[S/CATÉGORIES],A58,Tableau13[DÉBIT])</f>
        <v>0</v>
      </c>
      <c r="D58" s="32">
        <f>SUMIF(Tableau134[S/CATÉGORIES],A58,Tableau134[DÉBIT])</f>
        <v>0</v>
      </c>
      <c r="E58" s="32">
        <f>SUMIF(Tableau1345[S/CATÉGORIES],A58,Tableau1345[DÉBIT])</f>
        <v>0</v>
      </c>
      <c r="F58" s="32">
        <f>SUMIF(Tableau13456[S/CATÉGORIES],A58,Tableau13456[DÉBIT])</f>
        <v>0</v>
      </c>
      <c r="G58" s="32">
        <f>SUMIF(Tableau134567[S/CATÉGORIES],A58,Tableau134567[DÉBIT])</f>
        <v>0</v>
      </c>
      <c r="H58" s="32">
        <f>SUMIF(Tableau1345678[S/CATÉGORIES],A58,Tableau1345678[DÉBIT])</f>
        <v>0</v>
      </c>
      <c r="I58" s="32">
        <f>SUMIF(Tableau13456789[S/CATÉGORIES],A58,Tableau13456789[DÉBIT])</f>
        <v>0</v>
      </c>
      <c r="J58" s="32">
        <f>SUMIF(Tableau1345678910[S/CATÉGORIES],A58,Tableau1345678910[DÉBIT])</f>
        <v>0</v>
      </c>
      <c r="K58" s="32">
        <f>SUMIF(Tableau134567891011[S/CATÉGORIES],A58,Tableau134567891011[DÉBIT])</f>
        <v>0</v>
      </c>
      <c r="L58" s="32">
        <f>SUMIF(Tableau13456789101112[S/CATÉGORIES],A58,Tableau13456789101112[DÉBIT])</f>
        <v>0</v>
      </c>
      <c r="M58" s="32">
        <f>SUMIF(Tableau1345678910111213[S/CATÉGORIES],A58,Tableau1345678910111213[DÉBIT])</f>
        <v>0</v>
      </c>
      <c r="N58" s="32">
        <f>SUM(Tableau14[[#This Row],[JANVIER]:[DÉCEMBRE]])</f>
        <v>0</v>
      </c>
    </row>
    <row r="59" spans="1:51" x14ac:dyDescent="0.25">
      <c r="A59" s="35" t="s">
        <v>33</v>
      </c>
      <c r="B59" s="32">
        <f>SUMIF(Tableau1[S/CATÉGORIES],A59,Tableau1[DÉBIT])</f>
        <v>0</v>
      </c>
      <c r="C59" s="32">
        <f>SUMIF(Tableau13[S/CATÉGORIES],A59,Tableau13[DÉBIT])</f>
        <v>0</v>
      </c>
      <c r="D59" s="32">
        <f>SUMIF(Tableau134[S/CATÉGORIES],A59,Tableau134[DÉBIT])</f>
        <v>0</v>
      </c>
      <c r="E59" s="32">
        <f>SUMIF(Tableau1345[S/CATÉGORIES],A59,Tableau1345[DÉBIT])</f>
        <v>0</v>
      </c>
      <c r="F59" s="32">
        <f>SUMIF(Tableau13456[S/CATÉGORIES],A59,Tableau13456[DÉBIT])</f>
        <v>0</v>
      </c>
      <c r="G59" s="32">
        <f>SUMIF(Tableau134567[S/CATÉGORIES],A59,Tableau134567[DÉBIT])</f>
        <v>0</v>
      </c>
      <c r="H59" s="32">
        <f>SUMIF(Tableau1345678[S/CATÉGORIES],A59,Tableau1345678[DÉBIT])</f>
        <v>0</v>
      </c>
      <c r="I59" s="32">
        <f>SUMIF(Tableau13456789[S/CATÉGORIES],A59,Tableau13456789[DÉBIT])</f>
        <v>0</v>
      </c>
      <c r="J59" s="32">
        <f>SUMIF(Tableau1345678910[S/CATÉGORIES],A59,Tableau1345678910[DÉBIT])</f>
        <v>0</v>
      </c>
      <c r="K59" s="32">
        <f>SUMIF(Tableau134567891011[S/CATÉGORIES],A59,Tableau134567891011[DÉBIT])</f>
        <v>0</v>
      </c>
      <c r="L59" s="32">
        <f>SUMIF(Tableau13456789101112[S/CATÉGORIES],A59,Tableau13456789101112[DÉBIT])</f>
        <v>0</v>
      </c>
      <c r="M59" s="32">
        <f>SUMIF(Tableau1345678910111213[S/CATÉGORIES],A59,Tableau1345678910111213[DÉBIT])</f>
        <v>0</v>
      </c>
      <c r="N59" s="32">
        <f>SUM(Tableau14[[#This Row],[JANVIER]:[DÉCEMBRE]])</f>
        <v>0</v>
      </c>
    </row>
    <row r="60" spans="1:51" x14ac:dyDescent="0.25">
      <c r="B60" s="32">
        <f>SUBTOTAL(109,Tableau14[JANVIER])</f>
        <v>0</v>
      </c>
      <c r="C60" s="32">
        <f>SUBTOTAL(109,Tableau14[FEVRIER])</f>
        <v>0</v>
      </c>
      <c r="D60" s="32">
        <f>SUBTOTAL(109,Tableau14[MARS])</f>
        <v>0</v>
      </c>
      <c r="E60" s="32">
        <f>SUBTOTAL(109,Tableau14[AVRIL])</f>
        <v>0</v>
      </c>
      <c r="F60" s="32">
        <f>SUBTOTAL(109,Tableau14[MAI])</f>
        <v>0</v>
      </c>
      <c r="G60" s="32">
        <f>SUBTOTAL(109,Tableau14[JUIN])</f>
        <v>0</v>
      </c>
      <c r="H60" s="32">
        <f>SUBTOTAL(109,Tableau14[JUILLET])</f>
        <v>0</v>
      </c>
      <c r="I60" s="32">
        <f>SUBTOTAL(109,Tableau14[AOÛT])</f>
        <v>0</v>
      </c>
      <c r="J60" s="32">
        <f>SUBTOTAL(109,Tableau14[SEPTEMBRE])</f>
        <v>0</v>
      </c>
      <c r="K60" s="32">
        <f>SUBTOTAL(109,Tableau14[OCTOBRE])</f>
        <v>0</v>
      </c>
      <c r="L60" s="32">
        <f>SUBTOTAL(109,Tableau14[NOVEMBRE])</f>
        <v>0</v>
      </c>
      <c r="M60" s="32">
        <f>SUBTOTAL(109,Tableau14[DÉCEMBRE])</f>
        <v>0</v>
      </c>
      <c r="N60" s="32">
        <f>SUBTOTAL(109,Tableau14[TOTAUX])</f>
        <v>0</v>
      </c>
    </row>
    <row r="61" spans="1:51" x14ac:dyDescent="0.25">
      <c r="A61"/>
      <c r="B61"/>
      <c r="C61"/>
    </row>
    <row r="62" spans="1:51" x14ac:dyDescent="0.25">
      <c r="A62" s="34" t="s">
        <v>99</v>
      </c>
      <c r="B62" t="s">
        <v>101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  <row r="63" spans="1:51" x14ac:dyDescent="0.25">
      <c r="A63" s="33" t="s">
        <v>45</v>
      </c>
      <c r="B63" s="37">
        <v>0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</row>
    <row r="64" spans="1:51" x14ac:dyDescent="0.25">
      <c r="A64" s="33" t="s">
        <v>75</v>
      </c>
      <c r="B64" s="37">
        <v>0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" x14ac:dyDescent="0.25">
      <c r="A65" s="33" t="s">
        <v>46</v>
      </c>
      <c r="B65" s="37">
        <v>0</v>
      </c>
      <c r="C65"/>
    </row>
    <row r="66" spans="1:5" x14ac:dyDescent="0.25">
      <c r="A66" s="33" t="s">
        <v>47</v>
      </c>
      <c r="B66" s="37">
        <v>0</v>
      </c>
      <c r="C66"/>
    </row>
    <row r="67" spans="1:5" x14ac:dyDescent="0.25">
      <c r="A67" s="33" t="s">
        <v>48</v>
      </c>
      <c r="B67" s="37">
        <v>0</v>
      </c>
      <c r="C67"/>
    </row>
    <row r="68" spans="1:5" x14ac:dyDescent="0.25">
      <c r="A68" s="33" t="s">
        <v>49</v>
      </c>
      <c r="B68" s="37">
        <v>0</v>
      </c>
      <c r="C68"/>
      <c r="E68"/>
    </row>
    <row r="69" spans="1:5" x14ac:dyDescent="0.25">
      <c r="A69" s="33" t="s">
        <v>78</v>
      </c>
      <c r="B69" s="37">
        <v>0</v>
      </c>
      <c r="C69"/>
      <c r="E69"/>
    </row>
    <row r="70" spans="1:5" x14ac:dyDescent="0.25">
      <c r="A70" s="33" t="s">
        <v>9</v>
      </c>
      <c r="B70" s="37">
        <v>0</v>
      </c>
      <c r="C70"/>
      <c r="E70"/>
    </row>
    <row r="71" spans="1:5" x14ac:dyDescent="0.25">
      <c r="A71" s="33" t="s">
        <v>50</v>
      </c>
      <c r="B71" s="37">
        <v>0</v>
      </c>
      <c r="C71"/>
      <c r="E71"/>
    </row>
    <row r="72" spans="1:5" x14ac:dyDescent="0.25">
      <c r="A72" s="33" t="s">
        <v>84</v>
      </c>
      <c r="B72" s="37">
        <v>0</v>
      </c>
      <c r="C72"/>
      <c r="E72"/>
    </row>
    <row r="73" spans="1:5" x14ac:dyDescent="0.25">
      <c r="A73" s="33" t="s">
        <v>70</v>
      </c>
      <c r="B73" s="37">
        <v>0</v>
      </c>
      <c r="C73"/>
      <c r="E73"/>
    </row>
    <row r="74" spans="1:5" x14ac:dyDescent="0.25">
      <c r="A74" s="33" t="s">
        <v>71</v>
      </c>
      <c r="B74" s="37">
        <v>0</v>
      </c>
      <c r="C74"/>
      <c r="E74"/>
    </row>
    <row r="75" spans="1:5" x14ac:dyDescent="0.25">
      <c r="A75" s="33" t="s">
        <v>73</v>
      </c>
      <c r="B75" s="37">
        <v>0</v>
      </c>
      <c r="C75"/>
      <c r="E75"/>
    </row>
    <row r="76" spans="1:5" x14ac:dyDescent="0.25">
      <c r="A76" s="33" t="s">
        <v>51</v>
      </c>
      <c r="B76" s="37">
        <v>0</v>
      </c>
      <c r="C76"/>
      <c r="E76"/>
    </row>
    <row r="77" spans="1:5" x14ac:dyDescent="0.25">
      <c r="A77" s="33" t="s">
        <v>52</v>
      </c>
      <c r="B77" s="37">
        <v>0</v>
      </c>
      <c r="C77"/>
      <c r="E77"/>
    </row>
    <row r="78" spans="1:5" x14ac:dyDescent="0.25">
      <c r="A78" s="33" t="s">
        <v>53</v>
      </c>
      <c r="B78" s="37">
        <v>0</v>
      </c>
      <c r="C78"/>
      <c r="E78"/>
    </row>
    <row r="79" spans="1:5" x14ac:dyDescent="0.25">
      <c r="A79" s="33" t="s">
        <v>12</v>
      </c>
      <c r="B79" s="37">
        <v>0</v>
      </c>
      <c r="C79"/>
      <c r="E79"/>
    </row>
    <row r="80" spans="1:5" x14ac:dyDescent="0.25">
      <c r="A80" s="33" t="s">
        <v>36</v>
      </c>
      <c r="B80" s="37">
        <v>0</v>
      </c>
      <c r="C80"/>
      <c r="E80"/>
    </row>
    <row r="81" spans="1:5" x14ac:dyDescent="0.25">
      <c r="A81" s="33" t="s">
        <v>10</v>
      </c>
      <c r="B81" s="37">
        <v>0</v>
      </c>
      <c r="C81"/>
      <c r="E81"/>
    </row>
    <row r="82" spans="1:5" x14ac:dyDescent="0.25">
      <c r="A82" s="33" t="s">
        <v>38</v>
      </c>
      <c r="B82" s="37">
        <v>0</v>
      </c>
      <c r="C82"/>
      <c r="E82"/>
    </row>
    <row r="83" spans="1:5" x14ac:dyDescent="0.25">
      <c r="A83" s="33" t="s">
        <v>54</v>
      </c>
      <c r="B83" s="37">
        <v>0</v>
      </c>
      <c r="C83"/>
      <c r="E83"/>
    </row>
    <row r="84" spans="1:5" x14ac:dyDescent="0.25">
      <c r="A84" s="33" t="s">
        <v>107</v>
      </c>
      <c r="B84" s="37">
        <v>0</v>
      </c>
      <c r="C84"/>
      <c r="E84"/>
    </row>
    <row r="85" spans="1:5" x14ac:dyDescent="0.25">
      <c r="A85" s="33" t="s">
        <v>55</v>
      </c>
      <c r="B85" s="37">
        <v>0</v>
      </c>
      <c r="C85"/>
      <c r="E85"/>
    </row>
    <row r="86" spans="1:5" x14ac:dyDescent="0.25">
      <c r="A86" s="33" t="s">
        <v>24</v>
      </c>
      <c r="B86" s="37">
        <v>0</v>
      </c>
      <c r="C86"/>
    </row>
    <row r="87" spans="1:5" x14ac:dyDescent="0.25">
      <c r="A87" s="33" t="s">
        <v>22</v>
      </c>
      <c r="B87" s="37">
        <v>0</v>
      </c>
      <c r="C87"/>
    </row>
    <row r="88" spans="1:5" x14ac:dyDescent="0.25">
      <c r="A88" s="33" t="s">
        <v>106</v>
      </c>
      <c r="B88" s="37">
        <v>0</v>
      </c>
      <c r="C88"/>
    </row>
    <row r="89" spans="1:5" x14ac:dyDescent="0.25">
      <c r="A89" s="33" t="s">
        <v>37</v>
      </c>
      <c r="B89" s="37">
        <v>0</v>
      </c>
      <c r="C89"/>
    </row>
    <row r="90" spans="1:5" x14ac:dyDescent="0.25">
      <c r="A90" s="33" t="s">
        <v>56</v>
      </c>
      <c r="B90" s="37">
        <v>0</v>
      </c>
      <c r="C90"/>
    </row>
    <row r="91" spans="1:5" x14ac:dyDescent="0.25">
      <c r="A91" s="33" t="s">
        <v>57</v>
      </c>
      <c r="B91" s="37">
        <v>0</v>
      </c>
      <c r="C91"/>
    </row>
    <row r="92" spans="1:5" x14ac:dyDescent="0.25">
      <c r="A92" s="33" t="s">
        <v>74</v>
      </c>
      <c r="B92" s="37">
        <v>0</v>
      </c>
      <c r="C92"/>
    </row>
    <row r="93" spans="1:5" x14ac:dyDescent="0.25">
      <c r="A93" s="33" t="s">
        <v>58</v>
      </c>
      <c r="B93" s="37">
        <v>0</v>
      </c>
      <c r="C93"/>
    </row>
    <row r="94" spans="1:5" x14ac:dyDescent="0.25">
      <c r="A94" s="33" t="s">
        <v>111</v>
      </c>
      <c r="B94" s="37">
        <v>0</v>
      </c>
      <c r="C94"/>
    </row>
    <row r="95" spans="1:5" x14ac:dyDescent="0.25">
      <c r="A95" s="33" t="s">
        <v>59</v>
      </c>
      <c r="B95" s="37">
        <v>0</v>
      </c>
      <c r="C95"/>
    </row>
    <row r="96" spans="1:5" x14ac:dyDescent="0.25">
      <c r="A96" s="33" t="s">
        <v>60</v>
      </c>
      <c r="B96" s="37">
        <v>0</v>
      </c>
      <c r="C96"/>
    </row>
    <row r="97" spans="1:3" x14ac:dyDescent="0.25">
      <c r="A97" s="33" t="s">
        <v>28</v>
      </c>
      <c r="B97" s="37">
        <v>0</v>
      </c>
      <c r="C97"/>
    </row>
    <row r="98" spans="1:3" x14ac:dyDescent="0.25">
      <c r="A98" s="33" t="s">
        <v>108</v>
      </c>
      <c r="B98" s="37">
        <v>0</v>
      </c>
      <c r="C98"/>
    </row>
    <row r="99" spans="1:3" x14ac:dyDescent="0.25">
      <c r="A99" s="33" t="s">
        <v>112</v>
      </c>
      <c r="B99" s="37">
        <v>0</v>
      </c>
      <c r="C99"/>
    </row>
    <row r="100" spans="1:3" x14ac:dyDescent="0.25">
      <c r="A100" s="33" t="s">
        <v>110</v>
      </c>
      <c r="B100" s="37">
        <v>0</v>
      </c>
      <c r="C100"/>
    </row>
    <row r="101" spans="1:3" x14ac:dyDescent="0.25">
      <c r="A101" s="33" t="s">
        <v>68</v>
      </c>
      <c r="B101" s="37">
        <v>0</v>
      </c>
      <c r="C101"/>
    </row>
    <row r="102" spans="1:3" x14ac:dyDescent="0.25">
      <c r="A102" s="33" t="s">
        <v>29</v>
      </c>
      <c r="B102" s="37">
        <v>0</v>
      </c>
      <c r="C102"/>
    </row>
    <row r="103" spans="1:3" x14ac:dyDescent="0.25">
      <c r="A103" s="33" t="s">
        <v>105</v>
      </c>
      <c r="B103" s="37">
        <v>0</v>
      </c>
      <c r="C103"/>
    </row>
    <row r="104" spans="1:3" x14ac:dyDescent="0.25">
      <c r="A104" s="33" t="s">
        <v>113</v>
      </c>
      <c r="B104" s="37">
        <v>0</v>
      </c>
      <c r="C104"/>
    </row>
    <row r="105" spans="1:3" x14ac:dyDescent="0.25">
      <c r="A105" s="33" t="s">
        <v>20</v>
      </c>
      <c r="B105" s="37">
        <v>0</v>
      </c>
      <c r="C105"/>
    </row>
    <row r="106" spans="1:3" x14ac:dyDescent="0.25">
      <c r="A106" s="33" t="s">
        <v>61</v>
      </c>
      <c r="B106" s="37">
        <v>0</v>
      </c>
      <c r="C106"/>
    </row>
    <row r="107" spans="1:3" x14ac:dyDescent="0.25">
      <c r="A107" s="33" t="s">
        <v>76</v>
      </c>
      <c r="B107" s="37">
        <v>0</v>
      </c>
      <c r="C107"/>
    </row>
    <row r="108" spans="1:3" x14ac:dyDescent="0.25">
      <c r="A108" s="33" t="s">
        <v>31</v>
      </c>
      <c r="B108" s="37">
        <v>0</v>
      </c>
      <c r="C108"/>
    </row>
    <row r="109" spans="1:3" x14ac:dyDescent="0.25">
      <c r="A109" s="33" t="s">
        <v>32</v>
      </c>
      <c r="B109" s="37">
        <v>0</v>
      </c>
      <c r="C109"/>
    </row>
    <row r="110" spans="1:3" x14ac:dyDescent="0.25">
      <c r="A110" s="33" t="s">
        <v>30</v>
      </c>
      <c r="B110" s="37">
        <v>0</v>
      </c>
      <c r="C110"/>
    </row>
    <row r="111" spans="1:3" x14ac:dyDescent="0.25">
      <c r="A111" s="33" t="s">
        <v>43</v>
      </c>
      <c r="B111" s="37">
        <v>0</v>
      </c>
      <c r="C111"/>
    </row>
    <row r="112" spans="1:3" x14ac:dyDescent="0.25">
      <c r="A112" s="33" t="s">
        <v>26</v>
      </c>
      <c r="B112" s="37">
        <v>0</v>
      </c>
      <c r="C112"/>
    </row>
    <row r="113" spans="1:2" x14ac:dyDescent="0.25">
      <c r="A113" s="33" t="s">
        <v>69</v>
      </c>
      <c r="B113" s="37">
        <v>0</v>
      </c>
    </row>
    <row r="114" spans="1:2" x14ac:dyDescent="0.25">
      <c r="A114" s="33" t="s">
        <v>21</v>
      </c>
      <c r="B114" s="37">
        <v>0</v>
      </c>
    </row>
    <row r="115" spans="1:2" x14ac:dyDescent="0.25">
      <c r="A115" s="33" t="s">
        <v>62</v>
      </c>
      <c r="B115" s="37">
        <v>0</v>
      </c>
    </row>
    <row r="116" spans="1:2" x14ac:dyDescent="0.25">
      <c r="A116" s="33" t="s">
        <v>63</v>
      </c>
      <c r="B116" s="37">
        <v>0</v>
      </c>
    </row>
    <row r="117" spans="1:2" x14ac:dyDescent="0.25">
      <c r="A117" s="33" t="s">
        <v>64</v>
      </c>
      <c r="B117" s="37">
        <v>0</v>
      </c>
    </row>
    <row r="118" spans="1:2" x14ac:dyDescent="0.25">
      <c r="A118" s="33" t="s">
        <v>109</v>
      </c>
      <c r="B118" s="37">
        <v>0</v>
      </c>
    </row>
    <row r="119" spans="1:2" x14ac:dyDescent="0.25">
      <c r="A119" s="33" t="s">
        <v>77</v>
      </c>
      <c r="B119" s="37">
        <v>0</v>
      </c>
    </row>
    <row r="120" spans="1:2" x14ac:dyDescent="0.25">
      <c r="A120" s="33" t="s">
        <v>33</v>
      </c>
      <c r="B120" s="37">
        <v>0</v>
      </c>
    </row>
    <row r="121" spans="1:2" x14ac:dyDescent="0.25">
      <c r="A121" s="33" t="s">
        <v>100</v>
      </c>
      <c r="B121" s="37">
        <v>0</v>
      </c>
    </row>
  </sheetData>
  <sortState ref="A2:A50">
    <sortCondition ref="A2"/>
  </sortState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13"/>
  <sheetViews>
    <sheetView showGridLines="0" workbookViewId="0">
      <selection activeCell="C14" sqref="C14"/>
    </sheetView>
  </sheetViews>
  <sheetFormatPr baseColWidth="10" defaultRowHeight="15" x14ac:dyDescent="0.25"/>
  <cols>
    <col min="1" max="1" width="22.42578125" style="1" bestFit="1" customWidth="1"/>
    <col min="2" max="2" width="44.28515625" style="1" bestFit="1" customWidth="1"/>
    <col min="3" max="3" width="21.42578125" style="1" bestFit="1" customWidth="1"/>
    <col min="4" max="16384" width="11.42578125" style="1"/>
  </cols>
  <sheetData>
    <row r="1" spans="1:3" ht="18.75" x14ac:dyDescent="0.25">
      <c r="A1" s="40" t="s">
        <v>103</v>
      </c>
      <c r="B1" s="14" t="s">
        <v>13</v>
      </c>
      <c r="C1" s="14" t="s">
        <v>14</v>
      </c>
    </row>
    <row r="2" spans="1:3" x14ac:dyDescent="0.25">
      <c r="A2" s="38" t="s">
        <v>86</v>
      </c>
      <c r="B2" s="32" t="str">
        <f>IF(JANVIER!D1=0,"-",JANVIER!D1)</f>
        <v>-</v>
      </c>
      <c r="C2" s="32" t="str">
        <f>IF(JANVIER!G1=0,"-",JANVIER!G1)</f>
        <v>-</v>
      </c>
    </row>
    <row r="3" spans="1:3" x14ac:dyDescent="0.25">
      <c r="A3" s="39" t="s">
        <v>104</v>
      </c>
      <c r="B3" s="32" t="str">
        <f>IF(FÉVRIER!D1=0,"-",FÉVRIER!D1)</f>
        <v>-</v>
      </c>
      <c r="C3" s="32" t="str">
        <f>IF(FÉVRIER!G1=0,"-",FÉVRIER!G1)</f>
        <v>-</v>
      </c>
    </row>
    <row r="4" spans="1:3" x14ac:dyDescent="0.25">
      <c r="A4" s="38" t="s">
        <v>88</v>
      </c>
      <c r="B4" s="32" t="str">
        <f>IF(MARS!D1=0,"-",MARS!D1)</f>
        <v>-</v>
      </c>
      <c r="C4" s="32" t="str">
        <f>IF(MARS!G1=0,"-",MARS!G1)</f>
        <v>-</v>
      </c>
    </row>
    <row r="5" spans="1:3" x14ac:dyDescent="0.25">
      <c r="A5" s="39" t="s">
        <v>89</v>
      </c>
      <c r="B5" s="32" t="str">
        <f>IF(AVRIL!D1=0,"-",AVRIL!D1)</f>
        <v>-</v>
      </c>
      <c r="C5" s="32" t="str">
        <f>IF(AVRIL!G1=0,"-",AVRIL!G1)</f>
        <v>-</v>
      </c>
    </row>
    <row r="6" spans="1:3" x14ac:dyDescent="0.25">
      <c r="A6" s="38" t="s">
        <v>90</v>
      </c>
      <c r="B6" s="32" t="str">
        <f>IF(MAI!D1=0,"-",MAI!D1)</f>
        <v>-</v>
      </c>
      <c r="C6" s="32" t="str">
        <f>IF(JUIN!G1=0,"-",JUIN!G1)</f>
        <v>-</v>
      </c>
    </row>
    <row r="7" spans="1:3" x14ac:dyDescent="0.25">
      <c r="A7" s="39" t="s">
        <v>91</v>
      </c>
      <c r="B7" s="32" t="str">
        <f>IF(JUIN!D1=0,"-",JUIN!D1)</f>
        <v>-</v>
      </c>
      <c r="C7" s="32" t="str">
        <f>IF(JUIN!G1=0,"-",JUIN!G1)</f>
        <v>-</v>
      </c>
    </row>
    <row r="8" spans="1:3" x14ac:dyDescent="0.25">
      <c r="A8" s="38" t="s">
        <v>92</v>
      </c>
      <c r="B8" s="32" t="str">
        <f>IF(JUILLET!D1=0,"-",JUILLET!D1)</f>
        <v>-</v>
      </c>
      <c r="C8" s="32" t="str">
        <f>IF(JUILLET!G1=0,"-",JUILLET!G1)</f>
        <v>-</v>
      </c>
    </row>
    <row r="9" spans="1:3" x14ac:dyDescent="0.25">
      <c r="A9" s="39" t="s">
        <v>93</v>
      </c>
      <c r="B9" s="32" t="str">
        <f>IF(AOUT!D1=0,"-",AOUT!D1)</f>
        <v>-</v>
      </c>
      <c r="C9" s="32" t="str">
        <f>IF(AOUT!G1=0,"-",AOUT!G1)</f>
        <v>-</v>
      </c>
    </row>
    <row r="10" spans="1:3" x14ac:dyDescent="0.25">
      <c r="A10" s="38" t="s">
        <v>94</v>
      </c>
      <c r="B10" s="32" t="str">
        <f>IF(SEPTEMBRE!D1=0,"-",SEPTEMBRE!D1)</f>
        <v>-</v>
      </c>
      <c r="C10" s="32" t="str">
        <f>IF(SEPTEMBRE!G1=0,"-",SEPTEMBRE!G1)</f>
        <v>-</v>
      </c>
    </row>
    <row r="11" spans="1:3" x14ac:dyDescent="0.25">
      <c r="A11" s="39" t="s">
        <v>95</v>
      </c>
      <c r="B11" s="32" t="str">
        <f>IF(OCTOBRE!D1=0,"-",OCTOBRE!D1)</f>
        <v>-</v>
      </c>
      <c r="C11" s="32" t="str">
        <f>IF(OCTOBRE!G1=0,"-",OCTOBRE!G1)</f>
        <v>-</v>
      </c>
    </row>
    <row r="12" spans="1:3" x14ac:dyDescent="0.25">
      <c r="A12" s="38" t="s">
        <v>96</v>
      </c>
      <c r="B12" s="32" t="str">
        <f>IF(NOVEMBRE!D1=0,"-",NOVEMBRE!D1)</f>
        <v>-</v>
      </c>
      <c r="C12" s="32" t="str">
        <f>IF(NOVEMBRE!G1=0,"-",NOVEMBRE!G1)</f>
        <v>-</v>
      </c>
    </row>
    <row r="13" spans="1:3" x14ac:dyDescent="0.25">
      <c r="A13" s="39" t="s">
        <v>97</v>
      </c>
      <c r="B13" s="32" t="str">
        <f>IF(DÉCEMBRE!D1=0,"-",DÉCEMBRE!D1)</f>
        <v>-</v>
      </c>
      <c r="C13" s="32" t="str">
        <f>IF(DÉCEMBRE!G1=0,"-",DÉCEMBRE!G1)</f>
        <v>-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6"/>
  <sheetViews>
    <sheetView showGridLines="0" workbookViewId="0">
      <selection activeCell="C5" sqref="C5"/>
    </sheetView>
  </sheetViews>
  <sheetFormatPr baseColWidth="10" defaultRowHeight="15" x14ac:dyDescent="0.25"/>
  <cols>
    <col min="1" max="1" width="12" style="1" bestFit="1" customWidth="1"/>
    <col min="2" max="2" width="18.28515625" style="1" bestFit="1" customWidth="1"/>
    <col min="3" max="3" width="17.7109375" style="1" bestFit="1" customWidth="1"/>
    <col min="4" max="4" width="17.42578125" style="1" bestFit="1" customWidth="1"/>
    <col min="5" max="5" width="16.28515625" style="1" bestFit="1" customWidth="1"/>
    <col min="6" max="6" width="20.28515625" style="1" bestFit="1" customWidth="1"/>
    <col min="7" max="7" width="14" style="1" customWidth="1"/>
    <col min="8" max="8" width="19.7109375" style="1" bestFit="1" customWidth="1"/>
    <col min="9" max="9" width="15.5703125" style="1" bestFit="1" customWidth="1"/>
    <col min="10" max="10" width="20.140625" style="1" bestFit="1" customWidth="1"/>
    <col min="11" max="11" width="21.85546875" style="1" bestFit="1" customWidth="1"/>
    <col min="12" max="12" width="25.85546875" style="1" bestFit="1" customWidth="1"/>
    <col min="13" max="13" width="29.5703125" style="1" bestFit="1" customWidth="1"/>
    <col min="14" max="15" width="11.42578125" style="1"/>
    <col min="16" max="16" width="29.5703125" style="1" bestFit="1" customWidth="1"/>
    <col min="17" max="16384" width="11.42578125" style="1"/>
  </cols>
  <sheetData>
    <row r="1" spans="1:16" x14ac:dyDescent="0.25">
      <c r="B1" s="8" t="s">
        <v>7</v>
      </c>
      <c r="C1" s="6" t="s">
        <v>18</v>
      </c>
      <c r="P1" s="28"/>
    </row>
    <row r="2" spans="1:16" x14ac:dyDescent="0.25">
      <c r="B2" s="7"/>
      <c r="P2" s="7"/>
    </row>
    <row r="3" spans="1:16" x14ac:dyDescent="0.25">
      <c r="B3" s="7" t="s">
        <v>102</v>
      </c>
      <c r="C3" s="1" t="s">
        <v>19</v>
      </c>
    </row>
    <row r="4" spans="1:16" x14ac:dyDescent="0.25">
      <c r="B4" s="7" t="s">
        <v>3</v>
      </c>
      <c r="C4" s="1" t="s">
        <v>17</v>
      </c>
    </row>
    <row r="5" spans="1:16" x14ac:dyDescent="0.25">
      <c r="B5" s="7" t="s">
        <v>114</v>
      </c>
    </row>
    <row r="6" spans="1:16" x14ac:dyDescent="0.25">
      <c r="B6" s="7" t="s">
        <v>72</v>
      </c>
    </row>
    <row r="7" spans="1:16" x14ac:dyDescent="0.25">
      <c r="B7" s="7" t="s">
        <v>4</v>
      </c>
    </row>
    <row r="8" spans="1:16" x14ac:dyDescent="0.25">
      <c r="B8" s="7" t="s">
        <v>23</v>
      </c>
    </row>
    <row r="9" spans="1:16" x14ac:dyDescent="0.25">
      <c r="A9" s="7"/>
    </row>
    <row r="10" spans="1:16" x14ac:dyDescent="0.25">
      <c r="A10" s="7"/>
    </row>
    <row r="14" spans="1:16" x14ac:dyDescent="0.25">
      <c r="A14" s="27" t="s">
        <v>8</v>
      </c>
      <c r="B14" s="27" t="s">
        <v>35</v>
      </c>
      <c r="C14" s="27" t="s">
        <v>6</v>
      </c>
      <c r="D14" s="27" t="s">
        <v>25</v>
      </c>
      <c r="E14" s="27" t="s">
        <v>79</v>
      </c>
      <c r="F14" s="27" t="s">
        <v>80</v>
      </c>
      <c r="G14" s="27" t="s">
        <v>27</v>
      </c>
      <c r="H14" s="27" t="s">
        <v>67</v>
      </c>
      <c r="I14" s="27" t="s">
        <v>65</v>
      </c>
      <c r="J14" s="27" t="s">
        <v>81</v>
      </c>
      <c r="K14" s="27" t="s">
        <v>82</v>
      </c>
      <c r="L14" s="27" t="s">
        <v>66</v>
      </c>
      <c r="M14" s="27" t="s">
        <v>11</v>
      </c>
    </row>
    <row r="15" spans="1:16" x14ac:dyDescent="0.25">
      <c r="A15" s="45" t="s">
        <v>83</v>
      </c>
      <c r="B15" s="7" t="s">
        <v>50</v>
      </c>
      <c r="C15" s="7" t="s">
        <v>9</v>
      </c>
      <c r="D15" s="1" t="s">
        <v>75</v>
      </c>
      <c r="E15" s="7" t="s">
        <v>45</v>
      </c>
      <c r="F15" s="7" t="s">
        <v>52</v>
      </c>
      <c r="G15" s="7" t="s">
        <v>71</v>
      </c>
      <c r="H15" s="7" t="s">
        <v>46</v>
      </c>
      <c r="I15" s="7" t="s">
        <v>58</v>
      </c>
      <c r="J15" s="7" t="s">
        <v>20</v>
      </c>
      <c r="K15" s="1" t="s">
        <v>73</v>
      </c>
      <c r="L15" s="7" t="s">
        <v>47</v>
      </c>
      <c r="M15" s="7" t="s">
        <v>12</v>
      </c>
    </row>
    <row r="16" spans="1:16" x14ac:dyDescent="0.25">
      <c r="A16" s="45"/>
      <c r="B16" s="7" t="s">
        <v>70</v>
      </c>
      <c r="C16" s="7" t="s">
        <v>54</v>
      </c>
      <c r="D16" s="7" t="s">
        <v>48</v>
      </c>
      <c r="E16" s="1" t="s">
        <v>78</v>
      </c>
      <c r="F16" s="7" t="s">
        <v>53</v>
      </c>
      <c r="G16" s="7" t="s">
        <v>77</v>
      </c>
      <c r="H16" s="7" t="s">
        <v>51</v>
      </c>
      <c r="I16" s="7" t="s">
        <v>62</v>
      </c>
      <c r="J16" s="7" t="s">
        <v>61</v>
      </c>
      <c r="K16" s="7" t="s">
        <v>68</v>
      </c>
      <c r="L16" s="7" t="s">
        <v>36</v>
      </c>
      <c r="M16" s="1" t="s">
        <v>74</v>
      </c>
    </row>
    <row r="17" spans="1:13" x14ac:dyDescent="0.25">
      <c r="A17" s="45"/>
      <c r="B17" s="7" t="s">
        <v>10</v>
      </c>
      <c r="C17" s="7" t="s">
        <v>106</v>
      </c>
      <c r="D17" s="7" t="s">
        <v>49</v>
      </c>
      <c r="E17" s="7" t="s">
        <v>60</v>
      </c>
      <c r="F17" s="7" t="s">
        <v>59</v>
      </c>
      <c r="G17" s="7"/>
      <c r="H17" s="7" t="s">
        <v>38</v>
      </c>
      <c r="I17" s="7" t="s">
        <v>63</v>
      </c>
      <c r="L17" s="7" t="s">
        <v>24</v>
      </c>
      <c r="M17" s="7" t="s">
        <v>28</v>
      </c>
    </row>
    <row r="18" spans="1:13" x14ac:dyDescent="0.25">
      <c r="A18" s="45"/>
      <c r="B18" s="7" t="s">
        <v>56</v>
      </c>
      <c r="C18" s="7" t="s">
        <v>112</v>
      </c>
      <c r="D18" s="7" t="s">
        <v>84</v>
      </c>
      <c r="E18" s="7" t="s">
        <v>105</v>
      </c>
      <c r="F18" s="7" t="s">
        <v>64</v>
      </c>
      <c r="H18" s="7" t="s">
        <v>55</v>
      </c>
      <c r="L18" s="7" t="s">
        <v>22</v>
      </c>
      <c r="M18" s="7" t="s">
        <v>29</v>
      </c>
    </row>
    <row r="19" spans="1:13" x14ac:dyDescent="0.25">
      <c r="A19" s="45"/>
      <c r="B19" s="7" t="s">
        <v>57</v>
      </c>
      <c r="C19" s="7" t="s">
        <v>26</v>
      </c>
      <c r="D19" s="7" t="s">
        <v>107</v>
      </c>
      <c r="E19" s="7" t="s">
        <v>113</v>
      </c>
      <c r="H19" s="7" t="s">
        <v>111</v>
      </c>
      <c r="L19" s="7" t="s">
        <v>37</v>
      </c>
      <c r="M19" s="7" t="s">
        <v>31</v>
      </c>
    </row>
    <row r="20" spans="1:13" x14ac:dyDescent="0.25">
      <c r="A20" s="45"/>
      <c r="B20" s="7" t="s">
        <v>33</v>
      </c>
      <c r="C20" s="7" t="s">
        <v>21</v>
      </c>
      <c r="D20" s="7" t="s">
        <v>43</v>
      </c>
      <c r="E20" s="1" t="s">
        <v>76</v>
      </c>
      <c r="H20" s="7" t="s">
        <v>108</v>
      </c>
      <c r="M20" s="7" t="s">
        <v>32</v>
      </c>
    </row>
    <row r="21" spans="1:13" x14ac:dyDescent="0.25">
      <c r="A21" s="45"/>
      <c r="D21" s="7" t="s">
        <v>69</v>
      </c>
      <c r="H21" s="7" t="s">
        <v>110</v>
      </c>
      <c r="M21" s="7" t="s">
        <v>30</v>
      </c>
    </row>
    <row r="22" spans="1:13" x14ac:dyDescent="0.25">
      <c r="A22" s="45"/>
      <c r="B22" s="7"/>
      <c r="H22" s="7" t="s">
        <v>109</v>
      </c>
    </row>
    <row r="23" spans="1:13" x14ac:dyDescent="0.25">
      <c r="B23" s="7"/>
    </row>
    <row r="46" spans="16:16" x14ac:dyDescent="0.25">
      <c r="P46" s="7"/>
    </row>
  </sheetData>
  <sortState ref="H14:H19">
    <sortCondition ref="H14"/>
  </sortState>
  <mergeCells count="1">
    <mergeCell ref="A15:A22"/>
  </mergeCells>
  <dataValidations count="1">
    <dataValidation type="list" allowBlank="1" showInputMessage="1" showErrorMessage="1" sqref="N11 B14:M14">
      <formula1>CATÉGORIES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14</vt:i4>
      </vt:variant>
    </vt:vector>
  </HeadingPairs>
  <TitlesOfParts>
    <vt:vector size="30" baseType="lpstr">
      <vt:lpstr>ACCEUIL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SYNTHÈSES DÉPENSE</vt:lpstr>
      <vt:lpstr>ÉVOLUTIONS</vt:lpstr>
      <vt:lpstr>Listes</vt:lpstr>
      <vt:lpstr>Abonnement</vt:lpstr>
      <vt:lpstr>Alimentation</vt:lpstr>
      <vt:lpstr>CATÉGORIE</vt:lpstr>
      <vt:lpstr>CATÉGORIES</vt:lpstr>
      <vt:lpstr>Divers</vt:lpstr>
      <vt:lpstr>E_commerce</vt:lpstr>
      <vt:lpstr>Frais_bancaires</vt:lpstr>
      <vt:lpstr>Habillement</vt:lpstr>
      <vt:lpstr>Impôts</vt:lpstr>
      <vt:lpstr>Maison</vt:lpstr>
      <vt:lpstr>Remboursement_prêt</vt:lpstr>
      <vt:lpstr>Salaires_Pensions</vt:lpstr>
      <vt:lpstr>Santé</vt:lpstr>
      <vt:lpstr>Voiture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2018-11-04T10:47:46Z</dcterms:created>
  <dcterms:modified xsi:type="dcterms:W3CDTF">2018-11-17T12:10:17Z</dcterms:modified>
</cp:coreProperties>
</file>