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53222"/>
  <mc:AlternateContent xmlns:mc="http://schemas.openxmlformats.org/markup-compatibility/2006">
    <mc:Choice Requires="x15">
      <x15ac:absPath xmlns:x15ac="http://schemas.microsoft.com/office/spreadsheetml/2010/11/ac" url="C:\Users\252100\Desktop\"/>
    </mc:Choice>
  </mc:AlternateContent>
  <bookViews>
    <workbookView xWindow="0" yWindow="0" windowWidth="28800" windowHeight="12045" activeTab="1"/>
  </bookViews>
  <sheets>
    <sheet name="Awb_Details_Inbound_ProcessOrIn" sheetId="1" r:id="rId1"/>
    <sheet name="PRESORT INFEED" sheetId="2" r:id="rId2"/>
  </sheets>
  <definedNames>
    <definedName name="_xlnm._FilterDatabase" localSheetId="0" hidden="1">Awb_Details_Inbound_ProcessOrIn!$A$1:$AV$1</definedName>
    <definedName name="Slicer_CONV_NON_CONV">#N/A</definedName>
    <definedName name="Slicer_Sort_Sequence__Processed">#N/A</definedName>
    <definedName name="Slicer_Vessel_Number">#N/A</definedName>
  </definedNames>
  <calcPr calcId="162913"/>
  <pivotCaches>
    <pivotCache cacheId="9" r:id="rId3"/>
  </pivotCaches>
  <extLst>
    <ext xmlns:x14="http://schemas.microsoft.com/office/spreadsheetml/2009/9/main" uri="{BBE1A952-AA13-448e-AADC-164F8A28A991}">
      <x14:slicerCaches>
        <x14:slicerCache r:id="rId4"/>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U52" i="1" l="1"/>
  <c r="AT52" i="1"/>
  <c r="AS52" i="1"/>
  <c r="AV52" i="1" s="1"/>
  <c r="AR52" i="1"/>
  <c r="AQ52" i="1"/>
  <c r="AP52" i="1"/>
  <c r="AO52" i="1"/>
  <c r="AN52" i="1"/>
  <c r="AK52" i="1"/>
  <c r="AJ52" i="1"/>
  <c r="AI52" i="1"/>
  <c r="AH52" i="1"/>
  <c r="AG52" i="1"/>
  <c r="AF52" i="1"/>
  <c r="AE52" i="1"/>
  <c r="AD52" i="1"/>
  <c r="AC52" i="1"/>
  <c r="AB52" i="1"/>
  <c r="AA52" i="1"/>
  <c r="Z52" i="1"/>
  <c r="Y52" i="1"/>
  <c r="W52" i="1"/>
  <c r="V52" i="1"/>
  <c r="U52" i="1"/>
  <c r="T52" i="1"/>
  <c r="S52" i="1"/>
  <c r="R52" i="1"/>
  <c r="Q52" i="1"/>
  <c r="P52" i="1"/>
  <c r="O52" i="1"/>
  <c r="N52" i="1"/>
  <c r="M52" i="1"/>
  <c r="L52" i="1"/>
  <c r="K52" i="1"/>
  <c r="J52" i="1"/>
  <c r="I52" i="1"/>
  <c r="G52" i="1"/>
  <c r="F52" i="1"/>
  <c r="E52" i="1"/>
  <c r="D52" i="1"/>
  <c r="C52" i="1"/>
  <c r="B52" i="1"/>
  <c r="A52" i="1"/>
  <c r="AU51" i="1"/>
  <c r="AT51" i="1"/>
  <c r="AS51" i="1"/>
  <c r="AV51" i="1" s="1"/>
  <c r="AR51" i="1"/>
  <c r="AQ51" i="1"/>
  <c r="AP51" i="1"/>
  <c r="AO51" i="1"/>
  <c r="AN51" i="1"/>
  <c r="AM51" i="1"/>
  <c r="AL51" i="1"/>
  <c r="AK51" i="1"/>
  <c r="AJ51" i="1"/>
  <c r="AI51" i="1"/>
  <c r="AH51" i="1"/>
  <c r="AG51" i="1"/>
  <c r="AF51" i="1"/>
  <c r="AE51" i="1"/>
  <c r="AD51" i="1"/>
  <c r="AC51" i="1"/>
  <c r="AB51" i="1"/>
  <c r="AA51" i="1"/>
  <c r="Z51" i="1"/>
  <c r="Y51" i="1"/>
  <c r="W51" i="1"/>
  <c r="V51" i="1"/>
  <c r="U51" i="1"/>
  <c r="T51" i="1"/>
  <c r="S51" i="1"/>
  <c r="R51" i="1"/>
  <c r="Q51" i="1"/>
  <c r="P51" i="1"/>
  <c r="O51" i="1"/>
  <c r="N51" i="1"/>
  <c r="M51" i="1"/>
  <c r="L51" i="1"/>
  <c r="K51" i="1"/>
  <c r="J51" i="1"/>
  <c r="I51" i="1"/>
  <c r="H51" i="1"/>
  <c r="G51" i="1"/>
  <c r="F51" i="1"/>
  <c r="E51" i="1"/>
  <c r="D51" i="1"/>
  <c r="C51" i="1"/>
  <c r="B51" i="1"/>
  <c r="A51" i="1"/>
  <c r="AU50" i="1"/>
  <c r="AT50" i="1"/>
  <c r="AS50" i="1"/>
  <c r="AV50" i="1" s="1"/>
  <c r="AR50" i="1"/>
  <c r="AQ50" i="1"/>
  <c r="AP50" i="1"/>
  <c r="AO50" i="1"/>
  <c r="AN50" i="1"/>
  <c r="AM50" i="1"/>
  <c r="AL50" i="1"/>
  <c r="AK50" i="1"/>
  <c r="AJ50" i="1"/>
  <c r="AI50" i="1"/>
  <c r="AH50" i="1"/>
  <c r="AG50" i="1"/>
  <c r="AF50" i="1"/>
  <c r="AE50" i="1"/>
  <c r="AD50" i="1"/>
  <c r="AC50" i="1"/>
  <c r="AB50" i="1"/>
  <c r="AA50" i="1"/>
  <c r="Z50" i="1"/>
  <c r="Y50" i="1"/>
  <c r="W50" i="1"/>
  <c r="V50" i="1"/>
  <c r="U50" i="1"/>
  <c r="T50" i="1"/>
  <c r="S50" i="1"/>
  <c r="R50" i="1"/>
  <c r="Q50" i="1"/>
  <c r="P50" i="1"/>
  <c r="O50" i="1"/>
  <c r="N50" i="1"/>
  <c r="M50" i="1"/>
  <c r="L50" i="1"/>
  <c r="K50" i="1"/>
  <c r="J50" i="1"/>
  <c r="I50" i="1"/>
  <c r="G50" i="1"/>
  <c r="F50" i="1"/>
  <c r="E50" i="1"/>
  <c r="D50" i="1"/>
  <c r="C50" i="1"/>
  <c r="B50" i="1"/>
  <c r="A50" i="1"/>
  <c r="AU49" i="1"/>
  <c r="AT49" i="1"/>
  <c r="AS49" i="1"/>
  <c r="AV49" i="1" s="1"/>
  <c r="AR49" i="1"/>
  <c r="AQ49" i="1"/>
  <c r="AP49" i="1"/>
  <c r="AO49" i="1"/>
  <c r="AN49" i="1"/>
  <c r="AM49" i="1"/>
  <c r="AL49" i="1"/>
  <c r="AK49" i="1"/>
  <c r="AJ49" i="1"/>
  <c r="AI49" i="1"/>
  <c r="AH49" i="1"/>
  <c r="AG49" i="1"/>
  <c r="AF49" i="1"/>
  <c r="AE49" i="1"/>
  <c r="AD49" i="1"/>
  <c r="AC49" i="1"/>
  <c r="AB49" i="1"/>
  <c r="AA49" i="1"/>
  <c r="Z49" i="1"/>
  <c r="Y49" i="1"/>
  <c r="X49" i="1"/>
  <c r="W49" i="1"/>
  <c r="V49" i="1"/>
  <c r="U49" i="1"/>
  <c r="T49" i="1"/>
  <c r="S49" i="1"/>
  <c r="R49" i="1"/>
  <c r="Q49" i="1"/>
  <c r="P49" i="1"/>
  <c r="O49" i="1"/>
  <c r="N49" i="1"/>
  <c r="M49" i="1"/>
  <c r="L49" i="1"/>
  <c r="K49" i="1"/>
  <c r="J49" i="1"/>
  <c r="I49" i="1"/>
  <c r="H49" i="1"/>
  <c r="G49" i="1"/>
  <c r="F49" i="1"/>
  <c r="E49" i="1"/>
  <c r="D49" i="1"/>
  <c r="C49" i="1"/>
  <c r="B49" i="1"/>
  <c r="A49" i="1"/>
  <c r="AU48" i="1"/>
  <c r="AT48" i="1"/>
  <c r="AS48" i="1"/>
  <c r="AV48" i="1" s="1"/>
  <c r="AR48" i="1"/>
  <c r="AQ48" i="1"/>
  <c r="AP48" i="1"/>
  <c r="AO48" i="1"/>
  <c r="AN48" i="1"/>
  <c r="AI48" i="1"/>
  <c r="AH48" i="1"/>
  <c r="AG48" i="1"/>
  <c r="AF48" i="1"/>
  <c r="AE48" i="1"/>
  <c r="AD48" i="1"/>
  <c r="AC48" i="1"/>
  <c r="AB48" i="1"/>
  <c r="AA48" i="1"/>
  <c r="Z48" i="1"/>
  <c r="Y48" i="1"/>
  <c r="W48" i="1"/>
  <c r="V48" i="1"/>
  <c r="U48" i="1"/>
  <c r="T48" i="1"/>
  <c r="S48" i="1"/>
  <c r="R48" i="1"/>
  <c r="Q48" i="1"/>
  <c r="P48" i="1"/>
  <c r="O48" i="1"/>
  <c r="N48" i="1"/>
  <c r="M48" i="1"/>
  <c r="L48" i="1"/>
  <c r="K48" i="1"/>
  <c r="J48" i="1"/>
  <c r="I48" i="1"/>
  <c r="H48" i="1"/>
  <c r="G48" i="1"/>
  <c r="F48" i="1"/>
  <c r="E48" i="1"/>
  <c r="D48" i="1"/>
  <c r="C48" i="1"/>
  <c r="B48" i="1"/>
  <c r="A48" i="1"/>
  <c r="AU47" i="1"/>
  <c r="AT47" i="1"/>
  <c r="AS47" i="1"/>
  <c r="AV47" i="1" s="1"/>
  <c r="AR47" i="1"/>
  <c r="AQ47" i="1"/>
  <c r="AP47" i="1"/>
  <c r="AO47" i="1"/>
  <c r="AN47" i="1"/>
  <c r="AM47" i="1"/>
  <c r="AL47" i="1"/>
  <c r="AK47" i="1"/>
  <c r="AJ47" i="1"/>
  <c r="AI47" i="1"/>
  <c r="AH47" i="1"/>
  <c r="AG47" i="1"/>
  <c r="AF47" i="1"/>
  <c r="AE47" i="1"/>
  <c r="AD47" i="1"/>
  <c r="AC47" i="1"/>
  <c r="AB47" i="1"/>
  <c r="AA47" i="1"/>
  <c r="Z47" i="1"/>
  <c r="Y47" i="1"/>
  <c r="W47" i="1"/>
  <c r="V47" i="1"/>
  <c r="U47" i="1"/>
  <c r="T47" i="1"/>
  <c r="S47" i="1"/>
  <c r="R47" i="1"/>
  <c r="Q47" i="1"/>
  <c r="P47" i="1"/>
  <c r="O47" i="1"/>
  <c r="N47" i="1"/>
  <c r="M47" i="1"/>
  <c r="L47" i="1"/>
  <c r="K47" i="1"/>
  <c r="J47" i="1"/>
  <c r="I47" i="1"/>
  <c r="H47" i="1"/>
  <c r="G47" i="1"/>
  <c r="F47" i="1"/>
  <c r="E47" i="1"/>
  <c r="D47" i="1"/>
  <c r="C47" i="1"/>
  <c r="B47" i="1"/>
  <c r="A47" i="1"/>
  <c r="AU46" i="1"/>
  <c r="AT46" i="1"/>
  <c r="AS46" i="1"/>
  <c r="AV46" i="1" s="1"/>
  <c r="AR46" i="1"/>
  <c r="AQ46" i="1"/>
  <c r="AP46" i="1"/>
  <c r="AO46" i="1"/>
  <c r="AN46" i="1"/>
  <c r="AM46" i="1"/>
  <c r="AL46" i="1"/>
  <c r="AK46" i="1"/>
  <c r="AJ46" i="1"/>
  <c r="AI46" i="1"/>
  <c r="AH46" i="1"/>
  <c r="AG46" i="1"/>
  <c r="AF46" i="1"/>
  <c r="AE46" i="1"/>
  <c r="AD46" i="1"/>
  <c r="AC46" i="1"/>
  <c r="AB46" i="1"/>
  <c r="AA46" i="1"/>
  <c r="Z46" i="1"/>
  <c r="Y46" i="1"/>
  <c r="W46" i="1"/>
  <c r="V46" i="1"/>
  <c r="U46" i="1"/>
  <c r="T46" i="1"/>
  <c r="S46" i="1"/>
  <c r="R46" i="1"/>
  <c r="Q46" i="1"/>
  <c r="P46" i="1"/>
  <c r="O46" i="1"/>
  <c r="N46" i="1"/>
  <c r="M46" i="1"/>
  <c r="L46" i="1"/>
  <c r="K46" i="1"/>
  <c r="J46" i="1"/>
  <c r="I46" i="1"/>
  <c r="H46" i="1"/>
  <c r="G46" i="1"/>
  <c r="F46" i="1"/>
  <c r="E46" i="1"/>
  <c r="D46" i="1"/>
  <c r="C46" i="1"/>
  <c r="B46" i="1"/>
  <c r="A46" i="1"/>
  <c r="AU45" i="1"/>
  <c r="AT45" i="1"/>
  <c r="AS45" i="1"/>
  <c r="AV45" i="1" s="1"/>
  <c r="AR45" i="1"/>
  <c r="AQ45" i="1"/>
  <c r="AP45" i="1"/>
  <c r="AO45" i="1"/>
  <c r="AN45" i="1"/>
  <c r="AM45" i="1"/>
  <c r="AL45" i="1"/>
  <c r="AK45" i="1"/>
  <c r="AJ45" i="1"/>
  <c r="AI45" i="1"/>
  <c r="AH45" i="1"/>
  <c r="AG45" i="1"/>
  <c r="AF45" i="1"/>
  <c r="AE45" i="1"/>
  <c r="AD45" i="1"/>
  <c r="AC45" i="1"/>
  <c r="AB45" i="1"/>
  <c r="AA45" i="1"/>
  <c r="Z45" i="1"/>
  <c r="Y45" i="1"/>
  <c r="W45" i="1"/>
  <c r="V45" i="1"/>
  <c r="U45" i="1"/>
  <c r="T45" i="1"/>
  <c r="S45" i="1"/>
  <c r="R45" i="1"/>
  <c r="Q45" i="1"/>
  <c r="P45" i="1"/>
  <c r="O45" i="1"/>
  <c r="N45" i="1"/>
  <c r="M45" i="1"/>
  <c r="L45" i="1"/>
  <c r="K45" i="1"/>
  <c r="J45" i="1"/>
  <c r="I45" i="1"/>
  <c r="G45" i="1"/>
  <c r="F45" i="1"/>
  <c r="E45" i="1"/>
  <c r="D45" i="1"/>
  <c r="C45" i="1"/>
  <c r="B45" i="1"/>
  <c r="A45" i="1"/>
  <c r="AU44" i="1"/>
  <c r="AT44" i="1"/>
  <c r="AS44" i="1"/>
  <c r="AV44" i="1" s="1"/>
  <c r="AR44" i="1"/>
  <c r="AQ44" i="1"/>
  <c r="AP44" i="1"/>
  <c r="AO44" i="1"/>
  <c r="AN44" i="1"/>
  <c r="AM44" i="1"/>
  <c r="AL44" i="1"/>
  <c r="AK44" i="1"/>
  <c r="AJ44" i="1"/>
  <c r="AI44" i="1"/>
  <c r="AH44" i="1"/>
  <c r="AG44" i="1"/>
  <c r="AF44" i="1"/>
  <c r="AE44" i="1"/>
  <c r="AD44" i="1"/>
  <c r="AC44" i="1"/>
  <c r="AB44" i="1"/>
  <c r="AA44" i="1"/>
  <c r="Z44" i="1"/>
  <c r="Y44" i="1"/>
  <c r="X44" i="1"/>
  <c r="W44" i="1"/>
  <c r="V44" i="1"/>
  <c r="U44" i="1"/>
  <c r="T44" i="1"/>
  <c r="S44" i="1"/>
  <c r="R44" i="1"/>
  <c r="Q44" i="1"/>
  <c r="N44" i="1"/>
  <c r="M44" i="1"/>
  <c r="L44" i="1"/>
  <c r="K44" i="1"/>
  <c r="J44" i="1"/>
  <c r="I44" i="1"/>
  <c r="H44" i="1"/>
  <c r="G44" i="1"/>
  <c r="F44" i="1"/>
  <c r="E44" i="1"/>
  <c r="D44" i="1"/>
  <c r="C44" i="1"/>
  <c r="B44" i="1"/>
  <c r="A44" i="1"/>
  <c r="AU43" i="1"/>
  <c r="AT43" i="1"/>
  <c r="AS43" i="1"/>
  <c r="AV43" i="1" s="1"/>
  <c r="AR43" i="1"/>
  <c r="AQ43" i="1"/>
  <c r="AP43" i="1"/>
  <c r="AO43" i="1"/>
  <c r="AN43" i="1"/>
  <c r="AM43" i="1"/>
  <c r="AL43" i="1"/>
  <c r="AK43" i="1"/>
  <c r="AJ43" i="1"/>
  <c r="AI43" i="1"/>
  <c r="AH43" i="1"/>
  <c r="AG43" i="1"/>
  <c r="AF43" i="1"/>
  <c r="AE43" i="1"/>
  <c r="AD43" i="1"/>
  <c r="AC43" i="1"/>
  <c r="AB43" i="1"/>
  <c r="AA43" i="1"/>
  <c r="Z43" i="1"/>
  <c r="Y43" i="1"/>
  <c r="W43" i="1"/>
  <c r="V43" i="1"/>
  <c r="U43" i="1"/>
  <c r="T43" i="1"/>
  <c r="S43" i="1"/>
  <c r="R43" i="1"/>
  <c r="Q43" i="1"/>
  <c r="P43" i="1"/>
  <c r="O43" i="1"/>
  <c r="N43" i="1"/>
  <c r="M43" i="1"/>
  <c r="L43" i="1"/>
  <c r="K43" i="1"/>
  <c r="J43" i="1"/>
  <c r="I43" i="1"/>
  <c r="H43" i="1"/>
  <c r="G43" i="1"/>
  <c r="F43" i="1"/>
  <c r="E43" i="1"/>
  <c r="D43" i="1"/>
  <c r="C43" i="1"/>
  <c r="B43" i="1"/>
  <c r="A43" i="1"/>
  <c r="AU42" i="1"/>
  <c r="AT42" i="1"/>
  <c r="AS42" i="1"/>
  <c r="AV42" i="1" s="1"/>
  <c r="AR42" i="1"/>
  <c r="AQ42" i="1"/>
  <c r="AP42" i="1"/>
  <c r="AO42" i="1"/>
  <c r="AN42" i="1"/>
  <c r="AM42" i="1"/>
  <c r="AL42" i="1"/>
  <c r="AK42" i="1"/>
  <c r="AJ42" i="1"/>
  <c r="AI42" i="1"/>
  <c r="AH42" i="1"/>
  <c r="AG42" i="1"/>
  <c r="AF42" i="1"/>
  <c r="AE42" i="1"/>
  <c r="AD42" i="1"/>
  <c r="AC42" i="1"/>
  <c r="AB42" i="1"/>
  <c r="AA42" i="1"/>
  <c r="Z42" i="1"/>
  <c r="Y42" i="1"/>
  <c r="W42" i="1"/>
  <c r="V42" i="1"/>
  <c r="U42" i="1"/>
  <c r="T42" i="1"/>
  <c r="S42" i="1"/>
  <c r="R42" i="1"/>
  <c r="Q42" i="1"/>
  <c r="P42" i="1"/>
  <c r="O42" i="1"/>
  <c r="N42" i="1"/>
  <c r="M42" i="1"/>
  <c r="L42" i="1"/>
  <c r="K42" i="1"/>
  <c r="J42" i="1"/>
  <c r="I42" i="1"/>
  <c r="H42" i="1"/>
  <c r="G42" i="1"/>
  <c r="F42" i="1"/>
  <c r="E42" i="1"/>
  <c r="D42" i="1"/>
  <c r="C42" i="1"/>
  <c r="B42" i="1"/>
  <c r="A42" i="1"/>
  <c r="AU41" i="1"/>
  <c r="AT41" i="1"/>
  <c r="AS41" i="1"/>
  <c r="AV41" i="1" s="1"/>
  <c r="AR41" i="1"/>
  <c r="AQ41" i="1"/>
  <c r="AP41" i="1"/>
  <c r="AO41" i="1"/>
  <c r="AN41" i="1"/>
  <c r="AM41" i="1"/>
  <c r="AL41" i="1"/>
  <c r="AK41" i="1"/>
  <c r="AJ41" i="1"/>
  <c r="AI41" i="1"/>
  <c r="AH41" i="1"/>
  <c r="AG41" i="1"/>
  <c r="AF41" i="1"/>
  <c r="AE41" i="1"/>
  <c r="AD41" i="1"/>
  <c r="AC41" i="1"/>
  <c r="AB41" i="1"/>
  <c r="AA41" i="1"/>
  <c r="Z41" i="1"/>
  <c r="Y41" i="1"/>
  <c r="W41" i="1"/>
  <c r="V41" i="1"/>
  <c r="U41" i="1"/>
  <c r="T41" i="1"/>
  <c r="S41" i="1"/>
  <c r="R41" i="1"/>
  <c r="Q41" i="1"/>
  <c r="P41" i="1"/>
  <c r="O41" i="1"/>
  <c r="N41" i="1"/>
  <c r="M41" i="1"/>
  <c r="L41" i="1"/>
  <c r="K41" i="1"/>
  <c r="J41" i="1"/>
  <c r="I41" i="1"/>
  <c r="H41" i="1"/>
  <c r="G41" i="1"/>
  <c r="F41" i="1"/>
  <c r="E41" i="1"/>
  <c r="D41" i="1"/>
  <c r="C41" i="1"/>
  <c r="B41" i="1"/>
  <c r="A41" i="1"/>
  <c r="AU40" i="1"/>
  <c r="AT40" i="1"/>
  <c r="AS40" i="1"/>
  <c r="AV40" i="1" s="1"/>
  <c r="AR40" i="1"/>
  <c r="AQ40" i="1"/>
  <c r="AP40" i="1"/>
  <c r="AO40" i="1"/>
  <c r="AN40" i="1"/>
  <c r="AM40" i="1"/>
  <c r="AL40" i="1"/>
  <c r="AK40" i="1"/>
  <c r="AJ40" i="1"/>
  <c r="AI40" i="1"/>
  <c r="AH40" i="1"/>
  <c r="AG40" i="1"/>
  <c r="AF40" i="1"/>
  <c r="AE40" i="1"/>
  <c r="AD40" i="1"/>
  <c r="AC40" i="1"/>
  <c r="AB40" i="1"/>
  <c r="AA40" i="1"/>
  <c r="Z40" i="1"/>
  <c r="Y40" i="1"/>
  <c r="X40" i="1"/>
  <c r="W40" i="1"/>
  <c r="V40" i="1"/>
  <c r="U40" i="1"/>
  <c r="T40" i="1"/>
  <c r="S40" i="1"/>
  <c r="R40" i="1"/>
  <c r="Q40" i="1"/>
  <c r="P40" i="1"/>
  <c r="O40" i="1"/>
  <c r="N40" i="1"/>
  <c r="M40" i="1"/>
  <c r="L40" i="1"/>
  <c r="K40" i="1"/>
  <c r="J40" i="1"/>
  <c r="I40" i="1"/>
  <c r="H40" i="1"/>
  <c r="G40" i="1"/>
  <c r="F40" i="1"/>
  <c r="E40" i="1"/>
  <c r="D40" i="1"/>
  <c r="C40" i="1"/>
  <c r="B40" i="1"/>
  <c r="A40" i="1"/>
  <c r="AU39" i="1"/>
  <c r="AT39" i="1"/>
  <c r="AS39" i="1"/>
  <c r="AV39" i="1" s="1"/>
  <c r="AR39" i="1"/>
  <c r="AQ39" i="1"/>
  <c r="AP39" i="1"/>
  <c r="AO39" i="1"/>
  <c r="AN39" i="1"/>
  <c r="AM39" i="1"/>
  <c r="AL39" i="1"/>
  <c r="AK39" i="1"/>
  <c r="AJ39" i="1"/>
  <c r="AI39" i="1"/>
  <c r="AH39" i="1"/>
  <c r="AG39" i="1"/>
  <c r="AF39" i="1"/>
  <c r="AE39" i="1"/>
  <c r="AD39" i="1"/>
  <c r="AC39" i="1"/>
  <c r="AB39" i="1"/>
  <c r="AA39" i="1"/>
  <c r="Z39" i="1"/>
  <c r="Y39" i="1"/>
  <c r="W39" i="1"/>
  <c r="V39" i="1"/>
  <c r="U39" i="1"/>
  <c r="T39" i="1"/>
  <c r="S39" i="1"/>
  <c r="R39" i="1"/>
  <c r="Q39" i="1"/>
  <c r="P39" i="1"/>
  <c r="O39" i="1"/>
  <c r="N39" i="1"/>
  <c r="M39" i="1"/>
  <c r="L39" i="1"/>
  <c r="K39" i="1"/>
  <c r="J39" i="1"/>
  <c r="I39" i="1"/>
  <c r="H39" i="1"/>
  <c r="G39" i="1"/>
  <c r="F39" i="1"/>
  <c r="E39" i="1"/>
  <c r="D39" i="1"/>
  <c r="C39" i="1"/>
  <c r="B39" i="1"/>
  <c r="A39" i="1"/>
  <c r="AU38" i="1"/>
  <c r="AT38" i="1"/>
  <c r="AS38" i="1"/>
  <c r="AV38" i="1" s="1"/>
  <c r="AR38" i="1"/>
  <c r="AQ38" i="1"/>
  <c r="AP38" i="1"/>
  <c r="AO38" i="1"/>
  <c r="AN38" i="1"/>
  <c r="AM38" i="1"/>
  <c r="AL38" i="1"/>
  <c r="AK38" i="1"/>
  <c r="AJ38" i="1"/>
  <c r="AI38" i="1"/>
  <c r="AH38" i="1"/>
  <c r="AG38" i="1"/>
  <c r="AF38" i="1"/>
  <c r="AE38" i="1"/>
  <c r="AD38" i="1"/>
  <c r="AC38" i="1"/>
  <c r="AB38" i="1"/>
  <c r="AA38" i="1"/>
  <c r="Z38" i="1"/>
  <c r="Y38" i="1"/>
  <c r="W38" i="1"/>
  <c r="V38" i="1"/>
  <c r="U38" i="1"/>
  <c r="T38" i="1"/>
  <c r="S38" i="1"/>
  <c r="R38" i="1"/>
  <c r="Q38" i="1"/>
  <c r="P38" i="1"/>
  <c r="O38" i="1"/>
  <c r="N38" i="1"/>
  <c r="M38" i="1"/>
  <c r="L38" i="1"/>
  <c r="K38" i="1"/>
  <c r="J38" i="1"/>
  <c r="I38" i="1"/>
  <c r="G38" i="1"/>
  <c r="F38" i="1"/>
  <c r="E38" i="1"/>
  <c r="D38" i="1"/>
  <c r="C38" i="1"/>
  <c r="B38" i="1"/>
  <c r="A38" i="1"/>
  <c r="AU37" i="1"/>
  <c r="AT37" i="1"/>
  <c r="AS37" i="1"/>
  <c r="AV37" i="1" s="1"/>
  <c r="AR37" i="1"/>
  <c r="AQ37" i="1"/>
  <c r="AP37" i="1"/>
  <c r="AO37" i="1"/>
  <c r="AN37" i="1"/>
  <c r="AK37" i="1"/>
  <c r="AJ37" i="1"/>
  <c r="AI37" i="1"/>
  <c r="AH37" i="1"/>
  <c r="AG37" i="1"/>
  <c r="AF37" i="1"/>
  <c r="AE37" i="1"/>
  <c r="AD37" i="1"/>
  <c r="AC37" i="1"/>
  <c r="AB37" i="1"/>
  <c r="AA37" i="1"/>
  <c r="Z37" i="1"/>
  <c r="Y37" i="1"/>
  <c r="W37" i="1"/>
  <c r="V37" i="1"/>
  <c r="U37" i="1"/>
  <c r="T37" i="1"/>
  <c r="S37" i="1"/>
  <c r="R37" i="1"/>
  <c r="Q37" i="1"/>
  <c r="P37" i="1"/>
  <c r="O37" i="1"/>
  <c r="N37" i="1"/>
  <c r="M37" i="1"/>
  <c r="L37" i="1"/>
  <c r="K37" i="1"/>
  <c r="J37" i="1"/>
  <c r="I37" i="1"/>
  <c r="H37" i="1"/>
  <c r="G37" i="1"/>
  <c r="F37" i="1"/>
  <c r="E37" i="1"/>
  <c r="D37" i="1"/>
  <c r="C37" i="1"/>
  <c r="B37" i="1"/>
  <c r="A37" i="1"/>
  <c r="AU36" i="1"/>
  <c r="AT36" i="1"/>
  <c r="AS36" i="1"/>
  <c r="AV36" i="1" s="1"/>
  <c r="AR36" i="1"/>
  <c r="AQ36" i="1"/>
  <c r="AP36" i="1"/>
  <c r="AO36" i="1"/>
  <c r="AN36" i="1"/>
  <c r="AM36" i="1"/>
  <c r="AL36" i="1"/>
  <c r="AK36" i="1"/>
  <c r="AJ36" i="1"/>
  <c r="AI36" i="1"/>
  <c r="AH36" i="1"/>
  <c r="AG36" i="1"/>
  <c r="AF36" i="1"/>
  <c r="AE36" i="1"/>
  <c r="AD36" i="1"/>
  <c r="AC36" i="1"/>
  <c r="AB36" i="1"/>
  <c r="AA36" i="1"/>
  <c r="Z36" i="1"/>
  <c r="Y36" i="1"/>
  <c r="X36" i="1"/>
  <c r="W36" i="1"/>
  <c r="V36" i="1"/>
  <c r="U36" i="1"/>
  <c r="T36" i="1"/>
  <c r="S36" i="1"/>
  <c r="R36" i="1"/>
  <c r="Q36" i="1"/>
  <c r="P36" i="1"/>
  <c r="O36" i="1"/>
  <c r="N36" i="1"/>
  <c r="M36" i="1"/>
  <c r="L36" i="1"/>
  <c r="K36" i="1"/>
  <c r="J36" i="1"/>
  <c r="I36" i="1"/>
  <c r="H36" i="1"/>
  <c r="G36" i="1"/>
  <c r="F36" i="1"/>
  <c r="E36" i="1"/>
  <c r="D36" i="1"/>
  <c r="C36" i="1"/>
  <c r="B36" i="1"/>
  <c r="A36" i="1"/>
  <c r="AU35" i="1"/>
  <c r="AT35" i="1"/>
  <c r="AS35" i="1"/>
  <c r="AV35" i="1" s="1"/>
  <c r="AR35" i="1"/>
  <c r="AQ35" i="1"/>
  <c r="AP35" i="1"/>
  <c r="AO35" i="1"/>
  <c r="AN35" i="1"/>
  <c r="AM35" i="1"/>
  <c r="AL35" i="1"/>
  <c r="AK35" i="1"/>
  <c r="AJ35" i="1"/>
  <c r="AI35" i="1"/>
  <c r="AH35" i="1"/>
  <c r="AG35" i="1"/>
  <c r="AF35" i="1"/>
  <c r="AE35" i="1"/>
  <c r="AD35" i="1"/>
  <c r="AC35" i="1"/>
  <c r="AB35" i="1"/>
  <c r="AA35" i="1"/>
  <c r="Z35" i="1"/>
  <c r="Y35" i="1"/>
  <c r="W35" i="1"/>
  <c r="V35" i="1"/>
  <c r="U35" i="1"/>
  <c r="T35" i="1"/>
  <c r="S35" i="1"/>
  <c r="R35" i="1"/>
  <c r="Q35" i="1"/>
  <c r="P35" i="1"/>
  <c r="O35" i="1"/>
  <c r="N35" i="1"/>
  <c r="M35" i="1"/>
  <c r="L35" i="1"/>
  <c r="K35" i="1"/>
  <c r="J35" i="1"/>
  <c r="I35" i="1"/>
  <c r="H35" i="1"/>
  <c r="G35" i="1"/>
  <c r="F35" i="1"/>
  <c r="E35" i="1"/>
  <c r="D35" i="1"/>
  <c r="C35" i="1"/>
  <c r="B35" i="1"/>
  <c r="A35" i="1"/>
  <c r="AU34" i="1"/>
  <c r="AT34" i="1"/>
  <c r="AS34" i="1"/>
  <c r="AV34" i="1" s="1"/>
  <c r="AR34" i="1"/>
  <c r="AQ34" i="1"/>
  <c r="AP34" i="1"/>
  <c r="AO34" i="1"/>
  <c r="AN34" i="1"/>
  <c r="AK34" i="1"/>
  <c r="AJ34" i="1"/>
  <c r="AI34" i="1"/>
  <c r="AH34" i="1"/>
  <c r="AG34" i="1"/>
  <c r="AF34" i="1"/>
  <c r="AE34" i="1"/>
  <c r="AD34" i="1"/>
  <c r="AC34" i="1"/>
  <c r="AB34" i="1"/>
  <c r="AA34" i="1"/>
  <c r="Z34" i="1"/>
  <c r="Y34" i="1"/>
  <c r="X34" i="1"/>
  <c r="W34" i="1"/>
  <c r="V34" i="1"/>
  <c r="U34" i="1"/>
  <c r="T34" i="1"/>
  <c r="S34" i="1"/>
  <c r="R34" i="1"/>
  <c r="Q34" i="1"/>
  <c r="P34" i="1"/>
  <c r="O34" i="1"/>
  <c r="N34" i="1"/>
  <c r="M34" i="1"/>
  <c r="L34" i="1"/>
  <c r="K34" i="1"/>
  <c r="J34" i="1"/>
  <c r="I34" i="1"/>
  <c r="H34" i="1"/>
  <c r="G34" i="1"/>
  <c r="F34" i="1"/>
  <c r="E34" i="1"/>
  <c r="D34" i="1"/>
  <c r="C34" i="1"/>
  <c r="B34" i="1"/>
  <c r="A34" i="1"/>
  <c r="AU33" i="1"/>
  <c r="AT33" i="1"/>
  <c r="AS33" i="1"/>
  <c r="AV33" i="1" s="1"/>
  <c r="AR33" i="1"/>
  <c r="AQ33" i="1"/>
  <c r="AP33" i="1"/>
  <c r="AO33" i="1"/>
  <c r="AN33" i="1"/>
  <c r="AK33" i="1"/>
  <c r="AJ33" i="1"/>
  <c r="AI33" i="1"/>
  <c r="AH33" i="1"/>
  <c r="AG33" i="1"/>
  <c r="AF33" i="1"/>
  <c r="AE33" i="1"/>
  <c r="AD33" i="1"/>
  <c r="AC33" i="1"/>
  <c r="AB33" i="1"/>
  <c r="AA33" i="1"/>
  <c r="Z33" i="1"/>
  <c r="Y33" i="1"/>
  <c r="W33" i="1"/>
  <c r="V33" i="1"/>
  <c r="U33" i="1"/>
  <c r="T33" i="1"/>
  <c r="S33" i="1"/>
  <c r="R33" i="1"/>
  <c r="Q33" i="1"/>
  <c r="P33" i="1"/>
  <c r="O33" i="1"/>
  <c r="N33" i="1"/>
  <c r="M33" i="1"/>
  <c r="L33" i="1"/>
  <c r="K33" i="1"/>
  <c r="J33" i="1"/>
  <c r="I33" i="1"/>
  <c r="H33" i="1"/>
  <c r="G33" i="1"/>
  <c r="F33" i="1"/>
  <c r="E33" i="1"/>
  <c r="D33" i="1"/>
  <c r="C33" i="1"/>
  <c r="B33" i="1"/>
  <c r="A33" i="1"/>
  <c r="AU32" i="1"/>
  <c r="AT32" i="1"/>
  <c r="AS32" i="1"/>
  <c r="AV32" i="1" s="1"/>
  <c r="AR32" i="1"/>
  <c r="AQ32" i="1"/>
  <c r="AP32" i="1"/>
  <c r="AO32" i="1"/>
  <c r="AN32" i="1"/>
  <c r="AM32" i="1"/>
  <c r="AL32" i="1"/>
  <c r="AK32" i="1"/>
  <c r="AJ32" i="1"/>
  <c r="AI32" i="1"/>
  <c r="AH32" i="1"/>
  <c r="AG32" i="1"/>
  <c r="AF32" i="1"/>
  <c r="AE32" i="1"/>
  <c r="AD32" i="1"/>
  <c r="AC32" i="1"/>
  <c r="AB32" i="1"/>
  <c r="AA32" i="1"/>
  <c r="Z32" i="1"/>
  <c r="Y32" i="1"/>
  <c r="W32" i="1"/>
  <c r="V32" i="1"/>
  <c r="U32" i="1"/>
  <c r="T32" i="1"/>
  <c r="S32" i="1"/>
  <c r="R32" i="1"/>
  <c r="Q32" i="1"/>
  <c r="P32" i="1"/>
  <c r="O32" i="1"/>
  <c r="N32" i="1"/>
  <c r="M32" i="1"/>
  <c r="L32" i="1"/>
  <c r="K32" i="1"/>
  <c r="J32" i="1"/>
  <c r="I32" i="1"/>
  <c r="H32" i="1"/>
  <c r="G32" i="1"/>
  <c r="F32" i="1"/>
  <c r="E32" i="1"/>
  <c r="D32" i="1"/>
  <c r="C32" i="1"/>
  <c r="B32" i="1"/>
  <c r="A32" i="1"/>
  <c r="AU31" i="1"/>
  <c r="AT31" i="1"/>
  <c r="AS31" i="1"/>
  <c r="AV31" i="1" s="1"/>
  <c r="AR31" i="1"/>
  <c r="AQ31" i="1"/>
  <c r="AP31" i="1"/>
  <c r="AO31" i="1"/>
  <c r="AN31" i="1"/>
  <c r="AM31" i="1"/>
  <c r="AL31" i="1"/>
  <c r="AK31" i="1"/>
  <c r="AJ31" i="1"/>
  <c r="AI31" i="1"/>
  <c r="AH31" i="1"/>
  <c r="AG31" i="1"/>
  <c r="AF31" i="1"/>
  <c r="AE31" i="1"/>
  <c r="AD31" i="1"/>
  <c r="AC31" i="1"/>
  <c r="AB31" i="1"/>
  <c r="AA31" i="1"/>
  <c r="Z31" i="1"/>
  <c r="Y31" i="1"/>
  <c r="W31" i="1"/>
  <c r="V31" i="1"/>
  <c r="U31" i="1"/>
  <c r="T31" i="1"/>
  <c r="S31" i="1"/>
  <c r="R31" i="1"/>
  <c r="Q31" i="1"/>
  <c r="P31" i="1"/>
  <c r="O31" i="1"/>
  <c r="N31" i="1"/>
  <c r="M31" i="1"/>
  <c r="L31" i="1"/>
  <c r="K31" i="1"/>
  <c r="J31" i="1"/>
  <c r="I31" i="1"/>
  <c r="H31" i="1"/>
  <c r="G31" i="1"/>
  <c r="F31" i="1"/>
  <c r="E31" i="1"/>
  <c r="D31" i="1"/>
  <c r="C31" i="1"/>
  <c r="B31" i="1"/>
  <c r="A31" i="1"/>
  <c r="AU30" i="1"/>
  <c r="AT30" i="1"/>
  <c r="AS30" i="1"/>
  <c r="AV30" i="1" s="1"/>
  <c r="AR30" i="1"/>
  <c r="AQ30" i="1"/>
  <c r="AP30" i="1"/>
  <c r="AO30" i="1"/>
  <c r="AN30" i="1"/>
  <c r="AM30" i="1"/>
  <c r="AL30" i="1"/>
  <c r="AK30" i="1"/>
  <c r="AJ30" i="1"/>
  <c r="AI30" i="1"/>
  <c r="AH30" i="1"/>
  <c r="AG30" i="1"/>
  <c r="AF30" i="1"/>
  <c r="AE30" i="1"/>
  <c r="AD30" i="1"/>
  <c r="AC30" i="1"/>
  <c r="AB30" i="1"/>
  <c r="AA30" i="1"/>
  <c r="Z30" i="1"/>
  <c r="Y30" i="1"/>
  <c r="X30" i="1"/>
  <c r="W30" i="1"/>
  <c r="V30" i="1"/>
  <c r="U30" i="1"/>
  <c r="T30" i="1"/>
  <c r="S30" i="1"/>
  <c r="R30" i="1"/>
  <c r="Q30" i="1"/>
  <c r="P30" i="1"/>
  <c r="O30" i="1"/>
  <c r="N30" i="1"/>
  <c r="M30" i="1"/>
  <c r="L30" i="1"/>
  <c r="K30" i="1"/>
  <c r="J30" i="1"/>
  <c r="I30" i="1"/>
  <c r="H30" i="1"/>
  <c r="G30" i="1"/>
  <c r="F30" i="1"/>
  <c r="E30" i="1"/>
  <c r="D30" i="1"/>
  <c r="C30" i="1"/>
  <c r="B30" i="1"/>
  <c r="A30" i="1"/>
  <c r="AU29" i="1"/>
  <c r="AT29" i="1"/>
  <c r="AS29" i="1"/>
  <c r="AV29" i="1" s="1"/>
  <c r="AR29" i="1"/>
  <c r="AQ29" i="1"/>
  <c r="AP29" i="1"/>
  <c r="AO29" i="1"/>
  <c r="AN29" i="1"/>
  <c r="AK29" i="1"/>
  <c r="AJ29" i="1"/>
  <c r="AI29" i="1"/>
  <c r="AH29" i="1"/>
  <c r="AG29" i="1"/>
  <c r="AF29" i="1"/>
  <c r="AE29" i="1"/>
  <c r="AD29" i="1"/>
  <c r="AC29" i="1"/>
  <c r="AB29" i="1"/>
  <c r="AA29" i="1"/>
  <c r="Z29" i="1"/>
  <c r="Y29" i="1"/>
  <c r="X29" i="1"/>
  <c r="W29" i="1"/>
  <c r="V29" i="1"/>
  <c r="U29" i="1"/>
  <c r="T29" i="1"/>
  <c r="S29" i="1"/>
  <c r="R29" i="1"/>
  <c r="Q29" i="1"/>
  <c r="P29" i="1"/>
  <c r="O29" i="1"/>
  <c r="N29" i="1"/>
  <c r="M29" i="1"/>
  <c r="L29" i="1"/>
  <c r="K29" i="1"/>
  <c r="J29" i="1"/>
  <c r="I29" i="1"/>
  <c r="G29" i="1"/>
  <c r="F29" i="1"/>
  <c r="E29" i="1"/>
  <c r="D29" i="1"/>
  <c r="C29" i="1"/>
  <c r="B29" i="1"/>
  <c r="A29" i="1"/>
  <c r="AU28" i="1"/>
  <c r="AT28" i="1"/>
  <c r="AS28" i="1"/>
  <c r="AV28" i="1" s="1"/>
  <c r="AR28" i="1"/>
  <c r="AQ28" i="1"/>
  <c r="AP28" i="1"/>
  <c r="AO28" i="1"/>
  <c r="AN28" i="1"/>
  <c r="AM28" i="1"/>
  <c r="AL28" i="1"/>
  <c r="AK28" i="1"/>
  <c r="AJ28" i="1"/>
  <c r="AI28" i="1"/>
  <c r="AH28" i="1"/>
  <c r="AG28" i="1"/>
  <c r="AF28" i="1"/>
  <c r="AE28" i="1"/>
  <c r="AD28" i="1"/>
  <c r="AC28" i="1"/>
  <c r="AB28" i="1"/>
  <c r="AA28" i="1"/>
  <c r="Z28" i="1"/>
  <c r="Y28" i="1"/>
  <c r="W28" i="1"/>
  <c r="V28" i="1"/>
  <c r="U28" i="1"/>
  <c r="T28" i="1"/>
  <c r="S28" i="1"/>
  <c r="R28" i="1"/>
  <c r="Q28" i="1"/>
  <c r="P28" i="1"/>
  <c r="O28" i="1"/>
  <c r="N28" i="1"/>
  <c r="M28" i="1"/>
  <c r="L28" i="1"/>
  <c r="K28" i="1"/>
  <c r="J28" i="1"/>
  <c r="I28" i="1"/>
  <c r="G28" i="1"/>
  <c r="F28" i="1"/>
  <c r="E28" i="1"/>
  <c r="D28" i="1"/>
  <c r="C28" i="1"/>
  <c r="B28" i="1"/>
  <c r="A28" i="1"/>
  <c r="AU27" i="1"/>
  <c r="AT27" i="1"/>
  <c r="AS27" i="1"/>
  <c r="AV27" i="1" s="1"/>
  <c r="AR27" i="1"/>
  <c r="AQ27" i="1"/>
  <c r="AP27" i="1"/>
  <c r="AO27" i="1"/>
  <c r="AN27" i="1"/>
  <c r="AM27" i="1"/>
  <c r="AL27" i="1"/>
  <c r="AK27" i="1"/>
  <c r="AJ27" i="1"/>
  <c r="AI27" i="1"/>
  <c r="AH27" i="1"/>
  <c r="AG27" i="1"/>
  <c r="AF27" i="1"/>
  <c r="AE27" i="1"/>
  <c r="AD27" i="1"/>
  <c r="AC27" i="1"/>
  <c r="AB27" i="1"/>
  <c r="AA27" i="1"/>
  <c r="Z27" i="1"/>
  <c r="Y27" i="1"/>
  <c r="W27" i="1"/>
  <c r="V27" i="1"/>
  <c r="U27" i="1"/>
  <c r="T27" i="1"/>
  <c r="S27" i="1"/>
  <c r="R27" i="1"/>
  <c r="Q27" i="1"/>
  <c r="P27" i="1"/>
  <c r="O27" i="1"/>
  <c r="N27" i="1"/>
  <c r="M27" i="1"/>
  <c r="L27" i="1"/>
  <c r="K27" i="1"/>
  <c r="J27" i="1"/>
  <c r="I27" i="1"/>
  <c r="G27" i="1"/>
  <c r="F27" i="1"/>
  <c r="E27" i="1"/>
  <c r="D27" i="1"/>
  <c r="C27" i="1"/>
  <c r="B27" i="1"/>
  <c r="A27" i="1"/>
  <c r="AU26" i="1"/>
  <c r="AT26" i="1"/>
  <c r="AS26" i="1"/>
  <c r="AV26" i="1" s="1"/>
  <c r="AR26" i="1"/>
  <c r="AQ26" i="1"/>
  <c r="AP26" i="1"/>
  <c r="AO26" i="1"/>
  <c r="AN26" i="1"/>
  <c r="AM26" i="1"/>
  <c r="AL26" i="1"/>
  <c r="AK26" i="1"/>
  <c r="AJ26" i="1"/>
  <c r="AI26" i="1"/>
  <c r="AH26" i="1"/>
  <c r="AG26" i="1"/>
  <c r="AF26" i="1"/>
  <c r="AE26" i="1"/>
  <c r="AD26" i="1"/>
  <c r="AC26" i="1"/>
  <c r="AB26" i="1"/>
  <c r="AA26" i="1"/>
  <c r="Z26" i="1"/>
  <c r="Y26" i="1"/>
  <c r="W26" i="1"/>
  <c r="V26" i="1"/>
  <c r="U26" i="1"/>
  <c r="T26" i="1"/>
  <c r="S26" i="1"/>
  <c r="R26" i="1"/>
  <c r="Q26" i="1"/>
  <c r="P26" i="1"/>
  <c r="O26" i="1"/>
  <c r="N26" i="1"/>
  <c r="M26" i="1"/>
  <c r="L26" i="1"/>
  <c r="K26" i="1"/>
  <c r="J26" i="1"/>
  <c r="I26" i="1"/>
  <c r="H26" i="1"/>
  <c r="G26" i="1"/>
  <c r="F26" i="1"/>
  <c r="E26" i="1"/>
  <c r="D26" i="1"/>
  <c r="C26" i="1"/>
  <c r="B26" i="1"/>
  <c r="A26" i="1"/>
  <c r="AU25" i="1"/>
  <c r="AT25" i="1"/>
  <c r="AS25" i="1"/>
  <c r="AV25" i="1" s="1"/>
  <c r="AR25" i="1"/>
  <c r="AQ25" i="1"/>
  <c r="AP25" i="1"/>
  <c r="AO25" i="1"/>
  <c r="AN25" i="1"/>
  <c r="AM25" i="1"/>
  <c r="AL25" i="1"/>
  <c r="AK25" i="1"/>
  <c r="AJ25" i="1"/>
  <c r="AI25" i="1"/>
  <c r="AH25" i="1"/>
  <c r="AG25" i="1"/>
  <c r="AF25" i="1"/>
  <c r="AE25" i="1"/>
  <c r="AD25" i="1"/>
  <c r="AC25" i="1"/>
  <c r="AB25" i="1"/>
  <c r="AA25" i="1"/>
  <c r="Z25" i="1"/>
  <c r="Y25" i="1"/>
  <c r="X25" i="1"/>
  <c r="W25" i="1"/>
  <c r="V25" i="1"/>
  <c r="U25" i="1"/>
  <c r="T25" i="1"/>
  <c r="S25" i="1"/>
  <c r="R25" i="1"/>
  <c r="Q25" i="1"/>
  <c r="P25" i="1"/>
  <c r="O25" i="1"/>
  <c r="N25" i="1"/>
  <c r="M25" i="1"/>
  <c r="L25" i="1"/>
  <c r="K25" i="1"/>
  <c r="J25" i="1"/>
  <c r="I25" i="1"/>
  <c r="H25" i="1"/>
  <c r="G25" i="1"/>
  <c r="F25" i="1"/>
  <c r="E25" i="1"/>
  <c r="D25" i="1"/>
  <c r="C25" i="1"/>
  <c r="B25" i="1"/>
  <c r="A25" i="1"/>
  <c r="AU24" i="1"/>
  <c r="AT24" i="1"/>
  <c r="AS24" i="1"/>
  <c r="AV24" i="1" s="1"/>
  <c r="AR24" i="1"/>
  <c r="AQ24" i="1"/>
  <c r="AP24" i="1"/>
  <c r="AO24" i="1"/>
  <c r="AN24" i="1"/>
  <c r="AM24" i="1"/>
  <c r="AL24" i="1"/>
  <c r="AK24" i="1"/>
  <c r="AJ24" i="1"/>
  <c r="AI24" i="1"/>
  <c r="AH24" i="1"/>
  <c r="AG24" i="1"/>
  <c r="AF24" i="1"/>
  <c r="AE24" i="1"/>
  <c r="AD24" i="1"/>
  <c r="AC24" i="1"/>
  <c r="AB24" i="1"/>
  <c r="AA24" i="1"/>
  <c r="Z24" i="1"/>
  <c r="Y24" i="1"/>
  <c r="X24" i="1"/>
  <c r="W24" i="1"/>
  <c r="V24" i="1"/>
  <c r="U24" i="1"/>
  <c r="T24" i="1"/>
  <c r="S24" i="1"/>
  <c r="R24" i="1"/>
  <c r="Q24" i="1"/>
  <c r="N24" i="1"/>
  <c r="M24" i="1"/>
  <c r="L24" i="1"/>
  <c r="K24" i="1"/>
  <c r="J24" i="1"/>
  <c r="I24" i="1"/>
  <c r="H24" i="1"/>
  <c r="G24" i="1"/>
  <c r="F24" i="1"/>
  <c r="E24" i="1"/>
  <c r="D24" i="1"/>
  <c r="C24" i="1"/>
  <c r="B24" i="1"/>
  <c r="A24" i="1"/>
  <c r="AU23" i="1"/>
  <c r="AT23" i="1"/>
  <c r="AS23" i="1"/>
  <c r="AV23" i="1" s="1"/>
  <c r="AR23" i="1"/>
  <c r="AQ23" i="1"/>
  <c r="AP23" i="1"/>
  <c r="AO23" i="1"/>
  <c r="AN23" i="1"/>
  <c r="AK23" i="1"/>
  <c r="AJ23" i="1"/>
  <c r="AI23" i="1"/>
  <c r="AH23" i="1"/>
  <c r="AG23" i="1"/>
  <c r="AF23" i="1"/>
  <c r="AE23" i="1"/>
  <c r="AD23" i="1"/>
  <c r="AC23" i="1"/>
  <c r="AB23" i="1"/>
  <c r="AA23" i="1"/>
  <c r="Z23" i="1"/>
  <c r="Y23" i="1"/>
  <c r="W23" i="1"/>
  <c r="V23" i="1"/>
  <c r="U23" i="1"/>
  <c r="T23" i="1"/>
  <c r="S23" i="1"/>
  <c r="R23" i="1"/>
  <c r="Q23" i="1"/>
  <c r="P23" i="1"/>
  <c r="O23" i="1"/>
  <c r="N23" i="1"/>
  <c r="M23" i="1"/>
  <c r="L23" i="1"/>
  <c r="K23" i="1"/>
  <c r="J23" i="1"/>
  <c r="I23" i="1"/>
  <c r="H23" i="1"/>
  <c r="G23" i="1"/>
  <c r="F23" i="1"/>
  <c r="E23" i="1"/>
  <c r="D23" i="1"/>
  <c r="C23" i="1"/>
  <c r="B23" i="1"/>
  <c r="A23" i="1"/>
  <c r="AU22" i="1"/>
  <c r="AT22" i="1"/>
  <c r="AS22" i="1"/>
  <c r="AV22" i="1" s="1"/>
  <c r="AR22" i="1"/>
  <c r="AQ22" i="1"/>
  <c r="AP22" i="1"/>
  <c r="AO22" i="1"/>
  <c r="AN22" i="1"/>
  <c r="AM22" i="1"/>
  <c r="AL22" i="1"/>
  <c r="AK22" i="1"/>
  <c r="AJ22" i="1"/>
  <c r="AI22" i="1"/>
  <c r="AH22" i="1"/>
  <c r="AG22" i="1"/>
  <c r="AF22" i="1"/>
  <c r="AE22" i="1"/>
  <c r="AD22" i="1"/>
  <c r="AC22" i="1"/>
  <c r="AB22" i="1"/>
  <c r="AA22" i="1"/>
  <c r="Z22" i="1"/>
  <c r="Y22" i="1"/>
  <c r="X22" i="1"/>
  <c r="W22" i="1"/>
  <c r="V22" i="1"/>
  <c r="U22" i="1"/>
  <c r="T22" i="1"/>
  <c r="S22" i="1"/>
  <c r="R22" i="1"/>
  <c r="Q22" i="1"/>
  <c r="N22" i="1"/>
  <c r="M22" i="1"/>
  <c r="L22" i="1"/>
  <c r="K22" i="1"/>
  <c r="J22" i="1"/>
  <c r="H22" i="1"/>
  <c r="G22" i="1"/>
  <c r="F22" i="1"/>
  <c r="E22" i="1"/>
  <c r="D22" i="1"/>
  <c r="C22" i="1"/>
  <c r="B22" i="1"/>
  <c r="A22" i="1"/>
  <c r="AU21" i="1"/>
  <c r="AT21" i="1"/>
  <c r="AS21" i="1"/>
  <c r="AV21" i="1" s="1"/>
  <c r="AR21" i="1"/>
  <c r="AQ21" i="1"/>
  <c r="AP21" i="1"/>
  <c r="AO21" i="1"/>
  <c r="AN21" i="1"/>
  <c r="AM21" i="1"/>
  <c r="AL21" i="1"/>
  <c r="AK21" i="1"/>
  <c r="AJ21" i="1"/>
  <c r="AI21" i="1"/>
  <c r="AH21" i="1"/>
  <c r="AG21" i="1"/>
  <c r="AF21" i="1"/>
  <c r="AE21" i="1"/>
  <c r="AD21" i="1"/>
  <c r="AC21" i="1"/>
  <c r="AB21" i="1"/>
  <c r="AA21" i="1"/>
  <c r="Z21" i="1"/>
  <c r="Y21" i="1"/>
  <c r="X21" i="1"/>
  <c r="W21" i="1"/>
  <c r="V21" i="1"/>
  <c r="U21" i="1"/>
  <c r="T21" i="1"/>
  <c r="S21" i="1"/>
  <c r="R21" i="1"/>
  <c r="Q21" i="1"/>
  <c r="N21" i="1"/>
  <c r="M21" i="1"/>
  <c r="L21" i="1"/>
  <c r="K21" i="1"/>
  <c r="J21" i="1"/>
  <c r="I21" i="1"/>
  <c r="H21" i="1"/>
  <c r="G21" i="1"/>
  <c r="F21" i="1"/>
  <c r="E21" i="1"/>
  <c r="D21" i="1"/>
  <c r="C21" i="1"/>
  <c r="B21" i="1"/>
  <c r="A21" i="1"/>
  <c r="AU20" i="1"/>
  <c r="AT20" i="1"/>
  <c r="AS20" i="1"/>
  <c r="AV20" i="1" s="1"/>
  <c r="AR20" i="1"/>
  <c r="AQ20" i="1"/>
  <c r="AP20" i="1"/>
  <c r="AO20" i="1"/>
  <c r="AN20" i="1"/>
  <c r="AM20" i="1"/>
  <c r="AL20" i="1"/>
  <c r="AK20" i="1"/>
  <c r="AJ20" i="1"/>
  <c r="AI20" i="1"/>
  <c r="AH20" i="1"/>
  <c r="AG20" i="1"/>
  <c r="AF20" i="1"/>
  <c r="AE20" i="1"/>
  <c r="AD20" i="1"/>
  <c r="AC20" i="1"/>
  <c r="AB20" i="1"/>
  <c r="AA20" i="1"/>
  <c r="Z20" i="1"/>
  <c r="Y20" i="1"/>
  <c r="X20" i="1"/>
  <c r="W20" i="1"/>
  <c r="V20" i="1"/>
  <c r="U20" i="1"/>
  <c r="T20" i="1"/>
  <c r="S20" i="1"/>
  <c r="R20" i="1"/>
  <c r="Q20" i="1"/>
  <c r="P20" i="1"/>
  <c r="O20" i="1"/>
  <c r="N20" i="1"/>
  <c r="M20" i="1"/>
  <c r="L20" i="1"/>
  <c r="K20" i="1"/>
  <c r="J20" i="1"/>
  <c r="I20" i="1"/>
  <c r="H20" i="1"/>
  <c r="G20" i="1"/>
  <c r="F20" i="1"/>
  <c r="E20" i="1"/>
  <c r="D20" i="1"/>
  <c r="C20" i="1"/>
  <c r="B20" i="1"/>
  <c r="A20" i="1"/>
  <c r="AU19" i="1"/>
  <c r="AT19" i="1"/>
  <c r="AS19" i="1"/>
  <c r="AV19" i="1" s="1"/>
  <c r="AR19" i="1"/>
  <c r="AQ19" i="1"/>
  <c r="AP19" i="1"/>
  <c r="AO19" i="1"/>
  <c r="AN19" i="1"/>
  <c r="AK19" i="1"/>
  <c r="AJ19" i="1"/>
  <c r="AI19" i="1"/>
  <c r="AH19" i="1"/>
  <c r="AG19" i="1"/>
  <c r="AF19" i="1"/>
  <c r="AE19" i="1"/>
  <c r="AD19" i="1"/>
  <c r="AC19" i="1"/>
  <c r="AB19" i="1"/>
  <c r="AA19" i="1"/>
  <c r="Z19" i="1"/>
  <c r="Y19" i="1"/>
  <c r="W19" i="1"/>
  <c r="V19" i="1"/>
  <c r="U19" i="1"/>
  <c r="T19" i="1"/>
  <c r="S19" i="1"/>
  <c r="R19" i="1"/>
  <c r="Q19" i="1"/>
  <c r="P19" i="1"/>
  <c r="O19" i="1"/>
  <c r="N19" i="1"/>
  <c r="M19" i="1"/>
  <c r="L19" i="1"/>
  <c r="K19" i="1"/>
  <c r="J19" i="1"/>
  <c r="I19" i="1"/>
  <c r="G19" i="1"/>
  <c r="F19" i="1"/>
  <c r="E19" i="1"/>
  <c r="D19" i="1"/>
  <c r="C19" i="1"/>
  <c r="B19" i="1"/>
  <c r="A19" i="1"/>
  <c r="AU18" i="1"/>
  <c r="AT18" i="1"/>
  <c r="AS18" i="1"/>
  <c r="AV18" i="1" s="1"/>
  <c r="AR18" i="1"/>
  <c r="AQ18" i="1"/>
  <c r="AP18" i="1"/>
  <c r="AO18" i="1"/>
  <c r="AN18" i="1"/>
  <c r="AM18" i="1"/>
  <c r="AL18" i="1"/>
  <c r="AK18" i="1"/>
  <c r="AJ18" i="1"/>
  <c r="AI18" i="1"/>
  <c r="AH18" i="1"/>
  <c r="AG18" i="1"/>
  <c r="AF18" i="1"/>
  <c r="AE18" i="1"/>
  <c r="AD18" i="1"/>
  <c r="AC18" i="1"/>
  <c r="AB18" i="1"/>
  <c r="AA18" i="1"/>
  <c r="Z18" i="1"/>
  <c r="Y18" i="1"/>
  <c r="X18" i="1"/>
  <c r="W18" i="1"/>
  <c r="V18" i="1"/>
  <c r="U18" i="1"/>
  <c r="T18" i="1"/>
  <c r="S18" i="1"/>
  <c r="R18" i="1"/>
  <c r="Q18" i="1"/>
  <c r="P18" i="1"/>
  <c r="O18" i="1"/>
  <c r="N18" i="1"/>
  <c r="M18" i="1"/>
  <c r="L18" i="1"/>
  <c r="K18" i="1"/>
  <c r="J18" i="1"/>
  <c r="I18" i="1"/>
  <c r="H18" i="1"/>
  <c r="G18" i="1"/>
  <c r="F18" i="1"/>
  <c r="E18" i="1"/>
  <c r="D18" i="1"/>
  <c r="C18" i="1"/>
  <c r="B18" i="1"/>
  <c r="A18" i="1"/>
  <c r="AU17" i="1"/>
  <c r="AT17" i="1"/>
  <c r="AS17" i="1"/>
  <c r="AV17" i="1" s="1"/>
  <c r="AR17" i="1"/>
  <c r="AQ17" i="1"/>
  <c r="AP17" i="1"/>
  <c r="AO17" i="1"/>
  <c r="AN17" i="1"/>
  <c r="AM17" i="1"/>
  <c r="AL17" i="1"/>
  <c r="AK17" i="1"/>
  <c r="AJ17" i="1"/>
  <c r="AI17" i="1"/>
  <c r="AH17" i="1"/>
  <c r="AG17" i="1"/>
  <c r="AF17" i="1"/>
  <c r="AE17" i="1"/>
  <c r="AD17" i="1"/>
  <c r="AC17" i="1"/>
  <c r="AB17" i="1"/>
  <c r="AA17" i="1"/>
  <c r="Z17" i="1"/>
  <c r="Y17" i="1"/>
  <c r="W17" i="1"/>
  <c r="V17" i="1"/>
  <c r="U17" i="1"/>
  <c r="T17" i="1"/>
  <c r="S17" i="1"/>
  <c r="R17" i="1"/>
  <c r="Q17" i="1"/>
  <c r="P17" i="1"/>
  <c r="O17" i="1"/>
  <c r="N17" i="1"/>
  <c r="M17" i="1"/>
  <c r="L17" i="1"/>
  <c r="K17" i="1"/>
  <c r="J17" i="1"/>
  <c r="I17" i="1"/>
  <c r="H17" i="1"/>
  <c r="G17" i="1"/>
  <c r="F17" i="1"/>
  <c r="E17" i="1"/>
  <c r="D17" i="1"/>
  <c r="C17" i="1"/>
  <c r="B17" i="1"/>
  <c r="A17" i="1"/>
  <c r="AU16" i="1"/>
  <c r="AT16" i="1"/>
  <c r="AS16" i="1"/>
  <c r="AV16" i="1" s="1"/>
  <c r="AR16" i="1"/>
  <c r="AQ16" i="1"/>
  <c r="AP16" i="1"/>
  <c r="AO16" i="1"/>
  <c r="AN16" i="1"/>
  <c r="AM16" i="1"/>
  <c r="AL16" i="1"/>
  <c r="AK16" i="1"/>
  <c r="AJ16" i="1"/>
  <c r="AI16" i="1"/>
  <c r="AH16" i="1"/>
  <c r="AG16" i="1"/>
  <c r="AF16" i="1"/>
  <c r="AE16" i="1"/>
  <c r="AD16" i="1"/>
  <c r="AC16" i="1"/>
  <c r="AB16" i="1"/>
  <c r="AA16" i="1"/>
  <c r="Z16" i="1"/>
  <c r="Y16" i="1"/>
  <c r="W16" i="1"/>
  <c r="V16" i="1"/>
  <c r="U16" i="1"/>
  <c r="T16" i="1"/>
  <c r="S16" i="1"/>
  <c r="R16" i="1"/>
  <c r="Q16" i="1"/>
  <c r="P16" i="1"/>
  <c r="O16" i="1"/>
  <c r="N16" i="1"/>
  <c r="M16" i="1"/>
  <c r="L16" i="1"/>
  <c r="K16" i="1"/>
  <c r="J16" i="1"/>
  <c r="I16" i="1"/>
  <c r="H16" i="1"/>
  <c r="G16" i="1"/>
  <c r="F16" i="1"/>
  <c r="E16" i="1"/>
  <c r="D16" i="1"/>
  <c r="C16" i="1"/>
  <c r="B16" i="1"/>
  <c r="A16" i="1"/>
  <c r="AU15" i="1"/>
  <c r="AT15" i="1"/>
  <c r="AS15" i="1"/>
  <c r="AV15" i="1" s="1"/>
  <c r="AR15" i="1"/>
  <c r="AQ15" i="1"/>
  <c r="AP15" i="1"/>
  <c r="AO15" i="1"/>
  <c r="AN15" i="1"/>
  <c r="AM15" i="1"/>
  <c r="AL15" i="1"/>
  <c r="AK15" i="1"/>
  <c r="AJ15" i="1"/>
  <c r="AI15" i="1"/>
  <c r="AH15" i="1"/>
  <c r="AG15" i="1"/>
  <c r="AF15" i="1"/>
  <c r="AE15" i="1"/>
  <c r="AD15" i="1"/>
  <c r="AC15" i="1"/>
  <c r="AB15" i="1"/>
  <c r="AA15" i="1"/>
  <c r="Z15" i="1"/>
  <c r="Y15" i="1"/>
  <c r="W15" i="1"/>
  <c r="V15" i="1"/>
  <c r="U15" i="1"/>
  <c r="T15" i="1"/>
  <c r="S15" i="1"/>
  <c r="R15" i="1"/>
  <c r="Q15" i="1"/>
  <c r="P15" i="1"/>
  <c r="O15" i="1"/>
  <c r="N15" i="1"/>
  <c r="M15" i="1"/>
  <c r="L15" i="1"/>
  <c r="K15" i="1"/>
  <c r="J15" i="1"/>
  <c r="I15" i="1"/>
  <c r="H15" i="1"/>
  <c r="G15" i="1"/>
  <c r="F15" i="1"/>
  <c r="E15" i="1"/>
  <c r="D15" i="1"/>
  <c r="C15" i="1"/>
  <c r="B15" i="1"/>
  <c r="A15" i="1"/>
  <c r="AU14" i="1"/>
  <c r="AT14" i="1"/>
  <c r="AS14" i="1"/>
  <c r="AV14" i="1" s="1"/>
  <c r="AR14" i="1"/>
  <c r="AQ14" i="1"/>
  <c r="AP14" i="1"/>
  <c r="AO14" i="1"/>
  <c r="AN14" i="1"/>
  <c r="AI14" i="1"/>
  <c r="AH14" i="1"/>
  <c r="AG14" i="1"/>
  <c r="AF14" i="1"/>
  <c r="AE14" i="1"/>
  <c r="AD14" i="1"/>
  <c r="AC14" i="1"/>
  <c r="AB14" i="1"/>
  <c r="AA14" i="1"/>
  <c r="Z14" i="1"/>
  <c r="Y14" i="1"/>
  <c r="W14" i="1"/>
  <c r="V14" i="1"/>
  <c r="U14" i="1"/>
  <c r="T14" i="1"/>
  <c r="S14" i="1"/>
  <c r="R14" i="1"/>
  <c r="Q14" i="1"/>
  <c r="P14" i="1"/>
  <c r="O14" i="1"/>
  <c r="N14" i="1"/>
  <c r="M14" i="1"/>
  <c r="L14" i="1"/>
  <c r="K14" i="1"/>
  <c r="J14" i="1"/>
  <c r="I14" i="1"/>
  <c r="H14" i="1"/>
  <c r="G14" i="1"/>
  <c r="F14" i="1"/>
  <c r="E14" i="1"/>
  <c r="D14" i="1"/>
  <c r="C14" i="1"/>
  <c r="B14" i="1"/>
  <c r="A14" i="1"/>
  <c r="AU13" i="1"/>
  <c r="AT13" i="1"/>
  <c r="AS13" i="1"/>
  <c r="AV13" i="1" s="1"/>
  <c r="AR13" i="1"/>
  <c r="AQ13" i="1"/>
  <c r="AP13" i="1"/>
  <c r="AO13" i="1"/>
  <c r="AN13" i="1"/>
  <c r="AM13" i="1"/>
  <c r="AL13" i="1"/>
  <c r="AK13" i="1"/>
  <c r="AJ13" i="1"/>
  <c r="AI13" i="1"/>
  <c r="AH13" i="1"/>
  <c r="AG13" i="1"/>
  <c r="AF13" i="1"/>
  <c r="AE13" i="1"/>
  <c r="AD13" i="1"/>
  <c r="AC13" i="1"/>
  <c r="AB13" i="1"/>
  <c r="AA13" i="1"/>
  <c r="Z13" i="1"/>
  <c r="Y13" i="1"/>
  <c r="W13" i="1"/>
  <c r="V13" i="1"/>
  <c r="U13" i="1"/>
  <c r="T13" i="1"/>
  <c r="S13" i="1"/>
  <c r="R13" i="1"/>
  <c r="Q13" i="1"/>
  <c r="P13" i="1"/>
  <c r="O13" i="1"/>
  <c r="N13" i="1"/>
  <c r="M13" i="1"/>
  <c r="L13" i="1"/>
  <c r="K13" i="1"/>
  <c r="J13" i="1"/>
  <c r="I13" i="1"/>
  <c r="H13" i="1"/>
  <c r="G13" i="1"/>
  <c r="F13" i="1"/>
  <c r="E13" i="1"/>
  <c r="D13" i="1"/>
  <c r="C13" i="1"/>
  <c r="B13" i="1"/>
  <c r="A13" i="1"/>
  <c r="AU12" i="1"/>
  <c r="AT12" i="1"/>
  <c r="AS12" i="1"/>
  <c r="AV12" i="1" s="1"/>
  <c r="AR12" i="1"/>
  <c r="AQ12" i="1"/>
  <c r="AP12" i="1"/>
  <c r="AO12" i="1"/>
  <c r="AN12" i="1"/>
  <c r="AK12" i="1"/>
  <c r="AJ12" i="1"/>
  <c r="AI12" i="1"/>
  <c r="AH12" i="1"/>
  <c r="AG12" i="1"/>
  <c r="AF12" i="1"/>
  <c r="AE12" i="1"/>
  <c r="AD12" i="1"/>
  <c r="AC12" i="1"/>
  <c r="AB12" i="1"/>
  <c r="AA12" i="1"/>
  <c r="Z12" i="1"/>
  <c r="Y12" i="1"/>
  <c r="W12" i="1"/>
  <c r="V12" i="1"/>
  <c r="U12" i="1"/>
  <c r="T12" i="1"/>
  <c r="S12" i="1"/>
  <c r="R12" i="1"/>
  <c r="Q12" i="1"/>
  <c r="P12" i="1"/>
  <c r="O12" i="1"/>
  <c r="N12" i="1"/>
  <c r="M12" i="1"/>
  <c r="L12" i="1"/>
  <c r="K12" i="1"/>
  <c r="J12" i="1"/>
  <c r="I12" i="1"/>
  <c r="H12" i="1"/>
  <c r="G12" i="1"/>
  <c r="F12" i="1"/>
  <c r="E12" i="1"/>
  <c r="D12" i="1"/>
  <c r="C12" i="1"/>
  <c r="B12" i="1"/>
  <c r="A12" i="1"/>
  <c r="AU11" i="1"/>
  <c r="AT11" i="1"/>
  <c r="AS11" i="1"/>
  <c r="AV11" i="1" s="1"/>
  <c r="AR11" i="1"/>
  <c r="AQ11" i="1"/>
  <c r="AP11" i="1"/>
  <c r="AO11" i="1"/>
  <c r="AN11" i="1"/>
  <c r="AK11" i="1"/>
  <c r="AJ11" i="1"/>
  <c r="AI11" i="1"/>
  <c r="AH11" i="1"/>
  <c r="AG11" i="1"/>
  <c r="AF11" i="1"/>
  <c r="AE11" i="1"/>
  <c r="AD11" i="1"/>
  <c r="AC11" i="1"/>
  <c r="AB11" i="1"/>
  <c r="AA11" i="1"/>
  <c r="Z11" i="1"/>
  <c r="Y11" i="1"/>
  <c r="W11" i="1"/>
  <c r="V11" i="1"/>
  <c r="U11" i="1"/>
  <c r="T11" i="1"/>
  <c r="S11" i="1"/>
  <c r="R11" i="1"/>
  <c r="Q11" i="1"/>
  <c r="P11" i="1"/>
  <c r="O11" i="1"/>
  <c r="N11" i="1"/>
  <c r="M11" i="1"/>
  <c r="L11" i="1"/>
  <c r="K11" i="1"/>
  <c r="J11" i="1"/>
  <c r="I11" i="1"/>
  <c r="H11" i="1"/>
  <c r="G11" i="1"/>
  <c r="F11" i="1"/>
  <c r="E11" i="1"/>
  <c r="D11" i="1"/>
  <c r="C11" i="1"/>
  <c r="B11" i="1"/>
  <c r="A11" i="1"/>
  <c r="AU10" i="1"/>
  <c r="AT10" i="1"/>
  <c r="AS10" i="1"/>
  <c r="AV10" i="1" s="1"/>
  <c r="AR10" i="1"/>
  <c r="AQ10" i="1"/>
  <c r="AP10" i="1"/>
  <c r="AO10" i="1"/>
  <c r="AN10" i="1"/>
  <c r="AM10" i="1"/>
  <c r="AL10" i="1"/>
  <c r="AK10" i="1"/>
  <c r="AJ10" i="1"/>
  <c r="AI10" i="1"/>
  <c r="AH10" i="1"/>
  <c r="AG10" i="1"/>
  <c r="AF10" i="1"/>
  <c r="AE10" i="1"/>
  <c r="AD10" i="1"/>
  <c r="AC10" i="1"/>
  <c r="AB10" i="1"/>
  <c r="AA10" i="1"/>
  <c r="Z10" i="1"/>
  <c r="Y10" i="1"/>
  <c r="W10" i="1"/>
  <c r="V10" i="1"/>
  <c r="U10" i="1"/>
  <c r="T10" i="1"/>
  <c r="S10" i="1"/>
  <c r="R10" i="1"/>
  <c r="Q10" i="1"/>
  <c r="P10" i="1"/>
  <c r="O10" i="1"/>
  <c r="N10" i="1"/>
  <c r="M10" i="1"/>
  <c r="L10" i="1"/>
  <c r="K10" i="1"/>
  <c r="J10" i="1"/>
  <c r="I10" i="1"/>
  <c r="H10" i="1"/>
  <c r="G10" i="1"/>
  <c r="F10" i="1"/>
  <c r="E10" i="1"/>
  <c r="D10" i="1"/>
  <c r="C10" i="1"/>
  <c r="B10" i="1"/>
  <c r="A10" i="1"/>
  <c r="AU9" i="1"/>
  <c r="AT9" i="1"/>
  <c r="AS9" i="1"/>
  <c r="AV9" i="1" s="1"/>
  <c r="AR9" i="1"/>
  <c r="AQ9" i="1"/>
  <c r="AP9" i="1"/>
  <c r="AO9" i="1"/>
  <c r="AN9" i="1"/>
  <c r="AI9" i="1"/>
  <c r="AH9" i="1"/>
  <c r="AG9" i="1"/>
  <c r="AF9" i="1"/>
  <c r="AE9" i="1"/>
  <c r="AD9" i="1"/>
  <c r="AC9" i="1"/>
  <c r="AB9" i="1"/>
  <c r="AA9" i="1"/>
  <c r="Z9" i="1"/>
  <c r="Y9" i="1"/>
  <c r="X9" i="1"/>
  <c r="W9" i="1"/>
  <c r="V9" i="1"/>
  <c r="U9" i="1"/>
  <c r="T9" i="1"/>
  <c r="S9" i="1"/>
  <c r="R9" i="1"/>
  <c r="Q9" i="1"/>
  <c r="P9" i="1"/>
  <c r="O9" i="1"/>
  <c r="N9" i="1"/>
  <c r="M9" i="1"/>
  <c r="L9" i="1"/>
  <c r="K9" i="1"/>
  <c r="J9" i="1"/>
  <c r="I9" i="1"/>
  <c r="H9" i="1"/>
  <c r="G9" i="1"/>
  <c r="F9" i="1"/>
  <c r="E9" i="1"/>
  <c r="D9" i="1"/>
  <c r="C9" i="1"/>
  <c r="B9" i="1"/>
  <c r="A9" i="1"/>
  <c r="AU8" i="1"/>
  <c r="AT8" i="1"/>
  <c r="AS8" i="1"/>
  <c r="AV8" i="1" s="1"/>
  <c r="AR8" i="1"/>
  <c r="AQ8" i="1"/>
  <c r="AP8" i="1"/>
  <c r="AO8" i="1"/>
  <c r="AN8" i="1"/>
  <c r="AM8" i="1"/>
  <c r="AL8" i="1"/>
  <c r="AK8" i="1"/>
  <c r="AJ8" i="1"/>
  <c r="AI8" i="1"/>
  <c r="AH8" i="1"/>
  <c r="AG8" i="1"/>
  <c r="AF8" i="1"/>
  <c r="AE8" i="1"/>
  <c r="AD8" i="1"/>
  <c r="AC8" i="1"/>
  <c r="AB8" i="1"/>
  <c r="AA8" i="1"/>
  <c r="Z8" i="1"/>
  <c r="Y8" i="1"/>
  <c r="X8" i="1"/>
  <c r="W8" i="1"/>
  <c r="V8" i="1"/>
  <c r="U8" i="1"/>
  <c r="T8" i="1"/>
  <c r="S8" i="1"/>
  <c r="R8" i="1"/>
  <c r="Q8" i="1"/>
  <c r="P8" i="1"/>
  <c r="O8" i="1"/>
  <c r="N8" i="1"/>
  <c r="M8" i="1"/>
  <c r="L8" i="1"/>
  <c r="K8" i="1"/>
  <c r="J8" i="1"/>
  <c r="I8" i="1"/>
  <c r="H8" i="1"/>
  <c r="G8" i="1"/>
  <c r="F8" i="1"/>
  <c r="E8" i="1"/>
  <c r="D8" i="1"/>
  <c r="C8" i="1"/>
  <c r="B8" i="1"/>
  <c r="A8" i="1"/>
  <c r="AU7" i="1"/>
  <c r="AT7" i="1"/>
  <c r="AS7" i="1"/>
  <c r="AV7" i="1" s="1"/>
  <c r="AR7" i="1"/>
  <c r="AQ7" i="1"/>
  <c r="AP7" i="1"/>
  <c r="AO7" i="1"/>
  <c r="AN7" i="1"/>
  <c r="AM7" i="1"/>
  <c r="AL7" i="1"/>
  <c r="AK7" i="1"/>
  <c r="AJ7" i="1"/>
  <c r="AI7" i="1"/>
  <c r="AH7" i="1"/>
  <c r="AG7" i="1"/>
  <c r="AF7" i="1"/>
  <c r="AE7" i="1"/>
  <c r="AD7" i="1"/>
  <c r="AC7" i="1"/>
  <c r="AB7" i="1"/>
  <c r="AA7" i="1"/>
  <c r="Z7" i="1"/>
  <c r="Y7" i="1"/>
  <c r="X7" i="1"/>
  <c r="W7" i="1"/>
  <c r="V7" i="1"/>
  <c r="U7" i="1"/>
  <c r="T7" i="1"/>
  <c r="S7" i="1"/>
  <c r="R7" i="1"/>
  <c r="Q7" i="1"/>
  <c r="N7" i="1"/>
  <c r="M7" i="1"/>
  <c r="L7" i="1"/>
  <c r="K7" i="1"/>
  <c r="J7" i="1"/>
  <c r="I7" i="1"/>
  <c r="G7" i="1"/>
  <c r="F7" i="1"/>
  <c r="E7" i="1"/>
  <c r="D7" i="1"/>
  <c r="C7" i="1"/>
  <c r="B7" i="1"/>
  <c r="A7" i="1"/>
  <c r="AU6" i="1"/>
  <c r="AT6" i="1"/>
  <c r="AS6" i="1"/>
  <c r="AV6" i="1" s="1"/>
  <c r="AR6" i="1"/>
  <c r="AQ6" i="1"/>
  <c r="AP6" i="1"/>
  <c r="AO6" i="1"/>
  <c r="AN6" i="1"/>
  <c r="AM6" i="1"/>
  <c r="AL6" i="1"/>
  <c r="AK6" i="1"/>
  <c r="AJ6" i="1"/>
  <c r="AI6" i="1"/>
  <c r="AH6" i="1"/>
  <c r="AG6" i="1"/>
  <c r="AF6" i="1"/>
  <c r="AE6" i="1"/>
  <c r="AD6" i="1"/>
  <c r="AC6" i="1"/>
  <c r="AB6" i="1"/>
  <c r="AA6" i="1"/>
  <c r="Z6" i="1"/>
  <c r="Y6" i="1"/>
  <c r="W6" i="1"/>
  <c r="V6" i="1"/>
  <c r="U6" i="1"/>
  <c r="T6" i="1"/>
  <c r="S6" i="1"/>
  <c r="R6" i="1"/>
  <c r="Q6" i="1"/>
  <c r="P6" i="1"/>
  <c r="O6" i="1"/>
  <c r="N6" i="1"/>
  <c r="M6" i="1"/>
  <c r="L6" i="1"/>
  <c r="K6" i="1"/>
  <c r="J6" i="1"/>
  <c r="I6" i="1"/>
  <c r="H6" i="1"/>
  <c r="G6" i="1"/>
  <c r="F6" i="1"/>
  <c r="E6" i="1"/>
  <c r="D6" i="1"/>
  <c r="C6" i="1"/>
  <c r="B6" i="1"/>
  <c r="A6" i="1"/>
  <c r="AU5" i="1"/>
  <c r="AT5" i="1"/>
  <c r="AS5" i="1"/>
  <c r="AV5" i="1" s="1"/>
  <c r="AR5" i="1"/>
  <c r="AQ5" i="1"/>
  <c r="AP5" i="1"/>
  <c r="AO5" i="1"/>
  <c r="AN5" i="1"/>
  <c r="AM5" i="1"/>
  <c r="AL5" i="1"/>
  <c r="AK5" i="1"/>
  <c r="AJ5" i="1"/>
  <c r="AI5" i="1"/>
  <c r="AH5" i="1"/>
  <c r="AG5" i="1"/>
  <c r="AF5" i="1"/>
  <c r="AE5" i="1"/>
  <c r="AD5" i="1"/>
  <c r="AC5" i="1"/>
  <c r="AB5" i="1"/>
  <c r="AA5" i="1"/>
  <c r="Z5" i="1"/>
  <c r="Y5" i="1"/>
  <c r="W5" i="1"/>
  <c r="V5" i="1"/>
  <c r="U5" i="1"/>
  <c r="T5" i="1"/>
  <c r="S5" i="1"/>
  <c r="R5" i="1"/>
  <c r="Q5" i="1"/>
  <c r="P5" i="1"/>
  <c r="O5" i="1"/>
  <c r="N5" i="1"/>
  <c r="M5" i="1"/>
  <c r="L5" i="1"/>
  <c r="K5" i="1"/>
  <c r="J5" i="1"/>
  <c r="I5" i="1"/>
  <c r="G5" i="1"/>
  <c r="F5" i="1"/>
  <c r="E5" i="1"/>
  <c r="D5" i="1"/>
  <c r="C5" i="1"/>
  <c r="B5" i="1"/>
  <c r="A5" i="1"/>
  <c r="AU4" i="1"/>
  <c r="AT4" i="1"/>
  <c r="AS4" i="1"/>
  <c r="AV4" i="1" s="1"/>
  <c r="AR4" i="1"/>
  <c r="AQ4" i="1"/>
  <c r="AP4" i="1"/>
  <c r="AO4" i="1"/>
  <c r="AN4" i="1"/>
  <c r="AM4" i="1"/>
  <c r="AL4" i="1"/>
  <c r="AK4" i="1"/>
  <c r="AJ4" i="1"/>
  <c r="AI4" i="1"/>
  <c r="AH4" i="1"/>
  <c r="AG4" i="1"/>
  <c r="AF4" i="1"/>
  <c r="AE4" i="1"/>
  <c r="AD4" i="1"/>
  <c r="AC4" i="1"/>
  <c r="AB4" i="1"/>
  <c r="AA4" i="1"/>
  <c r="Z4" i="1"/>
  <c r="Y4" i="1"/>
  <c r="W4" i="1"/>
  <c r="V4" i="1"/>
  <c r="U4" i="1"/>
  <c r="T4" i="1"/>
  <c r="S4" i="1"/>
  <c r="R4" i="1"/>
  <c r="Q4" i="1"/>
  <c r="P4" i="1"/>
  <c r="O4" i="1"/>
  <c r="N4" i="1"/>
  <c r="M4" i="1"/>
  <c r="L4" i="1"/>
  <c r="K4" i="1"/>
  <c r="J4" i="1"/>
  <c r="I4" i="1"/>
  <c r="H4" i="1"/>
  <c r="G4" i="1"/>
  <c r="F4" i="1"/>
  <c r="E4" i="1"/>
  <c r="D4" i="1"/>
  <c r="C4" i="1"/>
  <c r="B4" i="1"/>
  <c r="A4" i="1"/>
  <c r="AU3" i="1"/>
  <c r="AT3" i="1"/>
  <c r="AS3" i="1"/>
  <c r="AV3" i="1" s="1"/>
  <c r="AR3" i="1"/>
  <c r="AQ3" i="1"/>
  <c r="AP3" i="1"/>
  <c r="AO3" i="1"/>
  <c r="AN3" i="1"/>
  <c r="AM3" i="1"/>
  <c r="AL3" i="1"/>
  <c r="AK3" i="1"/>
  <c r="AJ3" i="1"/>
  <c r="AI3" i="1"/>
  <c r="AH3" i="1"/>
  <c r="AG3" i="1"/>
  <c r="AF3" i="1"/>
  <c r="AE3" i="1"/>
  <c r="AD3" i="1"/>
  <c r="AC3" i="1"/>
  <c r="AB3" i="1"/>
  <c r="AA3" i="1"/>
  <c r="Z3" i="1"/>
  <c r="Y3" i="1"/>
  <c r="W3" i="1"/>
  <c r="V3" i="1"/>
  <c r="U3" i="1"/>
  <c r="T3" i="1"/>
  <c r="S3" i="1"/>
  <c r="R3" i="1"/>
  <c r="Q3" i="1"/>
  <c r="P3" i="1"/>
  <c r="O3" i="1"/>
  <c r="N3" i="1"/>
  <c r="M3" i="1"/>
  <c r="L3" i="1"/>
  <c r="K3" i="1"/>
  <c r="J3" i="1"/>
  <c r="I3" i="1"/>
  <c r="G3" i="1"/>
  <c r="F3" i="1"/>
  <c r="E3" i="1"/>
  <c r="D3" i="1"/>
  <c r="C3" i="1"/>
  <c r="B3" i="1"/>
  <c r="A3" i="1"/>
  <c r="AU2" i="1"/>
  <c r="AT2" i="1"/>
  <c r="AS2" i="1"/>
  <c r="AR2" i="1"/>
  <c r="AQ2" i="1"/>
  <c r="AP2" i="1"/>
  <c r="AO2" i="1"/>
  <c r="AN2" i="1"/>
  <c r="AK2" i="1"/>
  <c r="AJ2" i="1"/>
  <c r="AI2" i="1"/>
  <c r="AH2" i="1"/>
  <c r="AG2" i="1"/>
  <c r="AF2" i="1"/>
  <c r="AE2" i="1"/>
  <c r="AD2" i="1"/>
  <c r="AC2" i="1"/>
  <c r="AB2" i="1"/>
  <c r="AA2" i="1"/>
  <c r="Z2" i="1"/>
  <c r="Y2" i="1"/>
  <c r="W2" i="1"/>
  <c r="V2" i="1"/>
  <c r="U2" i="1"/>
  <c r="T2" i="1"/>
  <c r="S2" i="1"/>
  <c r="R2" i="1"/>
  <c r="Q2" i="1"/>
  <c r="P2" i="1"/>
  <c r="O2" i="1"/>
  <c r="N2" i="1"/>
  <c r="M2" i="1"/>
  <c r="L2" i="1"/>
  <c r="K2" i="1"/>
  <c r="J2" i="1"/>
  <c r="I2" i="1"/>
  <c r="H2" i="1"/>
  <c r="G2" i="1"/>
  <c r="F2" i="1"/>
  <c r="E2" i="1"/>
  <c r="D2" i="1"/>
  <c r="C2" i="1"/>
  <c r="B2" i="1"/>
  <c r="A2" i="1"/>
  <c r="F1" i="2" l="1"/>
  <c r="AV2" i="1"/>
</calcChain>
</file>

<file path=xl/sharedStrings.xml><?xml version="1.0" encoding="utf-8"?>
<sst xmlns="http://schemas.openxmlformats.org/spreadsheetml/2006/main" count="350" uniqueCount="174">
  <si>
    <t>Ops Date (Inbound)</t>
  </si>
  <si>
    <t>Ops Date (Processed)</t>
  </si>
  <si>
    <t>AWB</t>
  </si>
  <si>
    <t>Origin Country</t>
  </si>
  <si>
    <t>Dest Country</t>
  </si>
  <si>
    <t>Orig Location</t>
  </si>
  <si>
    <t>Dest Location</t>
  </si>
  <si>
    <t>Pickup Date</t>
  </si>
  <si>
    <t>Commit Date</t>
  </si>
  <si>
    <t>Service Code</t>
  </si>
  <si>
    <t>Package Type Code</t>
  </si>
  <si>
    <t>Customs Currency</t>
  </si>
  <si>
    <t>Customs Value</t>
  </si>
  <si>
    <t>Sort Area</t>
  </si>
  <si>
    <t>Weight</t>
  </si>
  <si>
    <t>Weight Unit</t>
  </si>
  <si>
    <t>Spcl Handling</t>
  </si>
  <si>
    <t>Inbound-Split Euro1</t>
  </si>
  <si>
    <t>Inbound-Split IP_D1234</t>
  </si>
  <si>
    <t>Inbound-Split IP_D5</t>
  </si>
  <si>
    <t>Inbound-Split IP_D6</t>
  </si>
  <si>
    <t>Sort Urgency</t>
  </si>
  <si>
    <t>Transload Split</t>
  </si>
  <si>
    <t>Master Awb Number</t>
  </si>
  <si>
    <t>Pieces Count</t>
  </si>
  <si>
    <t>ULD Number</t>
  </si>
  <si>
    <t>CONS Number</t>
  </si>
  <si>
    <t>Shipper Account Number</t>
  </si>
  <si>
    <t>Sort Window (Inbound)</t>
  </si>
  <si>
    <t>Sort Window (Processed)</t>
  </si>
  <si>
    <t>Sort Area (Processed)</t>
  </si>
  <si>
    <t>Sort Sequence (Processed)</t>
  </si>
  <si>
    <t>Vessel Number</t>
  </si>
  <si>
    <t>Vessel Orig Loc</t>
  </si>
  <si>
    <t>Vessel Dest Loc</t>
  </si>
  <si>
    <t>Equip Code</t>
  </si>
  <si>
    <t>Arrival (Scheduled)</t>
  </si>
  <si>
    <t>Arrival (Actual)</t>
  </si>
  <si>
    <t>Gap Time STA/ATA</t>
  </si>
  <si>
    <t>Special Handling Codes</t>
  </si>
  <si>
    <t>Inbound Split</t>
  </si>
  <si>
    <t>MDE Available</t>
  </si>
  <si>
    <t>Ops Company</t>
  </si>
  <si>
    <t>Product Code</t>
  </si>
  <si>
    <t>DIM / Weight</t>
  </si>
  <si>
    <t>Ship Date</t>
  </si>
  <si>
    <t>Package Sort/As Type</t>
  </si>
  <si>
    <t>CONV/NON-CONV</t>
  </si>
  <si>
    <t>0030</t>
  </si>
  <si>
    <t>0038</t>
  </si>
  <si>
    <t>0078</t>
  </si>
  <si>
    <t>3131H</t>
  </si>
  <si>
    <t>5030</t>
  </si>
  <si>
    <t>5046</t>
  </si>
  <si>
    <t>5051</t>
  </si>
  <si>
    <t>5238</t>
  </si>
  <si>
    <t>5279</t>
  </si>
  <si>
    <t>CDG04</t>
  </si>
  <si>
    <t>CDG06</t>
  </si>
  <si>
    <t>BOX</t>
  </si>
  <si>
    <t>Count of AWB</t>
  </si>
  <si>
    <t>IP_D1234</t>
  </si>
  <si>
    <t>IP_D1234-EMEA</t>
  </si>
  <si>
    <t>IP_D1234-MIX</t>
  </si>
  <si>
    <t>IP_D1234-MIX US</t>
  </si>
  <si>
    <t>CONVEYABLE</t>
  </si>
  <si>
    <t>NON_CONV</t>
  </si>
  <si>
    <t>BOX PK</t>
  </si>
  <si>
    <t>PRESORT PLANNING IP_D1234</t>
  </si>
  <si>
    <t>DATE OPS</t>
  </si>
  <si>
    <t>AMJ61711FX</t>
  </si>
  <si>
    <t>AYY13560FX</t>
  </si>
  <si>
    <t>BULK</t>
  </si>
  <si>
    <t>JDP IP</t>
  </si>
  <si>
    <t>% Non_Conveyable versus CONV / ULD</t>
  </si>
  <si>
    <t>5392</t>
  </si>
  <si>
    <t>AAD22543FX</t>
  </si>
  <si>
    <t>PMC61311FX</t>
  </si>
  <si>
    <t>PMC28424FX</t>
  </si>
  <si>
    <t>PMC24277FX</t>
  </si>
  <si>
    <t>AMJ61667FX</t>
  </si>
  <si>
    <t>PMC27679FX</t>
  </si>
  <si>
    <t>AMJ46332FX</t>
  </si>
  <si>
    <t>AKE37628FX</t>
  </si>
  <si>
    <t>AMJ66704FX</t>
  </si>
  <si>
    <t>AKE33999FX</t>
  </si>
  <si>
    <t>AMJ67365FX</t>
  </si>
  <si>
    <t>AKE44393FX</t>
  </si>
  <si>
    <t>AMJ64343FX</t>
  </si>
  <si>
    <t>AKE36926FX</t>
  </si>
  <si>
    <t>AMJ59210FX</t>
  </si>
  <si>
    <t>AMJ69763FX</t>
  </si>
  <si>
    <t>AMJ67158FX</t>
  </si>
  <si>
    <t>AMJ60067FX</t>
  </si>
  <si>
    <t>AMJ70288FX</t>
  </si>
  <si>
    <t>AKE52499FX</t>
  </si>
  <si>
    <t>AMJ66813FX</t>
  </si>
  <si>
    <t>AAD22237FX</t>
  </si>
  <si>
    <t>AMJ62812FX</t>
  </si>
  <si>
    <t>AMJ60446FX</t>
  </si>
  <si>
    <t>PMC17935FX</t>
  </si>
  <si>
    <t>AAD18015FX</t>
  </si>
  <si>
    <t>AMJ67708FX</t>
  </si>
  <si>
    <t>AKE43494FX</t>
  </si>
  <si>
    <t>AMJ57051FX</t>
  </si>
  <si>
    <t>AKE60640FX</t>
  </si>
  <si>
    <t>AKE34207FX</t>
  </si>
  <si>
    <t>AMJ59350FX</t>
  </si>
  <si>
    <t>AMJ66773FX</t>
  </si>
  <si>
    <t>AMJ66079FX</t>
  </si>
  <si>
    <t>AMJ67052FX</t>
  </si>
  <si>
    <t>AAD24960FX</t>
  </si>
  <si>
    <t>AMJ67737FX</t>
  </si>
  <si>
    <t>AAD13836FX</t>
  </si>
  <si>
    <t>AKE30047FX</t>
  </si>
  <si>
    <t>AKE37561FX</t>
  </si>
  <si>
    <t>AKE60772FX</t>
  </si>
  <si>
    <t>AMJ58358FX</t>
  </si>
  <si>
    <t>AAD11933FX</t>
  </si>
  <si>
    <t>AMJ68788FX</t>
  </si>
  <si>
    <t>AKE32464FX</t>
  </si>
  <si>
    <t>AKE37456FX</t>
  </si>
  <si>
    <t>AMJ63824FX</t>
  </si>
  <si>
    <t>AMJ66226FX</t>
  </si>
  <si>
    <t>AAD13593FX</t>
  </si>
  <si>
    <t>AAD15937FX</t>
  </si>
  <si>
    <t>AAD11804FX</t>
  </si>
  <si>
    <t>AAD19949FX</t>
  </si>
  <si>
    <t>AKE53262FX</t>
  </si>
  <si>
    <t>AAD17208FX</t>
  </si>
  <si>
    <t>AQF13488FX</t>
  </si>
  <si>
    <t>AQF11806FX</t>
  </si>
  <si>
    <t>AAD22443FX</t>
  </si>
  <si>
    <t>AQF13567FX</t>
  </si>
  <si>
    <t>AAD25072FX</t>
  </si>
  <si>
    <t>AMJ61555FX</t>
  </si>
  <si>
    <t>AKE53462FX</t>
  </si>
  <si>
    <t>AYYD167FX</t>
  </si>
  <si>
    <t>AYY3967FX</t>
  </si>
  <si>
    <t>AKE52764FX</t>
  </si>
  <si>
    <t>AYY0928FX</t>
  </si>
  <si>
    <t>PMC61180FX</t>
  </si>
  <si>
    <t>3622H</t>
  </si>
  <si>
    <t>AMJ60762FX</t>
  </si>
  <si>
    <t>AAD21868FX</t>
  </si>
  <si>
    <t>3628H</t>
  </si>
  <si>
    <t>AMJ63769FX</t>
  </si>
  <si>
    <t>AMJ64192FX</t>
  </si>
  <si>
    <t>PMC60011FX</t>
  </si>
  <si>
    <t>PMC26727FX</t>
  </si>
  <si>
    <t>ROLL E1-19</t>
  </si>
  <si>
    <t>AMJ61520FX</t>
  </si>
  <si>
    <t>AM66493FX</t>
  </si>
  <si>
    <t>AMJ60929FX</t>
  </si>
  <si>
    <t>3621H</t>
  </si>
  <si>
    <t>AKE34895FX</t>
  </si>
  <si>
    <t>AKE30527FX</t>
  </si>
  <si>
    <t>3759H</t>
  </si>
  <si>
    <t>AMJ64520FX</t>
  </si>
  <si>
    <t>AAD22635FX</t>
  </si>
  <si>
    <t>AMJ60143FX</t>
  </si>
  <si>
    <t>AKE25589SQ</t>
  </si>
  <si>
    <t>AMJ57309FX</t>
  </si>
  <si>
    <t>CDG05</t>
  </si>
  <si>
    <t>AMJ61640FX</t>
  </si>
  <si>
    <t>AKE70267SQ</t>
  </si>
  <si>
    <t>CDG07</t>
  </si>
  <si>
    <t>AMJ64451FX</t>
  </si>
  <si>
    <t>3637H</t>
  </si>
  <si>
    <t>AMJ66187FX</t>
  </si>
  <si>
    <t>Étiquettes de colonnes</t>
  </si>
  <si>
    <t>Étiquettes de lignes</t>
  </si>
  <si>
    <t>Total général</t>
  </si>
  <si>
    <t>(Tous)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</si>
</sst>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theme="1"/>
      <name val="Calibri"/>
      <family val="2"/>
      <scheme val="minor"/>
    </font>
    <font>
      <sz val="11"/>
      <color rgb="FFFF0000"/>
      <name val="Calibri"/>
      <family val="2"/>
      <scheme val="minor"/>
    </font>
    <font>
      <b/>
      <sz val="11"/>
      <color theme="1"/>
      <name val="Calibri"/>
      <family val="2"/>
      <scheme val="minor"/>
    </font>
    <font>
      <b/>
      <sz val="11"/>
      <color rgb="FFFF0000"/>
      <name val="Calibri"/>
      <family val="2"/>
      <scheme val="minor"/>
    </font>
    <font>
      <b/>
      <sz val="20"/>
      <color theme="1"/>
      <name val="Calibri"/>
      <family val="2"/>
      <scheme val="minor"/>
    </font>
    <font>
      <b/>
      <sz val="14"/>
      <color rgb="FFFF0000"/>
      <name val="Calibri"/>
      <family val="2"/>
      <scheme val="minor"/>
    </font>
    <font>
      <sz val="11"/>
      <name val="Calibri"/>
      <family val="2"/>
      <scheme val="minor"/>
    </font>
    <font>
      <b/>
      <sz val="1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0">
    <xf numFmtId="0" fontId="0" fillId="0" borderId="0" xfId="0"/>
    <xf numFmtId="0" fontId="1" fillId="2" borderId="0" xfId="0" applyFont="1" applyFill="1"/>
    <xf numFmtId="0" fontId="3" fillId="2" borderId="0" xfId="0" applyFont="1" applyFill="1"/>
    <xf numFmtId="0" fontId="2" fillId="0" borderId="0" xfId="0" applyFont="1"/>
    <xf numFmtId="0" fontId="0" fillId="0" borderId="0" xfId="0" pivotButton="1"/>
    <xf numFmtId="0" fontId="0" fillId="0" borderId="0" xfId="0" applyAlignment="1">
      <alignment horizontal="left"/>
    </xf>
    <xf numFmtId="0" fontId="0" fillId="0" borderId="0" xfId="0" applyNumberFormat="1"/>
    <xf numFmtId="0" fontId="4" fillId="0" borderId="0" xfId="0" applyFont="1"/>
    <xf numFmtId="14" fontId="4" fillId="0" borderId="0" xfId="0" applyNumberFormat="1" applyFont="1"/>
    <xf numFmtId="0" fontId="0" fillId="0" borderId="0" xfId="0" applyAlignment="1">
      <alignment horizontal="left" indent="1"/>
    </xf>
    <xf numFmtId="10" fontId="0" fillId="0" borderId="0" xfId="0" applyNumberFormat="1"/>
    <xf numFmtId="0" fontId="5" fillId="0" borderId="0" xfId="0" applyFont="1"/>
    <xf numFmtId="0" fontId="6" fillId="0" borderId="0" xfId="0" applyFont="1" applyFill="1" applyBorder="1"/>
    <xf numFmtId="0" fontId="7" fillId="0" borderId="0" xfId="0" applyFont="1" applyFill="1" applyBorder="1"/>
    <xf numFmtId="0" fontId="6" fillId="0" borderId="0" xfId="0" applyFont="1" applyFill="1" applyBorder="1" applyAlignment="1">
      <alignment horizontal="right"/>
    </xf>
    <xf numFmtId="0" fontId="6" fillId="0" borderId="0" xfId="0" applyFont="1" applyFill="1" applyBorder="1" applyAlignment="1">
      <alignment horizontal="left"/>
    </xf>
    <xf numFmtId="0" fontId="6" fillId="0" borderId="0" xfId="0" applyNumberFormat="1" applyFont="1" applyFill="1" applyBorder="1"/>
    <xf numFmtId="0" fontId="0" fillId="0" borderId="0" xfId="0" applyAlignment="1">
      <alignment horizontal="center"/>
    </xf>
    <xf numFmtId="10" fontId="0" fillId="0" borderId="0" xfId="0" applyNumberFormat="1" applyAlignment="1">
      <alignment horizontal="center"/>
    </xf>
    <xf numFmtId="0" fontId="0" fillId="0" borderId="0" xfId="0" pivotButton="1" applyAlignment="1">
      <alignment horizontal="center"/>
    </xf>
  </cellXfs>
  <cellStyles count="1">
    <cellStyle name="Normal" xfId="0" builtinId="0"/>
  </cellStyles>
  <dxfs count="38">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font>
        <color auto="1"/>
      </font>
    </dxf>
    <dxf>
      <font>
        <color auto="1"/>
      </font>
    </dxf>
    <dxf>
      <font>
        <color auto="1"/>
      </font>
    </dxf>
    <dxf>
      <font>
        <color auto="1"/>
      </font>
    </dxf>
    <dxf>
      <font>
        <color auto="1"/>
      </font>
    </dxf>
    <dxf>
      <font>
        <color auto="1"/>
      </font>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alignment horizontal="right" readingOrder="0"/>
    </dxf>
    <dxf>
      <alignment horizontal="right" readingOrder="0"/>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font>
        <b/>
      </font>
    </dxf>
    <dxf>
      <font>
        <b val="0"/>
      </font>
    </dxf>
    <dxf>
      <font>
        <b val="0"/>
      </font>
    </dxf>
    <dxf>
      <font>
        <b val="0"/>
      </font>
    </dxf>
    <dxf>
      <font>
        <b val="0"/>
      </font>
    </dxf>
    <dxf>
      <font>
        <b val="0"/>
      </font>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pivotCacheDefinition" Target="pivotCache/pivotCacheDefinition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microsoft.com/office/2006/relationships/vbaProject" Target="vbaProject.bin"/><Relationship Id="rId5" Type="http://schemas.microsoft.com/office/2007/relationships/slicerCache" Target="slicerCaches/slicerCache2.xml"/><Relationship Id="rId10" Type="http://schemas.openxmlformats.org/officeDocument/2006/relationships/calcChain" Target="calcChain.xml"/><Relationship Id="rId4" Type="http://schemas.microsoft.com/office/2007/relationships/slicerCache" Target="slicerCaches/slicerCache1.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[PRESORT PLANNING_INFEED IP V2 (Autosaved).xlsm]PRESORT INFEED!PivotTable5</c:name>
    <c:fmtId val="19"/>
  </c:pivotSource>
  <c:chart>
    <c:autoTitleDeleted val="1"/>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tx1">
                      <a:lumMod val="75000"/>
                      <a:lumOff val="25000"/>
                    </a:schemeClr>
                  </a:solidFill>
                  <a:latin typeface="+mn-lt"/>
                  <a:ea typeface="+mn-ea"/>
                  <a:cs typeface="+mn-cs"/>
                </a:defRPr>
              </a:pPr>
              <a:endParaRPr lang="en-US"/>
            </a:p>
          </c:txPr>
          <c:dLblPos val="bestFit"/>
          <c:showLegendKey val="0"/>
          <c:showVal val="0"/>
          <c:showCatName val="1"/>
          <c:showSerName val="0"/>
          <c:showPercent val="1"/>
          <c:showBubbleSize val="0"/>
          <c:extLst>
            <c:ext xmlns:c15="http://schemas.microsoft.com/office/drawing/2012/chart" uri="{CE6537A1-D6FC-4f65-9D91-7224C49458BB}">
              <c15:layout/>
            </c:ext>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s>
    <c:plotArea>
      <c:layout>
        <c:manualLayout>
          <c:layoutTarget val="inner"/>
          <c:xMode val="edge"/>
          <c:yMode val="edge"/>
          <c:x val="0.28157999474624329"/>
          <c:y val="0.23137619291841394"/>
          <c:w val="0.48186413040054288"/>
          <c:h val="0.70761617441497981"/>
        </c:manualLayout>
      </c:layout>
      <c:pieChart>
        <c:varyColors val="1"/>
        <c:ser>
          <c:idx val="0"/>
          <c:order val="0"/>
          <c:tx>
            <c:strRef>
              <c:f>'PRESORT INFEED'!$B$19</c:f>
              <c:strCache>
                <c:ptCount val="1"/>
                <c:pt idx="0">
                  <c:v>Total</c:v>
                </c:pt>
              </c:strCache>
            </c:strRef>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0906-4DE8-A1CF-29C9B58AAC47}"/>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906-4DE8-A1CF-29C9B58AAC47}"/>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906-4DE8-A1CF-29C9B58AAC47}"/>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906-4DE8-A1CF-29C9B58AAC47}"/>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0906-4DE8-A1CF-29C9B58AAC47}"/>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0906-4DE8-A1CF-29C9B58AAC47}"/>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0906-4DE8-A1CF-29C9B58AAC47}"/>
              </c:ext>
            </c:extLst>
          </c:dPt>
          <c:dPt>
            <c:idx val="7"/>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0906-4DE8-A1CF-29C9B58AAC47}"/>
              </c:ext>
            </c:extLst>
          </c:dPt>
          <c:dPt>
            <c:idx val="8"/>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0906-4DE8-A1CF-29C9B58AAC47}"/>
              </c:ext>
            </c:extLst>
          </c:dPt>
          <c:dPt>
            <c:idx val="9"/>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0906-4DE8-A1CF-29C9B58AAC47}"/>
              </c:ext>
            </c:extLst>
          </c:dPt>
          <c:dPt>
            <c:idx val="10"/>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5-0906-4DE8-A1CF-29C9B58AAC47}"/>
              </c:ext>
            </c:extLst>
          </c:dPt>
          <c:dPt>
            <c:idx val="11"/>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7-0906-4DE8-A1CF-29C9B58AAC47}"/>
              </c:ext>
            </c:extLst>
          </c:dPt>
          <c:dPt>
            <c:idx val="12"/>
            <c:bubble3D val="0"/>
            <c:spPr>
              <a:gradFill rotWithShape="1">
                <a:gsLst>
                  <a:gs pos="0">
                    <a:schemeClr val="accent1">
                      <a:lumMod val="80000"/>
                      <a:lumOff val="20000"/>
                      <a:satMod val="103000"/>
                      <a:lumMod val="102000"/>
                      <a:tint val="94000"/>
                    </a:schemeClr>
                  </a:gs>
                  <a:gs pos="50000">
                    <a:schemeClr val="accent1">
                      <a:lumMod val="80000"/>
                      <a:lumOff val="20000"/>
                      <a:satMod val="110000"/>
                      <a:lumMod val="100000"/>
                      <a:shade val="100000"/>
                    </a:schemeClr>
                  </a:gs>
                  <a:gs pos="100000">
                    <a:schemeClr val="accent1">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9-0906-4DE8-A1CF-29C9B58AAC47}"/>
              </c:ext>
            </c:extLst>
          </c:dPt>
          <c:dPt>
            <c:idx val="13"/>
            <c:bubble3D val="0"/>
            <c:spPr>
              <a:gradFill rotWithShape="1">
                <a:gsLst>
                  <a:gs pos="0">
                    <a:schemeClr val="accent2">
                      <a:lumMod val="80000"/>
                      <a:lumOff val="20000"/>
                      <a:satMod val="103000"/>
                      <a:lumMod val="102000"/>
                      <a:tint val="94000"/>
                    </a:schemeClr>
                  </a:gs>
                  <a:gs pos="50000">
                    <a:schemeClr val="accent2">
                      <a:lumMod val="80000"/>
                      <a:lumOff val="20000"/>
                      <a:satMod val="110000"/>
                      <a:lumMod val="100000"/>
                      <a:shade val="100000"/>
                    </a:schemeClr>
                  </a:gs>
                  <a:gs pos="100000">
                    <a:schemeClr val="accent2">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B-0906-4DE8-A1CF-29C9B58AAC47}"/>
              </c:ext>
            </c:extLst>
          </c:dPt>
          <c:dPt>
            <c:idx val="14"/>
            <c:bubble3D val="0"/>
            <c:spPr>
              <a:gradFill rotWithShape="1">
                <a:gsLst>
                  <a:gs pos="0">
                    <a:schemeClr val="accent3">
                      <a:lumMod val="80000"/>
                      <a:lumOff val="20000"/>
                      <a:satMod val="103000"/>
                      <a:lumMod val="102000"/>
                      <a:tint val="94000"/>
                    </a:schemeClr>
                  </a:gs>
                  <a:gs pos="50000">
                    <a:schemeClr val="accent3">
                      <a:lumMod val="80000"/>
                      <a:lumOff val="20000"/>
                      <a:satMod val="110000"/>
                      <a:lumMod val="100000"/>
                      <a:shade val="100000"/>
                    </a:schemeClr>
                  </a:gs>
                  <a:gs pos="100000">
                    <a:schemeClr val="accent3">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D-0906-4DE8-A1CF-29C9B58AAC47}"/>
              </c:ext>
            </c:extLst>
          </c:dPt>
          <c:dPt>
            <c:idx val="15"/>
            <c:bubble3D val="0"/>
            <c:spPr>
              <a:gradFill rotWithShape="1">
                <a:gsLst>
                  <a:gs pos="0">
                    <a:schemeClr val="accent4">
                      <a:lumMod val="80000"/>
                      <a:lumOff val="20000"/>
                      <a:satMod val="103000"/>
                      <a:lumMod val="102000"/>
                      <a:tint val="94000"/>
                    </a:schemeClr>
                  </a:gs>
                  <a:gs pos="50000">
                    <a:schemeClr val="accent4">
                      <a:lumMod val="80000"/>
                      <a:lumOff val="20000"/>
                      <a:satMod val="110000"/>
                      <a:lumMod val="100000"/>
                      <a:shade val="100000"/>
                    </a:schemeClr>
                  </a:gs>
                  <a:gs pos="100000">
                    <a:schemeClr val="accent4">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F-0906-4DE8-A1CF-29C9B58AAC47}"/>
              </c:ext>
            </c:extLst>
          </c:dPt>
          <c:dPt>
            <c:idx val="16"/>
            <c:bubble3D val="0"/>
            <c:spPr>
              <a:gradFill rotWithShape="1">
                <a:gsLst>
                  <a:gs pos="0">
                    <a:schemeClr val="accent5">
                      <a:lumMod val="80000"/>
                      <a:lumOff val="20000"/>
                      <a:satMod val="103000"/>
                      <a:lumMod val="102000"/>
                      <a:tint val="94000"/>
                    </a:schemeClr>
                  </a:gs>
                  <a:gs pos="50000">
                    <a:schemeClr val="accent5">
                      <a:lumMod val="80000"/>
                      <a:lumOff val="20000"/>
                      <a:satMod val="110000"/>
                      <a:lumMod val="100000"/>
                      <a:shade val="100000"/>
                    </a:schemeClr>
                  </a:gs>
                  <a:gs pos="100000">
                    <a:schemeClr val="accent5">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1-0906-4DE8-A1CF-29C9B58AAC47}"/>
              </c:ext>
            </c:extLst>
          </c:dPt>
          <c:dPt>
            <c:idx val="17"/>
            <c:bubble3D val="0"/>
            <c:spPr>
              <a:gradFill rotWithShape="1">
                <a:gsLst>
                  <a:gs pos="0">
                    <a:schemeClr val="accent6">
                      <a:lumMod val="80000"/>
                      <a:lumOff val="20000"/>
                      <a:satMod val="103000"/>
                      <a:lumMod val="102000"/>
                      <a:tint val="94000"/>
                    </a:schemeClr>
                  </a:gs>
                  <a:gs pos="50000">
                    <a:schemeClr val="accent6">
                      <a:lumMod val="80000"/>
                      <a:lumOff val="20000"/>
                      <a:satMod val="110000"/>
                      <a:lumMod val="100000"/>
                      <a:shade val="100000"/>
                    </a:schemeClr>
                  </a:gs>
                  <a:gs pos="100000">
                    <a:schemeClr val="accent6">
                      <a:lumMod val="80000"/>
                      <a:lumOff val="2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3-0906-4DE8-A1CF-29C9B58AAC47}"/>
              </c:ext>
            </c:extLst>
          </c:dPt>
          <c:dPt>
            <c:idx val="18"/>
            <c:bubble3D val="0"/>
            <c:spPr>
              <a:gradFill rotWithShape="1">
                <a:gsLst>
                  <a:gs pos="0">
                    <a:schemeClr val="accent1">
                      <a:lumMod val="80000"/>
                      <a:satMod val="103000"/>
                      <a:lumMod val="102000"/>
                      <a:tint val="94000"/>
                    </a:schemeClr>
                  </a:gs>
                  <a:gs pos="50000">
                    <a:schemeClr val="accent1">
                      <a:lumMod val="80000"/>
                      <a:satMod val="110000"/>
                      <a:lumMod val="100000"/>
                      <a:shade val="100000"/>
                    </a:schemeClr>
                  </a:gs>
                  <a:gs pos="100000">
                    <a:schemeClr val="accent1">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5-0906-4DE8-A1CF-29C9B58AAC47}"/>
              </c:ext>
            </c:extLst>
          </c:dPt>
          <c:dPt>
            <c:idx val="19"/>
            <c:bubble3D val="0"/>
            <c:spPr>
              <a:gradFill rotWithShape="1">
                <a:gsLst>
                  <a:gs pos="0">
                    <a:schemeClr val="accent2">
                      <a:lumMod val="80000"/>
                      <a:satMod val="103000"/>
                      <a:lumMod val="102000"/>
                      <a:tint val="94000"/>
                    </a:schemeClr>
                  </a:gs>
                  <a:gs pos="50000">
                    <a:schemeClr val="accent2">
                      <a:lumMod val="80000"/>
                      <a:satMod val="110000"/>
                      <a:lumMod val="100000"/>
                      <a:shade val="100000"/>
                    </a:schemeClr>
                  </a:gs>
                  <a:gs pos="100000">
                    <a:schemeClr val="accent2">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7-0906-4DE8-A1CF-29C9B58AAC47}"/>
              </c:ext>
            </c:extLst>
          </c:dPt>
          <c:dPt>
            <c:idx val="20"/>
            <c:bubble3D val="0"/>
            <c:spPr>
              <a:gradFill rotWithShape="1">
                <a:gsLst>
                  <a:gs pos="0">
                    <a:schemeClr val="accent3">
                      <a:lumMod val="80000"/>
                      <a:satMod val="103000"/>
                      <a:lumMod val="102000"/>
                      <a:tint val="94000"/>
                    </a:schemeClr>
                  </a:gs>
                  <a:gs pos="50000">
                    <a:schemeClr val="accent3">
                      <a:lumMod val="80000"/>
                      <a:satMod val="110000"/>
                      <a:lumMod val="100000"/>
                      <a:shade val="100000"/>
                    </a:schemeClr>
                  </a:gs>
                  <a:gs pos="100000">
                    <a:schemeClr val="accent3">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9-0906-4DE8-A1CF-29C9B58AAC47}"/>
              </c:ext>
            </c:extLst>
          </c:dPt>
          <c:dPt>
            <c:idx val="21"/>
            <c:bubble3D val="0"/>
            <c:spPr>
              <a:gradFill rotWithShape="1">
                <a:gsLst>
                  <a:gs pos="0">
                    <a:schemeClr val="accent4">
                      <a:lumMod val="80000"/>
                      <a:satMod val="103000"/>
                      <a:lumMod val="102000"/>
                      <a:tint val="94000"/>
                    </a:schemeClr>
                  </a:gs>
                  <a:gs pos="50000">
                    <a:schemeClr val="accent4">
                      <a:lumMod val="80000"/>
                      <a:satMod val="110000"/>
                      <a:lumMod val="100000"/>
                      <a:shade val="100000"/>
                    </a:schemeClr>
                  </a:gs>
                  <a:gs pos="100000">
                    <a:schemeClr val="accent4">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B-0906-4DE8-A1CF-29C9B58AAC47}"/>
              </c:ext>
            </c:extLst>
          </c:dPt>
          <c:dPt>
            <c:idx val="22"/>
            <c:bubble3D val="0"/>
            <c:spPr>
              <a:gradFill rotWithShape="1">
                <a:gsLst>
                  <a:gs pos="0">
                    <a:schemeClr val="accent5">
                      <a:lumMod val="80000"/>
                      <a:satMod val="103000"/>
                      <a:lumMod val="102000"/>
                      <a:tint val="94000"/>
                    </a:schemeClr>
                  </a:gs>
                  <a:gs pos="50000">
                    <a:schemeClr val="accent5">
                      <a:lumMod val="80000"/>
                      <a:satMod val="110000"/>
                      <a:lumMod val="100000"/>
                      <a:shade val="100000"/>
                    </a:schemeClr>
                  </a:gs>
                  <a:gs pos="100000">
                    <a:schemeClr val="accent5">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D-0906-4DE8-A1CF-29C9B58AAC47}"/>
              </c:ext>
            </c:extLst>
          </c:dPt>
          <c:dPt>
            <c:idx val="23"/>
            <c:bubble3D val="0"/>
            <c:spPr>
              <a:gradFill rotWithShape="1">
                <a:gsLst>
                  <a:gs pos="0">
                    <a:schemeClr val="accent6">
                      <a:lumMod val="80000"/>
                      <a:satMod val="103000"/>
                      <a:lumMod val="102000"/>
                      <a:tint val="94000"/>
                    </a:schemeClr>
                  </a:gs>
                  <a:gs pos="50000">
                    <a:schemeClr val="accent6">
                      <a:lumMod val="80000"/>
                      <a:satMod val="110000"/>
                      <a:lumMod val="100000"/>
                      <a:shade val="100000"/>
                    </a:schemeClr>
                  </a:gs>
                  <a:gs pos="100000">
                    <a:schemeClr val="accent6">
                      <a:lumMod val="8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2F-0906-4DE8-A1CF-29C9B58AAC47}"/>
              </c:ext>
            </c:extLst>
          </c:dPt>
          <c:dPt>
            <c:idx val="24"/>
            <c:bubble3D val="0"/>
            <c:spPr>
              <a:gradFill rotWithShape="1">
                <a:gsLst>
                  <a:gs pos="0">
                    <a:schemeClr val="accent1">
                      <a:lumMod val="60000"/>
                      <a:lumOff val="40000"/>
                      <a:satMod val="103000"/>
                      <a:lumMod val="102000"/>
                      <a:tint val="94000"/>
                    </a:schemeClr>
                  </a:gs>
                  <a:gs pos="50000">
                    <a:schemeClr val="accent1">
                      <a:lumMod val="60000"/>
                      <a:lumOff val="40000"/>
                      <a:satMod val="110000"/>
                      <a:lumMod val="100000"/>
                      <a:shade val="100000"/>
                    </a:schemeClr>
                  </a:gs>
                  <a:gs pos="100000">
                    <a:schemeClr val="accent1">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1-0906-4DE8-A1CF-29C9B58AAC47}"/>
              </c:ext>
            </c:extLst>
          </c:dPt>
          <c:dPt>
            <c:idx val="25"/>
            <c:bubble3D val="0"/>
            <c:spPr>
              <a:gradFill rotWithShape="1">
                <a:gsLst>
                  <a:gs pos="0">
                    <a:schemeClr val="accent2">
                      <a:lumMod val="60000"/>
                      <a:lumOff val="40000"/>
                      <a:satMod val="103000"/>
                      <a:lumMod val="102000"/>
                      <a:tint val="94000"/>
                    </a:schemeClr>
                  </a:gs>
                  <a:gs pos="50000">
                    <a:schemeClr val="accent2">
                      <a:lumMod val="60000"/>
                      <a:lumOff val="40000"/>
                      <a:satMod val="110000"/>
                      <a:lumMod val="100000"/>
                      <a:shade val="100000"/>
                    </a:schemeClr>
                  </a:gs>
                  <a:gs pos="100000">
                    <a:schemeClr val="accent2">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3-0906-4DE8-A1CF-29C9B58AAC47}"/>
              </c:ext>
            </c:extLst>
          </c:dPt>
          <c:dPt>
            <c:idx val="26"/>
            <c:bubble3D val="0"/>
            <c:spPr>
              <a:gradFill rotWithShape="1">
                <a:gsLst>
                  <a:gs pos="0">
                    <a:schemeClr val="accent3">
                      <a:lumMod val="60000"/>
                      <a:lumOff val="40000"/>
                      <a:satMod val="103000"/>
                      <a:lumMod val="102000"/>
                      <a:tint val="94000"/>
                    </a:schemeClr>
                  </a:gs>
                  <a:gs pos="50000">
                    <a:schemeClr val="accent3">
                      <a:lumMod val="60000"/>
                      <a:lumOff val="40000"/>
                      <a:satMod val="110000"/>
                      <a:lumMod val="100000"/>
                      <a:shade val="100000"/>
                    </a:schemeClr>
                  </a:gs>
                  <a:gs pos="100000">
                    <a:schemeClr val="accent3">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5-0906-4DE8-A1CF-29C9B58AAC47}"/>
              </c:ext>
            </c:extLst>
          </c:dPt>
          <c:dPt>
            <c:idx val="27"/>
            <c:bubble3D val="0"/>
            <c:spPr>
              <a:gradFill rotWithShape="1">
                <a:gsLst>
                  <a:gs pos="0">
                    <a:schemeClr val="accent4">
                      <a:lumMod val="60000"/>
                      <a:lumOff val="40000"/>
                      <a:satMod val="103000"/>
                      <a:lumMod val="102000"/>
                      <a:tint val="94000"/>
                    </a:schemeClr>
                  </a:gs>
                  <a:gs pos="50000">
                    <a:schemeClr val="accent4">
                      <a:lumMod val="60000"/>
                      <a:lumOff val="40000"/>
                      <a:satMod val="110000"/>
                      <a:lumMod val="100000"/>
                      <a:shade val="100000"/>
                    </a:schemeClr>
                  </a:gs>
                  <a:gs pos="100000">
                    <a:schemeClr val="accent4">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7-0906-4DE8-A1CF-29C9B58AAC47}"/>
              </c:ext>
            </c:extLst>
          </c:dPt>
          <c:dPt>
            <c:idx val="28"/>
            <c:bubble3D val="0"/>
            <c:spPr>
              <a:gradFill rotWithShape="1">
                <a:gsLst>
                  <a:gs pos="0">
                    <a:schemeClr val="accent5">
                      <a:lumMod val="60000"/>
                      <a:lumOff val="40000"/>
                      <a:satMod val="103000"/>
                      <a:lumMod val="102000"/>
                      <a:tint val="94000"/>
                    </a:schemeClr>
                  </a:gs>
                  <a:gs pos="50000">
                    <a:schemeClr val="accent5">
                      <a:lumMod val="60000"/>
                      <a:lumOff val="40000"/>
                      <a:satMod val="110000"/>
                      <a:lumMod val="100000"/>
                      <a:shade val="100000"/>
                    </a:schemeClr>
                  </a:gs>
                  <a:gs pos="100000">
                    <a:schemeClr val="accent5">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9-0906-4DE8-A1CF-29C9B58AAC47}"/>
              </c:ext>
            </c:extLst>
          </c:dPt>
          <c:dPt>
            <c:idx val="29"/>
            <c:bubble3D val="0"/>
            <c:spPr>
              <a:gradFill rotWithShape="1">
                <a:gsLst>
                  <a:gs pos="0">
                    <a:schemeClr val="accent6">
                      <a:lumMod val="60000"/>
                      <a:lumOff val="40000"/>
                      <a:satMod val="103000"/>
                      <a:lumMod val="102000"/>
                      <a:tint val="94000"/>
                    </a:schemeClr>
                  </a:gs>
                  <a:gs pos="50000">
                    <a:schemeClr val="accent6">
                      <a:lumMod val="60000"/>
                      <a:lumOff val="40000"/>
                      <a:satMod val="110000"/>
                      <a:lumMod val="100000"/>
                      <a:shade val="100000"/>
                    </a:schemeClr>
                  </a:gs>
                  <a:gs pos="100000">
                    <a:schemeClr val="accent6">
                      <a:lumMod val="60000"/>
                      <a:lumOff val="4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B-0906-4DE8-A1CF-29C9B58AAC47}"/>
              </c:ext>
            </c:extLst>
          </c:dPt>
          <c:dPt>
            <c:idx val="30"/>
            <c:bubble3D val="0"/>
            <c:spPr>
              <a:gradFill rotWithShape="1">
                <a:gsLst>
                  <a:gs pos="0">
                    <a:schemeClr val="accent1">
                      <a:lumMod val="50000"/>
                      <a:satMod val="103000"/>
                      <a:lumMod val="102000"/>
                      <a:tint val="94000"/>
                    </a:schemeClr>
                  </a:gs>
                  <a:gs pos="50000">
                    <a:schemeClr val="accent1">
                      <a:lumMod val="50000"/>
                      <a:satMod val="110000"/>
                      <a:lumMod val="100000"/>
                      <a:shade val="100000"/>
                    </a:schemeClr>
                  </a:gs>
                  <a:gs pos="100000">
                    <a:schemeClr val="accent1">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D-0906-4DE8-A1CF-29C9B58AAC47}"/>
              </c:ext>
            </c:extLst>
          </c:dPt>
          <c:dPt>
            <c:idx val="31"/>
            <c:bubble3D val="0"/>
            <c:spPr>
              <a:gradFill rotWithShape="1">
                <a:gsLst>
                  <a:gs pos="0">
                    <a:schemeClr val="accent2">
                      <a:lumMod val="50000"/>
                      <a:satMod val="103000"/>
                      <a:lumMod val="102000"/>
                      <a:tint val="94000"/>
                    </a:schemeClr>
                  </a:gs>
                  <a:gs pos="50000">
                    <a:schemeClr val="accent2">
                      <a:lumMod val="50000"/>
                      <a:satMod val="110000"/>
                      <a:lumMod val="100000"/>
                      <a:shade val="100000"/>
                    </a:schemeClr>
                  </a:gs>
                  <a:gs pos="100000">
                    <a:schemeClr val="accent2">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3F-0906-4DE8-A1CF-29C9B58AAC47}"/>
              </c:ext>
            </c:extLst>
          </c:dPt>
          <c:dPt>
            <c:idx val="32"/>
            <c:bubble3D val="0"/>
            <c:spPr>
              <a:gradFill rotWithShape="1">
                <a:gsLst>
                  <a:gs pos="0">
                    <a:schemeClr val="accent3">
                      <a:lumMod val="50000"/>
                      <a:satMod val="103000"/>
                      <a:lumMod val="102000"/>
                      <a:tint val="94000"/>
                    </a:schemeClr>
                  </a:gs>
                  <a:gs pos="50000">
                    <a:schemeClr val="accent3">
                      <a:lumMod val="50000"/>
                      <a:satMod val="110000"/>
                      <a:lumMod val="100000"/>
                      <a:shade val="100000"/>
                    </a:schemeClr>
                  </a:gs>
                  <a:gs pos="100000">
                    <a:schemeClr val="accent3">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1-0906-4DE8-A1CF-29C9B58AAC47}"/>
              </c:ext>
            </c:extLst>
          </c:dPt>
          <c:dPt>
            <c:idx val="33"/>
            <c:bubble3D val="0"/>
            <c:spPr>
              <a:gradFill rotWithShape="1">
                <a:gsLst>
                  <a:gs pos="0">
                    <a:schemeClr val="accent4">
                      <a:lumMod val="50000"/>
                      <a:satMod val="103000"/>
                      <a:lumMod val="102000"/>
                      <a:tint val="94000"/>
                    </a:schemeClr>
                  </a:gs>
                  <a:gs pos="50000">
                    <a:schemeClr val="accent4">
                      <a:lumMod val="50000"/>
                      <a:satMod val="110000"/>
                      <a:lumMod val="100000"/>
                      <a:shade val="100000"/>
                    </a:schemeClr>
                  </a:gs>
                  <a:gs pos="100000">
                    <a:schemeClr val="accent4">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3-0906-4DE8-A1CF-29C9B58AAC47}"/>
              </c:ext>
            </c:extLst>
          </c:dPt>
          <c:dPt>
            <c:idx val="34"/>
            <c:bubble3D val="0"/>
            <c:spPr>
              <a:gradFill rotWithShape="1">
                <a:gsLst>
                  <a:gs pos="0">
                    <a:schemeClr val="accent5">
                      <a:lumMod val="50000"/>
                      <a:satMod val="103000"/>
                      <a:lumMod val="102000"/>
                      <a:tint val="94000"/>
                    </a:schemeClr>
                  </a:gs>
                  <a:gs pos="50000">
                    <a:schemeClr val="accent5">
                      <a:lumMod val="50000"/>
                      <a:satMod val="110000"/>
                      <a:lumMod val="100000"/>
                      <a:shade val="100000"/>
                    </a:schemeClr>
                  </a:gs>
                  <a:gs pos="100000">
                    <a:schemeClr val="accent5">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5-0906-4DE8-A1CF-29C9B58AAC47}"/>
              </c:ext>
            </c:extLst>
          </c:dPt>
          <c:dPt>
            <c:idx val="35"/>
            <c:bubble3D val="0"/>
            <c:spPr>
              <a:gradFill rotWithShape="1">
                <a:gsLst>
                  <a:gs pos="0">
                    <a:schemeClr val="accent6">
                      <a:lumMod val="50000"/>
                      <a:satMod val="103000"/>
                      <a:lumMod val="102000"/>
                      <a:tint val="94000"/>
                    </a:schemeClr>
                  </a:gs>
                  <a:gs pos="50000">
                    <a:schemeClr val="accent6">
                      <a:lumMod val="50000"/>
                      <a:satMod val="110000"/>
                      <a:lumMod val="100000"/>
                      <a:shade val="100000"/>
                    </a:schemeClr>
                  </a:gs>
                  <a:gs pos="100000">
                    <a:schemeClr val="accent6">
                      <a:lumMod val="5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7-0906-4DE8-A1CF-29C9B58AAC47}"/>
              </c:ext>
            </c:extLst>
          </c:dPt>
          <c:dPt>
            <c:idx val="36"/>
            <c:bubble3D val="0"/>
            <c:spPr>
              <a:gradFill rotWithShape="1">
                <a:gsLst>
                  <a:gs pos="0">
                    <a:schemeClr val="accent1">
                      <a:lumMod val="70000"/>
                      <a:lumOff val="30000"/>
                      <a:satMod val="103000"/>
                      <a:lumMod val="102000"/>
                      <a:tint val="94000"/>
                    </a:schemeClr>
                  </a:gs>
                  <a:gs pos="50000">
                    <a:schemeClr val="accent1">
                      <a:lumMod val="70000"/>
                      <a:lumOff val="30000"/>
                      <a:satMod val="110000"/>
                      <a:lumMod val="100000"/>
                      <a:shade val="100000"/>
                    </a:schemeClr>
                  </a:gs>
                  <a:gs pos="100000">
                    <a:schemeClr val="accent1">
                      <a:lumMod val="70000"/>
                      <a:lumOff val="3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9-0906-4DE8-A1CF-29C9B58AAC47}"/>
              </c:ext>
            </c:extLst>
          </c:dPt>
          <c:dPt>
            <c:idx val="37"/>
            <c:bubble3D val="0"/>
            <c:spPr>
              <a:gradFill rotWithShape="1">
                <a:gsLst>
                  <a:gs pos="0">
                    <a:schemeClr val="accent2">
                      <a:lumMod val="70000"/>
                      <a:lumOff val="30000"/>
                      <a:satMod val="103000"/>
                      <a:lumMod val="102000"/>
                      <a:tint val="94000"/>
                    </a:schemeClr>
                  </a:gs>
                  <a:gs pos="50000">
                    <a:schemeClr val="accent2">
                      <a:lumMod val="70000"/>
                      <a:lumOff val="30000"/>
                      <a:satMod val="110000"/>
                      <a:lumMod val="100000"/>
                      <a:shade val="100000"/>
                    </a:schemeClr>
                  </a:gs>
                  <a:gs pos="100000">
                    <a:schemeClr val="accent2">
                      <a:lumMod val="70000"/>
                      <a:lumOff val="3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B-0906-4DE8-A1CF-29C9B58AAC47}"/>
              </c:ext>
            </c:extLst>
          </c:dPt>
          <c:dPt>
            <c:idx val="38"/>
            <c:bubble3D val="0"/>
            <c:spPr>
              <a:gradFill rotWithShape="1">
                <a:gsLst>
                  <a:gs pos="0">
                    <a:schemeClr val="accent3">
                      <a:lumMod val="70000"/>
                      <a:lumOff val="30000"/>
                      <a:satMod val="103000"/>
                      <a:lumMod val="102000"/>
                      <a:tint val="94000"/>
                    </a:schemeClr>
                  </a:gs>
                  <a:gs pos="50000">
                    <a:schemeClr val="accent3">
                      <a:lumMod val="70000"/>
                      <a:lumOff val="30000"/>
                      <a:satMod val="110000"/>
                      <a:lumMod val="100000"/>
                      <a:shade val="100000"/>
                    </a:schemeClr>
                  </a:gs>
                  <a:gs pos="100000">
                    <a:schemeClr val="accent3">
                      <a:lumMod val="70000"/>
                      <a:lumOff val="3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D-0906-4DE8-A1CF-29C9B58AAC47}"/>
              </c:ext>
            </c:extLst>
          </c:dPt>
          <c:dPt>
            <c:idx val="39"/>
            <c:bubble3D val="0"/>
            <c:spPr>
              <a:gradFill rotWithShape="1">
                <a:gsLst>
                  <a:gs pos="0">
                    <a:schemeClr val="accent4">
                      <a:lumMod val="70000"/>
                      <a:lumOff val="30000"/>
                      <a:satMod val="103000"/>
                      <a:lumMod val="102000"/>
                      <a:tint val="94000"/>
                    </a:schemeClr>
                  </a:gs>
                  <a:gs pos="50000">
                    <a:schemeClr val="accent4">
                      <a:lumMod val="70000"/>
                      <a:lumOff val="30000"/>
                      <a:satMod val="110000"/>
                      <a:lumMod val="100000"/>
                      <a:shade val="100000"/>
                    </a:schemeClr>
                  </a:gs>
                  <a:gs pos="100000">
                    <a:schemeClr val="accent4">
                      <a:lumMod val="70000"/>
                      <a:lumOff val="3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4F-0906-4DE8-A1CF-29C9B58AAC47}"/>
              </c:ext>
            </c:extLst>
          </c:dPt>
          <c:dPt>
            <c:idx val="40"/>
            <c:bubble3D val="0"/>
            <c:spPr>
              <a:gradFill rotWithShape="1">
                <a:gsLst>
                  <a:gs pos="0">
                    <a:schemeClr val="accent5">
                      <a:lumMod val="70000"/>
                      <a:lumOff val="30000"/>
                      <a:satMod val="103000"/>
                      <a:lumMod val="102000"/>
                      <a:tint val="94000"/>
                    </a:schemeClr>
                  </a:gs>
                  <a:gs pos="50000">
                    <a:schemeClr val="accent5">
                      <a:lumMod val="70000"/>
                      <a:lumOff val="30000"/>
                      <a:satMod val="110000"/>
                      <a:lumMod val="100000"/>
                      <a:shade val="100000"/>
                    </a:schemeClr>
                  </a:gs>
                  <a:gs pos="100000">
                    <a:schemeClr val="accent5">
                      <a:lumMod val="70000"/>
                      <a:lumOff val="3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51-0906-4DE8-A1CF-29C9B58AAC47}"/>
              </c:ext>
            </c:extLst>
          </c:dPt>
          <c:dLbls>
            <c:spPr>
              <a:noFill/>
              <a:ln>
                <a:noFill/>
              </a:ln>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tx1">
                        <a:lumMod val="75000"/>
                        <a:lumOff val="25000"/>
                      </a:schemeClr>
                    </a:solidFill>
                    <a:latin typeface="+mn-lt"/>
                    <a:ea typeface="+mn-ea"/>
                    <a:cs typeface="+mn-cs"/>
                  </a:defRPr>
                </a:pPr>
                <a:endParaRPr lang="en-US"/>
              </a:p>
            </c:txPr>
            <c:dLblPos val="bestFit"/>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'PRESORT INFEED'!$A$20:$A$41</c:f>
              <c:strCache>
                <c:ptCount val="21"/>
                <c:pt idx="0">
                  <c:v>0030</c:v>
                </c:pt>
                <c:pt idx="1">
                  <c:v>5392</c:v>
                </c:pt>
                <c:pt idx="2">
                  <c:v>5030</c:v>
                </c:pt>
                <c:pt idx="3">
                  <c:v>0078</c:v>
                </c:pt>
                <c:pt idx="4">
                  <c:v>0038</c:v>
                </c:pt>
                <c:pt idx="5">
                  <c:v>5279</c:v>
                </c:pt>
                <c:pt idx="6">
                  <c:v>5046</c:v>
                </c:pt>
                <c:pt idx="7">
                  <c:v>5238</c:v>
                </c:pt>
                <c:pt idx="8">
                  <c:v>3621H</c:v>
                </c:pt>
                <c:pt idx="9">
                  <c:v>3622H</c:v>
                </c:pt>
                <c:pt idx="10">
                  <c:v>CDG05</c:v>
                </c:pt>
                <c:pt idx="11">
                  <c:v>ROLL E1-19</c:v>
                </c:pt>
                <c:pt idx="12">
                  <c:v>CDG07</c:v>
                </c:pt>
                <c:pt idx="13">
                  <c:v>CDG06</c:v>
                </c:pt>
                <c:pt idx="14">
                  <c:v>CDG04</c:v>
                </c:pt>
                <c:pt idx="15">
                  <c:v>3759H</c:v>
                </c:pt>
                <c:pt idx="16">
                  <c:v>3628H</c:v>
                </c:pt>
                <c:pt idx="17">
                  <c:v>JDP IP</c:v>
                </c:pt>
                <c:pt idx="18">
                  <c:v>3131H</c:v>
                </c:pt>
                <c:pt idx="19">
                  <c:v>3637H</c:v>
                </c:pt>
                <c:pt idx="20">
                  <c:v>5051</c:v>
                </c:pt>
              </c:strCache>
            </c:strRef>
          </c:cat>
          <c:val>
            <c:numRef>
              <c:f>'PRESORT INFEED'!$B$20:$B$41</c:f>
              <c:numCache>
                <c:formatCode>General</c:formatCode>
                <c:ptCount val="21"/>
                <c:pt idx="0">
                  <c:v>28</c:v>
                </c:pt>
                <c:pt idx="1">
                  <c:v>27</c:v>
                </c:pt>
                <c:pt idx="2">
                  <c:v>23</c:v>
                </c:pt>
                <c:pt idx="3">
                  <c:v>22</c:v>
                </c:pt>
                <c:pt idx="4">
                  <c:v>20</c:v>
                </c:pt>
                <c:pt idx="5">
                  <c:v>17</c:v>
                </c:pt>
                <c:pt idx="6">
                  <c:v>15</c:v>
                </c:pt>
                <c:pt idx="7">
                  <c:v>13</c:v>
                </c:pt>
                <c:pt idx="8">
                  <c:v>9</c:v>
                </c:pt>
                <c:pt idx="9">
                  <c:v>8</c:v>
                </c:pt>
                <c:pt idx="10">
                  <c:v>7</c:v>
                </c:pt>
                <c:pt idx="11">
                  <c:v>6</c:v>
                </c:pt>
                <c:pt idx="12">
                  <c:v>5</c:v>
                </c:pt>
                <c:pt idx="13">
                  <c:v>5</c:v>
                </c:pt>
                <c:pt idx="14">
                  <c:v>4</c:v>
                </c:pt>
                <c:pt idx="15">
                  <c:v>4</c:v>
                </c:pt>
                <c:pt idx="16">
                  <c:v>3</c:v>
                </c:pt>
                <c:pt idx="17">
                  <c:v>3</c:v>
                </c:pt>
                <c:pt idx="18">
                  <c:v>3</c:v>
                </c:pt>
                <c:pt idx="19">
                  <c:v>2</c:v>
                </c:pt>
                <c:pt idx="20">
                  <c:v>1</c:v>
                </c:pt>
              </c:numCache>
            </c:numRef>
          </c:val>
          <c:extLst>
            <c:ext xmlns:c16="http://schemas.microsoft.com/office/drawing/2014/chart" uri="{C3380CC4-5D6E-409C-BE32-E72D297353CC}">
              <c16:uniqueId val="{00000052-0906-4DE8-A1CF-29C9B58AAC47}"/>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4</xdr:col>
      <xdr:colOff>357716</xdr:colOff>
      <xdr:row>1</xdr:row>
      <xdr:rowOff>192617</xdr:rowOff>
    </xdr:from>
    <xdr:to>
      <xdr:col>5</xdr:col>
      <xdr:colOff>1019173</xdr:colOff>
      <xdr:row>12</xdr:row>
      <xdr:rowOff>31750</xdr:rowOff>
    </xdr:to>
    <mc:AlternateContent xmlns:mc="http://schemas.openxmlformats.org/markup-compatibility/2006" xmlns:a14="http://schemas.microsoft.com/office/drawing/2010/main">
      <mc:Choice Requires="a14">
        <xdr:graphicFrame macro="">
          <xdr:nvGraphicFramePr>
            <xdr:cNvPr id="4" name="Vessel Number"/>
            <xdr:cNvGraphicFramePr/>
          </xdr:nvGraphicFramePr>
          <xdr:xfrm>
            <a:off x="0" y="0"/>
            <a:ext cx="0" cy="0"/>
          </xdr:xfrm>
          <a:graphic>
            <a:graphicData uri="http://schemas.microsoft.com/office/drawing/2010/slicer">
              <sle:slicer xmlns:sle="http://schemas.microsoft.com/office/drawing/2010/slicer" name="Vessel Number"/>
            </a:graphicData>
          </a:graphic>
        </xdr:graphicFrame>
      </mc:Choice>
      <mc:Fallback xmlns="">
        <xdr:sp macro="" textlink="">
          <xdr:nvSpPr>
            <xdr:cNvPr id="0" name=""/>
            <xdr:cNvSpPr>
              <a:spLocks noTextEdit="1"/>
            </xdr:cNvSpPr>
          </xdr:nvSpPr>
          <xdr:spPr>
            <a:xfrm>
              <a:off x="4866216" y="721784"/>
              <a:ext cx="1828800" cy="198754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50799</xdr:colOff>
      <xdr:row>1</xdr:row>
      <xdr:rowOff>189441</xdr:rowOff>
    </xdr:from>
    <xdr:to>
      <xdr:col>8</xdr:col>
      <xdr:colOff>4233</xdr:colOff>
      <xdr:row>7</xdr:row>
      <xdr:rowOff>42334</xdr:rowOff>
    </xdr:to>
    <mc:AlternateContent xmlns:mc="http://schemas.openxmlformats.org/markup-compatibility/2006" xmlns:a14="http://schemas.microsoft.com/office/drawing/2010/main">
      <mc:Choice Requires="a14">
        <xdr:graphicFrame macro="">
          <xdr:nvGraphicFramePr>
            <xdr:cNvPr id="6" name="CONV/NON-CONV"/>
            <xdr:cNvGraphicFramePr/>
          </xdr:nvGraphicFramePr>
          <xdr:xfrm>
            <a:off x="0" y="0"/>
            <a:ext cx="0" cy="0"/>
          </xdr:xfrm>
          <a:graphic>
            <a:graphicData uri="http://schemas.microsoft.com/office/drawing/2010/slicer">
              <sle:slicer xmlns:sle="http://schemas.microsoft.com/office/drawing/2010/slicer" name="CONV/NON-CONV"/>
            </a:graphicData>
          </a:graphic>
        </xdr:graphicFrame>
      </mc:Choice>
      <mc:Fallback xmlns="">
        <xdr:sp macro="" textlink="">
          <xdr:nvSpPr>
            <xdr:cNvPr id="0" name=""/>
            <xdr:cNvSpPr>
              <a:spLocks noTextEdit="1"/>
            </xdr:cNvSpPr>
          </xdr:nvSpPr>
          <xdr:spPr>
            <a:xfrm>
              <a:off x="6802966" y="528108"/>
              <a:ext cx="1943100" cy="104880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74083</xdr:colOff>
      <xdr:row>7</xdr:row>
      <xdr:rowOff>180975</xdr:rowOff>
    </xdr:from>
    <xdr:to>
      <xdr:col>8</xdr:col>
      <xdr:colOff>21167</xdr:colOff>
      <xdr:row>14</xdr:row>
      <xdr:rowOff>179916</xdr:rowOff>
    </xdr:to>
    <mc:AlternateContent xmlns:mc="http://schemas.openxmlformats.org/markup-compatibility/2006" xmlns:a14="http://schemas.microsoft.com/office/drawing/2010/main">
      <mc:Choice Requires="a14">
        <xdr:graphicFrame macro="">
          <xdr:nvGraphicFramePr>
            <xdr:cNvPr id="2" name="Sort Sequence (Processed)"/>
            <xdr:cNvGraphicFramePr/>
          </xdr:nvGraphicFramePr>
          <xdr:xfrm>
            <a:off x="0" y="0"/>
            <a:ext cx="0" cy="0"/>
          </xdr:xfrm>
          <a:graphic>
            <a:graphicData uri="http://schemas.microsoft.com/office/drawing/2010/slicer">
              <sle:slicer xmlns:sle="http://schemas.microsoft.com/office/drawing/2010/slicer" name="Sort Sequence (Processed)"/>
            </a:graphicData>
          </a:graphic>
        </xdr:graphicFrame>
      </mc:Choice>
      <mc:Fallback xmlns="">
        <xdr:sp macro="" textlink="">
          <xdr:nvSpPr>
            <xdr:cNvPr id="0" name=""/>
            <xdr:cNvSpPr>
              <a:spLocks noTextEdit="1"/>
            </xdr:cNvSpPr>
          </xdr:nvSpPr>
          <xdr:spPr>
            <a:xfrm>
              <a:off x="6826250" y="1662642"/>
              <a:ext cx="1936750" cy="133244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2</xdr:col>
      <xdr:colOff>286807</xdr:colOff>
      <xdr:row>15</xdr:row>
      <xdr:rowOff>51859</xdr:rowOff>
    </xdr:from>
    <xdr:to>
      <xdr:col>8</xdr:col>
      <xdr:colOff>434974</xdr:colOff>
      <xdr:row>45</xdr:row>
      <xdr:rowOff>13759</xdr:rowOff>
    </xdr:to>
    <xdr:graphicFrame macro="">
      <xdr:nvGraphicFramePr>
        <xdr:cNvPr id="7" name="Chart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17</xdr:col>
      <xdr:colOff>571500</xdr:colOff>
      <xdr:row>1</xdr:row>
      <xdr:rowOff>169333</xdr:rowOff>
    </xdr:from>
    <xdr:to>
      <xdr:col>19</xdr:col>
      <xdr:colOff>328084</xdr:colOff>
      <xdr:row>4</xdr:row>
      <xdr:rowOff>84667</xdr:rowOff>
    </xdr:to>
    <xdr:sp macro="" textlink="">
      <xdr:nvSpPr>
        <xdr:cNvPr id="5" name="TextBox 4"/>
        <xdr:cNvSpPr txBox="1"/>
      </xdr:nvSpPr>
      <xdr:spPr>
        <a:xfrm>
          <a:off x="18605500" y="508000"/>
          <a:ext cx="1280584" cy="5397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n-US" sz="1800" b="1">
            <a:solidFill>
              <a:sysClr val="windowText" lastClr="000000"/>
            </a:solidFill>
          </a:endParaRP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llias Saci" refreshedDate="43790.037617245369" createdVersion="5" refreshedVersion="6" minRefreshableVersion="3" recordCount="228">
  <cacheSource type="worksheet">
    <worksheetSource ref="A1:AV1048576" sheet="Awb_Details_Inbound_ProcessOrIn"/>
  </cacheSource>
  <cacheFields count="48">
    <cacheField name="Ops Date (Inbound)" numFmtId="0">
      <sharedItems containsBlank="1"/>
    </cacheField>
    <cacheField name="Ops Date (Processed)" numFmtId="0">
      <sharedItems containsBlank="1"/>
    </cacheField>
    <cacheField name="AWB" numFmtId="0">
      <sharedItems containsBlank="1"/>
    </cacheField>
    <cacheField name="Origin Country" numFmtId="0">
      <sharedItems containsBlank="1"/>
    </cacheField>
    <cacheField name="Dest Country" numFmtId="0">
      <sharedItems containsBlank="1"/>
    </cacheField>
    <cacheField name="Orig Location" numFmtId="0">
      <sharedItems containsBlank="1"/>
    </cacheField>
    <cacheField name="Dest Location" numFmtId="0">
      <sharedItems containsBlank="1"/>
    </cacheField>
    <cacheField name="Pickup Date" numFmtId="0">
      <sharedItems containsBlank="1"/>
    </cacheField>
    <cacheField name="Commit Date" numFmtId="0">
      <sharedItems containsBlank="1"/>
    </cacheField>
    <cacheField name="Service Code" numFmtId="0">
      <sharedItems containsBlank="1"/>
    </cacheField>
    <cacheField name="Package Type Code" numFmtId="0">
      <sharedItems containsBlank="1"/>
    </cacheField>
    <cacheField name="Customs Currency" numFmtId="0">
      <sharedItems containsBlank="1"/>
    </cacheField>
    <cacheField name="Customs Value" numFmtId="0">
      <sharedItems containsBlank="1"/>
    </cacheField>
    <cacheField name="Sort Area" numFmtId="0">
      <sharedItems containsBlank="1" count="6">
        <s v="BOX"/>
        <s v="SPSS"/>
        <s v="UNKNOWN"/>
        <s v="DG"/>
        <m/>
        <s v="HWT" u="1"/>
      </sharedItems>
    </cacheField>
    <cacheField name="Weight" numFmtId="0">
      <sharedItems containsBlank="1"/>
    </cacheField>
    <cacheField name="Weight Unit" numFmtId="0">
      <sharedItems containsBlank="1"/>
    </cacheField>
    <cacheField name="Spcl Handling" numFmtId="0">
      <sharedItems containsBlank="1"/>
    </cacheField>
    <cacheField name="Inbound-Split Euro1" numFmtId="0">
      <sharedItems containsBlank="1"/>
    </cacheField>
    <cacheField name="Inbound-Split IP_D1234" numFmtId="0">
      <sharedItems containsBlank="1"/>
    </cacheField>
    <cacheField name="Inbound-Split IP_D5" numFmtId="0">
      <sharedItems containsBlank="1"/>
    </cacheField>
    <cacheField name="Inbound-Split IP_D6" numFmtId="0">
      <sharedItems containsBlank="1"/>
    </cacheField>
    <cacheField name="Sort Urgency" numFmtId="0">
      <sharedItems containsBlank="1"/>
    </cacheField>
    <cacheField name="Transload Split" numFmtId="0">
      <sharedItems containsBlank="1"/>
    </cacheField>
    <cacheField name="Master Awb Number" numFmtId="0">
      <sharedItems containsBlank="1"/>
    </cacheField>
    <cacheField name="Pieces Count" numFmtId="0">
      <sharedItems containsBlank="1"/>
    </cacheField>
    <cacheField name="ULD Number" numFmtId="0">
      <sharedItems containsBlank="1" count="538">
        <s v="BULK"/>
        <s v="AMJ58358FX"/>
        <s v="AYY13560FX"/>
        <s v="AKE44393FX"/>
        <s v="AQF13488FX"/>
        <s v="PMC17935FX"/>
        <s v="AMJ61520FX"/>
        <s v="AAD22543FX"/>
        <s v="AAD13593FX"/>
        <s v="AMJ64343FX"/>
        <s v="AM66493FX"/>
        <s v="AKE34895FX"/>
        <s v="AMJ61640FX"/>
        <s v="AKE53462FX"/>
        <s v="AMJ66773FX"/>
        <s v="AYYD167FX"/>
        <s v="AKE36926FX"/>
        <s v="AAD11933FX"/>
        <s v="AMJ59210FX"/>
        <s v="AYY3967FX"/>
        <s v="PMC61311FX"/>
        <s v="AMJ66079FX"/>
        <s v="AMJ68788FX"/>
        <s v="AMJ64520FX"/>
        <s v="AMJ57309FX"/>
        <s v="AAD15937FX"/>
        <s v="AQF11806FX"/>
        <s v="AAD18015FX"/>
        <s v="PMC28424FX"/>
        <s v="AMJ69763FX"/>
        <s v="AMJ67158FX"/>
        <s v="PMC24277FX"/>
        <s v="AMJ67708FX"/>
        <s v="AKE30527FX"/>
        <s v="AMJ60762FX"/>
        <s v="AMJ60067FX"/>
        <s v="AKE43494FX"/>
        <s v="AMJ57051FX"/>
        <s v="AKE60640FX"/>
        <s v="AMJ67052FX"/>
        <s v="AMJ61667FX"/>
        <s v="PMC27679FX"/>
        <s v="AMJ66187FX"/>
        <s v="AKE32464FX"/>
        <s v="AKE37456FX"/>
        <s v="AAD24960FX"/>
        <s v="AMJ67737FX"/>
        <s v="AAD11804FX"/>
        <s v="AMJ70288FX"/>
        <s v="AMJ46332FX"/>
        <s v="AMJ63824FX"/>
        <s v="AKE52499FX"/>
        <s v="AMJ60143FX"/>
        <s v="AAD13836FX"/>
        <s v="TRK85440FX"/>
        <s v="PMC60011FX"/>
        <s v="AMJ55116FX"/>
        <s v="AMJ66813FX"/>
        <s v="AAD22237FX"/>
        <s v="AKE37628FX"/>
        <s v="AMJ60929FX"/>
        <s v="AMJ62812FX"/>
        <s v="AKE25589SQ"/>
        <s v="AAD22635FX"/>
        <s v="AKE70267SQ"/>
        <s v="AAD22443FX"/>
        <s v="AKE52764FX"/>
        <s v="AQF13567FX"/>
        <s v="AMJ60446FX"/>
        <s v="AMJ66704FX"/>
        <s v="AKE33999FX"/>
        <s v="AMJ66226FX"/>
        <s v="AAD19949FX"/>
        <s v="AKE34207FX"/>
        <s v="AKE53262FX"/>
        <s v="AMJ64451FX"/>
        <s v="PMC26727FX"/>
        <s v="AAD17208FX"/>
        <s v="AAD21868FX"/>
        <s v="AKE30047FX"/>
        <s v="AKE37561FX"/>
        <s v="AYY0928FX"/>
        <s v="AKE60772FX"/>
        <s v="AMJ67365FX"/>
        <s v="AMJ61711FX"/>
        <s v="AMJ61555FX"/>
        <s v="AMJ63769FX"/>
        <s v="AAD25072FX"/>
        <s v="AMJ59350FX"/>
        <s v="PMC61180FX"/>
        <s v="AMJ64192FX"/>
        <m/>
        <s v="AKE35532FX" u="1"/>
        <s v="PMC25068FX" u="1"/>
        <s v="AMJ69840FX" u="1"/>
        <s v="AKE52762FX" u="1"/>
        <s v="PMC26721FX" u="1"/>
        <s v="AKE04702AF" u="1"/>
        <s v="AMJ61169FX" u="1"/>
        <s v="AMJ68400FX" u="1"/>
        <s v="AQF11004FX" u="1"/>
        <s v="AKE60512FX" u="1"/>
        <s v="AMJ66280FX" u="1"/>
        <s v="AKE38131FX" u="1"/>
        <s v="AKE33753FX" u="1"/>
        <s v="AMJ64431FX" u="1"/>
        <s v="AKE36312FX" u="1"/>
        <s v="AMJ67909FX" u="1"/>
        <s v="PMC22542FX" u="1"/>
        <s v="AKE36322FX" u="1"/>
        <s v="AMJ66601FX" u="1"/>
        <s v="AMJ62882FX" u="1"/>
        <s v="AMJ66631FX" u="1"/>
        <s v="AMJ67969FX" u="1"/>
        <s v="AMJ69568FX" u="1"/>
        <s v="AKE43983FX" u="1"/>
        <s v="AKE32904FX" u="1"/>
        <s v="AMJ69470FX" u="1"/>
        <s v="AKE44102FX" u="1"/>
        <s v="AMJ65471FX" u="1"/>
        <s v="SAA30471FX" u="1"/>
        <s v="AMJ68138FX" u="1"/>
        <s v="AKE32163FX" u="1"/>
        <s v="AKE32173FX" u="1"/>
        <s v="PMC81730FX" u="1"/>
        <s v="AKE36723FX" u="1"/>
        <s v="TRK85252FX" u="1"/>
        <s v="AKE60182FX" u="1"/>
        <s v="AMJ68999FX" u="1"/>
        <s v="AMJ66319FX" u="1"/>
        <s v="SAA21872FX" u="1"/>
        <s v="AKE61142FX" u="1"/>
        <s v="TRK85012FX" u="1"/>
        <s v="AKE43563FX" u="1"/>
        <s v="AKE44773FX" u="1"/>
        <s v="AKE34103FX" u="1"/>
        <s v="AAD11865FX" u="1"/>
        <s v="AAD19633FX" u="1"/>
        <s v="AQF12025FX" u="1"/>
        <s v="AKE85611SQ" u="1"/>
        <s v="AKE60343FX" u="1"/>
        <s v="AMJ67031FX" u="1"/>
        <s v="AKE60353FX" u="1"/>
        <s v="AKE60914FX" u="1"/>
        <s v="CH516864" u="1"/>
        <s v="AMJ64272FX" u="1"/>
        <s v="AKE60113FX" u="1"/>
        <s v="AMJ65202FX" u="1"/>
        <s v="AMJ65492FX" u="1"/>
        <s v="AAD10255FX" u="1"/>
        <s v="AKE60163FX" u="1"/>
        <s v="AAD14284FX" u="1"/>
        <s v="PAG28439FX" u="1"/>
        <s v="AMJ62473FX" u="1"/>
        <s v="AMJ68199FX" u="1"/>
        <s v="AMJ56643FX" u="1"/>
        <s v="AKE38383FX" u="1"/>
        <s v="AAD23014FX" u="1"/>
        <s v="AQF10096FX" u="1"/>
        <s v="AYY13216FX" u="1"/>
        <s v="AKE33745FX" u="1"/>
        <s v="AMJ66022FX" u="1"/>
        <s v="AMJ62023FX" u="1"/>
        <s v="AMJ64443FX" u="1"/>
        <s v="AAD19604FX" u="1"/>
        <s v="AKE45504FX" u="1"/>
        <s v="AMJ65673FX" u="1"/>
        <s v="AKE43925FX" u="1"/>
        <s v="AAD12836FX" u="1"/>
        <s v="AKE31125FX" u="1"/>
        <s v="AMJ60484FX" u="1"/>
        <s v="PMC27513FX" u="1"/>
        <s v="AKE37314FX" u="1"/>
        <s v="AMJ67893FX" u="1"/>
        <s v="AMJ64013FX" u="1"/>
        <s v="AKE34575FX" u="1"/>
        <s v="AAA10286FX" u="1"/>
        <s v="AMJ64864FX" u="1"/>
        <s v="AMJ69272FX" u="1"/>
        <s v="AMJ69813FX" u="1"/>
        <s v="AKE43535FX" u="1"/>
        <s v="AQF10530FX" u="1"/>
        <s v="AKE60545FX" u="1"/>
        <s v="PMC17594FX" u="1"/>
        <s v="AAD19875FX" u="1"/>
        <s v="AKE44575FX" u="1"/>
        <s v="AAD16826FX" u="1"/>
        <s v="AKE39935FX" u="1"/>
        <s v="AMJ60475FX" u="1"/>
        <s v="AMJ63294FX" u="1"/>
        <s v="AKE45555FX" u="1"/>
        <s v="AMJ60215FX" u="1"/>
        <s v="SAA22434FX" u="1"/>
        <s v="AKE41306FX" u="1"/>
        <s v="AKE60385FX" u="1"/>
        <s v="AKE52926FX" u="1"/>
        <s v="AYYB731FX" u="1"/>
        <s v="AKE52155FX" u="1"/>
        <s v="AMJ65264FX" u="1"/>
        <s v="AKE33106FX" u="1"/>
        <s v="AYX5366FX" u="1"/>
        <s v="AKE32507FX" u="1"/>
        <s v="TRK85045FX" u="1"/>
        <s v="AAD15016FX" u="1"/>
        <s v="AMJ64685FX" u="1"/>
        <s v="AKE33757FX" u="1"/>
        <s v="AKE50156FX" u="1"/>
        <s v="PAG27784FX" u="1"/>
        <s v="AKE39105FX" u="1"/>
        <s v="AKE32327FX" u="1"/>
        <s v="AKE45546FX" u="1"/>
        <s v="AKE44356FX" u="1"/>
        <s v="AKE32377FX" u="1"/>
        <s v="AKE7195FX" u="1"/>
        <s v="AMJ69484FX" u="1"/>
        <s v="SAA36053FX" u="1"/>
        <s v="AKE38536FX" u="1"/>
        <s v="AKE61316FX" u="1"/>
        <s v="AMJ68294FX" u="1"/>
        <s v="PAG28304FX" u="1"/>
        <s v="AKE53386FX" u="1"/>
        <s v="PMC50135FX" u="1"/>
        <s v="AAD23227FX" u="1"/>
        <s v="AMJ56616FX" u="1"/>
        <s v="AMJ65015FX" u="1"/>
        <s v="AMJ62496FX" u="1"/>
        <s v="SAA34294FX" u="1"/>
        <s v="AKE40400FX" u="1"/>
        <s v="CAGE HV" u="1"/>
        <s v="AMJ64696FX" u="1"/>
        <s v="AMJ64436FX" u="1"/>
        <s v="AMJ70056FX" u="1"/>
        <s v="AMJ65406FX" u="1"/>
        <s v="AKE40210FX" u="1"/>
        <s v="AKE39967FX" u="1"/>
        <s v="AKE7472FX" u="1"/>
        <s v="AYY10943FX" u="1"/>
        <s v="AKE7139FX" u="1"/>
        <s v="AAD13268FX" u="1"/>
        <s v="AKE44107FX" u="1"/>
        <s v="AKE30799FX" u="1"/>
        <s v="AMJ68015FX" u="1"/>
        <s v="AKE60127FX" u="1"/>
        <s v="PMC18927FX" u="1"/>
        <s v="AKE60870FX" u="1"/>
        <s v="AKE52728FX" u="1"/>
        <s v="AAD14038FX" u="1"/>
        <s v="SAA30276FX" u="1"/>
        <s v="AKE34260FX" u="1"/>
        <s v="AKE44788FX" u="1"/>
        <s v="AAD16208FX" u="1"/>
        <s v="AKE37890FX" u="1"/>
        <s v="AKE36690FX" u="1"/>
        <s v="TRK85047FX" u="1"/>
        <s v="AMJ69606FX" u="1"/>
        <s v="AMJ61510FX" u="1"/>
        <s v="AKE37680FX" u="1"/>
        <s v="AKE37518FX" u="1"/>
        <s v="AKE32309FX" u="1"/>
        <s v="AYY12513FX" u="1"/>
        <s v="PMC23660FX" u="1"/>
        <s v="AKE39860FX" u="1"/>
        <s v="AKE38660FX" u="1"/>
        <s v="PMC24998FX" u="1"/>
        <s v="AAD24761FX" u="1"/>
        <s v="AKE45460FX" u="1"/>
        <s v="AKE35060FX" u="1"/>
        <s v="PAG24507FX" u="1"/>
        <s v="PMC61126FX" u="1"/>
        <s v="AAD12782FX" u="1"/>
        <s v="AKE44280FX" u="1"/>
        <s v="AKE40389FX" u="1"/>
        <s v="AMJ60829FX" u="1"/>
        <s v="AMJ68857FX" u="1"/>
        <s v="AKE36871FX" u="1"/>
        <s v="AKE39400FX" u="1"/>
        <s v="PMC11329FX" u="1"/>
        <s v="AMJ57970FX" u="1"/>
        <s v="TRK85140FX" u="1"/>
        <s v="AMJ58900FX" u="1"/>
        <s v="AKE50201FX" u="1"/>
        <s v="AMJ68086FX" u="1"/>
        <s v="AKE61290FX" u="1"/>
        <s v="AKE37138FX" u="1"/>
        <s v="TRK85278FX" u="1"/>
        <s v="AMJ63590FX" u="1"/>
        <s v="AKE43559FX" u="1"/>
        <s v="AKE37719FX" u="1"/>
        <s v="AKE43319FX" u="1"/>
        <s v="SAA2963FX" u="1"/>
        <s v="AKE39338FX" u="1"/>
        <s v="AAD11723FX" u="1"/>
        <s v="AAD24932FX" u="1"/>
        <s v="AMJ63100FX" u="1"/>
        <s v="AMJ61098FX" u="1"/>
        <s v="AMJ63248FX" u="1"/>
        <s v="AMJ60449FX" u="1"/>
        <s v="AMJ65668FX" u="1"/>
        <s v="AAD19521FX" u="1"/>
        <s v="AKE33692FX" u="1"/>
        <s v="AKE40492FX" u="1"/>
        <s v="AMJ67838FX" u="1"/>
        <s v="AAD11543FX" u="1"/>
        <s v="AKE45451FX" u="1"/>
        <s v="AAD16782FX" u="1"/>
        <s v="AAD18209FX" u="1"/>
        <s v="AKE53471FX" u="1"/>
        <s v="AMJ60249FX" u="1"/>
        <s v="AAD24792FX" u="1"/>
        <s v="AMJ68700FX" u="1"/>
        <s v="AKE36129FX" u="1"/>
        <s v="AMJ63501FX" u="1"/>
        <s v="AMJ65100FX" u="1"/>
        <s v="AAD21733FX" u="1"/>
        <s v="PMC17188FX" u="1"/>
        <s v="AQF11344FX" u="1"/>
        <s v="AMJ62351FX" u="1"/>
        <s v="AKE52189FX" u="1"/>
        <s v="AKE31693FX" u="1"/>
        <s v="AKE33292FX" u="1"/>
        <s v="AMJ67300FX" u="1"/>
        <s v="AMJ69710FX" u="1"/>
        <s v="AAA10744FX" u="1"/>
        <s v="AMJ62101FX" u="1"/>
        <s v="AAD14743FX" u="1"/>
        <s v="AMJ58140FX" u="1"/>
        <s v="PMC60588FX" u="1"/>
        <s v="AQF13574FX" u="1"/>
        <s v="SAA22731FX" u="1"/>
        <s v="AKE43202FX" u="1"/>
        <s v="AMJ66170FX" u="1"/>
        <s v="AMJ67931FX" u="1"/>
        <s v="AKE30864FX" u="1"/>
        <s v="AMJ66058FX" u="1"/>
        <s v="AMJ63161FX" u="1"/>
        <s v="AMJ56209FX" u="1"/>
        <s v="AMJ57591FX" u="1"/>
        <s v="AAD21153FX" u="1"/>
        <s v="AMJ60953FX" u="1"/>
        <s v="AMJ63059FX" u="1"/>
        <s v="PMC21022FX" u="1"/>
        <s v="AAD16523FX" u="1"/>
        <s v="AQF12515FX" u="1"/>
        <s v="AKE32834FX" u="1"/>
        <s v="SAA30121FX" u="1"/>
        <s v="PMC18041FX" u="1"/>
        <s v="AKE43433FX" u="1"/>
        <s v="AMJ57722FX" u="1"/>
        <s v="AMJ61993FX" u="1"/>
        <s v="AMJ69048FX" u="1"/>
        <s v="AKE37883FX" u="1"/>
        <s v="AAD19993FX" u="1"/>
        <s v="AKE50273FX" u="1"/>
        <s v="AKE52413FX" u="1"/>
        <s v="AMJ58712FX" u="1"/>
        <s v="AMJ67111FX" u="1"/>
        <s v="AMJ58029FX" u="1"/>
        <s v="AMJ67952FX" u="1"/>
        <s v="AMJ68351FX" u="1"/>
        <s v="AKE39823FX" u="1"/>
        <s v="AMJ69689FX" u="1"/>
        <s v="AMJ63162FX" u="1"/>
        <s v="AKE38653FX" u="1"/>
        <s v="AMJ60924FX" u="1"/>
        <s v="AMJ66552FX" u="1"/>
        <s v="PMC20614FX" u="1"/>
        <s v="AKE33474FX" u="1"/>
        <s v="AKE11814AF" u="1"/>
        <s v="AMJ69371FX" u="1"/>
        <s v="AKE41484FX" u="1"/>
        <s v="AKE31084FX" u="1"/>
        <s v="AKE44824FX" u="1"/>
        <s v="AKE50694FX" u="1"/>
        <s v="AKE40044FX" u="1"/>
        <s v="AMJ69161FX" u="1"/>
        <s v="AMJ62904FX" u="1"/>
        <s v="AMJ69732FX" u="1"/>
        <s v="AMJ63323FX" u="1"/>
        <s v="AMJ62934FX" u="1"/>
        <s v="AMJ68552FX" u="1"/>
        <s v="AMJ63343FX" u="1"/>
        <s v="AKE40685FX" u="1"/>
        <s v="AMJ58703FX" u="1"/>
        <s v="AAD11716FX" u="1"/>
        <s v="AKE33645FX" u="1"/>
        <s v="AMJ67142FX" u="1"/>
        <s v="AAD20165FX" u="1"/>
        <s v="AMJ61304FX" u="1"/>
        <s v="AKE45484FX" u="1"/>
        <s v="AKE34425FX" u="1"/>
        <s v="AKE60825FX" u="1"/>
        <s v="AKE61224FX" u="1"/>
        <s v="AMJ61394FX" u="1"/>
        <s v="AMJ62324FX" u="1"/>
        <s v="AYY13567FX" u="1"/>
        <s v="AMJ70374FX" u="1"/>
        <s v="PMC28473FX" u="1"/>
        <s v="AMJ60505FX" u="1"/>
        <s v="AMJ67323FX" u="1"/>
        <s v="AMJ70104FX" u="1"/>
        <s v="SAA32323FX" u="1"/>
        <s v="PMC21445FX" u="1"/>
        <s v="AKE36445FX" u="1"/>
        <s v="AYY5057FX" u="1"/>
        <s v="AMJ67714FX" u="1"/>
        <s v="AMJ58534FX" u="1"/>
        <s v="AYYD343FX" u="1"/>
        <s v="AAD25195FX" u="1"/>
        <s v="AKE43626FX" u="1"/>
        <s v="AMJ68734FX" u="1"/>
        <s v="AYYC427FX" u="1"/>
        <s v="AKE61245FX" u="1"/>
        <s v="AMJ64735FX" u="1"/>
        <s v="AMJ68774FX" u="1"/>
        <s v="AQF11118FX" u="1"/>
        <s v="AKE30227FX" u="1"/>
        <s v="AMJ62105FX" u="1"/>
        <s v="AKE80745SQ" u="1"/>
        <s v="AMJ66194FX" u="1"/>
        <s v="SAX10125FX" u="1"/>
        <s v="AAD24947FX" u="1"/>
        <s v="AKE32447FX" u="1"/>
        <s v="AKE36476FX" u="1"/>
        <s v="AKE46095FX" u="1"/>
        <s v="AMJ64395FX" u="1"/>
        <s v="AKE88323SQ" u="1"/>
        <s v="AKE33207FX" u="1"/>
        <s v="AMJ65375FX" u="1"/>
        <s v="AAD20430FX" u="1"/>
        <s v="AKE35667FX" u="1"/>
        <s v="AYY13451FX" u="1"/>
        <s v="AYY5994FX" u="1"/>
        <s v="AKE43407FX" u="1"/>
        <s v="AAD13410FX" u="1"/>
        <s v="CH24068" u="1"/>
        <s v="AMJ65766FX" u="1"/>
        <s v="AKE35497FX" u="1"/>
        <s v="AAD10681FX" u="1"/>
        <s v="AKE31390FX" u="1"/>
        <s v="AAD10529FX" u="1"/>
        <s v="AKE60427FX" u="1"/>
        <s v="AMJ68365FX" u="1"/>
        <s v="AKE43710FX" u="1"/>
        <s v="AQF12892FX" u="1"/>
        <s v="PMC24877FX" u="1"/>
        <s v="AKE8047FX" u="1"/>
        <s v="AYY8598FX" u="1"/>
        <s v="AAD13148FX" u="1"/>
        <s v="AMJ61327FX" u="1"/>
        <s v="AMJ64146FX" u="1"/>
        <s v="AKE50560FX" u="1"/>
        <s v="AKE30581FX" u="1"/>
        <s v="AMJ61908FX" u="1"/>
        <s v="AAD16430FX" u="1"/>
        <s v="AKE60720FX" u="1"/>
        <s v="AMJ66326FX" u="1"/>
        <s v="AKE43658FX" u="1"/>
        <s v="AKE35300FX" u="1"/>
        <s v="AMJ62367FX" u="1"/>
        <s v="AAD11281FX" u="1"/>
        <s v="AMJ65176FX" u="1"/>
        <s v="AMJ66917FX" u="1"/>
        <s v="AKE30111FX" u="1"/>
        <s v="AKE50941FX" u="1"/>
        <s v="AMJ63327FX" u="1"/>
        <s v="SAA32306FX" u="1"/>
        <s v="AMJ66957FX" u="1"/>
        <s v="AMJ61748FX" u="1"/>
        <s v="AMJ70137FX" u="1"/>
        <s v="AKE38990FX" u="1"/>
        <s v="AMJ70157FX" u="1"/>
        <s v="AAA10422FX" u="1"/>
        <s v="AMJ61670FX" u="1"/>
        <s v="AMJ62988FX" u="1"/>
        <s v="AQF13232FX" u="1"/>
        <s v="SAA33316FX" u="1"/>
        <s v="PMC25217FX" u="1"/>
        <s v="AKE32229FX" u="1"/>
        <s v="PMC11551FX" u="1"/>
        <s v="AAD16749FX" u="1"/>
        <s v="PMC24770FX" u="1"/>
        <s v="AMJ55620FX" u="1"/>
        <s v="AKE35869FX" u="1"/>
        <s v="AKE39878FX" u="1"/>
        <s v="AKE7622FX" u="1"/>
        <s v="AKE43771FX" u="1"/>
        <s v="AAD18138FX" u="1"/>
        <s v="AMJ65107FX" u="1"/>
        <s v="AKE36741FX" u="1"/>
        <s v="AAD16441FX" u="1"/>
        <s v="AMJ60188FX" u="1"/>
        <s v="PMC27900FX" u="1"/>
        <s v="AMJ64620FX" u="1"/>
        <s v="AKE61248FX" u="1"/>
        <s v="AKE7509FX" u="1"/>
        <s v="PMC28427FX" u="1"/>
        <s v="AMJ63548FX" u="1"/>
        <s v="AMJ70338FX" u="1"/>
        <s v="AMJ67567FX" u="1"/>
        <s v="AKE7604FX" u="1"/>
        <s v="AMJ68507FX" u="1"/>
        <s v="AKE39438FX" u="1"/>
        <s v="AKE38140FX" u="1"/>
        <s v="AMJ66820FX" u="1"/>
        <s v="AMJ70000FX" u="1"/>
        <s v="AMJ66127FX" u="1"/>
        <s v="PMC15170FX" u="1"/>
        <s v="AMJ58840FX" u="1"/>
        <s v="PMC23991FX" u="1"/>
        <s v="AMJ66860FX" u="1"/>
        <s v="AKE39218FX" u="1"/>
        <s v="AMJ61651FX" u="1"/>
        <s v="PMC25330FX" u="1"/>
        <s v="AAX10062FX" u="1"/>
        <s v="AKE37551FX" u="1"/>
        <s v="AMJ64328FX" u="1"/>
        <s v="PAG28887FX" u="1"/>
        <s v="AKE43269FX" u="1"/>
        <s v="AMJ59157FX" u="1"/>
        <s v="AKE38629FX" u="1"/>
        <s v="AKE40102FX" u="1"/>
        <s v="AAD24091FX" u="1"/>
        <s v="AKE36932FX" u="1"/>
        <s v="AKE41312FX" u="1"/>
        <s v="AMJ63070FX" u="1"/>
        <s v="PMC81266FX" u="1"/>
        <s v="AKE60239FX" u="1"/>
        <s v="AKE70188SQ" u="1"/>
        <s v="AMJ60011FX" u="1"/>
        <s v="PMC61277FX" u="1"/>
        <s v="AKE53351FX" u="1"/>
        <s v="AKE40152FX" u="1"/>
        <s v="AKE60972FX" u="1"/>
        <s v="AKE36289FX" u="1"/>
        <s v="AMJ55769FX" u="1"/>
        <s v="AAD22002FX" u="1"/>
        <s v="AKE45922FX" u="1"/>
        <s v="AMJ65801FX" u="1"/>
      </sharedItems>
    </cacheField>
    <cacheField name="CONS Number" numFmtId="0">
      <sharedItems containsBlank="1"/>
    </cacheField>
    <cacheField name="Shipper Account Number" numFmtId="0">
      <sharedItems containsBlank="1"/>
    </cacheField>
    <cacheField name="Sort Window (Inbound)" numFmtId="0">
      <sharedItems containsBlank="1"/>
    </cacheField>
    <cacheField name="Sort Window (Processed)" numFmtId="0">
      <sharedItems containsBlank="1" count="3">
        <s v="IP_D1234"/>
        <s v="EURO1"/>
        <m/>
      </sharedItems>
    </cacheField>
    <cacheField name="Sort Area (Processed)" numFmtId="0">
      <sharedItems containsBlank="1" count="14">
        <s v="BOX PK"/>
        <m/>
        <s v="X RAY" u="1"/>
        <s v="R3" u="1"/>
        <s v="TRANSLOAD" u="1"/>
        <s v="Cage" u="1"/>
        <s v="DOC INFEED" u="1"/>
        <s v="RunD" u="1"/>
        <s v="DG INFEED" u="1"/>
        <s v="B/L IEB" u="1"/>
        <s v="HWT PK" u="1"/>
        <s v="R8" u="1"/>
        <s v="BACKLOG RAMP" u="1"/>
        <s v="SHR" u="1"/>
      </sharedItems>
    </cacheField>
    <cacheField name="Sort Sequence (Processed)" numFmtId="0">
      <sharedItems containsBlank="1" count="7">
        <s v="IP_D1234-MIX US"/>
        <s v="IP_D1234-MIX"/>
        <s v="IP_D1234-EMEA"/>
        <s v="EURO1-MIX"/>
        <m/>
        <s v="EURO1-CAN" u="1"/>
        <s v="NO SEQUENCE" u="1"/>
      </sharedItems>
    </cacheField>
    <cacheField name="Vessel Number" numFmtId="0">
      <sharedItems containsBlank="1" count="65">
        <s v="0038"/>
        <s v="5030"/>
        <s v="5051"/>
        <s v="0030"/>
        <s v="5046"/>
        <s v="5279"/>
        <s v="ROLL E1-19"/>
        <s v="5392"/>
        <s v="3621H"/>
        <s v="CDG05"/>
        <s v="5238"/>
        <s v="0078"/>
        <s v="3759H"/>
        <s v="3131H"/>
        <s v="3622H"/>
        <s v="3637H"/>
        <s v="JDP IP"/>
        <s v="3331H"/>
        <s v="CDG06"/>
        <s v="AI398"/>
        <s v="CDG04"/>
        <s v="CDG07"/>
        <s v="3628H"/>
        <m/>
        <s v="LIL10" u="1"/>
        <s v="4064H" u="1"/>
        <s v="ROLLE1-18" u="1"/>
        <s v="3753H" u="1"/>
        <s v="5022" u="1"/>
        <s v="3013H" u="1"/>
        <s v="EX XRAY" u="1"/>
        <s v="URO02" u="1"/>
        <s v="4065H" u="1"/>
        <s v="4075H" u="1"/>
        <s v="CDG09" u="1"/>
        <s v="CDG03" u="1"/>
        <s v="JDP" u="1"/>
        <s v="LIL01" u="1"/>
        <s v="LBG01" u="1"/>
        <s v="4515H" u="1"/>
        <s v="3035H" u="1"/>
        <s v="POX01" u="1"/>
        <s v="3332H" u="1"/>
        <s v="5195" u="1"/>
        <s v="TNF01" u="1"/>
        <s v="5391" u="1"/>
        <s v="3514H" u="1"/>
        <s v="3534H" u="1"/>
        <s v="PAR01" u="1"/>
        <s v="EX RAY" u="1"/>
        <s v="3353H" u="1"/>
        <s v="5277" u="1"/>
        <s v="0004" u="1"/>
        <s v="3636H" u="1"/>
        <s v="3737H" u="1"/>
        <s v="3001H" u="1"/>
        <s v="MRS01" u="1"/>
        <s v="3021H" u="1"/>
        <s v="7043" u="1"/>
        <s v="CDG08" u="1"/>
        <s v="7019" u="1"/>
        <s v="3651H" u="1"/>
        <s v="LYN05" u="1"/>
        <s v="LYN03" u="1"/>
        <s v="7014" u="1"/>
      </sharedItems>
    </cacheField>
    <cacheField name="Vessel Orig Loc" numFmtId="0">
      <sharedItems containsBlank="1"/>
    </cacheField>
    <cacheField name="Vessel Dest Loc" numFmtId="0">
      <sharedItems containsBlank="1"/>
    </cacheField>
    <cacheField name="Equip Code" numFmtId="0">
      <sharedItems containsBlank="1"/>
    </cacheField>
    <cacheField name="Arrival (Scheduled)" numFmtId="0">
      <sharedItems containsBlank="1"/>
    </cacheField>
    <cacheField name="Arrival (Actual)" numFmtId="0">
      <sharedItems containsBlank="1"/>
    </cacheField>
    <cacheField name="Gap Time STA/ATA" numFmtId="0">
      <sharedItems containsBlank="1"/>
    </cacheField>
    <cacheField name="Special Handling Codes" numFmtId="0">
      <sharedItems containsBlank="1"/>
    </cacheField>
    <cacheField name="Inbound Split" numFmtId="0">
      <sharedItems containsBlank="1"/>
    </cacheField>
    <cacheField name="MDE Available" numFmtId="0">
      <sharedItems containsBlank="1"/>
    </cacheField>
    <cacheField name="Ops Company" numFmtId="0">
      <sharedItems containsBlank="1"/>
    </cacheField>
    <cacheField name="Product Code" numFmtId="0">
      <sharedItems containsBlank="1"/>
    </cacheField>
    <cacheField name="DIM / Weight" numFmtId="0">
      <sharedItems containsBlank="1"/>
    </cacheField>
    <cacheField name="Ship Date" numFmtId="0">
      <sharedItems containsBlank="1"/>
    </cacheField>
    <cacheField name="Package Sort/As Type" numFmtId="0">
      <sharedItems containsBlank="1"/>
    </cacheField>
    <cacheField name="CONV/NON-CONV" numFmtId="0">
      <sharedItems containsBlank="1" count="3">
        <s v="CONVEYABLE"/>
        <s v="NON_CONV"/>
        <m/>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28">
  <r>
    <s v="20-11-2019"/>
    <s v="20-11-2019"/>
    <s v="777028944235"/>
    <s v="US"/>
    <s v="IN"/>
    <s v="COA"/>
    <s v="BLR"/>
    <s v="19-11-2019"/>
    <s v="22-11-2019"/>
    <s v="01"/>
    <s v="02"/>
    <s v="USD"/>
    <s v="1.00"/>
    <x v="0"/>
    <s v="2.10"/>
    <s v="L"/>
    <s v="OTHER"/>
    <s v="EURO1_MIX"/>
    <s v="IP_D1234_LATE"/>
    <s v="IP_D5_EMEA"/>
    <s v="IP_D6_MIX"/>
    <s v="WARM"/>
    <s v="DEL"/>
    <m/>
    <s v="1"/>
    <x v="0"/>
    <s v="304990606836"/>
    <s v="187335558"/>
    <s v="IP_D1234"/>
    <x v="0"/>
    <x v="0"/>
    <x v="0"/>
    <x v="0"/>
    <s v="MEM"/>
    <s v="CDG"/>
    <s v="0083"/>
    <s v="20/11/2019 20:43"/>
    <m/>
    <m/>
    <s v="02"/>
    <s v="EURO1_MIX,IP_D1234_LATE,IP_D5_EMEA,IP_D6_MIX"/>
    <s v="MDE_AVAILABLE"/>
    <s v="FEDEX"/>
    <s v="IPE"/>
    <s v="CONVEYABLE"/>
    <s v="19-11-2019"/>
    <s v="SMALL_PARCEL"/>
    <x v="0"/>
  </r>
  <r>
    <s v="20-11-2019"/>
    <s v="20-11-2019"/>
    <s v="135744517141"/>
    <s v="CN"/>
    <s v="DE"/>
    <s v="SXJ"/>
    <s v="STR"/>
    <m/>
    <s v="22-11-2019"/>
    <s v="04"/>
    <s v="01"/>
    <s v="USD"/>
    <s v="240.00"/>
    <x v="0"/>
    <s v="16.60"/>
    <s v="K"/>
    <s v="OTHER"/>
    <s v="EURO1_MIX"/>
    <s v="IP_D1234_MIX"/>
    <s v="IP_D5_MIX"/>
    <s v="IP_D6_MIX"/>
    <s v="COLD"/>
    <s v="CGN"/>
    <m/>
    <s v="1"/>
    <x v="1"/>
    <s v="304904491606"/>
    <s v="901581967"/>
    <s v="IP_D1234"/>
    <x v="0"/>
    <x v="0"/>
    <x v="1"/>
    <x v="1"/>
    <s v="CGN"/>
    <s v="CDG"/>
    <s v="0084"/>
    <s v="20/11/2019 13:20"/>
    <s v="20/11/2019 13:29"/>
    <s v="9"/>
    <s v="02,09,54"/>
    <s v="EURO1_MIX,IP_D1234_MIX,IP_D5_MIX,IP_D6_MIX"/>
    <s v="MDE_AVAILABLE"/>
    <s v="FEDEX"/>
    <s v="IEB"/>
    <s v="BUILDING_AB_NON_CONV,BUILDING_V_NON_CONV"/>
    <s v="16-11-2019"/>
    <s v="BOX"/>
    <x v="1"/>
  </r>
  <r>
    <s v="20-11-2019"/>
    <s v="20-11-2019"/>
    <s v="806093960681"/>
    <s v="CH"/>
    <s v="DE"/>
    <s v="QLS"/>
    <s v="STR"/>
    <s v="20-11-2019"/>
    <s v="21-11-2019"/>
    <s v="01"/>
    <s v="01"/>
    <s v="SFR"/>
    <s v="5.00"/>
    <x v="0"/>
    <s v="5.0"/>
    <s v="K"/>
    <s v="OTHER"/>
    <s v="EURO1_MIX"/>
    <s v="IP_D1234_MIX"/>
    <s v="IP_D5_MIX"/>
    <s v="IP_D6_MIX"/>
    <s v="WARM"/>
    <s v="CGN"/>
    <m/>
    <s v="1"/>
    <x v="2"/>
    <s v="221435149460"/>
    <s v="129853549"/>
    <s v="IP_D1234"/>
    <x v="0"/>
    <x v="0"/>
    <x v="1"/>
    <x v="2"/>
    <s v="BSL"/>
    <s v="CDG"/>
    <s v="0022"/>
    <s v="20/11/2019 18:36"/>
    <s v="20/11/2019 18:33"/>
    <s v="-3"/>
    <s v="02"/>
    <s v="EURO1_MIX,IP_D1234_MIX,IP_D5_MIX,IP_D6_MIX"/>
    <s v="MDE_AVAILABLE"/>
    <s v="FEDEX"/>
    <s v="IPE"/>
    <s v="CONVEYABLE"/>
    <s v="20-11-2019"/>
    <s v="BOX"/>
    <x v="0"/>
  </r>
  <r>
    <s v="20-11-2019"/>
    <s v="20-11-2019"/>
    <s v="484246885322"/>
    <s v="US"/>
    <s v="IT"/>
    <s v="TVC"/>
    <s v="QVA"/>
    <m/>
    <s v="21-11-2019"/>
    <s v="01"/>
    <s v="01"/>
    <s v="USD"/>
    <s v="144.00"/>
    <x v="0"/>
    <s v="1.40"/>
    <s v="L"/>
    <s v="OTHER"/>
    <s v="EURO1_MIX"/>
    <s v="IP_D1234_MIX"/>
    <s v="IP_D5_MIX"/>
    <s v="IP_D6_EMEA"/>
    <s v="WARM"/>
    <s v="MXP"/>
    <m/>
    <s v="1"/>
    <x v="3"/>
    <s v="304844073879"/>
    <s v="100657880"/>
    <s v="IP_D1234"/>
    <x v="0"/>
    <x v="0"/>
    <x v="1"/>
    <x v="3"/>
    <s v="IND"/>
    <s v="CDG"/>
    <s v="0083"/>
    <s v="20/11/2019 18:17"/>
    <s v="20/11/2019 18:54"/>
    <s v="37"/>
    <s v="02"/>
    <s v="EURO1_MIX,IP_D1234_MIX,IP_D5_MIX,IP_D6_EMEA"/>
    <s v="MDE_AVAILABLE"/>
    <s v="FEDEX"/>
    <s v="IPE"/>
    <s v="CONVEYABLE"/>
    <s v="19-11-2019"/>
    <s v="UNKNOWN"/>
    <x v="0"/>
  </r>
  <r>
    <s v="20-11-2019"/>
    <s v="20-11-2019"/>
    <s v="777015371015"/>
    <s v="US"/>
    <s v="IN"/>
    <s v="AYE"/>
    <s v="DEL"/>
    <s v="19-11-2019"/>
    <s v="22-11-2019"/>
    <s v="01"/>
    <s v="02"/>
    <s v="USD"/>
    <s v="1.00"/>
    <x v="0"/>
    <s v="1.00"/>
    <s v="L"/>
    <s v="OTHER"/>
    <s v="EURO1_MIX"/>
    <s v="IP_D1234_LATE"/>
    <s v="IP_D5_EMEA"/>
    <s v="IP_D6_MIX"/>
    <s v="WARM"/>
    <s v="DEL"/>
    <m/>
    <s v="1"/>
    <x v="4"/>
    <s v="305026503003"/>
    <s v="683846481"/>
    <s v="IP_D1234"/>
    <x v="0"/>
    <x v="0"/>
    <x v="2"/>
    <x v="4"/>
    <s v="EWR"/>
    <s v="CDG"/>
    <s v="0072"/>
    <s v="20/11/2019 17:41"/>
    <s v="20/11/2019 17:39"/>
    <s v="-2"/>
    <s v="02"/>
    <s v="EURO1_MIX,IP_D1234_LATE,IP_D5_EMEA,IP_D6_MIX"/>
    <s v="MDE_AVAILABLE"/>
    <s v="FEDEX"/>
    <s v="IPE"/>
    <s v="CONVEYABLE"/>
    <s v="19-11-2019"/>
    <s v="SMALL_PARCEL"/>
    <x v="0"/>
  </r>
  <r>
    <s v="20-11-2019"/>
    <s v="20-11-2019"/>
    <s v="778092229697"/>
    <s v="CN"/>
    <s v="GB"/>
    <s v="CIF"/>
    <s v="FIE"/>
    <m/>
    <s v="25-11-2019"/>
    <s v="04"/>
    <s v="01"/>
    <s v="USD"/>
    <s v="2320.00"/>
    <x v="0"/>
    <m/>
    <m/>
    <s v="OTHER"/>
    <s v="EURO1_MIX"/>
    <s v="IP_D1234_MIX"/>
    <s v="IP_D5_EMEA"/>
    <s v="IP_D6_MIX"/>
    <s v="UNKNOWN"/>
    <s v="STN"/>
    <s v="778092226600"/>
    <s v="4"/>
    <x v="5"/>
    <s v="304904491558"/>
    <s v="698977175"/>
    <s v="IP_D1234"/>
    <x v="0"/>
    <x v="0"/>
    <x v="1"/>
    <x v="5"/>
    <s v="DXB"/>
    <s v="CDG"/>
    <s v="0083"/>
    <s v="20/11/2019 18:49"/>
    <s v="20/11/2019 18:57"/>
    <s v="8"/>
    <s v="02,16"/>
    <s v="EURO1_MIX,IP_D1234_MIX,IP_D5_EMEA,IP_D6_MIX"/>
    <s v="MDE_AVAILABLE"/>
    <s v="FEDEX"/>
    <s v="IEB"/>
    <s v="BUILDING_AB_NON_CONV,BUILDING_V_NON_CONV"/>
    <s v="18-11-2019"/>
    <s v="BOX"/>
    <x v="1"/>
  </r>
  <r>
    <s v="20-11-2019"/>
    <s v="20-11-2019"/>
    <s v="135392502025"/>
    <s v="SG"/>
    <s v="CZ"/>
    <s v="XSP"/>
    <s v="UHE"/>
    <s v="19-11-2019"/>
    <s v="22-11-2019"/>
    <s v="18"/>
    <s v="01"/>
    <s v="USD"/>
    <s v="1133603.76"/>
    <x v="0"/>
    <s v="15.9"/>
    <s v="K"/>
    <s v="OTHER"/>
    <s v="EURO1_MIX"/>
    <s v="IP_D1234_LATE"/>
    <s v="IP_D5_EMEA"/>
    <s v="IP_D6_EMEA"/>
    <s v="COLD"/>
    <s v="PRG"/>
    <s v="135392493840"/>
    <s v="1"/>
    <x v="0"/>
    <s v="304904421297"/>
    <s v="685123525"/>
    <s v="IP_D1234"/>
    <x v="0"/>
    <x v="0"/>
    <x v="0"/>
    <x v="1"/>
    <s v="CGN"/>
    <s v="CDG"/>
    <s v="0084"/>
    <s v="20/11/2019 13:20"/>
    <s v="20/11/2019 13:29"/>
    <s v="9"/>
    <s v="02"/>
    <s v="EURO1_MIX,IP_D1234_LATE,IP_D5_EMEA,IP_D6_EMEA"/>
    <s v="MDE_AVAILABLE"/>
    <s v="FEDEX"/>
    <s v="IPD"/>
    <s v="CONVEYABLE"/>
    <s v="19-11-2019"/>
    <s v="BOX"/>
    <x v="0"/>
  </r>
  <r>
    <s v="19-11-2019"/>
    <s v="20-11-2019"/>
    <s v="777018914540"/>
    <s v="IT"/>
    <s v="DE"/>
    <s v="VBS"/>
    <s v="ZAS"/>
    <s v="19-11-2019"/>
    <s v="21-11-2019"/>
    <s v="01"/>
    <s v="01"/>
    <s v="EUR"/>
    <s v="592.00"/>
    <x v="0"/>
    <s v="22.80"/>
    <s v="L"/>
    <s v="OTHER"/>
    <s v="EURO1_MIX"/>
    <s v="IP_D1234_MIX"/>
    <s v="IP_D5_MIX"/>
    <s v="IP_D6_MIX"/>
    <s v="COLD"/>
    <s v="CGN"/>
    <s v="777018914610"/>
    <s v="8"/>
    <x v="6"/>
    <s v="304882601925"/>
    <s v="352729019"/>
    <s v="EURO1"/>
    <x v="0"/>
    <x v="0"/>
    <x v="0"/>
    <x v="6"/>
    <s v="CDG"/>
    <s v="CDG"/>
    <m/>
    <m/>
    <m/>
    <m/>
    <s v="02"/>
    <s v="EURO1_MIX,IP_D1234_MIX,IP_D5_MIX,IP_D6_MIX"/>
    <s v="MDE_AVAILABLE"/>
    <s v="FEDEX"/>
    <s v="IPE"/>
    <s v="CONVEYABLE"/>
    <s v="19-11-2019"/>
    <s v="BOX"/>
    <x v="0"/>
  </r>
  <r>
    <s v="20-11-2019"/>
    <s v="20-11-2019"/>
    <s v="777018434641"/>
    <s v="JP"/>
    <s v="GB"/>
    <s v="TYO"/>
    <s v="NQT"/>
    <s v="19-11-2019"/>
    <s v="21-11-2019"/>
    <s v="01"/>
    <s v="01"/>
    <s v="UKL"/>
    <s v="4241.50"/>
    <x v="0"/>
    <s v="5.10"/>
    <s v="K"/>
    <s v="OTHER"/>
    <s v="EURO1_MIX"/>
    <s v="IP_D1234_MIX"/>
    <s v="IP_D5_EMEA"/>
    <s v="IP_D6_MIX"/>
    <s v="WARM"/>
    <s v="STN"/>
    <m/>
    <s v="1"/>
    <x v="7"/>
    <s v="305386316972"/>
    <s v="131009429"/>
    <s v="IP_D1234"/>
    <x v="0"/>
    <x v="0"/>
    <x v="0"/>
    <x v="7"/>
    <s v="NRT"/>
    <s v="CDG"/>
    <s v="0083"/>
    <s v="20/11/2019 16:53"/>
    <s v="20/11/2019 17:38"/>
    <s v="45"/>
    <s v="02"/>
    <s v="EURO1_MIX,IP_D1234_MIX,IP_D5_EMEA,IP_D6_MIX"/>
    <s v="MDE_AVAILABLE"/>
    <s v="FEDEX"/>
    <s v="IPE"/>
    <s v="CONVEYABLE"/>
    <s v="19-11-2019"/>
    <s v="BOX"/>
    <x v="0"/>
  </r>
  <r>
    <s v="20-11-2019"/>
    <s v="20-11-2019"/>
    <s v="102303080618"/>
    <s v="US"/>
    <s v="LV"/>
    <s v="COA"/>
    <s v="RIX"/>
    <s v="19-11-2019"/>
    <s v="25-11-2019"/>
    <s v="01"/>
    <s v="03"/>
    <s v="USD"/>
    <s v="100.00"/>
    <x v="0"/>
    <s v="1.30"/>
    <s v="L"/>
    <s v="OTHER"/>
    <s v="EURO1_MIX"/>
    <s v="IP_D1234_LATE"/>
    <s v="IP_D5_EMEA"/>
    <s v="IP_D6_MIX"/>
    <s v="COLD"/>
    <s v="HEL"/>
    <m/>
    <s v="1"/>
    <x v="8"/>
    <s v="304990990352"/>
    <s v="138858693"/>
    <s v="IP_D1234"/>
    <x v="0"/>
    <x v="0"/>
    <x v="2"/>
    <x v="0"/>
    <s v="MEM"/>
    <s v="CDG"/>
    <s v="0083"/>
    <s v="20/11/2019 20:43"/>
    <m/>
    <m/>
    <s v="02,54"/>
    <s v="EURO1_MIX,IP_D1234_LATE,IP_D5_EMEA,IP_D6_MIX"/>
    <s v="MDE_AVAILABLE"/>
    <s v="FEDEX"/>
    <s v="IPE"/>
    <s v="CONVEYABLE"/>
    <s v="19-11-2019"/>
    <s v="SMALL_PARCEL"/>
    <x v="0"/>
  </r>
  <r>
    <s v="20-11-2019"/>
    <s v="20-11-2019"/>
    <s v="778135395837"/>
    <s v="US"/>
    <s v="SC"/>
    <s v="PNV"/>
    <s v="SEZ"/>
    <s v="19-11-2019"/>
    <s v="26-11-2019"/>
    <s v="01"/>
    <s v="01"/>
    <s v="USD"/>
    <s v="15.00"/>
    <x v="0"/>
    <s v="0.30"/>
    <s v="L"/>
    <s v="OTHER"/>
    <s v="EURO1_MIX"/>
    <s v="IP_D1234_LATE"/>
    <s v="IP_D5_EMEA"/>
    <s v="IP_D6_MIX"/>
    <s v="COLD"/>
    <s v="DXB"/>
    <m/>
    <s v="1"/>
    <x v="0"/>
    <s v="304990606836"/>
    <s v="808894688"/>
    <s v="IP_D1234"/>
    <x v="0"/>
    <x v="0"/>
    <x v="0"/>
    <x v="0"/>
    <s v="MEM"/>
    <s v="CDG"/>
    <s v="0083"/>
    <s v="20/11/2019 20:43"/>
    <m/>
    <m/>
    <s v="02,28,52,83"/>
    <s v="EURO1_MIX,IP_D1234_LATE,IP_D5_EMEA,IP_D6_MIX"/>
    <s v="MDE_AVAILABLE"/>
    <s v="FEDEX"/>
    <s v="IPE"/>
    <s v="CONVEYABLE"/>
    <s v="19-11-2019"/>
    <s v="SMALL_PARCEL"/>
    <x v="0"/>
  </r>
  <r>
    <s v="20-11-2019"/>
    <s v="20-11-2019"/>
    <s v="777020268736"/>
    <s v="US"/>
    <s v="IN"/>
    <s v="ALN"/>
    <s v="IXC"/>
    <s v="19-11-2019"/>
    <s v="25-11-2019"/>
    <s v="01"/>
    <s v="02"/>
    <s v="USD"/>
    <s v="30.00"/>
    <x v="0"/>
    <s v="1.00"/>
    <s v="L"/>
    <s v="OTHER"/>
    <s v="EURO1_MIX"/>
    <s v="IP_D1234_LATE"/>
    <s v="IP_D5_EMEA"/>
    <s v="IP_D6_MIX"/>
    <s v="COLD"/>
    <s v="DEL"/>
    <m/>
    <s v="1"/>
    <x v="9"/>
    <s v="304844441782"/>
    <s v="101678067"/>
    <s v="IP_D1234"/>
    <x v="0"/>
    <x v="0"/>
    <x v="1"/>
    <x v="3"/>
    <s v="IND"/>
    <s v="CDG"/>
    <s v="0083"/>
    <s v="20/11/2019 18:17"/>
    <s v="20/11/2019 18:54"/>
    <s v="37"/>
    <s v="02"/>
    <s v="EURO1_MIX,IP_D1234_LATE,IP_D5_EMEA,IP_D6_MIX"/>
    <s v="MDE_AVAILABLE"/>
    <s v="FEDEX"/>
    <s v="IPE"/>
    <s v="CONVEYABLE"/>
    <s v="19-11-2019"/>
    <s v="SMALL_PARCEL"/>
    <x v="0"/>
  </r>
  <r>
    <s v="19-11-2019"/>
    <s v="20-11-2019"/>
    <s v="777018649330"/>
    <s v="SE"/>
    <s v="DE"/>
    <s v="GOT"/>
    <s v="FMO"/>
    <s v="19-11-2019"/>
    <s v="20-11-2019"/>
    <s v="01"/>
    <s v="06"/>
    <s v="SEK"/>
    <s v="0.00"/>
    <x v="1"/>
    <s v="0.10"/>
    <s v="K"/>
    <s v="OTHER"/>
    <s v="EURO1_MIX"/>
    <s v="IP_D1234_MIX"/>
    <s v="IP_D5_MIX"/>
    <s v="IP_D6_MIX"/>
    <s v="HOT"/>
    <s v="CGN"/>
    <m/>
    <s v="1"/>
    <x v="10"/>
    <s v="304882416668"/>
    <s v="297897411"/>
    <s v="EURO1"/>
    <x v="0"/>
    <x v="0"/>
    <x v="0"/>
    <x v="6"/>
    <s v="CDG"/>
    <s v="CDG"/>
    <m/>
    <m/>
    <m/>
    <m/>
    <s v="02"/>
    <s v="EURO1_MIX,IP_D1234_MIX,IP_D5_MIX,IP_D6_MIX"/>
    <s v="MDE_AVAILABLE"/>
    <s v="FEDEX"/>
    <s v="IPE"/>
    <s v="CONVEYABLE"/>
    <s v="19-11-2019"/>
    <s v="DOC"/>
    <x v="0"/>
  </r>
  <r>
    <s v="20-11-2019"/>
    <s v="20-11-2019"/>
    <s v="106817310832"/>
    <s v="CN"/>
    <s v="EG"/>
    <s v="TXN"/>
    <s v="CAI"/>
    <s v="19-11-2019"/>
    <s v="24-11-2019"/>
    <s v="01"/>
    <s v="06"/>
    <s v="USD"/>
    <s v="5.00"/>
    <x v="1"/>
    <s v="0.50"/>
    <s v="K"/>
    <s v="OTHER"/>
    <s v="EURO1_MIX"/>
    <s v="IP_D1234_LATE"/>
    <s v="IP_D5_EMEA"/>
    <s v="IP_D6_EMEA"/>
    <s v="COLD"/>
    <s v="CDG"/>
    <m/>
    <s v="1"/>
    <x v="11"/>
    <s v="305073044016"/>
    <s v="901614970"/>
    <s v="IP_D1234"/>
    <x v="0"/>
    <x v="0"/>
    <x v="0"/>
    <x v="8"/>
    <s v="LGGT7"/>
    <s v="CDGH"/>
    <s v="8009"/>
    <s v="20/11/2019 18:00"/>
    <s v="20/11/2019 18:47"/>
    <s v="47"/>
    <s v="02"/>
    <s v="EURO1_MIX,IP_D1234_LATE,IP_D5_EMEA,IP_D6_EMEA"/>
    <s v="MDE_AVAILABLE"/>
    <s v="FEDEX"/>
    <s v="IPE"/>
    <s v="CONVEYABLE"/>
    <s v="19-11-2019"/>
    <s v="DOC"/>
    <x v="0"/>
  </r>
  <r>
    <s v="20-11-2019"/>
    <s v="20-11-2019"/>
    <s v="777006208325"/>
    <s v="VN"/>
    <s v="DE"/>
    <s v="SGN"/>
    <s v="HAM"/>
    <s v="19-11-2019"/>
    <s v="21-11-2019"/>
    <s v="01"/>
    <s v="01"/>
    <s v="USD"/>
    <s v="250.00"/>
    <x v="0"/>
    <s v="20.00"/>
    <s v="K"/>
    <s v="OTHER"/>
    <s v="EURO1_MIX"/>
    <s v="IP_D1234_MIX"/>
    <s v="IP_D5_MIX"/>
    <s v="IP_D6_MIX"/>
    <s v="WARM"/>
    <s v="CGN"/>
    <m/>
    <s v="1"/>
    <x v="12"/>
    <s v="221484122108"/>
    <s v="982005655"/>
    <s v="IP_D1234"/>
    <x v="0"/>
    <x v="0"/>
    <x v="0"/>
    <x v="9"/>
    <s v="CDGRP"/>
    <s v="CDGH"/>
    <s v="8009"/>
    <s v="20/11/2019 16:15"/>
    <s v="20/11/2019 16:55"/>
    <s v="40"/>
    <s v="02"/>
    <s v="EURO1_MIX,IP_D1234_MIX,IP_D5_MIX,IP_D6_MIX"/>
    <s v="MDE_AVAILABLE"/>
    <s v="FEDEX"/>
    <s v="IPE"/>
    <s v="BUILDING_AB_NON_CONV,BUILDING_V_NON_CONV"/>
    <s v="19-11-2019"/>
    <s v="BOX"/>
    <x v="1"/>
  </r>
  <r>
    <s v="20-11-2019"/>
    <s v="20-11-2019"/>
    <s v="813040424770"/>
    <s v="IN"/>
    <s v="GB"/>
    <s v="BOM"/>
    <s v="BBS"/>
    <s v="19-11-2019"/>
    <s v="21-11-2019"/>
    <s v="01"/>
    <s v="02"/>
    <s v="USD"/>
    <s v="1.00"/>
    <x v="0"/>
    <s v="3.80"/>
    <s v="L"/>
    <s v="OTHER"/>
    <s v="EURO1_MIX"/>
    <s v="IP_D1234_MIX"/>
    <s v="IP_D5_EMEA"/>
    <s v="IP_D6_MIX"/>
    <s v="WARM"/>
    <s v="STN"/>
    <m/>
    <s v="1"/>
    <x v="13"/>
    <s v="814449867951"/>
    <s v="156261726"/>
    <s v="IP_D1234"/>
    <x v="0"/>
    <x v="0"/>
    <x v="0"/>
    <x v="10"/>
    <s v="MXP"/>
    <s v="CDG"/>
    <s v="0072"/>
    <s v="20/11/2019 18:21"/>
    <s v="20/11/2019 18:27"/>
    <s v="6"/>
    <s v="02"/>
    <s v="EURO1_MIX,IP_D1234_MIX,IP_D5_EMEA,IP_D6_MIX"/>
    <s v="MDE_AVAILABLE"/>
    <s v="FEDEX"/>
    <s v="IPE"/>
    <s v="CONVEYABLE"/>
    <s v="19-11-2019"/>
    <s v="SMALL_PARCEL"/>
    <x v="0"/>
  </r>
  <r>
    <s v="20-11-2019"/>
    <s v="20-11-2019"/>
    <s v="135392502014"/>
    <s v="SG"/>
    <s v="CZ"/>
    <s v="XSP"/>
    <s v="BRQ"/>
    <s v="19-11-2019"/>
    <s v="22-11-2019"/>
    <s v="18"/>
    <s v="01"/>
    <s v="USD"/>
    <s v="1133603.76"/>
    <x v="0"/>
    <s v="11.80"/>
    <s v="K"/>
    <s v="OTHER"/>
    <s v="EURO1_MIX"/>
    <s v="IP_D1234_LATE"/>
    <s v="IP_D5_EMEA"/>
    <s v="IP_D6_EMEA"/>
    <s v="COLD"/>
    <s v="PRG"/>
    <s v="135392493840"/>
    <s v="1"/>
    <x v="0"/>
    <s v="304904421297"/>
    <s v="685123525"/>
    <s v="IP_D1234"/>
    <x v="0"/>
    <x v="0"/>
    <x v="0"/>
    <x v="1"/>
    <s v="CGN"/>
    <s v="CDG"/>
    <s v="0084"/>
    <s v="20/11/2019 13:20"/>
    <s v="20/11/2019 13:29"/>
    <s v="9"/>
    <s v="02"/>
    <s v="EURO1_MIX,IP_D1234_LATE,IP_D5_EMEA,IP_D6_EMEA"/>
    <s v="MDE_AVAILABLE"/>
    <s v="FEDEX"/>
    <s v="IPD"/>
    <s v="CONVEYABLE"/>
    <s v="19-11-2019"/>
    <s v="BOX"/>
    <x v="0"/>
  </r>
  <r>
    <s v="20-11-2019"/>
    <s v="20-11-2019"/>
    <s v="129931956367"/>
    <s v="US"/>
    <s v="FR"/>
    <s v="ATU"/>
    <s v="RNE"/>
    <m/>
    <s v="21-11-2019"/>
    <s v="01"/>
    <s v="01"/>
    <s v="USD"/>
    <s v="200.00"/>
    <x v="0"/>
    <s v="13.00"/>
    <s v="L"/>
    <s v="OTHER"/>
    <s v="EURO1_MIX"/>
    <s v="IP_D1234_EMEA"/>
    <s v="IP_D5_EMEA"/>
    <s v="IP_D6_EMEA"/>
    <s v="WARM"/>
    <s v="CDG"/>
    <m/>
    <s v="1"/>
    <x v="14"/>
    <s v="304990406900"/>
    <s v="358910424"/>
    <s v="IP_D1234"/>
    <x v="0"/>
    <x v="0"/>
    <x v="1"/>
    <x v="11"/>
    <s v="MEM"/>
    <s v="CDG"/>
    <s v="0016"/>
    <s v="20/11/2019 18:47"/>
    <m/>
    <m/>
    <s v="02"/>
    <s v="EURO1_MIX,IP_D1234_EMEA,IP_D5_EMEA,IP_D6_EMEA"/>
    <s v="MDE_AVAILABLE"/>
    <s v="FEDEX"/>
    <s v="IPE"/>
    <s v="CONVEYABLE"/>
    <s v="19-11-2019"/>
    <s v="BOX"/>
    <x v="0"/>
  </r>
  <r>
    <s v="20-11-2019"/>
    <s v="20-11-2019"/>
    <s v="812150605170"/>
    <s v="IT"/>
    <s v="FR"/>
    <s v="QLP"/>
    <s v="QNJ"/>
    <s v="20-11-2019"/>
    <s v="22-11-2019"/>
    <s v="57"/>
    <s v="01"/>
    <s v="EUR"/>
    <s v="0.00"/>
    <x v="0"/>
    <s v="25.40"/>
    <s v="L"/>
    <s v="OTHER"/>
    <s v="EURO1_MIX"/>
    <s v="IP_D1234_EMEA"/>
    <s v="IP_D5_EMEA"/>
    <s v="IP_D6_EMEA"/>
    <s v="COLD"/>
    <s v="CDG"/>
    <s v="876350096440"/>
    <s v="4"/>
    <x v="15"/>
    <s v="305054141025"/>
    <s v="282663368"/>
    <s v="IP_D1234"/>
    <x v="0"/>
    <x v="0"/>
    <x v="1"/>
    <x v="10"/>
    <s v="MXP"/>
    <s v="CDG"/>
    <s v="0072"/>
    <s v="20/11/2019 18:21"/>
    <s v="20/11/2019 18:27"/>
    <s v="6"/>
    <s v="02"/>
    <s v="EURO1_MIX,IP_D1234_EMEA,IP_D5_EMEA,IP_D6_EMEA"/>
    <s v="MDE_AVAILABLE"/>
    <s v="FEDEX"/>
    <s v="FEF"/>
    <s v="CONVEYABLE"/>
    <s v="20-11-2019"/>
    <s v="BOX"/>
    <x v="0"/>
  </r>
  <r>
    <s v="20-11-2019"/>
    <s v="20-11-2019"/>
    <s v="777028464347"/>
    <s v="CA"/>
    <s v="CZ"/>
    <s v="YKZ"/>
    <s v="PRG"/>
    <s v="19-11-2019"/>
    <s v="22-11-2019"/>
    <s v="01"/>
    <s v="01"/>
    <s v="USD"/>
    <s v="215925.00"/>
    <x v="0"/>
    <m/>
    <m/>
    <s v="OTHER"/>
    <s v="EURO1_MIX"/>
    <s v="IP_D1234_LATE"/>
    <s v="IP_D5_EMEA"/>
    <s v="IP_D6_EMEA"/>
    <s v="COLD"/>
    <s v="PRG"/>
    <s v="777028463627"/>
    <s v="6"/>
    <x v="16"/>
    <s v="304844073721"/>
    <s v="122593630"/>
    <s v="IP_D1234"/>
    <x v="0"/>
    <x v="0"/>
    <x v="2"/>
    <x v="3"/>
    <s v="IND"/>
    <s v="CDG"/>
    <s v="0083"/>
    <s v="20/11/2019 18:17"/>
    <s v="20/11/2019 18:54"/>
    <s v="37"/>
    <s v="02"/>
    <s v="EURO1_MIX,IP_D1234_LATE,IP_D5_EMEA,IP_D6_EMEA"/>
    <s v="MDE_AVAILABLE"/>
    <s v="FEDEX"/>
    <s v="IPE"/>
    <s v="CONVEYABLE"/>
    <s v="19-11-2019"/>
    <s v="UNKNOWN"/>
    <x v="0"/>
  </r>
  <r>
    <s v="20-11-2019"/>
    <s v="20-11-2019"/>
    <s v="777018169464"/>
    <s v="VN"/>
    <s v="LU"/>
    <s v="HAN"/>
    <s v="ZYZ"/>
    <s v="19-11-2019"/>
    <m/>
    <s v="01"/>
    <s v="01"/>
    <s v="USD"/>
    <s v="80.00"/>
    <x v="0"/>
    <m/>
    <m/>
    <s v="OTHER"/>
    <s v="EURO1_MIX"/>
    <s v="IP_D1234_LATE"/>
    <s v="IP_D5_EMEA"/>
    <s v="IP_D6_EMEA"/>
    <s v="UNKNOWN"/>
    <s v="LUX"/>
    <s v="777018169865"/>
    <s v="2"/>
    <x v="17"/>
    <s v="304904421209"/>
    <s v="640618183"/>
    <s v="IP_D1234"/>
    <x v="0"/>
    <x v="0"/>
    <x v="2"/>
    <x v="1"/>
    <s v="CGN"/>
    <s v="CDG"/>
    <s v="0084"/>
    <s v="20/11/2019 13:20"/>
    <s v="20/11/2019 13:29"/>
    <s v="9"/>
    <s v="02"/>
    <s v="EURO1_MIX,IP_D1234_LATE,IP_D5_EMEA,IP_D6_EMEA"/>
    <s v="MDE_AVAILABLE"/>
    <s v="FEDEX"/>
    <s v="IPE"/>
    <s v="CONVEYABLE"/>
    <s v="19-11-2019"/>
    <s v="UNKNOWN"/>
    <x v="0"/>
  </r>
  <r>
    <s v="20-11-2019"/>
    <s v="20-11-2019"/>
    <s v="778054783701"/>
    <s v="CO"/>
    <s v="CH"/>
    <s v="MDE"/>
    <s v="GVA"/>
    <s v="15-11-2019"/>
    <s v="20-11-2019"/>
    <s v="01"/>
    <s v="02"/>
    <s v="USD"/>
    <s v="1.00"/>
    <x v="0"/>
    <s v="1.20"/>
    <s v="L"/>
    <s v="OTHER"/>
    <s v="EURO1_MIX"/>
    <s v="IP_D1234_MIX"/>
    <s v="IP_D5_EMEA"/>
    <s v="IP_D6_EMEA"/>
    <s v="DEAD"/>
    <s v="BSL"/>
    <m/>
    <s v="1"/>
    <x v="0"/>
    <s v="304990606836"/>
    <s v="250887787"/>
    <s v="IP_D1234"/>
    <x v="0"/>
    <x v="0"/>
    <x v="0"/>
    <x v="0"/>
    <s v="MEM"/>
    <s v="CDG"/>
    <s v="0083"/>
    <s v="20/11/2019 20:43"/>
    <m/>
    <m/>
    <s v="02"/>
    <s v="EURO1_MIX,IP_D1234_MIX,IP_D5_EMEA,IP_D6_EMEA"/>
    <s v="MDE_AVAILABLE"/>
    <s v="FEDEX"/>
    <s v="IPE"/>
    <s v="CONVEYABLE"/>
    <s v="15-11-2019"/>
    <s v="SMALL_PARCEL"/>
    <x v="0"/>
  </r>
  <r>
    <s v="20-11-2019"/>
    <s v="20-11-2019"/>
    <s v="778156335760"/>
    <s v="US"/>
    <s v="CH"/>
    <s v="VNY"/>
    <s v="ZRH"/>
    <s v="19-11-2019"/>
    <s v="21-11-2019"/>
    <s v="01"/>
    <s v="01"/>
    <s v="USD"/>
    <s v="241001.30"/>
    <x v="0"/>
    <m/>
    <m/>
    <s v="OTHER"/>
    <s v="EURO1_MIX"/>
    <s v="IP_D1234_MIX"/>
    <s v="IP_D5_EMEA"/>
    <s v="IP_D6_EMEA"/>
    <s v="WARM"/>
    <s v="BSL"/>
    <s v="778156334454"/>
    <s v="7"/>
    <x v="18"/>
    <s v="304844441793"/>
    <s v="208202448"/>
    <s v="IP_D1234"/>
    <x v="0"/>
    <x v="0"/>
    <x v="1"/>
    <x v="3"/>
    <s v="IND"/>
    <s v="CDG"/>
    <s v="0083"/>
    <s v="20/11/2019 18:17"/>
    <s v="20/11/2019 18:54"/>
    <s v="37"/>
    <s v="02"/>
    <s v="EURO1_MIX,IP_D1234_MIX,IP_D5_EMEA,IP_D6_EMEA"/>
    <s v="MDE_AVAILABLE"/>
    <s v="FEDEX"/>
    <s v="IPE"/>
    <s v="CONVEYABLE"/>
    <s v="19-11-2019"/>
    <s v="BOX"/>
    <x v="0"/>
  </r>
  <r>
    <s v="20-11-2019"/>
    <s v="20-11-2019"/>
    <s v="812150605181"/>
    <s v="IT"/>
    <s v="FR"/>
    <s v="QLP"/>
    <s v="QNJ"/>
    <s v="20-11-2019"/>
    <s v="22-11-2019"/>
    <s v="57"/>
    <s v="01"/>
    <s v="EUR"/>
    <s v="0.00"/>
    <x v="0"/>
    <s v="15.80"/>
    <s v="L"/>
    <s v="OTHER"/>
    <s v="EURO1_MIX"/>
    <s v="IP_D1234_EMEA"/>
    <s v="IP_D5_EMEA"/>
    <s v="IP_D6_EMEA"/>
    <s v="COLD"/>
    <s v="CDG"/>
    <s v="876350096440"/>
    <s v="4"/>
    <x v="19"/>
    <s v="305054168087"/>
    <s v="282663368"/>
    <s v="IP_D1234"/>
    <x v="0"/>
    <x v="0"/>
    <x v="0"/>
    <x v="10"/>
    <s v="MXP"/>
    <s v="CDG"/>
    <s v="0072"/>
    <s v="20/11/2019 18:21"/>
    <s v="20/11/2019 18:27"/>
    <s v="6"/>
    <s v="02"/>
    <s v="EURO1_MIX,IP_D1234_EMEA,IP_D5_EMEA,IP_D6_EMEA"/>
    <s v="MDE_AVAILABLE"/>
    <s v="FEDEX"/>
    <s v="FEF"/>
    <s v="CONVEYABLE"/>
    <s v="20-11-2019"/>
    <s v="BOX"/>
    <x v="0"/>
  </r>
  <r>
    <s v="20-11-2019"/>
    <s v="20-11-2019"/>
    <s v="777025452860"/>
    <s v="US"/>
    <s v="TR"/>
    <s v="TSS"/>
    <s v="DIY"/>
    <s v="19-11-2019"/>
    <s v="21-11-2019"/>
    <s v="01"/>
    <s v="06"/>
    <s v="USD"/>
    <s v="1.00"/>
    <x v="1"/>
    <s v="0.50"/>
    <s v="L"/>
    <s v="OTHER"/>
    <s v="EURO1_MIX"/>
    <s v="IP_D1234_EMEA"/>
    <s v="IP_D5_EMEA"/>
    <s v="IP_D6_EMEA"/>
    <s v="UNKNOWN"/>
    <s v="IST"/>
    <m/>
    <s v="1"/>
    <x v="0"/>
    <s v="305026416022"/>
    <s v="859677274"/>
    <s v="IP_D1234"/>
    <x v="0"/>
    <x v="0"/>
    <x v="0"/>
    <x v="4"/>
    <s v="EWR"/>
    <s v="CDG"/>
    <s v="0072"/>
    <s v="20/11/2019 17:41"/>
    <s v="20/11/2019 17:39"/>
    <s v="-2"/>
    <s v="02"/>
    <s v="EURO1_MIX,IP_D1234_EMEA,IP_D5_EMEA,IP_D6_EMEA"/>
    <s v="MDE_AVAILABLE"/>
    <s v="FEDEX"/>
    <s v="IPE"/>
    <s v="CONVEYABLE"/>
    <s v="19-11-2019"/>
    <s v="DOC"/>
    <x v="0"/>
  </r>
  <r>
    <s v="20-11-2019"/>
    <s v="20-11-2019"/>
    <s v="777006149480"/>
    <s v="CN"/>
    <s v="FR"/>
    <s v="HGH"/>
    <s v="ZFQ"/>
    <m/>
    <s v="21-11-2019"/>
    <s v="01"/>
    <s v="02"/>
    <s v="USD"/>
    <s v="3.00"/>
    <x v="0"/>
    <s v="0.50"/>
    <s v="K"/>
    <s v="OTHER"/>
    <s v="EURO1_MIX"/>
    <s v="IP_D1234_EMEA"/>
    <s v="IP_D5_EMEA"/>
    <s v="IP_D6_EMEA"/>
    <s v="WARM"/>
    <s v="CDG"/>
    <m/>
    <s v="1"/>
    <x v="20"/>
    <s v="305072965799"/>
    <s v="388450100"/>
    <s v="IP_D1234"/>
    <x v="0"/>
    <x v="0"/>
    <x v="2"/>
    <x v="7"/>
    <s v="NRT"/>
    <s v="CDG"/>
    <s v="0083"/>
    <s v="20/11/2019 16:53"/>
    <s v="20/11/2019 17:38"/>
    <s v="45"/>
    <s v="02"/>
    <s v="EURO1_MIX,IP_D1234_EMEA,IP_D5_EMEA,IP_D6_EMEA"/>
    <s v="MDE_AVAILABLE"/>
    <s v="FEDEX"/>
    <s v="IPE"/>
    <s v="CONVEYABLE"/>
    <s v="18-11-2019"/>
    <s v="SMALL_PARCEL"/>
    <x v="0"/>
  </r>
  <r>
    <s v="20-11-2019"/>
    <s v="20-11-2019"/>
    <s v="414352181250"/>
    <s v="AU"/>
    <s v="AT"/>
    <s v="SYD"/>
    <s v="VIE"/>
    <m/>
    <s v="15-11-2019"/>
    <s v="01"/>
    <s v="01"/>
    <s v="USD"/>
    <s v="370.00"/>
    <x v="0"/>
    <s v="1.10"/>
    <s v="L"/>
    <s v="OTHER"/>
    <s v="EURO1_MIX"/>
    <s v="IP_D1234_LATE"/>
    <s v="IP_D5_EMEA"/>
    <s v="IP_D6_EMEA"/>
    <s v="DEAD"/>
    <s v="VIE"/>
    <m/>
    <s v="1"/>
    <x v="17"/>
    <s v="304904421209"/>
    <s v="259551498"/>
    <s v="IP_D1234"/>
    <x v="0"/>
    <x v="0"/>
    <x v="2"/>
    <x v="1"/>
    <s v="CGN"/>
    <s v="CDG"/>
    <s v="0084"/>
    <s v="20/11/2019 13:20"/>
    <s v="20/11/2019 13:29"/>
    <s v="9"/>
    <s v="02,54"/>
    <s v="EURO1_MIX,IP_D1234_LATE,IP_D5_EMEA,IP_D6_EMEA"/>
    <s v="MDE_AVAILABLE"/>
    <s v="FEDEX"/>
    <s v="IPE"/>
    <s v="CONVEYABLE"/>
    <s v="19-11-2019"/>
    <s v="BOX"/>
    <x v="0"/>
  </r>
  <r>
    <s v="20-11-2019"/>
    <s v="20-11-2019"/>
    <s v="110292442008"/>
    <s v="US"/>
    <s v="GB"/>
    <s v="GRR"/>
    <s v="FKH"/>
    <m/>
    <s v="22-11-2019"/>
    <s v="18"/>
    <s v="01"/>
    <s v="USD"/>
    <s v="8473.83"/>
    <x v="0"/>
    <s v="11.10"/>
    <s v="L"/>
    <s v="OTHER"/>
    <s v="EURO1_MIX"/>
    <s v="IP_D1234_MIX"/>
    <s v="IP_D5_EMEA"/>
    <s v="IP_D6_MIX"/>
    <s v="COLD"/>
    <s v="STN"/>
    <s v="110292441034"/>
    <s v="1"/>
    <x v="21"/>
    <s v="304991539110"/>
    <s v="915425798"/>
    <s v="IP_D1234"/>
    <x v="0"/>
    <x v="0"/>
    <x v="1"/>
    <x v="11"/>
    <s v="MEM"/>
    <s v="CDG"/>
    <s v="0016"/>
    <s v="20/11/2019 18:47"/>
    <m/>
    <m/>
    <s v="02"/>
    <s v="EURO1_MIX,IP_D1234_MIX,IP_D5_EMEA,IP_D6_MIX"/>
    <s v="MDE_AVAILABLE"/>
    <s v="FEDEX"/>
    <s v="IPD"/>
    <s v="CONVEYABLE"/>
    <s v="19-11-2019"/>
    <s v="BOX"/>
    <x v="0"/>
  </r>
  <r>
    <s v="20-11-2019"/>
    <s v="20-11-2019"/>
    <s v="135392502036"/>
    <s v="SG"/>
    <s v="CZ"/>
    <s v="XSP"/>
    <s v="UHE"/>
    <s v="19-11-2019"/>
    <s v="22-11-2019"/>
    <s v="18"/>
    <s v="01"/>
    <s v="USD"/>
    <s v="1133603.76"/>
    <x v="0"/>
    <s v="15.90"/>
    <s v="K"/>
    <s v="OTHER"/>
    <s v="EURO1_MIX"/>
    <s v="IP_D1234_LATE"/>
    <s v="IP_D5_EMEA"/>
    <s v="IP_D6_EMEA"/>
    <s v="COLD"/>
    <s v="PRG"/>
    <s v="135392493840"/>
    <s v="1"/>
    <x v="22"/>
    <s v="304904421264"/>
    <s v="685123525"/>
    <s v="IP_D1234"/>
    <x v="0"/>
    <x v="0"/>
    <x v="1"/>
    <x v="1"/>
    <s v="CGN"/>
    <s v="CDG"/>
    <s v="0084"/>
    <s v="20/11/2019 13:20"/>
    <s v="20/11/2019 13:29"/>
    <s v="9"/>
    <s v="02"/>
    <s v="EURO1_MIX,IP_D1234_LATE,IP_D5_EMEA,IP_D6_EMEA"/>
    <s v="MDE_AVAILABLE"/>
    <s v="FEDEX"/>
    <s v="IPD"/>
    <s v="CONVEYABLE"/>
    <s v="19-11-2019"/>
    <s v="BOX"/>
    <x v="0"/>
  </r>
  <r>
    <s v="20-11-2019"/>
    <s v="20-11-2019"/>
    <s v="777018841059"/>
    <s v="IT"/>
    <s v="GB"/>
    <s v="BLQ"/>
    <s v="LBA"/>
    <s v="19-11-2019"/>
    <s v="20-11-2019"/>
    <s v="01"/>
    <s v="01"/>
    <s v="EUR"/>
    <s v="0.00"/>
    <x v="0"/>
    <s v="10.00"/>
    <s v="K"/>
    <s v="OTHER"/>
    <s v="EURO1_MIX"/>
    <s v="IP_D1234_MIX"/>
    <s v="IP_D5_EMEA"/>
    <s v="IP_D6_MIX"/>
    <s v="DEAD"/>
    <s v="STN"/>
    <m/>
    <s v="1"/>
    <x v="23"/>
    <s v="220655778897"/>
    <s v="202392903"/>
    <s v="IP_D1234"/>
    <x v="0"/>
    <x v="0"/>
    <x v="1"/>
    <x v="12"/>
    <s v="MXPH"/>
    <s v="CDGH"/>
    <s v="8009"/>
    <s v="20/11/2019 16:30"/>
    <s v="20/11/2019 15:29"/>
    <s v="-61"/>
    <s v="02"/>
    <s v="EURO1_MIX,IP_D1234_MIX,IP_D5_EMEA,IP_D6_MIX"/>
    <s v="MDE_AVAILABLE"/>
    <s v="FEDEX"/>
    <s v="IPE"/>
    <s v="CONVEYABLE"/>
    <s v="19-11-2019"/>
    <s v="BOX"/>
    <x v="0"/>
  </r>
  <r>
    <s v="20-11-2019"/>
    <s v="20-11-2019"/>
    <s v="777020459472"/>
    <s v="GB"/>
    <s v="FR"/>
    <s v="EXT"/>
    <s v="CFR"/>
    <s v="20-11-2019"/>
    <s v="21-11-2019"/>
    <s v="01"/>
    <s v="01"/>
    <s v="UKL"/>
    <s v="0.00"/>
    <x v="0"/>
    <s v="1.80"/>
    <s v="L"/>
    <s v="OTHER"/>
    <s v="EURO1_MIX"/>
    <s v="IP_D1234_EMEA"/>
    <s v="IP_D5_EMEA"/>
    <s v="IP_D6_EMEA"/>
    <s v="WARM"/>
    <s v="CDG"/>
    <m/>
    <s v="1"/>
    <x v="24"/>
    <s v="305386427295"/>
    <s v="694018394"/>
    <s v="IP_D1234"/>
    <x v="0"/>
    <x v="0"/>
    <x v="1"/>
    <x v="13"/>
    <s v="LHRA"/>
    <s v="CDGH"/>
    <s v="8009"/>
    <s v="20/11/2019 19:00"/>
    <s v="20/11/2019 18:47"/>
    <s v="-13"/>
    <s v="02,54"/>
    <s v="EURO1_MIX,IP_D1234_EMEA,IP_D5_EMEA,IP_D6_EMEA"/>
    <s v="MDE_AVAILABLE"/>
    <s v="FEDEX"/>
    <s v="IPE"/>
    <s v="CONVEYABLE"/>
    <s v="19-11-2019"/>
    <s v="SMALL_PARCEL"/>
    <x v="0"/>
  </r>
  <r>
    <s v="20-11-2019"/>
    <s v="20-11-2019"/>
    <s v="671606069901"/>
    <s v="US"/>
    <s v="FR"/>
    <s v="SEA"/>
    <s v="URO"/>
    <s v="19-11-2019"/>
    <s v="21-11-2019"/>
    <s v="01"/>
    <s v="01"/>
    <s v="USD"/>
    <s v="2867.97"/>
    <x v="0"/>
    <s v="25.00"/>
    <s v="L"/>
    <s v="OTHER"/>
    <s v="EURO1_MIX"/>
    <s v="IP_D1234_EMEA"/>
    <s v="IP_D5_EMEA"/>
    <s v="IP_D6_EMEA"/>
    <s v="WARM"/>
    <s v="CDG"/>
    <m/>
    <s v="1"/>
    <x v="25"/>
    <s v="304990406933"/>
    <s v="098101926"/>
    <s v="IP_D1234"/>
    <x v="0"/>
    <x v="0"/>
    <x v="2"/>
    <x v="0"/>
    <s v="MEM"/>
    <s v="CDG"/>
    <s v="0083"/>
    <s v="20/11/2019 20:43"/>
    <m/>
    <m/>
    <s v="02"/>
    <s v="EURO1_MIX,IP_D1234_EMEA,IP_D5_EMEA,IP_D6_EMEA"/>
    <s v="MDE_AVAILABLE"/>
    <s v="FEDEX"/>
    <s v="IPE"/>
    <s v="BUILDING_AB_NON_CONV"/>
    <s v="19-11-2019"/>
    <s v="BOX"/>
    <x v="1"/>
  </r>
  <r>
    <s v="20-11-2019"/>
    <s v="20-11-2019"/>
    <s v="777025378374"/>
    <s v="US"/>
    <s v="FR"/>
    <s v="ATUA"/>
    <s v="PARA"/>
    <s v="19-11-2019"/>
    <s v="21-11-2019"/>
    <s v="01"/>
    <s v="01"/>
    <s v="USD"/>
    <s v="39050.00"/>
    <x v="0"/>
    <s v="30.0"/>
    <s v="L"/>
    <s v="OTHER"/>
    <s v="EURO1_MIX"/>
    <s v="IP_D1234_EMEA"/>
    <s v="IP_D5_EMEA"/>
    <s v="IP_D6_EMEA"/>
    <s v="WARM"/>
    <s v="CDG"/>
    <s v="777025378238"/>
    <s v="6"/>
    <x v="0"/>
    <s v="304990990282"/>
    <s v="535799369"/>
    <s v="IP_D1234"/>
    <x v="0"/>
    <x v="0"/>
    <x v="0"/>
    <x v="11"/>
    <s v="MEM"/>
    <s v="CDG"/>
    <s v="0016"/>
    <s v="20/11/2019 18:47"/>
    <m/>
    <m/>
    <s v="02,54"/>
    <s v="EURO1_MIX,IP_D1234_EMEA,IP_D5_EMEA,IP_D6_EMEA"/>
    <s v="MDE_AVAILABLE"/>
    <s v="FEDEX"/>
    <s v="IPE"/>
    <s v="CONVEYABLE"/>
    <s v="19-11-2019"/>
    <s v="UNKNOWN"/>
    <x v="0"/>
  </r>
  <r>
    <s v="20-11-2019"/>
    <s v="20-11-2019"/>
    <s v="468023365287"/>
    <s v="US"/>
    <s v="CH"/>
    <s v="AYE"/>
    <s v="QLS"/>
    <s v="19-11-2019"/>
    <s v="21-11-2019"/>
    <s v="01"/>
    <s v="01"/>
    <s v="USD"/>
    <s v="3.00"/>
    <x v="0"/>
    <s v="2.60"/>
    <s v="L"/>
    <s v="OTHER"/>
    <s v="EURO1_MIX"/>
    <s v="IP_D1234_MIX"/>
    <s v="IP_D5_EMEA"/>
    <s v="IP_D6_EMEA"/>
    <s v="WARM"/>
    <s v="BSL"/>
    <m/>
    <s v="1"/>
    <x v="26"/>
    <s v="305026502956"/>
    <s v="253586907"/>
    <s v="IP_D1234"/>
    <x v="0"/>
    <x v="0"/>
    <x v="1"/>
    <x v="4"/>
    <s v="EWR"/>
    <s v="CDG"/>
    <s v="0072"/>
    <s v="20/11/2019 17:41"/>
    <s v="20/11/2019 17:39"/>
    <s v="-2"/>
    <s v="02"/>
    <s v="EURO1_MIX,IP_D1234_MIX,IP_D5_EMEA,IP_D6_EMEA"/>
    <s v="MDE_AVAILABLE"/>
    <s v="FEDEX"/>
    <s v="IPE"/>
    <s v="CONVEYABLE"/>
    <s v="19-11-2019"/>
    <s v="UNKNOWN"/>
    <x v="0"/>
  </r>
  <r>
    <s v="20-11-2019"/>
    <s v="20-11-2019"/>
    <s v="776985158646"/>
    <s v="KR"/>
    <s v="FR"/>
    <s v="HIN"/>
    <s v="PAR"/>
    <s v="15-11-2019"/>
    <s v="20-11-2019"/>
    <s v="04"/>
    <s v="01"/>
    <s v="EUR"/>
    <s v="10000.00"/>
    <x v="0"/>
    <s v="24.20"/>
    <s v="L"/>
    <s v="OTHER"/>
    <s v="EURO1_MIX"/>
    <s v="IP_D1234_EMEA"/>
    <s v="IP_D5_EMEA"/>
    <s v="IP_D6_EMEA"/>
    <s v="DEAD"/>
    <s v="CDG"/>
    <s v="776985157547"/>
    <s v="10"/>
    <x v="27"/>
    <s v="304904214977"/>
    <s v="283379094"/>
    <s v="IP_D1234"/>
    <x v="0"/>
    <x v="0"/>
    <x v="2"/>
    <x v="5"/>
    <s v="DXB"/>
    <s v="CDG"/>
    <s v="0083"/>
    <s v="20/11/2019 18:49"/>
    <s v="20/11/2019 18:57"/>
    <s v="8"/>
    <s v="02,54"/>
    <s v="EURO1_MIX,IP_D1234_EMEA,IP_D5_EMEA,IP_D6_EMEA"/>
    <s v="MDE_AVAILABLE"/>
    <s v="FEDEX"/>
    <s v="IEB"/>
    <s v="CONVEYABLE"/>
    <s v="15-11-2019"/>
    <s v="BOX"/>
    <x v="0"/>
  </r>
  <r>
    <s v="20-11-2019"/>
    <s v="20-11-2019"/>
    <s v="778133944336"/>
    <s v="US"/>
    <s v="SE"/>
    <s v="RBK"/>
    <s v="STO"/>
    <s v="19-11-2019"/>
    <s v="21-11-2019"/>
    <s v="01"/>
    <s v="06"/>
    <s v="USD"/>
    <s v="37.50"/>
    <x v="1"/>
    <s v="0.40"/>
    <s v="L"/>
    <s v="OTHER"/>
    <s v="EURO1_MIX"/>
    <s v="IP_D1234_LATE"/>
    <s v="IP_D5_EMEA"/>
    <s v="IP_D6_MIX"/>
    <s v="WARM"/>
    <s v="ARN"/>
    <m/>
    <s v="1"/>
    <x v="0"/>
    <s v="304990606836"/>
    <s v="354717115"/>
    <s v="IP_D1234"/>
    <x v="0"/>
    <x v="0"/>
    <x v="0"/>
    <x v="0"/>
    <s v="MEM"/>
    <s v="CDG"/>
    <s v="0083"/>
    <s v="20/11/2019 20:43"/>
    <m/>
    <m/>
    <s v="02,28,54"/>
    <s v="EURO1_MIX,IP_D1234_LATE,IP_D5_EMEA,IP_D6_MIX"/>
    <s v="MDE_AVAILABLE"/>
    <s v="FEDEX"/>
    <s v="IPE"/>
    <s v="CONVEYABLE"/>
    <s v="19-11-2019"/>
    <s v="DOC"/>
    <x v="0"/>
  </r>
  <r>
    <s v="20-11-2019"/>
    <s v="20-11-2019"/>
    <s v="778123831777"/>
    <s v="CN"/>
    <s v="FR"/>
    <s v="HGH"/>
    <s v="LME"/>
    <m/>
    <s v="22-11-2019"/>
    <s v="01"/>
    <s v="02"/>
    <s v="USD"/>
    <s v="15.08"/>
    <x v="1"/>
    <s v="0.50"/>
    <s v="K"/>
    <s v="OTHER"/>
    <s v="EURO1_MIX"/>
    <s v="IP_D1234_EMEA"/>
    <s v="IP_D5_EMEA"/>
    <s v="IP_D6_EMEA"/>
    <s v="COLD"/>
    <s v="CDG"/>
    <m/>
    <s v="1"/>
    <x v="11"/>
    <s v="305073044016"/>
    <s v="891608667"/>
    <s v="IP_D1234"/>
    <x v="0"/>
    <x v="0"/>
    <x v="0"/>
    <x v="8"/>
    <s v="LGGT7"/>
    <s v="CDGH"/>
    <s v="8009"/>
    <s v="20/11/2019 18:00"/>
    <s v="20/11/2019 18:47"/>
    <s v="47"/>
    <s v="02,54"/>
    <s v="EURO1_MIX,IP_D1234_EMEA,IP_D5_EMEA,IP_D6_EMEA"/>
    <s v="MDE_AVAILABLE"/>
    <s v="FEDEX"/>
    <s v="IPE"/>
    <s v="CONVEYABLE"/>
    <s v="18-11-2019"/>
    <s v="DOC"/>
    <x v="0"/>
  </r>
  <r>
    <s v="20-11-2019"/>
    <s v="20-11-2019"/>
    <s v="427441916366"/>
    <s v="HK"/>
    <s v="GB"/>
    <s v="HKG"/>
    <s v="BQH"/>
    <s v="19-11-2019"/>
    <s v="25-11-2019"/>
    <s v="04"/>
    <s v="03"/>
    <s v="USD"/>
    <s v="199.00"/>
    <x v="0"/>
    <s v="0.50"/>
    <s v="K"/>
    <s v="OTHER"/>
    <s v="EURO1_MIX"/>
    <s v="IP_D1234_MIX"/>
    <s v="IP_D5_EMEA"/>
    <s v="IP_D6_MIX"/>
    <s v="COLD"/>
    <s v="STN"/>
    <m/>
    <s v="1"/>
    <x v="28"/>
    <s v="221453828286"/>
    <s v="725857829"/>
    <s v="IP_D1234"/>
    <x v="0"/>
    <x v="0"/>
    <x v="1"/>
    <x v="7"/>
    <s v="NRT"/>
    <s v="CDG"/>
    <s v="0083"/>
    <s v="20/11/2019 16:53"/>
    <s v="20/11/2019 17:38"/>
    <s v="45"/>
    <s v="02"/>
    <s v="EURO1_MIX,IP_D1234_MIX,IP_D5_EMEA,IP_D6_MIX"/>
    <s v="MDE_AVAILABLE"/>
    <s v="FEDEX"/>
    <s v="IEB"/>
    <s v="CONVEYABLE"/>
    <s v="19-11-2019"/>
    <s v="SMALL_PARCEL"/>
    <x v="0"/>
  </r>
  <r>
    <s v="20-11-2019"/>
    <s v="20-11-2019"/>
    <s v="812150605160"/>
    <s v="IT"/>
    <s v="FR"/>
    <s v="QLP"/>
    <s v="QNJ"/>
    <s v="20-11-2019"/>
    <s v="22-11-2019"/>
    <s v="57"/>
    <s v="01"/>
    <s v="EUR"/>
    <s v="0.00"/>
    <x v="0"/>
    <s v="25.50"/>
    <s v="L"/>
    <s v="OTHER"/>
    <s v="EURO1_MIX"/>
    <s v="IP_D1234_EMEA"/>
    <s v="IP_D5_EMEA"/>
    <s v="IP_D6_EMEA"/>
    <s v="COLD"/>
    <s v="CDG"/>
    <s v="876350096440"/>
    <s v="4"/>
    <x v="15"/>
    <s v="305054141025"/>
    <s v="282663368"/>
    <s v="IP_D1234"/>
    <x v="0"/>
    <x v="0"/>
    <x v="1"/>
    <x v="10"/>
    <s v="MXP"/>
    <s v="CDG"/>
    <s v="0072"/>
    <s v="20/11/2019 18:21"/>
    <s v="20/11/2019 18:27"/>
    <s v="6"/>
    <s v="02"/>
    <s v="EURO1_MIX,IP_D1234_EMEA,IP_D5_EMEA,IP_D6_EMEA"/>
    <s v="MDE_AVAILABLE"/>
    <s v="FEDEX"/>
    <s v="FEF"/>
    <s v="CONVEYABLE"/>
    <s v="20-11-2019"/>
    <s v="BOX"/>
    <x v="0"/>
  </r>
  <r>
    <s v="20-11-2019"/>
    <s v="20-11-2019"/>
    <s v="777019037462"/>
    <s v="GB"/>
    <s v="SE"/>
    <s v="PPW"/>
    <s v="MMA"/>
    <s v="20-11-2019"/>
    <s v="21-11-2019"/>
    <s v="01"/>
    <s v="03"/>
    <s v="UKL"/>
    <s v="660.00"/>
    <x v="0"/>
    <s v="0.50"/>
    <s v="K"/>
    <s v="OTHER"/>
    <s v="EURO1_MIX"/>
    <s v="IP_D1234_LATE"/>
    <s v="IP_D5_EMEA"/>
    <s v="IP_D6_MIX"/>
    <s v="WARM"/>
    <s v="ARN"/>
    <m/>
    <s v="1"/>
    <x v="24"/>
    <s v="305386427295"/>
    <s v="229199544"/>
    <s v="IP_D1234"/>
    <x v="0"/>
    <x v="0"/>
    <x v="1"/>
    <x v="13"/>
    <s v="LHRA"/>
    <s v="CDGH"/>
    <s v="8009"/>
    <s v="20/11/2019 19:00"/>
    <s v="20/11/2019 18:47"/>
    <s v="-13"/>
    <s v="02"/>
    <s v="EURO1_MIX,IP_D1234_LATE,IP_D5_EMEA,IP_D6_MIX"/>
    <s v="MDE_AVAILABLE"/>
    <s v="FEDEX"/>
    <s v="IPE"/>
    <s v="CONVEYABLE"/>
    <s v="19-11-2019"/>
    <s v="SMALL_PARCEL"/>
    <x v="0"/>
  </r>
  <r>
    <s v="20-11-2019"/>
    <s v="20-11-2019"/>
    <s v="777024100294"/>
    <s v="US"/>
    <s v="CH"/>
    <s v="RBL"/>
    <s v="BSL"/>
    <s v="19-11-2019"/>
    <s v="21-11-2019"/>
    <s v="01"/>
    <s v="01"/>
    <s v="USD"/>
    <s v="200.00"/>
    <x v="0"/>
    <s v="2.00"/>
    <s v="L"/>
    <s v="OTHER"/>
    <s v="EURO1_MIX"/>
    <s v="IP_D1234_MIX"/>
    <s v="IP_D5_EMEA"/>
    <s v="IP_D6_EMEA"/>
    <s v="WARM"/>
    <s v="BSL"/>
    <m/>
    <s v="1"/>
    <x v="29"/>
    <s v="304844002545"/>
    <s v="231790977"/>
    <s v="IP_D1234"/>
    <x v="0"/>
    <x v="0"/>
    <x v="1"/>
    <x v="3"/>
    <s v="IND"/>
    <s v="CDG"/>
    <s v="0083"/>
    <s v="20/11/2019 18:17"/>
    <s v="20/11/2019 18:54"/>
    <s v="37"/>
    <s v="02,54"/>
    <s v="EURO1_MIX,IP_D1234_MIX,IP_D5_EMEA,IP_D6_EMEA"/>
    <s v="MDE_AVAILABLE"/>
    <s v="FEDEX"/>
    <s v="IPE"/>
    <s v="CONVEYABLE"/>
    <s v="19-11-2019"/>
    <s v="UNKNOWN"/>
    <x v="0"/>
  </r>
  <r>
    <s v="20-11-2019"/>
    <s v="20-11-2019"/>
    <s v="813038820948"/>
    <s v="IN"/>
    <s v="US"/>
    <s v="KNU"/>
    <s v="ARB"/>
    <s v="18-11-2019"/>
    <s v="21-11-2019"/>
    <s v="01"/>
    <s v="06"/>
    <s v="USD"/>
    <s v="1.00"/>
    <x v="1"/>
    <s v="0.50"/>
    <s v="K"/>
    <s v="OTHER"/>
    <s v="EURO1_MIX"/>
    <s v="IP_D1234_MIX US"/>
    <s v="IP_D5_MIX US"/>
    <s v="IP_D6_EMEA"/>
    <s v="UNKNOWN"/>
    <s v="USA"/>
    <m/>
    <s v="1"/>
    <x v="0"/>
    <s v="221484749019"/>
    <s v="760945706"/>
    <s v="IP_D1234"/>
    <x v="0"/>
    <x v="0"/>
    <x v="0"/>
    <x v="5"/>
    <s v="DXB"/>
    <s v="CDG"/>
    <s v="0083"/>
    <s v="20/11/2019 18:49"/>
    <s v="20/11/2019 18:57"/>
    <s v="8"/>
    <s v="02"/>
    <s v="EURO1_MIX,IP_D1234_MIX US,IP_D5_MIX US,IP_D6_EMEA"/>
    <s v="MDE_AVAILABLE"/>
    <s v="FEDEX"/>
    <s v="IPE"/>
    <s v="CONVEYABLE"/>
    <s v="18-11-2019"/>
    <s v="DOC"/>
    <x v="0"/>
  </r>
  <r>
    <s v="20-11-2019"/>
    <s v="20-11-2019"/>
    <s v="777029777396"/>
    <s v="US"/>
    <s v="NL"/>
    <s v="CLD"/>
    <s v="RTM"/>
    <s v="19-11-2019"/>
    <s v="21-11-2019"/>
    <s v="01"/>
    <s v="01"/>
    <s v="USD"/>
    <s v="2705.00"/>
    <x v="0"/>
    <m/>
    <m/>
    <s v="OTHER"/>
    <s v="EURO1_MIX"/>
    <s v="IP_D1234_EMEA"/>
    <s v="IP_D5_EMEA"/>
    <s v="IP_D6_EMEA"/>
    <s v="WARM"/>
    <s v="AMS"/>
    <s v="777029776437"/>
    <s v="20"/>
    <x v="30"/>
    <s v="304843425058"/>
    <s v="369999907"/>
    <s v="IP_D1234"/>
    <x v="0"/>
    <x v="0"/>
    <x v="1"/>
    <x v="3"/>
    <s v="IND"/>
    <s v="CDG"/>
    <s v="0083"/>
    <s v="20/11/2019 18:17"/>
    <s v="20/11/2019 18:54"/>
    <s v="37"/>
    <s v="02"/>
    <s v="EURO1_MIX,IP_D1234_EMEA,IP_D5_EMEA,IP_D6_EMEA"/>
    <s v="MDE_AVAILABLE"/>
    <s v="FEDEX"/>
    <s v="IPE"/>
    <s v="CONVEYABLE"/>
    <s v="19-11-2019"/>
    <s v="BOX"/>
    <x v="0"/>
  </r>
  <r>
    <s v="20-11-2019"/>
    <s v="20-11-2019"/>
    <s v="778095364602"/>
    <s v="HK"/>
    <s v="FR"/>
    <s v="KTZ"/>
    <s v="LYN"/>
    <m/>
    <s v="22-11-2019"/>
    <s v="04"/>
    <s v="01"/>
    <s v="USD"/>
    <s v="316.80"/>
    <x v="0"/>
    <s v="23.00"/>
    <s v="L"/>
    <s v="OTHER"/>
    <s v="EURO1_MIX"/>
    <s v="IP_D1234_EMEA"/>
    <s v="IP_D5_EMEA"/>
    <s v="IP_D6_EMEA"/>
    <s v="COLD"/>
    <s v="CDG"/>
    <m/>
    <s v="1"/>
    <x v="31"/>
    <s v="221461458183"/>
    <s v="235160960"/>
    <s v="IP_D1234"/>
    <x v="0"/>
    <x v="0"/>
    <x v="1"/>
    <x v="7"/>
    <s v="NRT"/>
    <s v="CDG"/>
    <s v="0083"/>
    <s v="20/11/2019 16:53"/>
    <s v="20/11/2019 17:38"/>
    <s v="45"/>
    <s v="02"/>
    <s v="EURO1_MIX,IP_D1234_EMEA,IP_D5_EMEA,IP_D6_EMEA"/>
    <s v="MDE_AVAILABLE"/>
    <s v="FEDEX"/>
    <s v="IEB"/>
    <s v="CONVEYABLE"/>
    <s v="19-11-2019"/>
    <s v="BOX"/>
    <x v="0"/>
  </r>
  <r>
    <s v="20-11-2019"/>
    <s v="20-11-2019"/>
    <s v="778143878160"/>
    <s v="US"/>
    <s v="FR"/>
    <s v="NYC"/>
    <s v="TNF"/>
    <s v="19-11-2019"/>
    <s v="21-11-2019"/>
    <s v="01"/>
    <s v="06"/>
    <s v="USD"/>
    <s v="0.00"/>
    <x v="1"/>
    <s v="0.50"/>
    <s v="L"/>
    <s v="OTHER"/>
    <s v="EURO1_MIX"/>
    <s v="IP_D1234_EMEA"/>
    <s v="IP_D5_EMEA"/>
    <s v="IP_D6_EMEA"/>
    <s v="WARM"/>
    <s v="CDG"/>
    <m/>
    <s v="1"/>
    <x v="0"/>
    <s v="305026416022"/>
    <s v="690928477"/>
    <s v="IP_D1234"/>
    <x v="0"/>
    <x v="0"/>
    <x v="0"/>
    <x v="4"/>
    <s v="EWR"/>
    <s v="CDG"/>
    <s v="0072"/>
    <s v="20/11/2019 17:41"/>
    <s v="20/11/2019 17:39"/>
    <s v="-2"/>
    <s v="02"/>
    <s v="EURO1_MIX,IP_D1234_EMEA,IP_D5_EMEA,IP_D6_EMEA"/>
    <s v="MDE_AVAILABLE"/>
    <s v="FEDEX"/>
    <s v="IPE"/>
    <s v="CONVEYABLE"/>
    <s v="19-11-2019"/>
    <s v="DOC"/>
    <x v="0"/>
  </r>
  <r>
    <s v="20-11-2019"/>
    <s v="20-11-2019"/>
    <s v="131508347426"/>
    <s v="US"/>
    <s v="ES"/>
    <s v="ONT"/>
    <s v="MAD"/>
    <s v="19-11-2019"/>
    <s v="22-11-2019"/>
    <s v="01"/>
    <s v="01"/>
    <s v="USD"/>
    <s v="1232.00"/>
    <x v="0"/>
    <s v="2.5"/>
    <s v="L"/>
    <s v="OTHER"/>
    <s v="EURO1_MIX"/>
    <s v="IP_D1234_EMEA"/>
    <s v="IP_D5_EMEA"/>
    <s v="IP_D6_EMEA"/>
    <s v="COLD"/>
    <s v="MAD"/>
    <m/>
    <s v="1"/>
    <x v="30"/>
    <s v="304843425058"/>
    <s v="105346824"/>
    <s v="IP_D1234"/>
    <x v="0"/>
    <x v="0"/>
    <x v="1"/>
    <x v="3"/>
    <s v="IND"/>
    <s v="CDG"/>
    <s v="0083"/>
    <s v="20/11/2019 18:17"/>
    <s v="20/11/2019 18:54"/>
    <s v="37"/>
    <s v="02,54"/>
    <s v="EURO1_MIX,IP_D1234_EMEA,IP_D5_EMEA,IP_D6_EMEA"/>
    <s v="MDE_AVAILABLE"/>
    <s v="FEDEX"/>
    <s v="IPE"/>
    <s v="CONVEYABLE"/>
    <s v="19-11-2019"/>
    <s v="BOX"/>
    <x v="0"/>
  </r>
  <r>
    <s v="19-11-2019"/>
    <s v="20-11-2019"/>
    <s v="777019243761"/>
    <s v="DK"/>
    <s v="FR"/>
    <s v="CPH"/>
    <s v="LYN"/>
    <s v="19-11-2019"/>
    <s v="20-11-2019"/>
    <s v="01"/>
    <s v="01"/>
    <s v="DKK"/>
    <s v="0.00"/>
    <x v="0"/>
    <s v="1.00"/>
    <s v="K"/>
    <s v="OTHER"/>
    <s v="EURO1_MIX"/>
    <s v="IP_D1234_EMEA"/>
    <s v="IP_D5_EMEA"/>
    <s v="IP_D6_EMEA"/>
    <s v="HOT"/>
    <s v="CDG"/>
    <m/>
    <s v="1"/>
    <x v="6"/>
    <s v="304882601925"/>
    <s v="975336719"/>
    <s v="EURO1"/>
    <x v="0"/>
    <x v="0"/>
    <x v="0"/>
    <x v="6"/>
    <s v="CDG"/>
    <s v="CDG"/>
    <m/>
    <m/>
    <m/>
    <m/>
    <s v="02"/>
    <s v="EURO1_MIX,IP_D1234_EMEA,IP_D5_EMEA,IP_D6_EMEA"/>
    <s v="MDE_AVAILABLE"/>
    <s v="FEDEX"/>
    <s v="IPE"/>
    <s v="CONVEYABLE"/>
    <s v="19-11-2019"/>
    <s v="SMALL_PARCEL"/>
    <x v="0"/>
  </r>
  <r>
    <s v="20-11-2019"/>
    <s v="20-11-2019"/>
    <s v="777018747834"/>
    <s v="AE"/>
    <s v="GB"/>
    <s v="DXB"/>
    <s v="DSA"/>
    <s v="19-11-2019"/>
    <s v="25-11-2019"/>
    <s v="04"/>
    <s v="01"/>
    <s v="USD"/>
    <s v="4000.00"/>
    <x v="0"/>
    <s v="64.70"/>
    <s v="L"/>
    <s v="OTHER"/>
    <s v="EURO1_MIX"/>
    <s v="IP_D1234_MIX"/>
    <s v="IP_D5_EMEA"/>
    <s v="IP_D6_MIX"/>
    <s v="COLD"/>
    <s v="STN"/>
    <s v="777018747661"/>
    <s v="8"/>
    <x v="32"/>
    <s v="305386469008"/>
    <s v="689252729"/>
    <s v="IP_D1234"/>
    <x v="0"/>
    <x v="0"/>
    <x v="1"/>
    <x v="5"/>
    <s v="DXB"/>
    <s v="CDG"/>
    <s v="0083"/>
    <s v="20/11/2019 18:49"/>
    <s v="20/11/2019 18:57"/>
    <s v="8"/>
    <s v="02"/>
    <s v="EURO1_MIX,IP_D1234_MIX,IP_D5_EMEA,IP_D6_MIX"/>
    <s v="MDE_AVAILABLE"/>
    <s v="FEDEX"/>
    <s v="IEB"/>
    <s v="CONVEYABLE"/>
    <s v="19-11-2019"/>
    <s v="BOX"/>
    <x v="0"/>
  </r>
  <r>
    <s v="20-11-2019"/>
    <s v="20-11-2019"/>
    <s v="791007469208"/>
    <s v="CN"/>
    <s v="AT"/>
    <s v="YUA"/>
    <s v="VDD"/>
    <m/>
    <s v="25-11-2019"/>
    <s v="01"/>
    <s v="01"/>
    <s v="EUR"/>
    <s v="20.00"/>
    <x v="0"/>
    <s v="24.70"/>
    <s v="L"/>
    <s v="OTHER"/>
    <s v="EURO1_MIX"/>
    <s v="IP_D1234_LATE"/>
    <s v="IP_D5_EMEA"/>
    <s v="IP_D6_EMEA"/>
    <s v="COLD"/>
    <s v="VIE"/>
    <m/>
    <s v="1"/>
    <x v="33"/>
    <s v="305073042046"/>
    <s v="690179148"/>
    <s v="IP_D1234"/>
    <x v="0"/>
    <x v="0"/>
    <x v="1"/>
    <x v="8"/>
    <s v="LGGT7"/>
    <s v="CDGH"/>
    <s v="8009"/>
    <s v="20/11/2019 18:00"/>
    <s v="20/11/2019 18:47"/>
    <s v="47"/>
    <s v="02,25"/>
    <s v="EURO1_MIX,IP_D1234_LATE,IP_D5_EMEA,IP_D6_EMEA"/>
    <s v="MDE_AVAILABLE"/>
    <s v="FEDEX"/>
    <s v="IPE"/>
    <s v="BUILDING_AB_NON_CONV"/>
    <s v="20-11-2019"/>
    <s v="BOX"/>
    <x v="1"/>
  </r>
  <r>
    <s v="20-11-2019"/>
    <s v="20-11-2019"/>
    <s v="106817310821"/>
    <s v="CN"/>
    <s v="EG"/>
    <s v="TXN"/>
    <s v="CAI"/>
    <s v="19-11-2019"/>
    <s v="24-11-2019"/>
    <s v="01"/>
    <s v="06"/>
    <s v="USD"/>
    <s v="5.00"/>
    <x v="1"/>
    <s v="0.50"/>
    <s v="K"/>
    <s v="OTHER"/>
    <s v="EURO1_MIX"/>
    <s v="IP_D1234_LATE"/>
    <s v="IP_D5_EMEA"/>
    <s v="IP_D6_EMEA"/>
    <s v="COLD"/>
    <s v="CDG"/>
    <m/>
    <s v="1"/>
    <x v="11"/>
    <s v="305073044016"/>
    <s v="901614970"/>
    <s v="IP_D1234"/>
    <x v="0"/>
    <x v="0"/>
    <x v="0"/>
    <x v="8"/>
    <s v="LGGT7"/>
    <s v="CDGH"/>
    <s v="8009"/>
    <s v="20/11/2019 18:00"/>
    <s v="20/11/2019 18:47"/>
    <s v="47"/>
    <s v="02"/>
    <s v="EURO1_MIX,IP_D1234_LATE,IP_D5_EMEA,IP_D6_EMEA"/>
    <s v="MDE_AVAILABLE"/>
    <s v="FEDEX"/>
    <s v="IPE"/>
    <s v="CONVEYABLE"/>
    <s v="19-11-2019"/>
    <s v="DOC"/>
    <x v="0"/>
  </r>
  <r>
    <s v="20-11-2019"/>
    <s v="20-11-2019"/>
    <s v="776993029200"/>
    <s v="CN"/>
    <s v="IT"/>
    <s v="XMN"/>
    <s v="TTB"/>
    <m/>
    <s v="25-11-2019"/>
    <s v="01"/>
    <s v="06"/>
    <s v="USD"/>
    <s v="1.00"/>
    <x v="1"/>
    <s v="0.50"/>
    <s v="K"/>
    <s v="OTHER"/>
    <s v="EURO1_MIX"/>
    <s v="IP_D1234_MIX"/>
    <s v="IP_D5_MIX"/>
    <s v="IP_D6_EMEA"/>
    <s v="COLD"/>
    <s v="MXP"/>
    <m/>
    <s v="1"/>
    <x v="34"/>
    <s v="305073034081"/>
    <s v="651546630"/>
    <s v="IP_D1234"/>
    <x v="0"/>
    <x v="0"/>
    <x v="1"/>
    <x v="14"/>
    <s v="LGGT7"/>
    <s v="CDGH"/>
    <s v="8009"/>
    <s v="20/11/2019 18:15"/>
    <m/>
    <m/>
    <s v="02"/>
    <s v="EURO1_MIX,IP_D1234_MIX,IP_D5_MIX,IP_D6_EMEA"/>
    <s v="MDE_AVAILABLE"/>
    <s v="FEDEX"/>
    <s v="IPE"/>
    <s v="CONVEYABLE"/>
    <s v="18-11-2019"/>
    <s v="DOC"/>
    <x v="0"/>
  </r>
  <r>
    <s v="20-11-2019"/>
    <s v="20-11-2019"/>
    <s v="135392502003"/>
    <s v="SG"/>
    <s v="CZ"/>
    <s v="XSP"/>
    <s v="UHE"/>
    <s v="19-11-2019"/>
    <s v="22-11-2019"/>
    <s v="18"/>
    <s v="01"/>
    <s v="USD"/>
    <s v="1133603.76"/>
    <x v="0"/>
    <s v="11.90"/>
    <s v="K"/>
    <s v="OTHER"/>
    <s v="EURO1_MIX"/>
    <s v="IP_D1234_LATE"/>
    <s v="IP_D5_EMEA"/>
    <s v="IP_D6_EMEA"/>
    <s v="COLD"/>
    <s v="PRG"/>
    <s v="135392493840"/>
    <s v="1"/>
    <x v="22"/>
    <s v="304904421264"/>
    <s v="685123525"/>
    <s v="IP_D1234"/>
    <x v="0"/>
    <x v="0"/>
    <x v="1"/>
    <x v="1"/>
    <s v="CGN"/>
    <s v="CDG"/>
    <s v="0084"/>
    <s v="20/11/2019 13:20"/>
    <s v="20/11/2019 13:29"/>
    <s v="9"/>
    <s v="02"/>
    <s v="EURO1_MIX,IP_D1234_LATE,IP_D5_EMEA,IP_D6_EMEA"/>
    <s v="MDE_AVAILABLE"/>
    <s v="FEDEX"/>
    <s v="IPD"/>
    <s v="CONVEYABLE"/>
    <s v="19-11-2019"/>
    <s v="BOX"/>
    <x v="0"/>
  </r>
  <r>
    <s v="20-11-2019"/>
    <s v="20-11-2019"/>
    <s v="133014442811"/>
    <s v="US"/>
    <s v="IN"/>
    <s v="MWL"/>
    <s v="DEL"/>
    <s v="19-11-2019"/>
    <s v="22-11-2019"/>
    <s v="01"/>
    <s v="01"/>
    <s v="USD"/>
    <s v="200.00"/>
    <x v="0"/>
    <s v="1.80"/>
    <s v="L"/>
    <s v="OTHER"/>
    <s v="EURO1_MIX"/>
    <s v="IP_D1234_LATE"/>
    <s v="IP_D5_EMEA"/>
    <s v="IP_D6_MIX"/>
    <s v="WARM"/>
    <s v="DEL"/>
    <m/>
    <s v="1"/>
    <x v="35"/>
    <s v="304844441750"/>
    <s v="905149024"/>
    <s v="IP_D1234"/>
    <x v="0"/>
    <x v="0"/>
    <x v="2"/>
    <x v="3"/>
    <s v="IND"/>
    <s v="CDG"/>
    <s v="0083"/>
    <s v="20/11/2019 18:17"/>
    <s v="20/11/2019 18:54"/>
    <s v="37"/>
    <s v="02"/>
    <s v="EURO1_MIX,IP_D1234_LATE,IP_D5_EMEA,IP_D6_MIX"/>
    <s v="MDE_AVAILABLE"/>
    <s v="FEDEX"/>
    <s v="IPE"/>
    <s v="CONVEYABLE"/>
    <s v="19-11-2019"/>
    <s v="BOX"/>
    <x v="0"/>
  </r>
  <r>
    <s v="20-11-2019"/>
    <s v="20-11-2019"/>
    <s v="119899506170"/>
    <s v="BH"/>
    <s v="DZ"/>
    <s v="BAH"/>
    <s v="ALG"/>
    <s v="19-11-2019"/>
    <s v="24-11-2019"/>
    <s v="01"/>
    <s v="01"/>
    <s v="USD"/>
    <s v="1.00"/>
    <x v="0"/>
    <s v="12.50"/>
    <s v="K"/>
    <s v="OTHER"/>
    <s v="EURO1_MIX"/>
    <s v="IP_D1234_LATE"/>
    <s v="IP_D5_EMEA"/>
    <s v="IP_D6_EMEA"/>
    <s v="COLD"/>
    <s v="CDG"/>
    <m/>
    <s v="1"/>
    <x v="0"/>
    <s v="305386484475"/>
    <s v="665732487"/>
    <s v="IP_D1234"/>
    <x v="0"/>
    <x v="0"/>
    <x v="0"/>
    <x v="5"/>
    <s v="DXB"/>
    <s v="CDG"/>
    <s v="0083"/>
    <s v="20/11/2019 18:49"/>
    <s v="20/11/2019 18:57"/>
    <s v="8"/>
    <s v="02"/>
    <s v="EURO1_MIX,IP_D1234_LATE,IP_D5_EMEA,IP_D6_EMEA"/>
    <s v="MDE_AVAILABLE"/>
    <s v="FEDEX"/>
    <s v="IPE"/>
    <s v="CONVEYABLE"/>
    <s v="19-11-2019"/>
    <s v="BOX"/>
    <x v="0"/>
  </r>
  <r>
    <s v="20-11-2019"/>
    <s v="20-11-2019"/>
    <s v="815158493814"/>
    <s v="ZW"/>
    <s v="GB"/>
    <s v="HRE"/>
    <s v="ORM"/>
    <m/>
    <s v="22-11-2019"/>
    <s v="01"/>
    <s v="06"/>
    <s v="USD"/>
    <s v="1.00"/>
    <x v="1"/>
    <s v="0.30"/>
    <s v="K"/>
    <s v="OTHER"/>
    <s v="EURO1_MIX"/>
    <s v="IP_D1234_MIX"/>
    <s v="IP_D5_EMEA"/>
    <s v="IP_D6_MIX"/>
    <s v="COLD"/>
    <s v="STN"/>
    <m/>
    <s v="1"/>
    <x v="36"/>
    <s v="305386484648"/>
    <s v="550527448"/>
    <s v="IP_D1234"/>
    <x v="0"/>
    <x v="0"/>
    <x v="1"/>
    <x v="5"/>
    <s v="DXB"/>
    <s v="CDG"/>
    <s v="0083"/>
    <s v="20/11/2019 18:49"/>
    <s v="20/11/2019 18:57"/>
    <s v="8"/>
    <s v="02"/>
    <s v="EURO1_MIX,IP_D1234_MIX,IP_D5_EMEA,IP_D6_MIX"/>
    <s v="MDE_AVAILABLE"/>
    <s v="FEDEX"/>
    <s v="IPE"/>
    <s v="CONVEYABLE"/>
    <s v="19-11-2019"/>
    <s v="DOC"/>
    <x v="0"/>
  </r>
  <r>
    <s v="20-11-2019"/>
    <s v="20-11-2019"/>
    <s v="776993044829"/>
    <s v="CN"/>
    <s v="ES"/>
    <s v="SXJ"/>
    <s v="ZRC"/>
    <m/>
    <s v="25-11-2019"/>
    <s v="04"/>
    <s v="01"/>
    <s v="USD"/>
    <s v="491.40"/>
    <x v="0"/>
    <s v="7.30"/>
    <s v="L"/>
    <s v="OTHER"/>
    <s v="EURO1_MIX"/>
    <s v="IP_D1234_EMEA"/>
    <s v="IP_D5_EMEA"/>
    <s v="IP_D6_EMEA"/>
    <s v="COLD"/>
    <s v="MAD"/>
    <m/>
    <s v="1"/>
    <x v="37"/>
    <s v="304904606292"/>
    <s v="277383055"/>
    <s v="IP_D1234"/>
    <x v="0"/>
    <x v="0"/>
    <x v="2"/>
    <x v="5"/>
    <s v="DXB"/>
    <s v="CDG"/>
    <s v="0083"/>
    <s v="20/11/2019 18:49"/>
    <s v="20/11/2019 18:57"/>
    <s v="8"/>
    <s v="02"/>
    <s v="EURO1_MIX,IP_D1234_EMEA,IP_D5_EMEA,IP_D6_EMEA"/>
    <s v="MDE_AVAILABLE"/>
    <s v="FEDEX"/>
    <s v="IEB"/>
    <s v="CONVEYABLE"/>
    <s v="15-11-2019"/>
    <s v="BOX"/>
    <x v="0"/>
  </r>
  <r>
    <s v="20-11-2019"/>
    <s v="20-11-2019"/>
    <s v="777018890057"/>
    <s v="GB"/>
    <s v="CZ"/>
    <s v="XMZ"/>
    <s v="PRG"/>
    <s v="19-11-2019"/>
    <s v="21-11-2019"/>
    <s v="01"/>
    <s v="01"/>
    <s v="UKL"/>
    <s v="1.00"/>
    <x v="0"/>
    <s v="5.10"/>
    <s v="L"/>
    <s v="OTHER"/>
    <s v="EURO1_MIX"/>
    <s v="IP_D1234_LATE"/>
    <s v="IP_D5_EMEA"/>
    <s v="IP_D6_EMEA"/>
    <s v="WARM"/>
    <s v="PRG"/>
    <m/>
    <s v="1"/>
    <x v="24"/>
    <s v="305386427295"/>
    <s v="313845591"/>
    <s v="IP_D1234"/>
    <x v="0"/>
    <x v="0"/>
    <x v="1"/>
    <x v="13"/>
    <s v="LHRA"/>
    <s v="CDGH"/>
    <s v="8009"/>
    <s v="20/11/2019 19:00"/>
    <s v="20/11/2019 18:47"/>
    <s v="-13"/>
    <s v="02"/>
    <s v="EURO1_MIX,IP_D1234_LATE,IP_D5_EMEA,IP_D6_EMEA"/>
    <s v="MDE_AVAILABLE"/>
    <s v="FEDEX"/>
    <s v="IPE"/>
    <s v="CONVEYABLE"/>
    <s v="19-11-2019"/>
    <s v="BOX"/>
    <x v="0"/>
  </r>
  <r>
    <s v="20-11-2019"/>
    <s v="20-11-2019"/>
    <s v="778131917097"/>
    <s v="IT"/>
    <s v="CH"/>
    <s v="MXP"/>
    <s v="QLJ"/>
    <s v="20-11-2019"/>
    <s v="22-11-2019"/>
    <s v="01"/>
    <s v="02"/>
    <s v="EUR"/>
    <s v="20.00"/>
    <x v="0"/>
    <s v="0.40"/>
    <s v="K"/>
    <s v="OTHER"/>
    <s v="EURO1_MIX"/>
    <s v="IP_D1234_MIX"/>
    <s v="IP_D5_EMEA"/>
    <s v="IP_D6_EMEA"/>
    <s v="COLD"/>
    <s v="BSL"/>
    <m/>
    <s v="1"/>
    <x v="15"/>
    <s v="305054141025"/>
    <s v="257855589"/>
    <s v="IP_D1234"/>
    <x v="0"/>
    <x v="0"/>
    <x v="1"/>
    <x v="10"/>
    <s v="MXP"/>
    <s v="CDG"/>
    <s v="0072"/>
    <s v="20/11/2019 18:21"/>
    <s v="20/11/2019 18:27"/>
    <s v="6"/>
    <s v="02"/>
    <s v="EURO1_MIX,IP_D1234_MIX,IP_D5_EMEA,IP_D6_EMEA"/>
    <s v="MDE_AVAILABLE"/>
    <s v="FEDEX"/>
    <s v="IPE"/>
    <s v="CONVEYABLE"/>
    <s v="20-11-2019"/>
    <s v="SMALL_PARCEL"/>
    <x v="0"/>
  </r>
  <r>
    <s v="20-11-2019"/>
    <s v="20-11-2019"/>
    <s v="777019302683"/>
    <s v="AE"/>
    <s v="GB"/>
    <s v="DXB"/>
    <s v="CAL"/>
    <s v="19-11-2019"/>
    <s v="21-11-2019"/>
    <s v="01"/>
    <s v="01"/>
    <s v="USD"/>
    <s v="18.00"/>
    <x v="0"/>
    <s v="1.00"/>
    <s v="K"/>
    <s v="OTHER"/>
    <s v="EURO1_MIX"/>
    <s v="IP_D1234_MIX"/>
    <s v="IP_D5_EMEA"/>
    <s v="IP_D6_MIX"/>
    <s v="WARM"/>
    <s v="STN"/>
    <m/>
    <s v="1"/>
    <x v="38"/>
    <s v="305386470663"/>
    <s v="692776992"/>
    <s v="IP_D1234"/>
    <x v="0"/>
    <x v="0"/>
    <x v="1"/>
    <x v="5"/>
    <s v="DXB"/>
    <s v="CDG"/>
    <s v="0083"/>
    <s v="20/11/2019 18:49"/>
    <s v="20/11/2019 18:57"/>
    <s v="8"/>
    <s v="02"/>
    <s v="EURO1_MIX,IP_D1234_MIX,IP_D5_EMEA,IP_D6_MIX"/>
    <s v="MDE_AVAILABLE"/>
    <s v="FEDEX"/>
    <s v="IPE"/>
    <s v="CONVEYABLE"/>
    <s v="19-11-2019"/>
    <s v="UNKNOWN"/>
    <x v="0"/>
  </r>
  <r>
    <s v="20-11-2019"/>
    <s v="20-11-2019"/>
    <s v="136472235596"/>
    <s v="US"/>
    <s v="ES"/>
    <s v="FWH"/>
    <s v="BCN"/>
    <m/>
    <s v="22-11-2019"/>
    <s v="18"/>
    <s v="01"/>
    <s v="USD"/>
    <s v="1063179.65"/>
    <x v="0"/>
    <s v="1.70"/>
    <s v="L"/>
    <s v="OTHER"/>
    <s v="EURO1_MIX"/>
    <s v="IP_D1234_EMEA"/>
    <s v="IP_D5_EMEA"/>
    <s v="IP_D6_EMEA"/>
    <s v="COLD"/>
    <s v="MAD"/>
    <s v="136472192968"/>
    <s v="1"/>
    <x v="39"/>
    <s v="304991539132"/>
    <s v="110344082"/>
    <s v="IP_D1234"/>
    <x v="0"/>
    <x v="0"/>
    <x v="1"/>
    <x v="11"/>
    <s v="MEM"/>
    <s v="CDG"/>
    <s v="0016"/>
    <s v="20/11/2019 18:47"/>
    <m/>
    <m/>
    <s v="02"/>
    <s v="EURO1_MIX,IP_D1234_EMEA,IP_D5_EMEA,IP_D6_EMEA"/>
    <s v="MDE_AVAILABLE"/>
    <s v="FEDEX"/>
    <s v="IPD"/>
    <s v="CONVEYABLE"/>
    <s v="19-11-2019"/>
    <s v="SMALL_PARCEL"/>
    <x v="0"/>
  </r>
  <r>
    <s v="20-11-2019"/>
    <s v="20-11-2019"/>
    <s v="777005953077"/>
    <s v="JP"/>
    <s v="FI"/>
    <s v="SDS"/>
    <s v="HEL"/>
    <s v="19-11-2019"/>
    <s v="21-11-2019"/>
    <s v="01"/>
    <s v="01"/>
    <s v="EUR"/>
    <s v="300.00"/>
    <x v="0"/>
    <s v="8.00"/>
    <s v="K"/>
    <s v="OTHER"/>
    <s v="EURO1_MIX"/>
    <s v="IP_D1234_LATE"/>
    <s v="IP_D5_EMEA"/>
    <s v="IP_D6_MIX"/>
    <s v="WARM"/>
    <s v="HEL"/>
    <m/>
    <s v="1"/>
    <x v="40"/>
    <s v="305386316950"/>
    <s v="371540997"/>
    <s v="IP_D1234"/>
    <x v="0"/>
    <x v="0"/>
    <x v="2"/>
    <x v="7"/>
    <s v="NRT"/>
    <s v="CDG"/>
    <s v="0083"/>
    <s v="20/11/2019 16:53"/>
    <s v="20/11/2019 17:38"/>
    <s v="45"/>
    <s v="02"/>
    <s v="EURO1_MIX,IP_D1234_LATE,IP_D5_EMEA,IP_D6_MIX"/>
    <s v="MDE_AVAILABLE"/>
    <s v="FEDEX"/>
    <s v="IPE"/>
    <s v="CONVEYABLE"/>
    <s v="19-11-2019"/>
    <s v="BOX"/>
    <x v="0"/>
  </r>
  <r>
    <s v="20-11-2019"/>
    <s v="20-11-2019"/>
    <s v="777018747856"/>
    <s v="AE"/>
    <s v="GB"/>
    <s v="DXB"/>
    <s v="DSA"/>
    <s v="19-11-2019"/>
    <s v="25-11-2019"/>
    <s v="04"/>
    <s v="01"/>
    <s v="USD"/>
    <s v="4000.00"/>
    <x v="0"/>
    <s v="65.20"/>
    <s v="L"/>
    <s v="OTHER"/>
    <s v="EURO1_MIX"/>
    <s v="IP_D1234_MIX"/>
    <s v="IP_D5_EMEA"/>
    <s v="IP_D6_MIX"/>
    <s v="COLD"/>
    <s v="STN"/>
    <s v="777018747661"/>
    <s v="8"/>
    <x v="32"/>
    <s v="305386469008"/>
    <s v="689252729"/>
    <s v="IP_D1234"/>
    <x v="0"/>
    <x v="0"/>
    <x v="1"/>
    <x v="5"/>
    <s v="DXB"/>
    <s v="CDG"/>
    <s v="0083"/>
    <s v="20/11/2019 18:49"/>
    <s v="20/11/2019 18:57"/>
    <s v="8"/>
    <s v="02"/>
    <s v="EURO1_MIX,IP_D1234_MIX,IP_D5_EMEA,IP_D6_MIX"/>
    <s v="MDE_AVAILABLE"/>
    <s v="FEDEX"/>
    <s v="IEB"/>
    <s v="CONVEYABLE"/>
    <s v="19-11-2019"/>
    <s v="BOX"/>
    <x v="0"/>
  </r>
  <r>
    <s v="20-11-2019"/>
    <s v="20-11-2019"/>
    <s v="778135415122"/>
    <s v="US"/>
    <s v="FR"/>
    <s v="WTC"/>
    <s v="NTE"/>
    <s v="19-11-2019"/>
    <s v="21-11-2019"/>
    <s v="01"/>
    <s v="06"/>
    <s v="USD"/>
    <s v="1.00"/>
    <x v="1"/>
    <s v="0.50"/>
    <s v="L"/>
    <s v="OTHER"/>
    <s v="EURO1_MIX"/>
    <s v="IP_D1234_EMEA"/>
    <s v="IP_D5_EMEA"/>
    <s v="IP_D6_EMEA"/>
    <s v="WARM"/>
    <s v="CDG"/>
    <m/>
    <s v="1"/>
    <x v="0"/>
    <s v="305026416022"/>
    <s v="344684570"/>
    <s v="IP_D1234"/>
    <x v="0"/>
    <x v="0"/>
    <x v="0"/>
    <x v="4"/>
    <s v="EWR"/>
    <s v="CDG"/>
    <s v="0072"/>
    <s v="20/11/2019 17:41"/>
    <s v="20/11/2019 17:39"/>
    <s v="-2"/>
    <s v="02,28"/>
    <s v="EURO1_MIX,IP_D1234_EMEA,IP_D5_EMEA,IP_D6_EMEA"/>
    <s v="MDE_AVAILABLE"/>
    <s v="FEDEX"/>
    <s v="IPE"/>
    <s v="CONVEYABLE"/>
    <s v="19-11-2019"/>
    <s v="DOC"/>
    <x v="0"/>
  </r>
  <r>
    <s v="20-11-2019"/>
    <s v="20-11-2019"/>
    <s v="778142580750"/>
    <s v="IN"/>
    <s v="QA"/>
    <s v="DEL"/>
    <s v="DOH"/>
    <m/>
    <s v="26-11-2019"/>
    <s v="01"/>
    <s v="06"/>
    <s v="USD"/>
    <s v="1.00"/>
    <x v="1"/>
    <s v="0.50"/>
    <s v="K"/>
    <s v="OTHER"/>
    <s v="EURO1_MIX"/>
    <s v="IP_D1234_LATE"/>
    <s v="IP_D5_EMEA"/>
    <s v="IP_D6_MIX"/>
    <s v="COLD"/>
    <s v="STN"/>
    <m/>
    <s v="1"/>
    <x v="0"/>
    <s v="221484749019"/>
    <s v="985835837"/>
    <s v="IP_D1234"/>
    <x v="0"/>
    <x v="0"/>
    <x v="0"/>
    <x v="5"/>
    <s v="DXB"/>
    <s v="CDG"/>
    <s v="0083"/>
    <s v="20/11/2019 18:49"/>
    <s v="20/11/2019 18:57"/>
    <s v="8"/>
    <s v="02"/>
    <s v="EURO1_MIX,IP_D1234_LATE,IP_D5_EMEA,IP_D6_MIX"/>
    <s v="MDE_AVAILABLE"/>
    <s v="FEDEX"/>
    <s v="IPE"/>
    <s v="CONVEYABLE"/>
    <s v="20-11-2019"/>
    <s v="DOC"/>
    <x v="0"/>
  </r>
  <r>
    <s v="20-11-2019"/>
    <s v="20-11-2019"/>
    <s v="131602064399"/>
    <s v="HK"/>
    <s v="NL"/>
    <s v="KTZ"/>
    <s v="RTM"/>
    <m/>
    <s v="21-11-2019"/>
    <s v="01"/>
    <s v="01"/>
    <s v="USD"/>
    <s v="2235.60"/>
    <x v="0"/>
    <s v="33.30"/>
    <s v="L"/>
    <s v="OTHER"/>
    <s v="EURO1_MIX"/>
    <s v="IP_D1234_EMEA"/>
    <s v="IP_D5_EMEA"/>
    <s v="IP_D6_EMEA"/>
    <s v="WARM"/>
    <s v="AMS"/>
    <s v="131602064377"/>
    <s v="4"/>
    <x v="41"/>
    <s v="221453828069"/>
    <s v="630996295"/>
    <s v="IP_D1234"/>
    <x v="0"/>
    <x v="0"/>
    <x v="1"/>
    <x v="7"/>
    <s v="NRT"/>
    <s v="CDG"/>
    <s v="0083"/>
    <s v="20/11/2019 16:53"/>
    <s v="20/11/2019 17:38"/>
    <s v="45"/>
    <s v="02"/>
    <s v="EURO1_MIX,IP_D1234_EMEA,IP_D5_EMEA,IP_D6_EMEA"/>
    <s v="MDE_AVAILABLE"/>
    <s v="FEDEX"/>
    <s v="IPE"/>
    <s v="BUILDING_AB_NON_CONV"/>
    <s v="18-11-2019"/>
    <s v="BOX"/>
    <x v="1"/>
  </r>
  <r>
    <s v="20-11-2019"/>
    <s v="20-11-2019"/>
    <s v="133228754182"/>
    <s v="CN"/>
    <s v="DK"/>
    <s v="KOW"/>
    <s v="CPH"/>
    <s v="19-11-2019"/>
    <s v="21-11-2019"/>
    <s v="01"/>
    <s v="02"/>
    <s v="USD"/>
    <s v="59.00"/>
    <x v="0"/>
    <s v="1.80"/>
    <s v="K"/>
    <s v="OTHER"/>
    <s v="EURO1_MIX"/>
    <s v="IP_D1234_LATE"/>
    <s v="IP_D5_EMEA"/>
    <s v="IP_D6_MIX"/>
    <s v="WARM"/>
    <s v="CPH"/>
    <m/>
    <s v="1"/>
    <x v="34"/>
    <s v="305073034081"/>
    <s v="250530374"/>
    <s v="IP_D1234"/>
    <x v="0"/>
    <x v="0"/>
    <x v="1"/>
    <x v="14"/>
    <s v="LGGT7"/>
    <s v="CDGH"/>
    <s v="8009"/>
    <s v="20/11/2019 18:15"/>
    <m/>
    <m/>
    <s v="02"/>
    <s v="EURO1_MIX,IP_D1234_LATE,IP_D5_EMEA,IP_D6_MIX"/>
    <s v="MDE_AVAILABLE"/>
    <s v="FEDEX"/>
    <s v="IPE"/>
    <s v="CONVEYABLE"/>
    <s v="19-11-2019"/>
    <s v="SMALL_PARCEL"/>
    <x v="0"/>
  </r>
  <r>
    <s v="20-11-2019"/>
    <s v="20-11-2019"/>
    <s v="777006379743"/>
    <s v="DE"/>
    <s v="JP"/>
    <s v="SCN"/>
    <s v="OIM"/>
    <s v="19-11-2019"/>
    <s v="26-11-2019"/>
    <s v="04"/>
    <s v="01"/>
    <s v="EUR"/>
    <s v="29.75"/>
    <x v="0"/>
    <s v="26.10"/>
    <s v="K"/>
    <s v="OTHER"/>
    <s v="EURO1_CAN"/>
    <s v="IP_D1234_LATE"/>
    <s v="IP_D5_EMEA"/>
    <s v="IP_D6_MIX"/>
    <s v="COLD"/>
    <s v="CAN"/>
    <m/>
    <s v="1"/>
    <x v="42"/>
    <s v="304818738857"/>
    <s v="213614363"/>
    <s v="IP_D1234"/>
    <x v="0"/>
    <x v="0"/>
    <x v="1"/>
    <x v="15"/>
    <s v="CGNH"/>
    <s v="CDGH"/>
    <s v="8009"/>
    <s v="20/11/2019 16:20"/>
    <s v="20/11/2019 14:31"/>
    <s v="-109"/>
    <s v="02"/>
    <s v="EURO1_CAN,IP_D1234_LATE,IP_D5_EMEA,IP_D6_MIX"/>
    <s v="MDE_AVAILABLE"/>
    <s v="FEDEX"/>
    <s v="IEB"/>
    <s v="CONVEYABLE"/>
    <s v="19-11-2019"/>
    <s v="BOX"/>
    <x v="0"/>
  </r>
  <r>
    <s v="20-11-2019"/>
    <s v="20-11-2019"/>
    <s v="135392482718"/>
    <s v="CN"/>
    <s v="IE"/>
    <s v="SIA"/>
    <s v="DUBA"/>
    <s v="18-11-2019"/>
    <s v="25-11-2019"/>
    <s v="18"/>
    <s v="01"/>
    <s v="USD"/>
    <s v="1327262.28"/>
    <x v="0"/>
    <s v="15.6"/>
    <s v="K"/>
    <s v="OTHER"/>
    <s v="EURO1_MIX"/>
    <s v="IP_D1234_LATE"/>
    <s v="IP_D5_EMEA"/>
    <s v="IP_D6_MIX"/>
    <s v="COLD"/>
    <s v="STN"/>
    <s v="135392478119"/>
    <s v="1"/>
    <x v="43"/>
    <s v="304904457184"/>
    <s v="111580642"/>
    <s v="IP_D1234"/>
    <x v="0"/>
    <x v="0"/>
    <x v="1"/>
    <x v="1"/>
    <s v="CGN"/>
    <s v="CDG"/>
    <s v="0084"/>
    <s v="20/11/2019 13:20"/>
    <s v="20/11/2019 13:29"/>
    <s v="9"/>
    <s v="02"/>
    <s v="EURO1_MIX,IP_D1234_LATE,IP_D5_EMEA,IP_D6_MIX"/>
    <s v="MDE_AVAILABLE"/>
    <s v="FEDEX"/>
    <s v="IPD"/>
    <s v="CONVEYABLE"/>
    <s v="18-11-2019"/>
    <s v="UNKNOWN"/>
    <x v="0"/>
  </r>
  <r>
    <s v="20-11-2019"/>
    <s v="20-11-2019"/>
    <s v="804171761210"/>
    <s v="KR"/>
    <s v="CH"/>
    <s v="SEL"/>
    <s v="ZDB"/>
    <s v="19-11-2019"/>
    <s v="21-11-2019"/>
    <s v="01"/>
    <s v="01"/>
    <s v="WON"/>
    <s v="0.00"/>
    <x v="2"/>
    <m/>
    <m/>
    <s v="OTHER"/>
    <s v="EURO1_MIX"/>
    <s v="IP_D1234_MIX"/>
    <s v="IP_D5_EMEA"/>
    <s v="IP_D6_EMEA"/>
    <s v="WARM"/>
    <s v="BSL"/>
    <s v="813529037767"/>
    <s v="15"/>
    <x v="44"/>
    <s v="304904457162"/>
    <s v="559283665"/>
    <s v="IP_D1234"/>
    <x v="0"/>
    <x v="0"/>
    <x v="1"/>
    <x v="1"/>
    <s v="CGN"/>
    <s v="CDG"/>
    <s v="0084"/>
    <s v="20/11/2019 13:20"/>
    <s v="20/11/2019 13:29"/>
    <s v="9"/>
    <s v="02"/>
    <s v="EURO1_MIX,IP_D1234_MIX,IP_D5_EMEA,IP_D6_EMEA"/>
    <s v="MDE_AVAILABLE"/>
    <s v="FEDEX"/>
    <s v="IPE"/>
    <s v="UNKNOWN_CON_NCON"/>
    <s v="19-11-2019"/>
    <s v="UNKNOWN"/>
    <x v="0"/>
  </r>
  <r>
    <s v="20-11-2019"/>
    <s v="20-11-2019"/>
    <s v="135595103805"/>
    <s v="US"/>
    <s v="ES"/>
    <s v="OPF"/>
    <s v="ACE"/>
    <m/>
    <s v="22-11-2019"/>
    <s v="01"/>
    <s v="01"/>
    <s v="USD"/>
    <s v="46.16"/>
    <x v="0"/>
    <s v="1.50"/>
    <s v="L"/>
    <s v="OTHER"/>
    <s v="EURO1_MIX"/>
    <s v="IP_D1234_EMEA"/>
    <s v="IP_D5_EMEA"/>
    <s v="IP_D6_EMEA"/>
    <s v="COLD"/>
    <s v="MAD"/>
    <m/>
    <s v="1"/>
    <x v="45"/>
    <s v="304990406841"/>
    <s v="647810292"/>
    <s v="IP_D1234"/>
    <x v="0"/>
    <x v="0"/>
    <x v="2"/>
    <x v="11"/>
    <s v="MEM"/>
    <s v="CDG"/>
    <s v="0016"/>
    <s v="20/11/2019 18:47"/>
    <m/>
    <m/>
    <s v="02,54"/>
    <s v="EURO1_MIX,IP_D1234_EMEA,IP_D5_EMEA,IP_D6_EMEA"/>
    <s v="MDE_AVAILABLE"/>
    <s v="FEDEX"/>
    <s v="IPE"/>
    <s v="CONVEYABLE"/>
    <s v="19-11-2019"/>
    <s v="BOX"/>
    <x v="0"/>
  </r>
  <r>
    <s v="20-11-2019"/>
    <s v="20-11-2019"/>
    <s v="109476830776"/>
    <s v="CA"/>
    <s v="IT"/>
    <s v="YQB"/>
    <s v="JLO"/>
    <s v="18-11-2019"/>
    <s v="25-11-2019"/>
    <s v="04"/>
    <s v="03"/>
    <s v="EUR"/>
    <s v="4833.00"/>
    <x v="0"/>
    <s v="1.00"/>
    <s v="L"/>
    <s v="OTHER"/>
    <s v="EURO1_MIX"/>
    <s v="IP_D1234_MIX"/>
    <s v="IP_D5_MIX"/>
    <s v="IP_D6_EMEA"/>
    <s v="COLD"/>
    <s v="MXP"/>
    <m/>
    <s v="1"/>
    <x v="46"/>
    <s v="304990802928"/>
    <s v="176875119"/>
    <s v="IP_D1234"/>
    <x v="0"/>
    <x v="0"/>
    <x v="1"/>
    <x v="11"/>
    <s v="MEM"/>
    <s v="CDG"/>
    <s v="0016"/>
    <s v="20/11/2019 18:47"/>
    <m/>
    <m/>
    <s v="02,54"/>
    <s v="EURO1_MIX,IP_D1234_MIX,IP_D5_MIX,IP_D6_EMEA"/>
    <s v="MDE_AVAILABLE"/>
    <s v="FEDEX"/>
    <s v="IEB"/>
    <s v="CONVEYABLE"/>
    <s v="18-11-2019"/>
    <s v="UNKNOWN"/>
    <x v="0"/>
  </r>
  <r>
    <s v="20-11-2019"/>
    <s v="20-11-2019"/>
    <s v="813107049456"/>
    <s v="IN"/>
    <s v="GB"/>
    <s v="DEL"/>
    <s v="ORM"/>
    <s v="19-11-2019"/>
    <s v="21-11-2019"/>
    <s v="01"/>
    <s v="06"/>
    <s v="USD"/>
    <s v="1.00"/>
    <x v="1"/>
    <s v="0.50"/>
    <s v="K"/>
    <s v="OTHER"/>
    <s v="EURO1_MIX"/>
    <s v="IP_D1234_MIX"/>
    <s v="IP_D5_EMEA"/>
    <s v="IP_D6_MIX"/>
    <s v="WARM"/>
    <s v="STN"/>
    <m/>
    <s v="1"/>
    <x v="0"/>
    <s v="221484749019"/>
    <s v="232595426"/>
    <s v="IP_D1234"/>
    <x v="0"/>
    <x v="0"/>
    <x v="0"/>
    <x v="5"/>
    <s v="DXB"/>
    <s v="CDG"/>
    <s v="0083"/>
    <s v="20/11/2019 18:49"/>
    <s v="20/11/2019 18:57"/>
    <s v="8"/>
    <s v="02"/>
    <s v="EURO1_MIX,IP_D1234_MIX,IP_D5_EMEA,IP_D6_MIX"/>
    <s v="MDE_AVAILABLE"/>
    <s v="FEDEX"/>
    <s v="IPE"/>
    <s v="CONVEYABLE"/>
    <s v="19-11-2019"/>
    <s v="DOC"/>
    <x v="0"/>
  </r>
  <r>
    <s v="20-11-2019"/>
    <s v="20-11-2019"/>
    <s v="778090852140"/>
    <s v="HK"/>
    <s v="FR"/>
    <s v="HKG"/>
    <s v="QNJ"/>
    <m/>
    <s v="22-11-2019"/>
    <s v="04"/>
    <s v="01"/>
    <s v="USD"/>
    <s v="1680.00"/>
    <x v="0"/>
    <s v="50.30"/>
    <s v="L"/>
    <s v="OTHER"/>
    <s v="EURO1_MIX"/>
    <s v="IP_D1234_EMEA"/>
    <s v="IP_D5_EMEA"/>
    <s v="IP_D6_EMEA"/>
    <s v="COLD"/>
    <s v="CDG"/>
    <s v="778090852173"/>
    <s v="2"/>
    <x v="41"/>
    <s v="221453828069"/>
    <s v="630996295"/>
    <s v="IP_D1234"/>
    <x v="0"/>
    <x v="0"/>
    <x v="1"/>
    <x v="7"/>
    <s v="NRT"/>
    <s v="CDG"/>
    <s v="0083"/>
    <s v="20/11/2019 16:53"/>
    <s v="20/11/2019 17:38"/>
    <s v="45"/>
    <s v="02"/>
    <s v="EURO1_MIX,IP_D1234_EMEA,IP_D5_EMEA,IP_D6_EMEA"/>
    <s v="MDE_AVAILABLE"/>
    <s v="FEDEX"/>
    <s v="IEB"/>
    <s v="CONVEYABLE"/>
    <s v="19-11-2019"/>
    <s v="BOX"/>
    <x v="0"/>
  </r>
  <r>
    <s v="20-11-2019"/>
    <s v="20-11-2019"/>
    <s v="131602064388"/>
    <s v="HK"/>
    <s v="NL"/>
    <s v="KTZ"/>
    <s v="RTM"/>
    <m/>
    <s v="21-11-2019"/>
    <s v="01"/>
    <s v="01"/>
    <s v="USD"/>
    <s v="2235.60"/>
    <x v="0"/>
    <s v="31.20"/>
    <s v="L"/>
    <s v="OTHER"/>
    <s v="EURO1_MIX"/>
    <s v="IP_D1234_EMEA"/>
    <s v="IP_D5_EMEA"/>
    <s v="IP_D6_EMEA"/>
    <s v="WARM"/>
    <s v="AMS"/>
    <s v="131602064377"/>
    <s v="4"/>
    <x v="41"/>
    <s v="221453828069"/>
    <s v="630996295"/>
    <s v="IP_D1234"/>
    <x v="0"/>
    <x v="0"/>
    <x v="1"/>
    <x v="7"/>
    <s v="NRT"/>
    <s v="CDG"/>
    <s v="0083"/>
    <s v="20/11/2019 16:53"/>
    <s v="20/11/2019 17:38"/>
    <s v="45"/>
    <s v="02"/>
    <s v="EURO1_MIX,IP_D1234_EMEA,IP_D5_EMEA,IP_D6_EMEA"/>
    <s v="MDE_AVAILABLE"/>
    <s v="FEDEX"/>
    <s v="IPE"/>
    <s v="CONVEYABLE"/>
    <s v="18-11-2019"/>
    <s v="BOX"/>
    <x v="0"/>
  </r>
  <r>
    <s v="20-11-2019"/>
    <s v="20-11-2019"/>
    <s v="127947258540"/>
    <s v="US"/>
    <s v="FR"/>
    <s v="PAE"/>
    <s v="RNE"/>
    <s v="19-11-2019"/>
    <m/>
    <s v="01"/>
    <s v="01"/>
    <s v="USD"/>
    <s v="2922.00"/>
    <x v="0"/>
    <s v="15.90"/>
    <s v="L"/>
    <s v="OTHER"/>
    <s v="EURO1_MIX"/>
    <s v="IP_D1234_EMEA"/>
    <s v="IP_D5_EMEA"/>
    <s v="IP_D6_EMEA"/>
    <s v="UNKNOWN"/>
    <s v="CDG"/>
    <m/>
    <s v="1"/>
    <x v="47"/>
    <s v="304990406944"/>
    <s v="102449800"/>
    <s v="IP_D1234"/>
    <x v="0"/>
    <x v="0"/>
    <x v="2"/>
    <x v="0"/>
    <s v="MEM"/>
    <s v="CDG"/>
    <s v="0083"/>
    <s v="20/11/2019 20:43"/>
    <m/>
    <m/>
    <s v="02"/>
    <s v="EURO1_MIX,IP_D1234_EMEA,IP_D5_EMEA,IP_D6_EMEA"/>
    <s v="MDE_AVAILABLE"/>
    <s v="FEDEX"/>
    <s v="IPE"/>
    <s v="CONVEYABLE"/>
    <s v="19-11-2019"/>
    <s v="BOX"/>
    <x v="0"/>
  </r>
  <r>
    <s v="20-11-2019"/>
    <s v="20-11-2019"/>
    <s v="777022244433"/>
    <s v="CA"/>
    <s v="PL"/>
    <s v="YSW"/>
    <s v="RZE"/>
    <s v="19-11-2019"/>
    <s v="22-11-2019"/>
    <s v="01"/>
    <s v="01"/>
    <s v="CAD"/>
    <s v="3990.00"/>
    <x v="0"/>
    <s v="2.0"/>
    <s v="L"/>
    <s v="OTHER"/>
    <s v="EURO1_MIX"/>
    <s v="IP_D1234_LATE"/>
    <s v="IP_D5_EMEA"/>
    <s v="IP_D6_EMEA"/>
    <s v="WARM"/>
    <s v="WAW"/>
    <s v="777022243698"/>
    <s v="1"/>
    <x v="48"/>
    <s v="304844441771"/>
    <s v="193868886"/>
    <s v="IP_D1234"/>
    <x v="0"/>
    <x v="0"/>
    <x v="1"/>
    <x v="3"/>
    <s v="IND"/>
    <s v="CDG"/>
    <s v="0083"/>
    <s v="20/11/2019 18:17"/>
    <s v="20/11/2019 18:54"/>
    <s v="37"/>
    <s v="02,54"/>
    <s v="EURO1_MIX,IP_D1234_LATE,IP_D5_EMEA,IP_D6_EMEA"/>
    <s v="MDE_AVAILABLE"/>
    <s v="FEDEX"/>
    <s v="IPE"/>
    <s v="CONVEYABLE"/>
    <s v="19-11-2019"/>
    <s v="UNKNOWN"/>
    <x v="0"/>
  </r>
  <r>
    <s v="20-11-2019"/>
    <s v="20-11-2019"/>
    <s v="777007162256"/>
    <s v="HK"/>
    <s v="DE"/>
    <s v="QDM"/>
    <s v="FRZ"/>
    <s v="19-11-2019"/>
    <s v="21-11-2019"/>
    <s v="01"/>
    <s v="01"/>
    <s v="EUR"/>
    <s v="290347.90"/>
    <x v="0"/>
    <m/>
    <m/>
    <s v="OTHER"/>
    <s v="EURO1_MIX"/>
    <s v="IP_D1234_MIX"/>
    <s v="IP_D5_MIX"/>
    <s v="IP_D6_MIX"/>
    <s v="WARM"/>
    <s v="CGN"/>
    <s v="777007162245"/>
    <s v="2"/>
    <x v="49"/>
    <s v="221484229491"/>
    <s v="141387812"/>
    <s v="IP_D1234"/>
    <x v="0"/>
    <x v="0"/>
    <x v="0"/>
    <x v="7"/>
    <s v="NRT"/>
    <s v="CDG"/>
    <s v="0083"/>
    <s v="20/11/2019 16:53"/>
    <s v="20/11/2019 17:38"/>
    <s v="45"/>
    <s v="02"/>
    <s v="EURO1_MIX,IP_D1234_MIX,IP_D5_MIX,IP_D6_MIX"/>
    <s v="MDE_AVAILABLE"/>
    <s v="FEDEX"/>
    <s v="IPE"/>
    <s v="CONVEYABLE"/>
    <s v="19-11-2019"/>
    <s v="BOX"/>
    <x v="0"/>
  </r>
  <r>
    <s v="20-11-2019"/>
    <s v="20-11-2019"/>
    <s v="776980950943"/>
    <s v="AU"/>
    <s v="FR"/>
    <s v="SYD"/>
    <s v="SXB"/>
    <s v="15-11-2019"/>
    <s v="19-11-2019"/>
    <s v="01"/>
    <s v="01"/>
    <s v="AUD"/>
    <s v="450.00"/>
    <x v="0"/>
    <s v="4.00"/>
    <s v="K"/>
    <s v="OTHER"/>
    <s v="EURO1_MIX"/>
    <s v="IP_D1234_EMEA"/>
    <s v="IP_D5_EMEA"/>
    <s v="IP_D6_EMEA"/>
    <s v="DEAD"/>
    <s v="CDG"/>
    <m/>
    <s v="1"/>
    <x v="42"/>
    <s v="304818738857"/>
    <s v="623189139"/>
    <s v="IP_D1234"/>
    <x v="0"/>
    <x v="0"/>
    <x v="1"/>
    <x v="15"/>
    <s v="CGNH"/>
    <s v="CDGH"/>
    <s v="8009"/>
    <s v="20/11/2019 16:20"/>
    <s v="20/11/2019 14:31"/>
    <s v="-109"/>
    <s v="02,54"/>
    <s v="EURO1_MIX,IP_D1234_EMEA,IP_D5_EMEA,IP_D6_EMEA"/>
    <s v="MDE_AVAILABLE"/>
    <s v="FEDEX"/>
    <s v="IPE"/>
    <s v="BUILDING_AB_NON_CONV,BUILDING_V_NON_CONV"/>
    <s v="14-11-2019"/>
    <s v="BOX"/>
    <x v="1"/>
  </r>
  <r>
    <s v="20-11-2019"/>
    <s v="20-11-2019"/>
    <s v="813496109801"/>
    <s v="LK"/>
    <s v="GB"/>
    <s v="CMB"/>
    <s v="QQY"/>
    <s v="19-11-2019"/>
    <s v="21-11-2019"/>
    <s v="01"/>
    <s v="06"/>
    <s v="USD"/>
    <s v="0.00"/>
    <x v="1"/>
    <s v="0.50"/>
    <s v="K"/>
    <s v="OTHER"/>
    <s v="EURO1_MIX"/>
    <s v="IP_D1234_MIX"/>
    <s v="IP_D5_EMEA"/>
    <s v="IP_D6_MIX"/>
    <s v="UNKNOWN"/>
    <s v="STN"/>
    <m/>
    <s v="1"/>
    <x v="0"/>
    <s v="305386484475"/>
    <s v="212928763"/>
    <s v="IP_D1234"/>
    <x v="0"/>
    <x v="0"/>
    <x v="0"/>
    <x v="5"/>
    <s v="DXB"/>
    <s v="CDG"/>
    <s v="0083"/>
    <s v="20/11/2019 18:49"/>
    <s v="20/11/2019 18:57"/>
    <s v="8"/>
    <s v="02"/>
    <s v="EURO1_MIX,IP_D1234_MIX,IP_D5_EMEA,IP_D6_MIX"/>
    <s v="MDE_AVAILABLE"/>
    <s v="FEDEX"/>
    <s v="IPE"/>
    <s v="CONVEYABLE"/>
    <s v="19-11-2019"/>
    <s v="DOC"/>
    <x v="0"/>
  </r>
  <r>
    <s v="20-11-2019"/>
    <s v="20-11-2019"/>
    <s v="804171761221"/>
    <s v="KR"/>
    <s v="CH"/>
    <s v="SEL"/>
    <s v="ZDB"/>
    <s v="19-11-2019"/>
    <s v="21-11-2019"/>
    <s v="01"/>
    <s v="01"/>
    <s v="WON"/>
    <s v="0.00"/>
    <x v="0"/>
    <m/>
    <m/>
    <s v="OTHER"/>
    <s v="EURO1_MIX"/>
    <s v="IP_D1234_MIX"/>
    <s v="IP_D5_EMEA"/>
    <s v="IP_D6_EMEA"/>
    <s v="WARM"/>
    <s v="BSL"/>
    <s v="813529037767"/>
    <s v="15"/>
    <x v="44"/>
    <s v="304904457162"/>
    <s v="559283665"/>
    <s v="IP_D1234"/>
    <x v="0"/>
    <x v="0"/>
    <x v="1"/>
    <x v="1"/>
    <s v="CGN"/>
    <s v="CDG"/>
    <s v="0084"/>
    <s v="20/11/2019 13:20"/>
    <s v="20/11/2019 13:29"/>
    <s v="9"/>
    <s v="02"/>
    <s v="EURO1_MIX,IP_D1234_MIX,IP_D5_EMEA,IP_D6_EMEA"/>
    <s v="MDE_AVAILABLE"/>
    <s v="FEDEX"/>
    <s v="IPE"/>
    <s v="CONVEYABLE"/>
    <s v="19-11-2019"/>
    <s v="UNKNOWN"/>
    <x v="0"/>
  </r>
  <r>
    <s v="20-11-2019"/>
    <s v="20-11-2019"/>
    <s v="777018336115"/>
    <s v="MY"/>
    <s v="LT"/>
    <s v="XKL"/>
    <s v="VNO"/>
    <s v="19-11-2019"/>
    <s v="22-11-2019"/>
    <s v="01"/>
    <s v="02"/>
    <s v="USD"/>
    <s v="39.00"/>
    <x v="0"/>
    <s v="0.50"/>
    <s v="K"/>
    <s v="OTHER"/>
    <s v="EURO1_MIX"/>
    <s v="IP_D1234_LATE"/>
    <s v="IP_D5_EMEA"/>
    <s v="IP_D6_MIX"/>
    <s v="WARM"/>
    <s v="WAW"/>
    <m/>
    <s v="1"/>
    <x v="50"/>
    <s v="304904421210"/>
    <s v="693007810"/>
    <s v="IP_D1234"/>
    <x v="0"/>
    <x v="0"/>
    <x v="2"/>
    <x v="1"/>
    <s v="CGN"/>
    <s v="CDG"/>
    <s v="0084"/>
    <s v="20/11/2019 13:20"/>
    <s v="20/11/2019 13:29"/>
    <s v="9"/>
    <s v="02,54"/>
    <s v="EURO1_MIX,IP_D1234_LATE,IP_D5_EMEA,IP_D6_MIX"/>
    <s v="MDE_AVAILABLE"/>
    <s v="FEDEX"/>
    <s v="IPE"/>
    <s v="CONVEYABLE"/>
    <s v="19-11-2019"/>
    <s v="SMALL_PARCEL"/>
    <x v="0"/>
  </r>
  <r>
    <s v="20-11-2019"/>
    <s v="20-11-2019"/>
    <s v="813412453880"/>
    <s v="CN"/>
    <s v="RU"/>
    <s v="SHS"/>
    <s v="MOW"/>
    <s v="19-11-2019"/>
    <s v="26-11-2019"/>
    <s v="01"/>
    <s v="01"/>
    <s v="USD"/>
    <s v="5.00"/>
    <x v="0"/>
    <s v="2.80"/>
    <s v="K"/>
    <s v="OTHER"/>
    <s v="EURO1_MIX"/>
    <s v="IP_D1234_EMEA"/>
    <s v="IP_D5_EMEA"/>
    <s v="IP_D6_MIX"/>
    <s v="COLD"/>
    <s v="STN"/>
    <m/>
    <s v="1"/>
    <x v="33"/>
    <s v="305073042046"/>
    <s v="902754636"/>
    <s v="IP_D1234"/>
    <x v="0"/>
    <x v="0"/>
    <x v="1"/>
    <x v="8"/>
    <s v="LGGT7"/>
    <s v="CDGH"/>
    <s v="8009"/>
    <s v="20/11/2019 18:00"/>
    <s v="20/11/2019 18:47"/>
    <s v="47"/>
    <s v="02,83"/>
    <s v="EURO1_MIX,IP_D1234_EMEA,IP_D5_EMEA,IP_D6_MIX"/>
    <s v="MDE_AVAILABLE"/>
    <s v="FEDEX"/>
    <s v="IPE"/>
    <s v="CONVEYABLE"/>
    <s v="19-11-2019"/>
    <s v="SMALL_PARCEL"/>
    <x v="0"/>
  </r>
  <r>
    <s v="20-11-2019"/>
    <s v="20-11-2019"/>
    <s v="778152249996"/>
    <s v="CA"/>
    <s v="SE"/>
    <s v="YTR"/>
    <s v="LDK"/>
    <m/>
    <s v="21-11-2019"/>
    <s v="01"/>
    <s v="01"/>
    <s v="CAD"/>
    <s v="3436.30"/>
    <x v="0"/>
    <s v="28.90"/>
    <s v="L"/>
    <s v="OTHER"/>
    <s v="EURO1_MIX"/>
    <s v="IP_D1234_LATE"/>
    <s v="IP_D5_EMEA"/>
    <s v="IP_D6_MIX"/>
    <s v="WARM"/>
    <s v="ARN"/>
    <m/>
    <s v="1"/>
    <x v="51"/>
    <s v="304844073695"/>
    <s v="133109005"/>
    <s v="IP_D1234"/>
    <x v="0"/>
    <x v="0"/>
    <x v="2"/>
    <x v="3"/>
    <s v="IND"/>
    <s v="CDG"/>
    <s v="0083"/>
    <s v="20/11/2019 18:17"/>
    <s v="20/11/2019 18:54"/>
    <s v="37"/>
    <s v="02"/>
    <s v="EURO1_MIX,IP_D1234_LATE,IP_D5_EMEA,IP_D6_MIX"/>
    <s v="MDE_AVAILABLE"/>
    <s v="FEDEX"/>
    <s v="IPE"/>
    <s v="CONVEYABLE"/>
    <s v="19-11-2019"/>
    <s v="BOX"/>
    <x v="0"/>
  </r>
  <r>
    <s v="20-11-2019"/>
    <s v="20-11-2019"/>
    <s v="777018517538"/>
    <s v="CN"/>
    <s v="NL"/>
    <s v="HGH"/>
    <s v="EIN"/>
    <s v="19-11-2019"/>
    <s v="21-11-2019"/>
    <s v="01"/>
    <s v="01"/>
    <s v="USD"/>
    <s v="8.00"/>
    <x v="0"/>
    <s v="5.90"/>
    <s v="L"/>
    <s v="OTHER"/>
    <s v="EURO1_MIX"/>
    <s v="IP_D1234_EMEA"/>
    <s v="IP_D5_EMEA"/>
    <s v="IP_D6_EMEA"/>
    <s v="WARM"/>
    <s v="AMS"/>
    <m/>
    <s v="1"/>
    <x v="34"/>
    <s v="305073034081"/>
    <s v="149345442"/>
    <s v="IP_D1234"/>
    <x v="0"/>
    <x v="0"/>
    <x v="1"/>
    <x v="14"/>
    <s v="LGGT7"/>
    <s v="CDGH"/>
    <s v="8009"/>
    <s v="20/11/2019 18:15"/>
    <m/>
    <m/>
    <s v="02"/>
    <s v="EURO1_MIX,IP_D1234_EMEA,IP_D5_EMEA,IP_D6_EMEA"/>
    <s v="MDE_AVAILABLE"/>
    <s v="FEDEX"/>
    <s v="IPE"/>
    <s v="CONVEYABLE"/>
    <s v="19-11-2019"/>
    <s v="BOX"/>
    <x v="0"/>
  </r>
  <r>
    <s v="20-11-2019"/>
    <s v="20-11-2019"/>
    <s v="778130559773"/>
    <s v="IN"/>
    <s v="NG"/>
    <s v="RAJ"/>
    <s v="LOS"/>
    <m/>
    <s v="27-11-2019"/>
    <s v="01"/>
    <s v="06"/>
    <s v="INR"/>
    <s v="1.00"/>
    <x v="1"/>
    <s v="0.50"/>
    <s v="K"/>
    <s v="OTHER"/>
    <s v="EURO1_MIX"/>
    <s v="IP_D1234_EMEA"/>
    <s v="IP_D5_EMEA"/>
    <s v="IP_D6_MIX"/>
    <s v="COLD"/>
    <s v="STN"/>
    <m/>
    <s v="1"/>
    <x v="13"/>
    <s v="814449867951"/>
    <s v="987394510"/>
    <s v="IP_D1234"/>
    <x v="0"/>
    <x v="0"/>
    <x v="0"/>
    <x v="10"/>
    <s v="MXP"/>
    <s v="CDG"/>
    <s v="0072"/>
    <s v="20/11/2019 18:21"/>
    <s v="20/11/2019 18:27"/>
    <s v="6"/>
    <s v="02,83"/>
    <s v="EURO1_MIX,IP_D1234_EMEA,IP_D5_EMEA,IP_D6_MIX"/>
    <s v="MDE_AVAILABLE"/>
    <s v="FEDEX"/>
    <s v="IPE"/>
    <s v="CONVEYABLE"/>
    <s v="19-11-2019"/>
    <s v="DOC"/>
    <x v="0"/>
  </r>
  <r>
    <s v="20-11-2019"/>
    <s v="20-11-2019"/>
    <s v="777019312044"/>
    <s v="FR"/>
    <s v="FR"/>
    <s v="CFRA"/>
    <s v="NTEA"/>
    <s v="19-11-2019"/>
    <s v="20-11-2019"/>
    <s v="01"/>
    <s v="01"/>
    <m/>
    <m/>
    <x v="0"/>
    <s v="9.2"/>
    <s v="K"/>
    <s v="OTHER"/>
    <s v="EURO1_MIX"/>
    <s v="IP_D1234_EMEA"/>
    <s v="IP_D5_EMEA"/>
    <s v="IP_D6_EMEA"/>
    <s v="UNKNOWN"/>
    <s v="CDG"/>
    <m/>
    <s v="1"/>
    <x v="52"/>
    <s v="137817053490"/>
    <s v="846354883"/>
    <s v="IP_D1234"/>
    <x v="0"/>
    <x v="0"/>
    <x v="1"/>
    <x v="16"/>
    <s v="CDG"/>
    <s v="CDG"/>
    <m/>
    <m/>
    <m/>
    <m/>
    <s v="02"/>
    <s v="EURO1_MIX,IP_D1234_EMEA,IP_D5_EMEA,IP_D6_EMEA"/>
    <s v="MDE_AVAILABLE"/>
    <s v="FEDEX"/>
    <s v="IPE"/>
    <s v="CONVEYABLE"/>
    <s v="19-11-2019"/>
    <s v="UNKNOWN"/>
    <x v="0"/>
  </r>
  <r>
    <s v="20-11-2019"/>
    <s v="20-11-2019"/>
    <s v="777018747867"/>
    <s v="AE"/>
    <s v="GB"/>
    <s v="DXB"/>
    <s v="DSA"/>
    <s v="19-11-2019"/>
    <s v="25-11-2019"/>
    <s v="04"/>
    <s v="01"/>
    <s v="USD"/>
    <s v="4000.00"/>
    <x v="0"/>
    <s v="64.90"/>
    <s v="L"/>
    <s v="OTHER"/>
    <s v="EURO1_MIX"/>
    <s v="IP_D1234_MIX"/>
    <s v="IP_D5_EMEA"/>
    <s v="IP_D6_MIX"/>
    <s v="COLD"/>
    <s v="STN"/>
    <s v="777018747661"/>
    <s v="8"/>
    <x v="32"/>
    <s v="305386469008"/>
    <s v="689252729"/>
    <s v="IP_D1234"/>
    <x v="0"/>
    <x v="0"/>
    <x v="1"/>
    <x v="5"/>
    <s v="DXB"/>
    <s v="CDG"/>
    <s v="0083"/>
    <s v="20/11/2019 18:49"/>
    <s v="20/11/2019 18:57"/>
    <s v="8"/>
    <s v="02"/>
    <s v="EURO1_MIX,IP_D1234_MIX,IP_D5_EMEA,IP_D6_MIX"/>
    <s v="MDE_AVAILABLE"/>
    <s v="FEDEX"/>
    <s v="IEB"/>
    <s v="CONVEYABLE"/>
    <s v="19-11-2019"/>
    <s v="BOX"/>
    <x v="0"/>
  </r>
  <r>
    <s v="20-11-2019"/>
    <s v="20-11-2019"/>
    <s v="804171761232"/>
    <s v="KR"/>
    <s v="CH"/>
    <s v="SEL"/>
    <s v="ZDB"/>
    <s v="19-11-2019"/>
    <s v="21-11-2019"/>
    <s v="01"/>
    <s v="01"/>
    <s v="WON"/>
    <s v="0.00"/>
    <x v="2"/>
    <m/>
    <m/>
    <s v="OTHER"/>
    <s v="EURO1_MIX"/>
    <s v="IP_D1234_MIX"/>
    <s v="IP_D5_EMEA"/>
    <s v="IP_D6_EMEA"/>
    <s v="WARM"/>
    <s v="BSL"/>
    <s v="813529037767"/>
    <s v="15"/>
    <x v="44"/>
    <s v="304904457162"/>
    <s v="559283665"/>
    <s v="IP_D1234"/>
    <x v="0"/>
    <x v="0"/>
    <x v="1"/>
    <x v="1"/>
    <s v="CGN"/>
    <s v="CDG"/>
    <s v="0084"/>
    <s v="20/11/2019 13:20"/>
    <s v="20/11/2019 13:29"/>
    <s v="9"/>
    <s v="02"/>
    <s v="EURO1_MIX,IP_D1234_MIX,IP_D5_EMEA,IP_D6_EMEA"/>
    <s v="MDE_AVAILABLE"/>
    <s v="FEDEX"/>
    <s v="IPE"/>
    <s v="UNKNOWN_CON_NCON"/>
    <s v="19-11-2019"/>
    <s v="UNKNOWN"/>
    <x v="0"/>
  </r>
  <r>
    <s v="20-11-2019"/>
    <s v="20-11-2019"/>
    <s v="135595103827"/>
    <s v="US"/>
    <s v="FR"/>
    <s v="OPF"/>
    <s v="DCM"/>
    <m/>
    <s v="21-11-2019"/>
    <s v="01"/>
    <s v="01"/>
    <s v="USD"/>
    <s v="1511.29"/>
    <x v="0"/>
    <m/>
    <s v="L"/>
    <s v="OTHER"/>
    <s v="EURO1_MIX"/>
    <s v="IP_D1234_EMEA"/>
    <s v="IP_D5_EMEA"/>
    <s v="IP_D6_EMEA"/>
    <s v="WARM"/>
    <s v="CDG"/>
    <m/>
    <s v="2"/>
    <x v="53"/>
    <s v="304990406852"/>
    <s v="647810292"/>
    <s v="IP_D1234"/>
    <x v="0"/>
    <x v="0"/>
    <x v="2"/>
    <x v="11"/>
    <s v="MEM"/>
    <s v="CDG"/>
    <s v="0016"/>
    <s v="20/11/2019 18:47"/>
    <m/>
    <m/>
    <s v="02,54"/>
    <s v="EURO1_MIX,IP_D1234_EMEA,IP_D5_EMEA,IP_D6_EMEA"/>
    <s v="MDE_AVAILABLE"/>
    <s v="FEDEX"/>
    <s v="IPE"/>
    <s v="CONVEYABLE"/>
    <s v="19-11-2019"/>
    <s v="BOX"/>
    <x v="0"/>
  </r>
  <r>
    <s v="20-11-2019"/>
    <s v="20-11-2019"/>
    <s v="114654296431"/>
    <s v="MY"/>
    <s v="HU"/>
    <s v="PEN"/>
    <s v="DEB"/>
    <s v="19-11-2019"/>
    <s v="22-11-2019"/>
    <s v="01"/>
    <s v="01"/>
    <s v="USD"/>
    <s v="552.01"/>
    <x v="0"/>
    <s v="12.00"/>
    <s v="L"/>
    <s v="OTHER"/>
    <s v="EURO1_MIX"/>
    <s v="IP_D1234_LATE"/>
    <s v="IP_D5_EMEA"/>
    <s v="IP_D6_EMEA"/>
    <s v="WARM"/>
    <s v="BUD"/>
    <m/>
    <s v="1"/>
    <x v="17"/>
    <s v="304904421209"/>
    <s v="140004804"/>
    <s v="IP_D1234"/>
    <x v="0"/>
    <x v="0"/>
    <x v="2"/>
    <x v="1"/>
    <s v="CGN"/>
    <s v="CDG"/>
    <s v="0084"/>
    <s v="20/11/2019 13:20"/>
    <s v="20/11/2019 13:29"/>
    <s v="9"/>
    <s v="02"/>
    <s v="EURO1_MIX,IP_D1234_LATE,IP_D5_EMEA,IP_D6_EMEA"/>
    <s v="MDE_AVAILABLE"/>
    <s v="FEDEX"/>
    <s v="IPE"/>
    <s v="CONVEYABLE"/>
    <s v="19-11-2019"/>
    <s v="BOX"/>
    <x v="0"/>
  </r>
  <r>
    <s v="20-11-2019"/>
    <s v="20-11-2019"/>
    <s v="778168619960"/>
    <s v="BE"/>
    <s v="HK"/>
    <s v="ANR"/>
    <s v="HHP"/>
    <m/>
    <s v="22-11-2019"/>
    <s v="01"/>
    <s v="01"/>
    <s v="USD"/>
    <s v="1511.94"/>
    <x v="0"/>
    <m/>
    <m/>
    <s v="OTHER"/>
    <s v="EURO1_CAN"/>
    <s v="IP_D1234_LATE"/>
    <s v="IP_D5_EMEA"/>
    <s v="IP_D6_MIX"/>
    <s v="HOT"/>
    <s v="HKG"/>
    <s v="778168617637"/>
    <s v="6"/>
    <x v="54"/>
    <s v="808409578171"/>
    <s v="174621020"/>
    <s v="EURO1"/>
    <x v="1"/>
    <x v="0"/>
    <x v="3"/>
    <x v="17"/>
    <s v="BRUR"/>
    <s v="CDGH"/>
    <s v="8009"/>
    <s v="20/11/2019 23:15"/>
    <m/>
    <m/>
    <s v="02,54"/>
    <s v="EURO1_CAN,IP_D1234_LATE,IP_D5_EMEA,IP_D6_MIX"/>
    <s v="MDE_AVAILABLE"/>
    <s v="FEDEX"/>
    <s v="IPE"/>
    <s v="BUILDING_AB_NON_CONV,BUILDING_V_NON_CONV"/>
    <s v="20-11-2019"/>
    <s v="BOX"/>
    <x v="1"/>
  </r>
  <r>
    <s v="20-11-2019"/>
    <s v="20-11-2019"/>
    <s v="104102241536"/>
    <s v="US"/>
    <s v="FR"/>
    <s v="RWI"/>
    <s v="POX"/>
    <s v="19-11-2019"/>
    <s v="21-11-2019"/>
    <s v="01"/>
    <s v="01"/>
    <s v="USD"/>
    <s v="6480.00"/>
    <x v="0"/>
    <s v="40.00"/>
    <s v="L"/>
    <s v="OTHER"/>
    <s v="EURO1_MIX"/>
    <s v="IP_D1234_EMEA"/>
    <s v="IP_D5_EMEA"/>
    <s v="IP_D6_EMEA"/>
    <s v="WARM"/>
    <s v="CDG"/>
    <m/>
    <s v="1"/>
    <x v="35"/>
    <s v="304844441750"/>
    <s v="103687527"/>
    <s v="IP_D1234"/>
    <x v="0"/>
    <x v="0"/>
    <x v="2"/>
    <x v="3"/>
    <s v="IND"/>
    <s v="CDG"/>
    <s v="0083"/>
    <s v="20/11/2019 18:17"/>
    <s v="20/11/2019 18:54"/>
    <s v="37"/>
    <s v="02"/>
    <s v="EURO1_MIX,IP_D1234_EMEA,IP_D5_EMEA,IP_D6_EMEA"/>
    <s v="MDE_AVAILABLE"/>
    <s v="FEDEX"/>
    <s v="IPE"/>
    <s v="CONVEYABLE"/>
    <s v="19-11-2019"/>
    <s v="BOX"/>
    <x v="0"/>
  </r>
  <r>
    <s v="20-11-2019"/>
    <s v="20-11-2019"/>
    <s v="778092230646"/>
    <s v="CN"/>
    <s v="GB"/>
    <s v="CIF"/>
    <s v="FIE"/>
    <m/>
    <s v="25-11-2019"/>
    <s v="04"/>
    <s v="01"/>
    <s v="USD"/>
    <s v="2320.00"/>
    <x v="0"/>
    <m/>
    <m/>
    <s v="OTHER"/>
    <s v="EURO1_MIX"/>
    <s v="IP_D1234_MIX"/>
    <s v="IP_D5_EMEA"/>
    <s v="IP_D6_MIX"/>
    <s v="UNKNOWN"/>
    <s v="STN"/>
    <s v="778092226600"/>
    <s v="4"/>
    <x v="5"/>
    <s v="304904491558"/>
    <s v="698977175"/>
    <s v="IP_D1234"/>
    <x v="0"/>
    <x v="0"/>
    <x v="1"/>
    <x v="5"/>
    <s v="DXB"/>
    <s v="CDG"/>
    <s v="0083"/>
    <s v="20/11/2019 18:49"/>
    <s v="20/11/2019 18:57"/>
    <s v="8"/>
    <s v="02"/>
    <s v="EURO1_MIX,IP_D1234_MIX,IP_D5_EMEA,IP_D6_MIX"/>
    <s v="MDE_AVAILABLE"/>
    <s v="FEDEX"/>
    <s v="IEB"/>
    <s v="BUILDING_AB_NON_CONV,BUILDING_V_NON_CONV"/>
    <s v="18-11-2019"/>
    <s v="UNKNOWN"/>
    <x v="1"/>
  </r>
  <r>
    <s v="20-11-2019"/>
    <s v="20-11-2019"/>
    <s v="777017816290"/>
    <s v="TW"/>
    <s v="GR"/>
    <s v="LHN"/>
    <s v="SKG"/>
    <s v="19-11-2019"/>
    <s v="25-11-2019"/>
    <s v="01"/>
    <s v="01"/>
    <s v="USD"/>
    <s v="15120.00"/>
    <x v="0"/>
    <s v="0.50"/>
    <s v="K"/>
    <s v="OTHER"/>
    <s v="EURO1_MIX"/>
    <s v="IP_D1234_MIX"/>
    <s v="IP_D5_EMEA"/>
    <s v="IP_D6_MIX"/>
    <s v="COLD"/>
    <s v="ATH"/>
    <m/>
    <s v="1"/>
    <x v="55"/>
    <s v="137361337094"/>
    <s v="586713647"/>
    <s v="IP_D1234"/>
    <x v="0"/>
    <x v="0"/>
    <x v="0"/>
    <x v="18"/>
    <s v="CDGRP"/>
    <s v="CDGH"/>
    <s v="8009"/>
    <s v="20/11/2019 16:45"/>
    <s v="20/11/2019 17:25"/>
    <s v="40"/>
    <s v="02"/>
    <s v="EURO1_MIX,IP_D1234_MIX,IP_D5_EMEA,IP_D6_MIX"/>
    <s v="MDE_AVAILABLE"/>
    <s v="FEDEX"/>
    <s v="IPE"/>
    <s v="CONVEYABLE"/>
    <s v="19-11-2019"/>
    <s v="SMALL_PARCEL"/>
    <x v="0"/>
  </r>
  <r>
    <s v="20-11-2019"/>
    <s v="20-11-2019"/>
    <s v="795790221283"/>
    <s v="NL"/>
    <s v="DE"/>
    <s v="AMS"/>
    <s v="THF"/>
    <s v="19-11-2019"/>
    <s v="21-11-2019"/>
    <s v="04"/>
    <s v="01"/>
    <s v="EUR"/>
    <s v="0.00"/>
    <x v="0"/>
    <s v="14.40"/>
    <s v="K"/>
    <s v="OTHER"/>
    <s v="EURO1_MIX"/>
    <s v="IP_D1234_MIX"/>
    <s v="IP_D5_MIX"/>
    <s v="IP_D6_MIX"/>
    <s v="DEAD"/>
    <s v="CGN"/>
    <m/>
    <s v="1"/>
    <x v="56"/>
    <s v="137622014707"/>
    <s v="760226289"/>
    <s v="EURO1"/>
    <x v="1"/>
    <x v="0"/>
    <x v="3"/>
    <x v="19"/>
    <s v="AMSA"/>
    <s v="CDGH"/>
    <s v="8009"/>
    <s v="21/11/2019 00:59"/>
    <m/>
    <m/>
    <s v="02,25"/>
    <s v="EURO1_MIX,IP_D1234_MIX,IP_D5_MIX,IP_D6_MIX"/>
    <s v="MDE_AVAILABLE"/>
    <s v="FEDEX"/>
    <s v="IEB"/>
    <s v="CONVEYABLE"/>
    <s v="19-11-2019"/>
    <s v="BOX"/>
    <x v="0"/>
  </r>
  <r>
    <s v="20-11-2019"/>
    <s v="20-11-2019"/>
    <s v="777029777319"/>
    <s v="US"/>
    <s v="NL"/>
    <s v="CLD"/>
    <s v="RTM"/>
    <s v="19-11-2019"/>
    <s v="21-11-2019"/>
    <s v="01"/>
    <s v="01"/>
    <s v="USD"/>
    <s v="2705.00"/>
    <x v="0"/>
    <m/>
    <m/>
    <s v="OTHER"/>
    <s v="EURO1_MIX"/>
    <s v="IP_D1234_EMEA"/>
    <s v="IP_D5_EMEA"/>
    <s v="IP_D6_EMEA"/>
    <s v="WARM"/>
    <s v="AMS"/>
    <s v="777029776437"/>
    <s v="20"/>
    <x v="57"/>
    <s v="304843425047"/>
    <s v="369999907"/>
    <s v="IP_D1234"/>
    <x v="0"/>
    <x v="0"/>
    <x v="1"/>
    <x v="3"/>
    <s v="IND"/>
    <s v="CDG"/>
    <s v="0083"/>
    <s v="20/11/2019 18:17"/>
    <s v="20/11/2019 18:54"/>
    <s v="37"/>
    <s v="02"/>
    <s v="EURO1_MIX,IP_D1234_EMEA,IP_D5_EMEA,IP_D6_EMEA"/>
    <s v="MDE_AVAILABLE"/>
    <s v="FEDEX"/>
    <s v="IPE"/>
    <s v="CONVEYABLE"/>
    <s v="19-11-2019"/>
    <s v="BOX"/>
    <x v="0"/>
  </r>
  <r>
    <s v="20-11-2019"/>
    <s v="20-11-2019"/>
    <s v="778156203897"/>
    <s v="US"/>
    <s v="TR"/>
    <s v="HOU"/>
    <s v="SAW"/>
    <m/>
    <s v="25-11-2019"/>
    <s v="01"/>
    <s v="01"/>
    <s v="USD"/>
    <s v="1350.00"/>
    <x v="0"/>
    <s v="1.50"/>
    <s v="L"/>
    <s v="OTHER"/>
    <s v="EURO1_MIX"/>
    <s v="IP_D1234_EMEA"/>
    <s v="IP_D5_EMEA"/>
    <s v="IP_D6_EMEA"/>
    <s v="COLD"/>
    <s v="IST"/>
    <m/>
    <s v="1"/>
    <x v="58"/>
    <s v="304844441749"/>
    <s v="077900004"/>
    <s v="IP_D1234"/>
    <x v="0"/>
    <x v="0"/>
    <x v="2"/>
    <x v="3"/>
    <s v="IND"/>
    <s v="CDG"/>
    <s v="0083"/>
    <s v="20/11/2019 18:17"/>
    <s v="20/11/2019 18:54"/>
    <s v="37"/>
    <s v="02"/>
    <s v="EURO1_MIX,IP_D1234_EMEA,IP_D5_EMEA,IP_D6_EMEA"/>
    <s v="MDE_AVAILABLE"/>
    <s v="FEDEX"/>
    <s v="IPE"/>
    <s v="CONVEYABLE"/>
    <s v="19-11-2019"/>
    <s v="SMALL_PARCEL"/>
    <x v="0"/>
  </r>
  <r>
    <s v="20-11-2019"/>
    <s v="20-11-2019"/>
    <s v="135595103838"/>
    <s v="US"/>
    <s v="FR"/>
    <s v="OPF"/>
    <s v="DCM"/>
    <m/>
    <s v="21-11-2019"/>
    <s v="01"/>
    <s v="01"/>
    <s v="USD"/>
    <s v="1511.29"/>
    <x v="0"/>
    <m/>
    <m/>
    <s v="OTHER"/>
    <s v="EURO1_MIX"/>
    <s v="IP_D1234_EMEA"/>
    <s v="IP_D5_EMEA"/>
    <s v="IP_D6_EMEA"/>
    <s v="WARM"/>
    <s v="CDG"/>
    <s v="135595103827"/>
    <s v="2"/>
    <x v="53"/>
    <s v="304990406852"/>
    <s v="647810292"/>
    <s v="IP_D1234"/>
    <x v="0"/>
    <x v="0"/>
    <x v="2"/>
    <x v="11"/>
    <s v="MEM"/>
    <s v="CDG"/>
    <s v="0016"/>
    <s v="20/11/2019 18:47"/>
    <m/>
    <m/>
    <s v="02,54"/>
    <s v="EURO1_MIX,IP_D1234_EMEA,IP_D5_EMEA,IP_D6_EMEA"/>
    <s v="MDE_AVAILABLE"/>
    <s v="FEDEX"/>
    <s v="IPE"/>
    <s v="CONVEYABLE"/>
    <s v="19-11-2019"/>
    <s v="UNKNOWN"/>
    <x v="0"/>
  </r>
  <r>
    <s v="20-11-2019"/>
    <s v="20-11-2019"/>
    <s v="778090852173"/>
    <s v="HK"/>
    <s v="FR"/>
    <s v="HKG"/>
    <s v="QNJ"/>
    <m/>
    <s v="22-11-2019"/>
    <s v="04"/>
    <s v="01"/>
    <s v="USD"/>
    <s v="1680.00"/>
    <x v="0"/>
    <s v="50.40"/>
    <s v="L"/>
    <s v="OTHER"/>
    <s v="EURO1_MIX"/>
    <s v="IP_D1234_EMEA"/>
    <s v="IP_D5_EMEA"/>
    <s v="IP_D6_EMEA"/>
    <s v="COLD"/>
    <s v="CDG"/>
    <m/>
    <s v="2"/>
    <x v="41"/>
    <s v="221453828069"/>
    <s v="630996295"/>
    <s v="IP_D1234"/>
    <x v="0"/>
    <x v="0"/>
    <x v="1"/>
    <x v="7"/>
    <s v="NRT"/>
    <s v="CDG"/>
    <s v="0083"/>
    <s v="20/11/2019 16:53"/>
    <s v="20/11/2019 17:38"/>
    <s v="45"/>
    <s v="02"/>
    <s v="EURO1_MIX,IP_D1234_EMEA,IP_D5_EMEA,IP_D6_EMEA"/>
    <s v="MDE_AVAILABLE"/>
    <s v="FEDEX"/>
    <s v="IEB"/>
    <s v="CONVEYABLE"/>
    <s v="19-11-2019"/>
    <s v="BOX"/>
    <x v="0"/>
  </r>
  <r>
    <s v="20-11-2019"/>
    <s v="20-11-2019"/>
    <s v="777018037639"/>
    <s v="HK"/>
    <s v="CH"/>
    <s v="HHK"/>
    <s v="SMV"/>
    <s v="19-11-2019"/>
    <s v="21-11-2019"/>
    <s v="01"/>
    <s v="01"/>
    <s v="USD"/>
    <s v="1366.80"/>
    <x v="0"/>
    <m/>
    <m/>
    <s v="OTHER"/>
    <s v="EURO1_MIX"/>
    <s v="IP_D1234_MIX"/>
    <s v="IP_D5_EMEA"/>
    <s v="IP_D6_EMEA"/>
    <s v="WARM"/>
    <s v="BSL"/>
    <s v="777018037801"/>
    <s v="2"/>
    <x v="59"/>
    <s v="221075698340"/>
    <s v="259598591"/>
    <s v="IP_D1234"/>
    <x v="0"/>
    <x v="0"/>
    <x v="1"/>
    <x v="7"/>
    <s v="NRT"/>
    <s v="CDG"/>
    <s v="0083"/>
    <s v="20/11/2019 16:53"/>
    <s v="20/11/2019 17:38"/>
    <s v="45"/>
    <s v="02"/>
    <s v="EURO1_MIX,IP_D1234_MIX,IP_D5_EMEA,IP_D6_EMEA"/>
    <s v="MDE_AVAILABLE"/>
    <s v="FEDEX"/>
    <s v="IPE"/>
    <s v="CONVEYABLE"/>
    <s v="19-11-2019"/>
    <s v="UNKNOWN"/>
    <x v="0"/>
  </r>
  <r>
    <s v="19-11-2019"/>
    <s v="20-11-2019"/>
    <s v="777021689640"/>
    <s v="ES"/>
    <s v="US"/>
    <s v="MAD"/>
    <s v="SXY"/>
    <s v="19-11-2019"/>
    <s v="20-11-2019"/>
    <s v="01"/>
    <s v="01"/>
    <s v="EUR"/>
    <s v="40.00"/>
    <x v="0"/>
    <s v="0.50"/>
    <s v="K"/>
    <s v="EAST_COAST_SPECIAL,OTHER"/>
    <s v="EURO1_MIX"/>
    <s v="IP_D1234_MIX US"/>
    <s v="IP_D5_MIX US"/>
    <s v="IP_D6_EMEA"/>
    <s v="UNKNOWN"/>
    <s v="USA"/>
    <m/>
    <s v="1"/>
    <x v="60"/>
    <s v="304882700704"/>
    <s v="641948055"/>
    <s v="EURO1"/>
    <x v="0"/>
    <x v="0"/>
    <x v="0"/>
    <x v="6"/>
    <s v="CDG"/>
    <s v="CDG"/>
    <m/>
    <m/>
    <m/>
    <m/>
    <s v="02,20"/>
    <s v="EURO1_MIX,IP_D1234_MIX US,IP_D5_MIX US,IP_D6_EMEA"/>
    <s v="MDE_AVAILABLE"/>
    <s v="FEDEX"/>
    <s v="IPE"/>
    <s v="CONVEYABLE"/>
    <s v="19-11-2019"/>
    <s v="BOX"/>
    <x v="0"/>
  </r>
  <r>
    <s v="20-11-2019"/>
    <s v="20-11-2019"/>
    <s v="135392502069"/>
    <s v="SG"/>
    <s v="CZ"/>
    <s v="XSP"/>
    <s v="PRG"/>
    <s v="19-11-2019"/>
    <s v="22-11-2019"/>
    <s v="18"/>
    <s v="01"/>
    <s v="USD"/>
    <s v="1133603.76"/>
    <x v="0"/>
    <s v="18.30"/>
    <s v="K"/>
    <s v="OTHER"/>
    <s v="EURO1_MIX"/>
    <s v="IP_D1234_LATE"/>
    <s v="IP_D5_EMEA"/>
    <s v="IP_D6_EMEA"/>
    <s v="COLD"/>
    <s v="PRG"/>
    <s v="135392493840"/>
    <s v="1"/>
    <x v="0"/>
    <s v="304904421297"/>
    <s v="685123525"/>
    <s v="IP_D1234"/>
    <x v="0"/>
    <x v="0"/>
    <x v="0"/>
    <x v="1"/>
    <s v="CGN"/>
    <s v="CDG"/>
    <s v="0084"/>
    <s v="20/11/2019 13:20"/>
    <s v="20/11/2019 13:29"/>
    <s v="9"/>
    <s v="02"/>
    <s v="EURO1_MIX,IP_D1234_LATE,IP_D5_EMEA,IP_D6_EMEA"/>
    <s v="MDE_AVAILABLE"/>
    <s v="FEDEX"/>
    <s v="IPD"/>
    <s v="CONVEYABLE"/>
    <s v="19-11-2019"/>
    <s v="BOX"/>
    <x v="0"/>
  </r>
  <r>
    <s v="20-11-2019"/>
    <s v="20-11-2019"/>
    <s v="873269837830"/>
    <s v="MX"/>
    <s v="CZ"/>
    <s v="TLC"/>
    <s v="PRG"/>
    <m/>
    <s v="27-11-2019"/>
    <s v="04"/>
    <s v="01"/>
    <s v="USD"/>
    <s v="1064.75"/>
    <x v="0"/>
    <s v="12.90"/>
    <s v="L"/>
    <s v="OTHER"/>
    <s v="EURO1_MIX"/>
    <s v="IP_D1234_LATE"/>
    <s v="IP_D5_EMEA"/>
    <s v="IP_D6_EMEA"/>
    <s v="COLD"/>
    <s v="PRG"/>
    <s v="814074143142"/>
    <s v="7"/>
    <x v="47"/>
    <s v="304990406944"/>
    <s v="294911162"/>
    <s v="IP_D1234"/>
    <x v="0"/>
    <x v="0"/>
    <x v="2"/>
    <x v="0"/>
    <s v="MEM"/>
    <s v="CDG"/>
    <s v="0083"/>
    <s v="20/11/2019 20:43"/>
    <m/>
    <m/>
    <s v="02"/>
    <s v="EURO1_MIX,IP_D1234_LATE,IP_D5_EMEA,IP_D6_EMEA"/>
    <s v="MDE_AVAILABLE"/>
    <s v="FEDEX"/>
    <s v="IEB"/>
    <s v="CONVEYABLE"/>
    <s v="19-11-2019"/>
    <s v="BOX"/>
    <x v="0"/>
  </r>
  <r>
    <s v="20-11-2019"/>
    <s v="20-11-2019"/>
    <s v="778156311707"/>
    <s v="US"/>
    <s v="CH"/>
    <s v="MSC"/>
    <s v="BSL"/>
    <s v="19-11-2019"/>
    <s v="21-11-2019"/>
    <s v="01"/>
    <s v="01"/>
    <s v="USD"/>
    <s v="197185.02"/>
    <x v="0"/>
    <s v="20.00"/>
    <s v="L"/>
    <s v="OTHER"/>
    <s v="EURO1_MIX"/>
    <s v="IP_D1234_MIX"/>
    <s v="IP_D5_EMEA"/>
    <s v="IP_D6_EMEA"/>
    <s v="WARM"/>
    <s v="BSL"/>
    <m/>
    <s v="1"/>
    <x v="61"/>
    <s v="304843425069"/>
    <s v="856947483"/>
    <s v="IP_D1234"/>
    <x v="0"/>
    <x v="0"/>
    <x v="1"/>
    <x v="3"/>
    <s v="IND"/>
    <s v="CDG"/>
    <s v="0083"/>
    <s v="20/11/2019 18:17"/>
    <s v="20/11/2019 18:54"/>
    <s v="37"/>
    <s v="02"/>
    <s v="EURO1_MIX,IP_D1234_MIX,IP_D5_EMEA,IP_D6_EMEA"/>
    <s v="MDE_AVAILABLE"/>
    <s v="FEDEX"/>
    <s v="IPE"/>
    <s v="CONVEYABLE"/>
    <s v="19-11-2019"/>
    <s v="BOX"/>
    <x v="0"/>
  </r>
  <r>
    <s v="20-11-2019"/>
    <s v="20-11-2019"/>
    <s v="111654836308"/>
    <s v="SG"/>
    <s v="DE"/>
    <s v="SIN"/>
    <s v="ZPM"/>
    <s v="19-11-2019"/>
    <s v="22-11-2019"/>
    <s v="18"/>
    <s v="01"/>
    <s v="USD"/>
    <s v="1671867.64"/>
    <x v="0"/>
    <s v="0.60"/>
    <s v="K"/>
    <s v="OTHER"/>
    <s v="EURO1_MIX"/>
    <s v="IP_D1234_MIX"/>
    <s v="IP_D5_MIX"/>
    <s v="IP_D6_MIX"/>
    <s v="COLD"/>
    <s v="CGN"/>
    <s v="111654834018"/>
    <s v="1"/>
    <x v="62"/>
    <s v="137497478734"/>
    <s v="550977141"/>
    <s v="IP_D1234"/>
    <x v="0"/>
    <x v="0"/>
    <x v="0"/>
    <x v="20"/>
    <s v="CDGRP"/>
    <s v="CDGH"/>
    <s v="8009"/>
    <s v="20/11/2019 15:45"/>
    <s v="20/11/2019 16:05"/>
    <s v="20"/>
    <s v="02"/>
    <s v="EURO1_MIX,IP_D1234_MIX,IP_D5_MIX,IP_D6_MIX"/>
    <s v="MDE_AVAILABLE"/>
    <s v="FEDEX"/>
    <s v="IPD"/>
    <s v="CONVEYABLE"/>
    <s v="19-11-2019"/>
    <s v="UNKNOWN"/>
    <x v="0"/>
  </r>
  <r>
    <s v="20-11-2019"/>
    <s v="20-11-2019"/>
    <s v="135392502058"/>
    <s v="SG"/>
    <s v="CZ"/>
    <s v="XSP"/>
    <s v="PRG"/>
    <s v="19-11-2019"/>
    <s v="22-11-2019"/>
    <s v="18"/>
    <s v="01"/>
    <s v="USD"/>
    <s v="1133603.76"/>
    <x v="0"/>
    <s v="7.60"/>
    <s v="K"/>
    <s v="OTHER"/>
    <s v="EURO1_MIX"/>
    <s v="IP_D1234_LATE"/>
    <s v="IP_D5_EMEA"/>
    <s v="IP_D6_EMEA"/>
    <s v="COLD"/>
    <s v="PRG"/>
    <s v="135392493840"/>
    <s v="1"/>
    <x v="22"/>
    <s v="304904421264"/>
    <s v="685123525"/>
    <s v="IP_D1234"/>
    <x v="0"/>
    <x v="0"/>
    <x v="1"/>
    <x v="1"/>
    <s v="CGN"/>
    <s v="CDG"/>
    <s v="0084"/>
    <s v="20/11/2019 13:20"/>
    <s v="20/11/2019 13:29"/>
    <s v="9"/>
    <s v="02"/>
    <s v="EURO1_MIX,IP_D1234_LATE,IP_D5_EMEA,IP_D6_EMEA"/>
    <s v="MDE_AVAILABLE"/>
    <s v="FEDEX"/>
    <s v="IPD"/>
    <s v="CONVEYABLE"/>
    <s v="19-11-2019"/>
    <s v="BOX"/>
    <x v="0"/>
  </r>
  <r>
    <s v="20-11-2019"/>
    <s v="20-11-2019"/>
    <s v="778132873610"/>
    <s v="IT"/>
    <s v="FR"/>
    <s v="BLQ"/>
    <s v="NCE"/>
    <s v="19-11-2019"/>
    <s v="20-11-2019"/>
    <s v="01"/>
    <s v="01"/>
    <s v="EUR"/>
    <s v="110.69"/>
    <x v="0"/>
    <s v="2.4"/>
    <s v="K"/>
    <s v="OTHER"/>
    <s v="EURO1_MIX"/>
    <s v="IP_D1234_EMEA"/>
    <s v="IP_D5_EMEA"/>
    <s v="IP_D6_EMEA"/>
    <s v="DEAD"/>
    <s v="CDG"/>
    <m/>
    <s v="1"/>
    <x v="63"/>
    <s v="220655778886"/>
    <s v="334260674"/>
    <s v="IP_D1234"/>
    <x v="0"/>
    <x v="0"/>
    <x v="0"/>
    <x v="12"/>
    <s v="MXPH"/>
    <s v="CDGH"/>
    <s v="8009"/>
    <s v="20/11/2019 16:30"/>
    <s v="20/11/2019 15:29"/>
    <s v="-61"/>
    <s v="02"/>
    <s v="EURO1_MIX,IP_D1234_EMEA,IP_D5_EMEA,IP_D6_EMEA"/>
    <s v="MDE_AVAILABLE"/>
    <s v="FEDEX"/>
    <s v="IPE"/>
    <s v="CONVEYABLE"/>
    <s v="19-11-2019"/>
    <s v="BOX"/>
    <x v="0"/>
  </r>
  <r>
    <s v="20-11-2019"/>
    <s v="20-11-2019"/>
    <s v="111654836320"/>
    <s v="SG"/>
    <s v="DE"/>
    <s v="SIN"/>
    <s v="OBF"/>
    <s v="19-11-2019"/>
    <s v="22-11-2019"/>
    <s v="18"/>
    <s v="01"/>
    <s v="USD"/>
    <s v="1671867.64"/>
    <x v="0"/>
    <s v="2.90"/>
    <s v="K"/>
    <s v="OTHER"/>
    <s v="EURO1_MIX"/>
    <s v="IP_D1234_MIX"/>
    <s v="IP_D5_MIX"/>
    <s v="IP_D6_MIX"/>
    <s v="COLD"/>
    <s v="CGN"/>
    <s v="111654834018"/>
    <s v="1"/>
    <x v="64"/>
    <s v="137497478745"/>
    <s v="550977141"/>
    <s v="IP_D1234"/>
    <x v="0"/>
    <x v="0"/>
    <x v="0"/>
    <x v="9"/>
    <s v="CDGRP"/>
    <s v="CDGH"/>
    <s v="8009"/>
    <s v="20/11/2019 16:15"/>
    <s v="20/11/2019 16:55"/>
    <s v="40"/>
    <s v="02"/>
    <s v="EURO1_MIX,IP_D1234_MIX,IP_D5_MIX,IP_D6_MIX"/>
    <s v="MDE_AVAILABLE"/>
    <s v="FEDEX"/>
    <s v="IPD"/>
    <s v="CONVEYABLE"/>
    <s v="19-11-2019"/>
    <s v="BOX"/>
    <x v="0"/>
  </r>
  <r>
    <s v="20-11-2019"/>
    <s v="20-11-2019"/>
    <s v="777024702672"/>
    <s v="US"/>
    <s v="FR"/>
    <s v="CVG"/>
    <s v="XVE"/>
    <s v="19-11-2019"/>
    <s v="21-11-2019"/>
    <s v="01"/>
    <s v="01"/>
    <s v="USD"/>
    <s v="3000.00"/>
    <x v="0"/>
    <s v="4.00"/>
    <s v="L"/>
    <s v="OTHER"/>
    <s v="EURO1_MIX"/>
    <s v="IP_D1234_EMEA"/>
    <s v="IP_D5_EMEA"/>
    <s v="IP_D6_EMEA"/>
    <s v="WARM"/>
    <s v="CDG"/>
    <m/>
    <s v="1"/>
    <x v="58"/>
    <s v="304844441749"/>
    <s v="269268301"/>
    <s v="IP_D1234"/>
    <x v="0"/>
    <x v="0"/>
    <x v="2"/>
    <x v="3"/>
    <s v="IND"/>
    <s v="CDG"/>
    <s v="0083"/>
    <s v="20/11/2019 18:17"/>
    <s v="20/11/2019 18:54"/>
    <s v="37"/>
    <s v="02"/>
    <s v="EURO1_MIX,IP_D1234_EMEA,IP_D5_EMEA,IP_D6_EMEA"/>
    <s v="MDE_AVAILABLE"/>
    <s v="FEDEX"/>
    <s v="IPE"/>
    <s v="CONVEYABLE"/>
    <s v="19-11-2019"/>
    <s v="BOX"/>
    <x v="0"/>
  </r>
  <r>
    <s v="20-11-2019"/>
    <s v="20-11-2019"/>
    <s v="777006811740"/>
    <s v="CN"/>
    <s v="FR"/>
    <s v="SYM"/>
    <s v="PAR"/>
    <m/>
    <s v="22-11-2019"/>
    <s v="01"/>
    <s v="01"/>
    <s v="EUR"/>
    <s v="5.00"/>
    <x v="0"/>
    <s v="0.50"/>
    <s v="K"/>
    <s v="OTHER"/>
    <s v="EURO1_MIX"/>
    <s v="IP_D1234_EMEA"/>
    <s v="IP_D5_EMEA"/>
    <s v="IP_D6_EMEA"/>
    <s v="COLD"/>
    <s v="CDG"/>
    <m/>
    <s v="1"/>
    <x v="50"/>
    <s v="304904421210"/>
    <s v="125600476"/>
    <s v="IP_D1234"/>
    <x v="0"/>
    <x v="0"/>
    <x v="2"/>
    <x v="1"/>
    <s v="CGN"/>
    <s v="CDG"/>
    <s v="0084"/>
    <s v="20/11/2019 13:20"/>
    <s v="20/11/2019 13:29"/>
    <s v="9"/>
    <s v="02"/>
    <s v="EURO1_MIX,IP_D1234_EMEA,IP_D5_EMEA,IP_D6_EMEA"/>
    <s v="MDE_AVAILABLE"/>
    <s v="FEDEX"/>
    <s v="IPE"/>
    <s v="CONVEYABLE"/>
    <s v="18-11-2019"/>
    <s v="UNKNOWN"/>
    <x v="0"/>
  </r>
  <r>
    <s v="20-11-2019"/>
    <s v="20-11-2019"/>
    <s v="111654836319"/>
    <s v="SG"/>
    <s v="PT"/>
    <s v="SIN"/>
    <s v="OPO"/>
    <s v="19-11-2019"/>
    <s v="22-11-2019"/>
    <s v="18"/>
    <s v="01"/>
    <s v="USD"/>
    <s v="1671867.64"/>
    <x v="0"/>
    <s v="1.90"/>
    <s v="K"/>
    <s v="OTHER"/>
    <s v="EURO1_MIX"/>
    <s v="IP_D1234_LATE"/>
    <s v="IP_D5_EMEA"/>
    <s v="IP_D6_EMEA"/>
    <s v="COLD"/>
    <s v="LIS"/>
    <s v="111654834018"/>
    <s v="1"/>
    <x v="64"/>
    <s v="137497478745"/>
    <s v="550977141"/>
    <s v="IP_D1234"/>
    <x v="0"/>
    <x v="0"/>
    <x v="0"/>
    <x v="9"/>
    <s v="CDGRP"/>
    <s v="CDGH"/>
    <s v="8009"/>
    <s v="20/11/2019 16:15"/>
    <s v="20/11/2019 16:55"/>
    <s v="40"/>
    <s v="02"/>
    <s v="EURO1_MIX,IP_D1234_LATE,IP_D5_EMEA,IP_D6_EMEA"/>
    <s v="MDE_AVAILABLE"/>
    <s v="FEDEX"/>
    <s v="IPD"/>
    <s v="CONVEYABLE"/>
    <s v="19-11-2019"/>
    <s v="BOX"/>
    <x v="0"/>
  </r>
  <r>
    <s v="20-11-2019"/>
    <s v="20-11-2019"/>
    <s v="777003688287"/>
    <s v="CN"/>
    <s v="FR"/>
    <s v="DGM"/>
    <s v="QIE"/>
    <s v="16-11-2019"/>
    <s v="21-11-2019"/>
    <s v="01"/>
    <s v="02"/>
    <s v="USD"/>
    <s v="24.00"/>
    <x v="0"/>
    <s v="0.50"/>
    <s v="K"/>
    <s v="OTHER"/>
    <s v="EURO1_MIX"/>
    <s v="IP_D1234_EMEA"/>
    <s v="IP_D5_EMEA"/>
    <s v="IP_D6_EMEA"/>
    <s v="WARM"/>
    <s v="CDG"/>
    <m/>
    <s v="1"/>
    <x v="45"/>
    <s v="304990406841"/>
    <s v="627435835"/>
    <s v="IP_D1234"/>
    <x v="0"/>
    <x v="0"/>
    <x v="2"/>
    <x v="11"/>
    <s v="MEM"/>
    <s v="CDG"/>
    <s v="0016"/>
    <s v="20/11/2019 18:47"/>
    <m/>
    <m/>
    <s v="02,09"/>
    <s v="EURO1_MIX,IP_D1234_EMEA,IP_D5_EMEA,IP_D6_EMEA"/>
    <s v="MDE_AVAILABLE"/>
    <s v="FEDEX"/>
    <s v="IPE"/>
    <s v="CONVEYABLE"/>
    <s v="16-11-2019"/>
    <s v="SMALL_PARCEL"/>
    <x v="0"/>
  </r>
  <r>
    <s v="20-11-2019"/>
    <s v="20-11-2019"/>
    <s v="777024726614"/>
    <s v="US"/>
    <s v="BE"/>
    <s v="DEO"/>
    <s v="ZYR"/>
    <s v="19-11-2019"/>
    <s v="21-11-2019"/>
    <s v="01"/>
    <s v="01"/>
    <s v="USD"/>
    <s v="1000.00"/>
    <x v="0"/>
    <s v="45.00"/>
    <s v="L"/>
    <s v="OTHER"/>
    <s v="EURO1_MIX"/>
    <s v="IP_D1234_EMEA"/>
    <s v="IP_D5_EMEA"/>
    <s v="IP_D6_EMEA"/>
    <s v="WARM"/>
    <s v="BRU"/>
    <m/>
    <s v="1"/>
    <x v="65"/>
    <s v="305026577380"/>
    <s v="893946713"/>
    <s v="IP_D1234"/>
    <x v="0"/>
    <x v="0"/>
    <x v="2"/>
    <x v="4"/>
    <s v="EWR"/>
    <s v="CDG"/>
    <s v="0072"/>
    <s v="20/11/2019 17:41"/>
    <s v="20/11/2019 17:39"/>
    <s v="-2"/>
    <s v="02"/>
    <s v="EURO1_MIX,IP_D1234_EMEA,IP_D5_EMEA,IP_D6_EMEA"/>
    <s v="MDE_AVAILABLE"/>
    <s v="FEDEX"/>
    <s v="IPE"/>
    <s v="CONVEYABLE"/>
    <s v="19-11-2019"/>
    <s v="UNKNOWN"/>
    <x v="0"/>
  </r>
  <r>
    <s v="20-11-2019"/>
    <s v="20-11-2019"/>
    <s v="813040448788"/>
    <s v="IN"/>
    <s v="GB"/>
    <s v="BOM"/>
    <s v="NQT"/>
    <m/>
    <s v="27-11-2019"/>
    <s v="04"/>
    <s v="01"/>
    <s v="USD"/>
    <s v="40.00"/>
    <x v="0"/>
    <s v="44.60"/>
    <s v="L"/>
    <s v="OTHER"/>
    <s v="EURO1_MIX"/>
    <s v="IP_D1234_MIX"/>
    <s v="IP_D5_EMEA"/>
    <s v="IP_D6_MIX"/>
    <s v="COLD"/>
    <s v="STN"/>
    <m/>
    <s v="1"/>
    <x v="66"/>
    <s v="814449868020"/>
    <s v="264865425"/>
    <s v="IP_D1234"/>
    <x v="0"/>
    <x v="0"/>
    <x v="1"/>
    <x v="10"/>
    <s v="MXP"/>
    <s v="CDG"/>
    <s v="0072"/>
    <s v="20/11/2019 18:21"/>
    <s v="20/11/2019 18:27"/>
    <s v="6"/>
    <s v="02"/>
    <s v="EURO1_MIX,IP_D1234_MIX,IP_D5_EMEA,IP_D6_MIX"/>
    <s v="MDE_AVAILABLE"/>
    <s v="FEDEX"/>
    <s v="IEB"/>
    <s v="CONVEYABLE"/>
    <s v="18-11-2019"/>
    <s v="BOX"/>
    <x v="0"/>
  </r>
  <r>
    <s v="20-11-2019"/>
    <s v="20-11-2019"/>
    <s v="111654836330"/>
    <s v="SG"/>
    <s v="PT"/>
    <s v="SIN"/>
    <s v="OPO"/>
    <s v="19-11-2019"/>
    <s v="22-11-2019"/>
    <s v="18"/>
    <s v="01"/>
    <s v="USD"/>
    <s v="1671867.64"/>
    <x v="0"/>
    <s v="3.80"/>
    <s v="K"/>
    <s v="OTHER"/>
    <s v="EURO1_MIX"/>
    <s v="IP_D1234_LATE"/>
    <s v="IP_D5_EMEA"/>
    <s v="IP_D6_EMEA"/>
    <s v="COLD"/>
    <s v="LIS"/>
    <s v="111654834018"/>
    <s v="1"/>
    <x v="64"/>
    <s v="137497478745"/>
    <s v="550977141"/>
    <s v="IP_D1234"/>
    <x v="0"/>
    <x v="0"/>
    <x v="0"/>
    <x v="9"/>
    <s v="CDGRP"/>
    <s v="CDGH"/>
    <s v="8009"/>
    <s v="20/11/2019 16:15"/>
    <s v="20/11/2019 16:55"/>
    <s v="40"/>
    <s v="02"/>
    <s v="EURO1_MIX,IP_D1234_LATE,IP_D5_EMEA,IP_D6_EMEA"/>
    <s v="MDE_AVAILABLE"/>
    <s v="FEDEX"/>
    <s v="IPD"/>
    <s v="CONVEYABLE"/>
    <s v="19-11-2019"/>
    <s v="BOX"/>
    <x v="0"/>
  </r>
  <r>
    <s v="20-11-2019"/>
    <s v="20-11-2019"/>
    <s v="778090950552"/>
    <s v="HK"/>
    <s v="GB"/>
    <s v="KTZ"/>
    <s v="FKH"/>
    <m/>
    <s v="25-11-2019"/>
    <s v="04"/>
    <s v="01"/>
    <s v="USD"/>
    <s v="75.00"/>
    <x v="0"/>
    <s v="5.50"/>
    <s v="L"/>
    <s v="OTHER"/>
    <s v="EURO1_MIX"/>
    <s v="IP_D1234_MIX"/>
    <s v="IP_D5_EMEA"/>
    <s v="IP_D6_MIX"/>
    <s v="COLD"/>
    <s v="STN"/>
    <m/>
    <s v="1"/>
    <x v="31"/>
    <s v="221461458183"/>
    <s v="235160960"/>
    <s v="IP_D1234"/>
    <x v="0"/>
    <x v="0"/>
    <x v="1"/>
    <x v="7"/>
    <s v="NRT"/>
    <s v="CDG"/>
    <s v="0083"/>
    <s v="20/11/2019 16:53"/>
    <s v="20/11/2019 17:38"/>
    <s v="45"/>
    <s v="02"/>
    <s v="EURO1_MIX,IP_D1234_MIX,IP_D5_EMEA,IP_D6_MIX"/>
    <s v="MDE_AVAILABLE"/>
    <s v="FEDEX"/>
    <s v="IEB"/>
    <s v="CONVEYABLE"/>
    <s v="19-11-2019"/>
    <s v="BOX"/>
    <x v="0"/>
  </r>
  <r>
    <s v="20-11-2019"/>
    <s v="20-11-2019"/>
    <s v="777012192810"/>
    <s v="US"/>
    <s v="CH"/>
    <s v="PRI"/>
    <s v="ZJA"/>
    <s v="19-11-2019"/>
    <s v="21-11-2019"/>
    <s v="01"/>
    <s v="02"/>
    <s v="USD"/>
    <s v="1.00"/>
    <x v="0"/>
    <s v="1.00"/>
    <s v="L"/>
    <s v="OTHER"/>
    <s v="EURO1_MIX"/>
    <s v="IP_D1234_MIX"/>
    <s v="IP_D5_EMEA"/>
    <s v="IP_D6_EMEA"/>
    <s v="WARM"/>
    <s v="BSL"/>
    <m/>
    <s v="1"/>
    <x v="0"/>
    <s v="305026416022"/>
    <s v="120686895"/>
    <s v="IP_D1234"/>
    <x v="0"/>
    <x v="0"/>
    <x v="0"/>
    <x v="4"/>
    <s v="EWR"/>
    <s v="CDG"/>
    <s v="0072"/>
    <s v="20/11/2019 17:41"/>
    <s v="20/11/2019 17:39"/>
    <s v="-2"/>
    <s v="02"/>
    <s v="EURO1_MIX,IP_D1234_MIX,IP_D5_EMEA,IP_D6_EMEA"/>
    <s v="MDE_AVAILABLE"/>
    <s v="FEDEX"/>
    <s v="IPE"/>
    <s v="CONVEYABLE"/>
    <s v="19-11-2019"/>
    <s v="SMALL_PARCEL"/>
    <x v="0"/>
  </r>
  <r>
    <s v="20-11-2019"/>
    <s v="20-11-2019"/>
    <s v="778151931037"/>
    <s v="US"/>
    <s v="CZ"/>
    <s v="JSL"/>
    <s v="UHE"/>
    <m/>
    <s v="22-11-2019"/>
    <s v="01"/>
    <s v="01"/>
    <s v="USD"/>
    <s v="120.00"/>
    <x v="0"/>
    <s v="4.00"/>
    <s v="L"/>
    <s v="OTHER"/>
    <s v="EURO1_MIX"/>
    <s v="IP_D1234_LATE"/>
    <s v="IP_D5_EMEA"/>
    <s v="IP_D6_EMEA"/>
    <s v="COLD"/>
    <s v="PRG"/>
    <m/>
    <s v="1"/>
    <x v="67"/>
    <s v="305026577314"/>
    <s v="899063295"/>
    <s v="IP_D1234"/>
    <x v="0"/>
    <x v="0"/>
    <x v="2"/>
    <x v="4"/>
    <s v="EWR"/>
    <s v="CDG"/>
    <s v="0072"/>
    <s v="20/11/2019 17:41"/>
    <s v="20/11/2019 17:39"/>
    <s v="-2"/>
    <s v="02,28,54"/>
    <s v="EURO1_MIX,IP_D1234_LATE,IP_D5_EMEA,IP_D6_EMEA"/>
    <s v="MDE_AVAILABLE"/>
    <s v="FEDEX"/>
    <s v="IPE"/>
    <s v="CONVEYABLE"/>
    <s v="19-11-2019"/>
    <s v="BOX"/>
    <x v="0"/>
  </r>
  <r>
    <s v="20-11-2019"/>
    <s v="20-11-2019"/>
    <s v="778153886445"/>
    <s v="US"/>
    <s v="IN"/>
    <s v="SRW"/>
    <s v="BOM"/>
    <s v="19-11-2019"/>
    <s v="23-11-2019"/>
    <s v="01"/>
    <s v="02"/>
    <s v="USD"/>
    <s v="1.00"/>
    <x v="0"/>
    <s v="3.10"/>
    <s v="L"/>
    <s v="OTHER"/>
    <s v="EURO1_MIX"/>
    <s v="IP_D1234_LATE"/>
    <s v="IP_D5_EMEA"/>
    <s v="IP_D6_MIX"/>
    <s v="COLD"/>
    <s v="DEL"/>
    <m/>
    <s v="1"/>
    <x v="68"/>
    <s v="304844441760"/>
    <s v="961200008"/>
    <s v="IP_D1234"/>
    <x v="0"/>
    <x v="0"/>
    <x v="2"/>
    <x v="3"/>
    <s v="IND"/>
    <s v="CDG"/>
    <s v="0083"/>
    <s v="20/11/2019 18:17"/>
    <s v="20/11/2019 18:54"/>
    <s v="37"/>
    <s v="02"/>
    <s v="EURO1_MIX,IP_D1234_LATE,IP_D5_EMEA,IP_D6_MIX"/>
    <s v="MDE_AVAILABLE"/>
    <s v="FEDEX"/>
    <s v="IPE"/>
    <s v="CONVEYABLE"/>
    <s v="19-11-2019"/>
    <s v="SMALL_PARCEL"/>
    <x v="0"/>
  </r>
  <r>
    <s v="20-11-2019"/>
    <s v="20-11-2019"/>
    <s v="111654836341"/>
    <s v="SG"/>
    <s v="DE"/>
    <s v="SIN"/>
    <s v="OBF"/>
    <s v="19-11-2019"/>
    <s v="22-11-2019"/>
    <s v="18"/>
    <s v="01"/>
    <s v="USD"/>
    <s v="1671867.64"/>
    <x v="0"/>
    <s v="2.50"/>
    <s v="K"/>
    <s v="OTHER"/>
    <s v="EURO1_MIX"/>
    <s v="IP_D1234_MIX"/>
    <s v="IP_D5_MIX"/>
    <s v="IP_D6_MIX"/>
    <s v="COLD"/>
    <s v="CGN"/>
    <s v="111654834018"/>
    <s v="1"/>
    <x v="64"/>
    <s v="137497478745"/>
    <s v="550977141"/>
    <s v="IP_D1234"/>
    <x v="0"/>
    <x v="0"/>
    <x v="0"/>
    <x v="9"/>
    <s v="CDGRP"/>
    <s v="CDGH"/>
    <s v="8009"/>
    <s v="20/11/2019 16:15"/>
    <s v="20/11/2019 16:55"/>
    <s v="40"/>
    <s v="02"/>
    <s v="EURO1_MIX,IP_D1234_MIX,IP_D5_MIX,IP_D6_MIX"/>
    <s v="MDE_AVAILABLE"/>
    <s v="FEDEX"/>
    <s v="IPD"/>
    <s v="CONVEYABLE"/>
    <s v="19-11-2019"/>
    <s v="BOX"/>
    <x v="0"/>
  </r>
  <r>
    <s v="20-11-2019"/>
    <s v="20-11-2019"/>
    <s v="777017865196"/>
    <s v="JP"/>
    <s v="IT"/>
    <s v="UKY"/>
    <s v="AOI"/>
    <s v="19-11-2019"/>
    <s v="21-11-2019"/>
    <s v="01"/>
    <s v="01"/>
    <s v="EUR"/>
    <s v="74.40"/>
    <x v="0"/>
    <s v="3.00"/>
    <s v="K"/>
    <s v="OTHER"/>
    <s v="EURO1_MIX"/>
    <s v="IP_D1234_MIX"/>
    <s v="IP_D5_MIX"/>
    <s v="IP_D6_EMEA"/>
    <s v="DEAD"/>
    <s v="MXP"/>
    <m/>
    <s v="1"/>
    <x v="69"/>
    <s v="304776358917"/>
    <s v="205348565"/>
    <s v="IP_D1234"/>
    <x v="0"/>
    <x v="0"/>
    <x v="1"/>
    <x v="7"/>
    <s v="NRT"/>
    <s v="CDG"/>
    <s v="0083"/>
    <s v="20/11/2019 16:53"/>
    <s v="20/11/2019 17:38"/>
    <s v="45"/>
    <s v="02"/>
    <s v="EURO1_MIX,IP_D1234_MIX,IP_D5_MIX,IP_D6_EMEA"/>
    <s v="MDE_AVAILABLE"/>
    <s v="FEDEX"/>
    <s v="IPE"/>
    <s v="CONVEYABLE"/>
    <s v="19-11-2019"/>
    <s v="BOX"/>
    <x v="0"/>
  </r>
  <r>
    <s v="20-11-2019"/>
    <s v="20-11-2019"/>
    <s v="131602064311"/>
    <s v="HK"/>
    <s v="ES"/>
    <s v="KTZ"/>
    <s v="VLC"/>
    <m/>
    <s v="22-11-2019"/>
    <s v="01"/>
    <s v="01"/>
    <s v="USD"/>
    <s v="8443.72"/>
    <x v="0"/>
    <s v="25.70"/>
    <s v="L"/>
    <s v="OTHER"/>
    <s v="EURO1_MIX"/>
    <s v="IP_D1234_EMEA"/>
    <s v="IP_D5_EMEA"/>
    <s v="IP_D6_EMEA"/>
    <s v="COLD"/>
    <s v="MAD"/>
    <s v="131602064150"/>
    <s v="18"/>
    <x v="41"/>
    <s v="221453828069"/>
    <s v="630996295"/>
    <s v="IP_D1234"/>
    <x v="0"/>
    <x v="0"/>
    <x v="1"/>
    <x v="7"/>
    <s v="NRT"/>
    <s v="CDG"/>
    <s v="0083"/>
    <s v="20/11/2019 16:53"/>
    <s v="20/11/2019 17:38"/>
    <s v="45"/>
    <s v="02"/>
    <s v="EURO1_MIX,IP_D1234_EMEA,IP_D5_EMEA,IP_D6_EMEA"/>
    <s v="MDE_AVAILABLE"/>
    <s v="FEDEX"/>
    <s v="IPE"/>
    <s v="CONVEYABLE"/>
    <s v="18-11-2019"/>
    <s v="BOX"/>
    <x v="0"/>
  </r>
  <r>
    <s v="20-11-2019"/>
    <s v="20-11-2019"/>
    <s v="777018326732"/>
    <s v="JP"/>
    <s v="GB"/>
    <s v="TYO"/>
    <s v="JER"/>
    <s v="19-11-2019"/>
    <s v="22-11-2019"/>
    <s v="01"/>
    <s v="06"/>
    <s v="USD"/>
    <s v="0.00"/>
    <x v="1"/>
    <s v="0.30"/>
    <s v="K"/>
    <s v="OTHER"/>
    <s v="EURO1_MIX"/>
    <s v="IP_D1234_MIX"/>
    <s v="IP_D5_EMEA"/>
    <s v="IP_D6_MIX"/>
    <s v="WARM"/>
    <s v="STN"/>
    <m/>
    <s v="1"/>
    <x v="70"/>
    <s v="305386317030"/>
    <s v="120225987"/>
    <s v="IP_D1234"/>
    <x v="0"/>
    <x v="0"/>
    <x v="1"/>
    <x v="7"/>
    <s v="NRT"/>
    <s v="CDG"/>
    <s v="0083"/>
    <s v="20/11/2019 16:53"/>
    <s v="20/11/2019 17:38"/>
    <s v="45"/>
    <s v="02"/>
    <s v="EURO1_MIX,IP_D1234_MIX,IP_D5_EMEA,IP_D6_MIX"/>
    <s v="MDE_AVAILABLE"/>
    <s v="FEDEX"/>
    <s v="IPE"/>
    <s v="CONVEYABLE"/>
    <s v="19-11-2019"/>
    <s v="DOC"/>
    <x v="0"/>
  </r>
  <r>
    <s v="20-11-2019"/>
    <s v="20-11-2019"/>
    <s v="111654836352"/>
    <s v="SG"/>
    <s v="DE"/>
    <s v="SIN"/>
    <s v="ZPM"/>
    <s v="19-11-2019"/>
    <s v="22-11-2019"/>
    <s v="18"/>
    <s v="01"/>
    <s v="USD"/>
    <s v="1671867.64"/>
    <x v="0"/>
    <s v="2.70"/>
    <s v="K"/>
    <s v="OTHER"/>
    <s v="EURO1_MIX"/>
    <s v="IP_D1234_MIX"/>
    <s v="IP_D5_MIX"/>
    <s v="IP_D6_MIX"/>
    <s v="COLD"/>
    <s v="CGN"/>
    <s v="111654834018"/>
    <s v="1"/>
    <x v="64"/>
    <s v="137497478745"/>
    <s v="550977141"/>
    <s v="IP_D1234"/>
    <x v="0"/>
    <x v="0"/>
    <x v="0"/>
    <x v="9"/>
    <s v="CDGRP"/>
    <s v="CDGH"/>
    <s v="8009"/>
    <s v="20/11/2019 16:15"/>
    <s v="20/11/2019 16:55"/>
    <s v="40"/>
    <s v="02"/>
    <s v="EURO1_MIX,IP_D1234_MIX,IP_D5_MIX,IP_D6_MIX"/>
    <s v="MDE_AVAILABLE"/>
    <s v="FEDEX"/>
    <s v="IPD"/>
    <s v="CONVEYABLE"/>
    <s v="19-11-2019"/>
    <s v="BOX"/>
    <x v="0"/>
  </r>
  <r>
    <s v="20-11-2019"/>
    <s v="20-11-2019"/>
    <s v="778017675967"/>
    <s v="CN"/>
    <s v="GB"/>
    <s v="FYN"/>
    <s v="NDY"/>
    <s v="18-11-2019"/>
    <s v="22-11-2019"/>
    <s v="01"/>
    <s v="02"/>
    <s v="USD"/>
    <s v="14.49"/>
    <x v="1"/>
    <s v="0.40"/>
    <s v="K"/>
    <s v="OTHER"/>
    <s v="EURO1_MIX"/>
    <s v="IP_D1234_MIX"/>
    <s v="IP_D5_EMEA"/>
    <s v="IP_D6_MIX"/>
    <s v="COLD"/>
    <s v="STN"/>
    <m/>
    <s v="1"/>
    <x v="71"/>
    <s v="304904614040"/>
    <s v="589593642"/>
    <s v="IP_D1234"/>
    <x v="0"/>
    <x v="0"/>
    <x v="0"/>
    <x v="1"/>
    <s v="CGN"/>
    <s v="CDG"/>
    <s v="0084"/>
    <s v="20/11/2019 13:20"/>
    <s v="20/11/2019 13:29"/>
    <s v="9"/>
    <s v="02,54"/>
    <s v="EURO1_MIX,IP_D1234_MIX,IP_D5_EMEA,IP_D6_MIX"/>
    <s v="MDE_AVAILABLE"/>
    <s v="FEDEX"/>
    <s v="IPE"/>
    <s v="CONVEYABLE"/>
    <s v="14-11-2019"/>
    <s v="DOC"/>
    <x v="0"/>
  </r>
  <r>
    <s v="20-11-2019"/>
    <s v="20-11-2019"/>
    <s v="131602064300"/>
    <s v="HK"/>
    <s v="ES"/>
    <s v="KTZ"/>
    <s v="VLC"/>
    <m/>
    <s v="22-11-2019"/>
    <s v="01"/>
    <s v="01"/>
    <s v="USD"/>
    <s v="8443.72"/>
    <x v="0"/>
    <m/>
    <m/>
    <s v="OTHER"/>
    <s v="EURO1_MIX"/>
    <s v="IP_D1234_EMEA"/>
    <s v="IP_D5_EMEA"/>
    <s v="IP_D6_EMEA"/>
    <s v="COLD"/>
    <s v="MAD"/>
    <s v="131602064150"/>
    <s v="18"/>
    <x v="41"/>
    <s v="221453828069"/>
    <s v="630996295"/>
    <s v="IP_D1234"/>
    <x v="0"/>
    <x v="0"/>
    <x v="1"/>
    <x v="7"/>
    <s v="NRT"/>
    <s v="CDG"/>
    <s v="0083"/>
    <s v="20/11/2019 16:53"/>
    <s v="20/11/2019 17:38"/>
    <s v="45"/>
    <s v="02"/>
    <s v="EURO1_MIX,IP_D1234_EMEA,IP_D5_EMEA,IP_D6_EMEA"/>
    <s v="MDE_AVAILABLE"/>
    <s v="FEDEX"/>
    <s v="IPE"/>
    <s v="BIG_NON_CONV,BUILDING_AB_NON_CONV,BUILDING_V_NON_CONV"/>
    <s v="18-11-2019"/>
    <s v="BOX"/>
    <x v="1"/>
  </r>
  <r>
    <s v="20-11-2019"/>
    <s v="20-11-2019"/>
    <s v="777030139040"/>
    <s v="US"/>
    <s v="NL"/>
    <s v="SFO"/>
    <s v="GRQ"/>
    <s v="19-11-2019"/>
    <s v="21-11-2019"/>
    <s v="01"/>
    <s v="01"/>
    <s v="USD"/>
    <s v="9372.00"/>
    <x v="0"/>
    <s v="52.00"/>
    <s v="L"/>
    <s v="OTHER"/>
    <s v="EURO1_MIX"/>
    <s v="IP_D1234_EMEA"/>
    <s v="IP_D5_EMEA"/>
    <s v="IP_D6_EMEA"/>
    <s v="WARM"/>
    <s v="AMS"/>
    <m/>
    <s v="1"/>
    <x v="72"/>
    <s v="304990406977"/>
    <s v="887780587"/>
    <s v="IP_D1234"/>
    <x v="0"/>
    <x v="0"/>
    <x v="2"/>
    <x v="0"/>
    <s v="MEM"/>
    <s v="CDG"/>
    <s v="0083"/>
    <s v="20/11/2019 20:43"/>
    <m/>
    <m/>
    <s v="02"/>
    <s v="EURO1_MIX,IP_D1234_EMEA,IP_D5_EMEA,IP_D6_EMEA"/>
    <s v="MDE_AVAILABLE"/>
    <s v="FEDEX"/>
    <s v="IPE"/>
    <s v="CONVEYABLE"/>
    <s v="19-11-2019"/>
    <s v="BOX"/>
    <x v="0"/>
  </r>
  <r>
    <s v="20-11-2019"/>
    <s v="20-11-2019"/>
    <s v="777005928010"/>
    <s v="CN"/>
    <s v="RU"/>
    <s v="ZIS"/>
    <s v="MOW"/>
    <s v="18-11-2019"/>
    <s v="25-11-2019"/>
    <s v="01"/>
    <s v="06"/>
    <s v="CNY"/>
    <s v="1.00"/>
    <x v="1"/>
    <s v="0.50"/>
    <s v="K"/>
    <s v="OTHER"/>
    <s v="EURO1_MIX"/>
    <s v="IP_D1234_EMEA"/>
    <s v="IP_D5_EMEA"/>
    <s v="IP_D6_MIX"/>
    <s v="COLD"/>
    <s v="STN"/>
    <m/>
    <s v="1"/>
    <x v="50"/>
    <s v="304904421210"/>
    <s v="117820602"/>
    <s v="IP_D1234"/>
    <x v="0"/>
    <x v="0"/>
    <x v="2"/>
    <x v="1"/>
    <s v="CGN"/>
    <s v="CDG"/>
    <s v="0084"/>
    <s v="20/11/2019 13:20"/>
    <s v="20/11/2019 13:29"/>
    <s v="9"/>
    <s v="02"/>
    <s v="EURO1_MIX,IP_D1234_EMEA,IP_D5_EMEA,IP_D6_MIX"/>
    <s v="MDE_AVAILABLE"/>
    <s v="FEDEX"/>
    <s v="IPE"/>
    <s v="CONVEYABLE"/>
    <s v="18-11-2019"/>
    <s v="DOC"/>
    <x v="0"/>
  </r>
  <r>
    <s v="20-11-2019"/>
    <s v="20-11-2019"/>
    <s v="111654836363"/>
    <s v="SG"/>
    <s v="DE"/>
    <s v="SIN"/>
    <s v="OBF"/>
    <s v="19-11-2019"/>
    <s v="22-11-2019"/>
    <s v="18"/>
    <s v="01"/>
    <s v="USD"/>
    <s v="1671867.64"/>
    <x v="0"/>
    <s v="11.90"/>
    <s v="K"/>
    <s v="OTHER"/>
    <s v="EURO1_MIX"/>
    <s v="IP_D1234_MIX"/>
    <s v="IP_D5_MIX"/>
    <s v="IP_D6_MIX"/>
    <s v="COLD"/>
    <s v="CGN"/>
    <s v="111654834018"/>
    <s v="1"/>
    <x v="64"/>
    <s v="137497478745"/>
    <s v="550977141"/>
    <s v="IP_D1234"/>
    <x v="0"/>
    <x v="0"/>
    <x v="0"/>
    <x v="9"/>
    <s v="CDGRP"/>
    <s v="CDGH"/>
    <s v="8009"/>
    <s v="20/11/2019 16:15"/>
    <s v="20/11/2019 16:55"/>
    <s v="40"/>
    <s v="02"/>
    <s v="EURO1_MIX,IP_D1234_MIX,IP_D5_MIX,IP_D6_MIX"/>
    <s v="MDE_AVAILABLE"/>
    <s v="FEDEX"/>
    <s v="IPD"/>
    <s v="CONVEYABLE"/>
    <s v="19-11-2019"/>
    <s v="BOX"/>
    <x v="0"/>
  </r>
  <r>
    <s v="20-11-2019"/>
    <s v="20-11-2019"/>
    <s v="714402729340"/>
    <s v="IN"/>
    <s v="FR"/>
    <s v="BLR"/>
    <s v="QAM"/>
    <m/>
    <s v="21-11-2019"/>
    <s v="01"/>
    <s v="01"/>
    <s v="USD"/>
    <s v="60.00"/>
    <x v="0"/>
    <s v="6.60"/>
    <s v="K"/>
    <s v="OTHER"/>
    <s v="EURO1_MIX"/>
    <s v="IP_D1234_EMEA"/>
    <s v="IP_D5_EMEA"/>
    <s v="IP_D6_EMEA"/>
    <s v="WARM"/>
    <s v="CDG"/>
    <m/>
    <s v="1"/>
    <x v="73"/>
    <s v="221475878973"/>
    <s v="265032168"/>
    <s v="IP_D1234"/>
    <x v="0"/>
    <x v="0"/>
    <x v="1"/>
    <x v="5"/>
    <s v="DXB"/>
    <s v="CDG"/>
    <s v="0083"/>
    <s v="20/11/2019 18:49"/>
    <s v="20/11/2019 18:57"/>
    <s v="8"/>
    <s v="02"/>
    <s v="EURO1_MIX,IP_D1234_EMEA,IP_D5_EMEA,IP_D6_EMEA"/>
    <s v="MDE_AVAILABLE"/>
    <s v="FEDEX"/>
    <s v="IPE"/>
    <s v="CONVEYABLE"/>
    <s v="19-11-2019"/>
    <s v="BOX"/>
    <x v="0"/>
  </r>
  <r>
    <s v="20-11-2019"/>
    <s v="20-11-2019"/>
    <s v="125105319670"/>
    <s v="US"/>
    <s v="PT"/>
    <s v="ONT"/>
    <s v="OPO"/>
    <m/>
    <s v="21-11-2019"/>
    <s v="01"/>
    <s v="01"/>
    <s v="USD"/>
    <s v="105.00"/>
    <x v="0"/>
    <s v="9.00"/>
    <s v="L"/>
    <s v="OTHER"/>
    <s v="EURO1_MIX"/>
    <s v="IP_D1234_LATE"/>
    <s v="IP_D5_EMEA"/>
    <s v="IP_D6_EMEA"/>
    <s v="WARM"/>
    <s v="LIS"/>
    <m/>
    <s v="1"/>
    <x v="9"/>
    <s v="304844441782"/>
    <s v="248625660"/>
    <s v="IP_D1234"/>
    <x v="0"/>
    <x v="0"/>
    <x v="1"/>
    <x v="3"/>
    <s v="IND"/>
    <s v="CDG"/>
    <s v="0083"/>
    <s v="20/11/2019 18:17"/>
    <s v="20/11/2019 18:54"/>
    <s v="37"/>
    <s v="02"/>
    <s v="EURO1_MIX,IP_D1234_LATE,IP_D5_EMEA,IP_D6_EMEA"/>
    <s v="MDE_AVAILABLE"/>
    <s v="FEDEX"/>
    <s v="IPE"/>
    <s v="CONVEYABLE"/>
    <s v="19-11-2019"/>
    <s v="UNKNOWN"/>
    <x v="0"/>
  </r>
  <r>
    <s v="20-11-2019"/>
    <s v="20-11-2019"/>
    <s v="111654836374"/>
    <s v="SG"/>
    <s v="NL"/>
    <s v="SIN"/>
    <s v="EIN"/>
    <s v="19-11-2019"/>
    <s v="22-11-2019"/>
    <s v="18"/>
    <s v="01"/>
    <s v="USD"/>
    <s v="1671867.64"/>
    <x v="0"/>
    <s v="1.90"/>
    <s v="K"/>
    <s v="OTHER"/>
    <s v="EURO1_MIX"/>
    <s v="IP_D1234_EMEA"/>
    <s v="IP_D5_EMEA"/>
    <s v="IP_D6_EMEA"/>
    <s v="COLD"/>
    <s v="AMS"/>
    <s v="111654834018"/>
    <s v="1"/>
    <x v="62"/>
    <s v="137497478734"/>
    <s v="550977141"/>
    <s v="IP_D1234"/>
    <x v="0"/>
    <x v="0"/>
    <x v="0"/>
    <x v="20"/>
    <s v="CDGRP"/>
    <s v="CDGH"/>
    <s v="8009"/>
    <s v="20/11/2019 15:45"/>
    <s v="20/11/2019 16:05"/>
    <s v="20"/>
    <s v="02"/>
    <s v="EURO1_MIX,IP_D1234_EMEA,IP_D5_EMEA,IP_D6_EMEA"/>
    <s v="MDE_AVAILABLE"/>
    <s v="FEDEX"/>
    <s v="IPD"/>
    <s v="CONVEYABLE"/>
    <s v="19-11-2019"/>
    <s v="BOX"/>
    <x v="0"/>
  </r>
  <r>
    <s v="20-11-2019"/>
    <s v="20-11-2019"/>
    <s v="131602064322"/>
    <s v="HK"/>
    <s v="ES"/>
    <s v="KTZ"/>
    <s v="VLC"/>
    <m/>
    <s v="22-11-2019"/>
    <s v="01"/>
    <s v="01"/>
    <s v="USD"/>
    <s v="8443.72"/>
    <x v="0"/>
    <s v="15.20"/>
    <s v="L"/>
    <s v="OTHER"/>
    <s v="EURO1_MIX"/>
    <s v="IP_D1234_EMEA"/>
    <s v="IP_D5_EMEA"/>
    <s v="IP_D6_EMEA"/>
    <s v="COLD"/>
    <s v="MAD"/>
    <s v="131602064150"/>
    <s v="18"/>
    <x v="41"/>
    <s v="221453828069"/>
    <s v="630996295"/>
    <s v="IP_D1234"/>
    <x v="0"/>
    <x v="0"/>
    <x v="1"/>
    <x v="7"/>
    <s v="NRT"/>
    <s v="CDG"/>
    <s v="0083"/>
    <s v="20/11/2019 16:53"/>
    <s v="20/11/2019 17:38"/>
    <s v="45"/>
    <s v="02"/>
    <s v="EURO1_MIX,IP_D1234_EMEA,IP_D5_EMEA,IP_D6_EMEA"/>
    <s v="MDE_AVAILABLE"/>
    <s v="FEDEX"/>
    <s v="IPE"/>
    <s v="CONVEYABLE"/>
    <s v="18-11-2019"/>
    <s v="BOX"/>
    <x v="0"/>
  </r>
  <r>
    <s v="20-11-2019"/>
    <s v="20-11-2019"/>
    <s v="778147964025"/>
    <s v="US"/>
    <s v="IN"/>
    <s v="MRI"/>
    <s v="MAA"/>
    <s v="19-11-2019"/>
    <s v="26-11-2019"/>
    <s v="01"/>
    <s v="01"/>
    <s v="USD"/>
    <s v="69.95"/>
    <x v="0"/>
    <s v="4.00"/>
    <s v="L"/>
    <s v="OTHER"/>
    <s v="EURO1_MIX"/>
    <s v="IP_D1234_LATE"/>
    <s v="IP_D5_EMEA"/>
    <s v="IP_D6_MIX"/>
    <s v="COLD"/>
    <s v="DEL"/>
    <m/>
    <s v="1"/>
    <x v="74"/>
    <s v="304990406911"/>
    <s v="352630918"/>
    <s v="IP_D1234"/>
    <x v="0"/>
    <x v="0"/>
    <x v="2"/>
    <x v="0"/>
    <s v="MEM"/>
    <s v="CDG"/>
    <s v="0083"/>
    <s v="20/11/2019 20:43"/>
    <m/>
    <m/>
    <s v="02,52,54"/>
    <s v="EURO1_MIX,IP_D1234_LATE,IP_D5_EMEA,IP_D6_MIX"/>
    <s v="MDE_AVAILABLE"/>
    <s v="FEDEX"/>
    <s v="IPE"/>
    <s v="CONVEYABLE"/>
    <s v="19-11-2019"/>
    <s v="BOX"/>
    <x v="0"/>
  </r>
  <r>
    <s v="20-11-2019"/>
    <s v="20-11-2019"/>
    <s v="778095677839"/>
    <s v="IN"/>
    <s v="US"/>
    <s v="ATQ"/>
    <s v="SCK"/>
    <m/>
    <s v="21-11-2019"/>
    <s v="01"/>
    <s v="06"/>
    <s v="USD"/>
    <s v="1.00"/>
    <x v="1"/>
    <s v="0.50"/>
    <s v="K"/>
    <s v="OTHER"/>
    <s v="EURO1_MIX"/>
    <s v="IP_D1234_MIX US"/>
    <s v="IP_D5_MIX US"/>
    <s v="IP_D6_EMEA"/>
    <s v="UNKNOWN"/>
    <s v="USA"/>
    <m/>
    <s v="1"/>
    <x v="0"/>
    <s v="221484749019"/>
    <s v="915016154"/>
    <s v="IP_D1234"/>
    <x v="0"/>
    <x v="0"/>
    <x v="0"/>
    <x v="5"/>
    <s v="DXB"/>
    <s v="CDG"/>
    <s v="0083"/>
    <s v="20/11/2019 18:49"/>
    <s v="20/11/2019 18:57"/>
    <s v="8"/>
    <s v="02"/>
    <s v="EURO1_MIX,IP_D1234_MIX US,IP_D5_MIX US,IP_D6_EMEA"/>
    <s v="MDE_AVAILABLE"/>
    <s v="FEDEX"/>
    <s v="IPE"/>
    <s v="CONVEYABLE"/>
    <s v="18-11-2019"/>
    <s v="DOC"/>
    <x v="0"/>
  </r>
  <r>
    <s v="20-11-2019"/>
    <s v="20-11-2019"/>
    <s v="778146391997"/>
    <s v="US"/>
    <s v="DK"/>
    <s v="MRI"/>
    <s v="AAL"/>
    <s v="19-11-2019"/>
    <s v="21-11-2019"/>
    <s v="01"/>
    <s v="01"/>
    <s v="USD"/>
    <s v="260.00"/>
    <x v="0"/>
    <s v="17.10"/>
    <s v="L"/>
    <s v="OTHER"/>
    <s v="EURO1_MIX"/>
    <s v="IP_D1234_LATE"/>
    <s v="IP_D5_EMEA"/>
    <s v="IP_D6_MIX"/>
    <s v="WARM"/>
    <s v="CPH"/>
    <m/>
    <s v="1"/>
    <x v="74"/>
    <s v="304990406911"/>
    <s v="245287186"/>
    <s v="IP_D1234"/>
    <x v="0"/>
    <x v="0"/>
    <x v="2"/>
    <x v="0"/>
    <s v="MEM"/>
    <s v="CDG"/>
    <s v="0083"/>
    <s v="20/11/2019 20:43"/>
    <m/>
    <m/>
    <s v="02,54"/>
    <s v="EURO1_MIX,IP_D1234_LATE,IP_D5_EMEA,IP_D6_MIX"/>
    <s v="MDE_AVAILABLE"/>
    <s v="FEDEX"/>
    <s v="IPE"/>
    <s v="CONVEYABLE"/>
    <s v="19-11-2019"/>
    <s v="BOX"/>
    <x v="0"/>
  </r>
  <r>
    <s v="20-11-2019"/>
    <s v="20-11-2019"/>
    <s v="778152030010"/>
    <s v="US"/>
    <s v="CH"/>
    <s v="TSS"/>
    <s v="ZRH"/>
    <s v="19-11-2019"/>
    <s v="21-11-2019"/>
    <s v="01"/>
    <s v="06"/>
    <s v="USD"/>
    <s v="0.00"/>
    <x v="1"/>
    <s v="0.50"/>
    <s v="L"/>
    <s v="OTHER"/>
    <s v="EURO1_MIX"/>
    <s v="IP_D1234_MIX"/>
    <s v="IP_D5_EMEA"/>
    <s v="IP_D6_EMEA"/>
    <s v="WARM"/>
    <s v="BSL"/>
    <m/>
    <s v="1"/>
    <x v="0"/>
    <s v="305026416022"/>
    <s v="010004993"/>
    <s v="IP_D1234"/>
    <x v="0"/>
    <x v="0"/>
    <x v="0"/>
    <x v="4"/>
    <s v="EWR"/>
    <s v="CDG"/>
    <s v="0072"/>
    <s v="20/11/2019 17:41"/>
    <s v="20/11/2019 17:39"/>
    <s v="-2"/>
    <s v="02"/>
    <s v="EURO1_MIX,IP_D1234_MIX,IP_D5_EMEA,IP_D6_EMEA"/>
    <s v="MDE_AVAILABLE"/>
    <s v="FEDEX"/>
    <s v="IPE"/>
    <s v="CONVEYABLE"/>
    <s v="19-11-2019"/>
    <s v="DOC"/>
    <x v="0"/>
  </r>
  <r>
    <s v="20-11-2019"/>
    <s v="20-11-2019"/>
    <s v="113482176159"/>
    <s v="US"/>
    <s v="FR"/>
    <s v="LKS"/>
    <s v="QNJ"/>
    <s v="19-11-2019"/>
    <s v="21-11-2019"/>
    <s v="01"/>
    <s v="01"/>
    <s v="USD"/>
    <s v="2936.12"/>
    <x v="0"/>
    <s v="33.80"/>
    <s v="L"/>
    <s v="OTHER"/>
    <s v="EURO1_MIX"/>
    <s v="IP_D1234_EMEA"/>
    <s v="IP_D5_EMEA"/>
    <s v="IP_D6_EMEA"/>
    <s v="WARM"/>
    <s v="CDG"/>
    <m/>
    <s v="3"/>
    <x v="57"/>
    <s v="304843425047"/>
    <s v="103623987"/>
    <s v="IP_D1234"/>
    <x v="0"/>
    <x v="0"/>
    <x v="1"/>
    <x v="3"/>
    <s v="IND"/>
    <s v="CDG"/>
    <s v="0083"/>
    <s v="20/11/2019 18:17"/>
    <s v="20/11/2019 18:54"/>
    <s v="37"/>
    <s v="02"/>
    <s v="EURO1_MIX,IP_D1234_EMEA,IP_D5_EMEA,IP_D6_EMEA"/>
    <s v="MDE_AVAILABLE"/>
    <s v="FEDEX"/>
    <s v="IPE"/>
    <s v="CONVEYABLE"/>
    <s v="19-11-2019"/>
    <s v="BOX"/>
    <x v="0"/>
  </r>
  <r>
    <s v="20-11-2019"/>
    <s v="20-11-2019"/>
    <s v="111654836385"/>
    <s v="SG"/>
    <s v="AT"/>
    <s v="SIN"/>
    <s v="VDD"/>
    <s v="19-11-2019"/>
    <s v="22-11-2019"/>
    <s v="18"/>
    <s v="01"/>
    <s v="USD"/>
    <s v="1671867.64"/>
    <x v="0"/>
    <s v="1.10"/>
    <s v="K"/>
    <s v="OTHER"/>
    <s v="EURO1_MIX"/>
    <s v="IP_D1234_LATE"/>
    <s v="IP_D5_EMEA"/>
    <s v="IP_D6_EMEA"/>
    <s v="COLD"/>
    <s v="VIE"/>
    <s v="111654834018"/>
    <s v="1"/>
    <x v="62"/>
    <s v="137497478734"/>
    <s v="550977141"/>
    <s v="IP_D1234"/>
    <x v="0"/>
    <x v="0"/>
    <x v="0"/>
    <x v="20"/>
    <s v="CDGRP"/>
    <s v="CDGH"/>
    <s v="8009"/>
    <s v="20/11/2019 15:45"/>
    <s v="20/11/2019 16:05"/>
    <s v="20"/>
    <s v="02"/>
    <s v="EURO1_MIX,IP_D1234_LATE,IP_D5_EMEA,IP_D6_EMEA"/>
    <s v="MDE_AVAILABLE"/>
    <s v="FEDEX"/>
    <s v="IPD"/>
    <s v="CONVEYABLE"/>
    <s v="19-11-2019"/>
    <s v="BOX"/>
    <x v="0"/>
  </r>
  <r>
    <s v="20-11-2019"/>
    <s v="20-11-2019"/>
    <s v="814297201855"/>
    <s v="ES"/>
    <s v="US"/>
    <s v="MAD"/>
    <s v="UVA"/>
    <s v="19-11-2019"/>
    <s v="21-11-2019"/>
    <s v="01"/>
    <s v="01"/>
    <s v="EUR"/>
    <s v="125.05"/>
    <x v="0"/>
    <s v="13.80"/>
    <s v="L"/>
    <s v="OTHER"/>
    <s v="EURO1_MIX"/>
    <s v="IP_D1234_MIX US"/>
    <s v="IP_D5_MIX US"/>
    <s v="IP_D6_EMEA"/>
    <s v="UNKNOWN"/>
    <s v="USA"/>
    <s v="812712491770"/>
    <s v="6"/>
    <x v="75"/>
    <s v="221484122152"/>
    <s v="341200009"/>
    <s v="IP_D1234"/>
    <x v="0"/>
    <x v="0"/>
    <x v="0"/>
    <x v="21"/>
    <s v="CDGRP"/>
    <s v="CDGH"/>
    <s v="8009"/>
    <s v="20/11/2019 17:15"/>
    <s v="20/11/2019 18:30"/>
    <s v="75"/>
    <s v="02"/>
    <s v="EURO1_MIX,IP_D1234_MIX US,IP_D5_MIX US,IP_D6_EMEA"/>
    <s v="MDE_AVAILABLE"/>
    <s v="FEDEX"/>
    <s v="IPE"/>
    <s v="CONVEYABLE"/>
    <s v="19-11-2019"/>
    <s v="BOX"/>
    <x v="0"/>
  </r>
  <r>
    <s v="20-11-2019"/>
    <s v="20-11-2019"/>
    <s v="113482176160"/>
    <s v="US"/>
    <s v="FR"/>
    <s v="LKS"/>
    <s v="QNJ"/>
    <s v="19-11-2019"/>
    <s v="21-11-2019"/>
    <s v="01"/>
    <s v="01"/>
    <s v="USD"/>
    <s v="2936.12"/>
    <x v="0"/>
    <s v="32.70"/>
    <s v="L"/>
    <s v="OTHER"/>
    <s v="EURO1_MIX"/>
    <s v="IP_D1234_EMEA"/>
    <s v="IP_D5_EMEA"/>
    <s v="IP_D6_EMEA"/>
    <s v="WARM"/>
    <s v="CDG"/>
    <s v="113482176159"/>
    <s v="3"/>
    <x v="57"/>
    <s v="304843425047"/>
    <s v="103623987"/>
    <s v="IP_D1234"/>
    <x v="0"/>
    <x v="0"/>
    <x v="1"/>
    <x v="3"/>
    <s v="IND"/>
    <s v="CDG"/>
    <s v="0083"/>
    <s v="20/11/2019 18:17"/>
    <s v="20/11/2019 18:54"/>
    <s v="37"/>
    <s v="02"/>
    <s v="EURO1_MIX,IP_D1234_EMEA,IP_D5_EMEA,IP_D6_EMEA"/>
    <s v="MDE_AVAILABLE"/>
    <s v="FEDEX"/>
    <s v="IPE"/>
    <s v="CONVEYABLE"/>
    <s v="19-11-2019"/>
    <s v="BOX"/>
    <x v="0"/>
  </r>
  <r>
    <s v="20-11-2019"/>
    <s v="20-11-2019"/>
    <s v="777018062559"/>
    <s v="TW"/>
    <s v="DE"/>
    <s v="TXG"/>
    <s v="DTZ"/>
    <s v="19-11-2019"/>
    <s v="21-11-2019"/>
    <s v="01"/>
    <s v="01"/>
    <s v="EUR"/>
    <s v="120.00"/>
    <x v="0"/>
    <m/>
    <s v="K"/>
    <s v="OTHER"/>
    <s v="EURO1_MIX"/>
    <s v="IP_D1234_MIX"/>
    <s v="IP_D5_MIX"/>
    <s v="IP_D6_MIX"/>
    <s v="UNKNOWN"/>
    <s v="CGN"/>
    <m/>
    <s v="4"/>
    <x v="76"/>
    <s v="137361336812"/>
    <s v="144260147"/>
    <s v="IP_D1234"/>
    <x v="0"/>
    <x v="0"/>
    <x v="0"/>
    <x v="18"/>
    <s v="CDGRP"/>
    <s v="CDGH"/>
    <s v="8009"/>
    <s v="20/11/2019 16:45"/>
    <s v="20/11/2019 17:25"/>
    <s v="40"/>
    <s v="02"/>
    <s v="EURO1_MIX,IP_D1234_MIX,IP_D5_MIX,IP_D6_MIX"/>
    <s v="MDE_AVAILABLE"/>
    <s v="FEDEX"/>
    <s v="IPE"/>
    <s v="CONVEYABLE"/>
    <s v="19-11-2019"/>
    <s v="BOX"/>
    <x v="0"/>
  </r>
  <r>
    <s v="20-11-2019"/>
    <s v="20-11-2019"/>
    <s v="777019928966"/>
    <s v="IN"/>
    <s v="TR"/>
    <s v="BOM"/>
    <s v="DIY"/>
    <s v="19-11-2019"/>
    <s v="22-11-2019"/>
    <s v="01"/>
    <s v="02"/>
    <s v="USD"/>
    <s v="4.00"/>
    <x v="0"/>
    <s v="7.20"/>
    <s v="L"/>
    <s v="OTHER"/>
    <s v="EURO1_MIX"/>
    <s v="IP_D1234_EMEA"/>
    <s v="IP_D5_EMEA"/>
    <s v="IP_D6_EMEA"/>
    <s v="UNKNOWN"/>
    <s v="IST"/>
    <m/>
    <s v="1"/>
    <x v="66"/>
    <s v="814449868020"/>
    <s v="880740911"/>
    <s v="IP_D1234"/>
    <x v="0"/>
    <x v="0"/>
    <x v="1"/>
    <x v="10"/>
    <s v="MXP"/>
    <s v="CDG"/>
    <s v="0072"/>
    <s v="20/11/2019 18:21"/>
    <s v="20/11/2019 18:27"/>
    <s v="6"/>
    <s v="02"/>
    <s v="EURO1_MIX,IP_D1234_EMEA,IP_D5_EMEA,IP_D6_EMEA"/>
    <s v="MDE_AVAILABLE"/>
    <s v="FEDEX"/>
    <s v="IPE"/>
    <s v="CONVEYABLE"/>
    <s v="19-11-2019"/>
    <s v="SMALL_PARCEL"/>
    <x v="0"/>
  </r>
  <r>
    <s v="20-11-2019"/>
    <s v="20-11-2019"/>
    <s v="777007162245"/>
    <s v="HK"/>
    <s v="DE"/>
    <s v="QDM"/>
    <s v="FRZ"/>
    <s v="19-11-2019"/>
    <s v="21-11-2019"/>
    <s v="01"/>
    <s v="01"/>
    <s v="EUR"/>
    <s v="290347.90"/>
    <x v="0"/>
    <m/>
    <s v="K"/>
    <s v="OTHER"/>
    <s v="EURO1_MIX"/>
    <s v="IP_D1234_MIX"/>
    <s v="IP_D5_MIX"/>
    <s v="IP_D6_MIX"/>
    <s v="WARM"/>
    <s v="CGN"/>
    <m/>
    <s v="2"/>
    <x v="49"/>
    <s v="221484229491"/>
    <s v="141387812"/>
    <s v="IP_D1234"/>
    <x v="0"/>
    <x v="0"/>
    <x v="0"/>
    <x v="7"/>
    <s v="NRT"/>
    <s v="CDG"/>
    <s v="0083"/>
    <s v="20/11/2019 16:53"/>
    <s v="20/11/2019 17:38"/>
    <s v="45"/>
    <s v="02"/>
    <s v="EURO1_MIX,IP_D1234_MIX,IP_D5_MIX,IP_D6_MIX"/>
    <s v="MDE_AVAILABLE"/>
    <s v="FEDEX"/>
    <s v="IPE"/>
    <s v="CONVEYABLE"/>
    <s v="19-11-2019"/>
    <s v="BOX"/>
    <x v="0"/>
  </r>
  <r>
    <s v="20-11-2019"/>
    <s v="20-11-2019"/>
    <s v="777011922430"/>
    <s v="US"/>
    <s v="FR"/>
    <s v="EMT"/>
    <s v="ENC"/>
    <s v="19-11-2019"/>
    <s v="21-11-2019"/>
    <s v="01"/>
    <s v="06"/>
    <s v="USD"/>
    <s v="1.00"/>
    <x v="1"/>
    <s v="0.30"/>
    <s v="L"/>
    <s v="OTHER"/>
    <s v="EURO1_MIX"/>
    <s v="IP_D1234_EMEA"/>
    <s v="IP_D5_EMEA"/>
    <s v="IP_D6_EMEA"/>
    <s v="WARM"/>
    <s v="CDG"/>
    <m/>
    <s v="1"/>
    <x v="0"/>
    <s v="304990606836"/>
    <s v="204118922"/>
    <s v="IP_D1234"/>
    <x v="0"/>
    <x v="0"/>
    <x v="0"/>
    <x v="0"/>
    <s v="MEM"/>
    <s v="CDG"/>
    <s v="0083"/>
    <s v="20/11/2019 20:43"/>
    <m/>
    <m/>
    <s v="02,28"/>
    <s v="EURO1_MIX,IP_D1234_EMEA,IP_D5_EMEA,IP_D6_EMEA"/>
    <s v="MDE_AVAILABLE"/>
    <s v="FEDEX"/>
    <s v="IPE"/>
    <s v="CONVEYABLE"/>
    <s v="19-11-2019"/>
    <s v="DOC"/>
    <x v="0"/>
  </r>
  <r>
    <s v="20-11-2019"/>
    <s v="20-11-2019"/>
    <s v="486151830016"/>
    <s v="IN"/>
    <s v="GB"/>
    <s v="STV"/>
    <s v="CWL"/>
    <s v="19-11-2019"/>
    <s v="21-11-2019"/>
    <s v="01"/>
    <s v="01"/>
    <s v="INR"/>
    <s v="1412.00"/>
    <x v="0"/>
    <s v="19.80"/>
    <s v="L"/>
    <s v="OTHER"/>
    <s v="EURO1_MIX"/>
    <s v="IP_D1234_MIX"/>
    <s v="IP_D5_EMEA"/>
    <s v="IP_D6_MIX"/>
    <s v="WARM"/>
    <s v="STN"/>
    <m/>
    <s v="1"/>
    <x v="13"/>
    <s v="814449867951"/>
    <s v="642356135"/>
    <s v="IP_D1234"/>
    <x v="0"/>
    <x v="0"/>
    <x v="0"/>
    <x v="10"/>
    <s v="MXP"/>
    <s v="CDG"/>
    <s v="0072"/>
    <s v="20/11/2019 18:21"/>
    <s v="20/11/2019 18:27"/>
    <s v="6"/>
    <s v="02"/>
    <s v="EURO1_MIX,IP_D1234_MIX,IP_D5_EMEA,IP_D6_MIX"/>
    <s v="MDE_AVAILABLE"/>
    <s v="FEDEX"/>
    <s v="IPE"/>
    <s v="CONVEYABLE"/>
    <s v="18-11-2019"/>
    <s v="BOX"/>
    <x v="0"/>
  </r>
  <r>
    <s v="20-11-2019"/>
    <s v="20-11-2019"/>
    <s v="111654836396"/>
    <s v="SG"/>
    <s v="DE"/>
    <s v="SIN"/>
    <s v="NUE"/>
    <s v="19-11-2019"/>
    <s v="22-11-2019"/>
    <s v="18"/>
    <s v="01"/>
    <s v="USD"/>
    <s v="1671867.64"/>
    <x v="0"/>
    <s v="1.60"/>
    <s v="K"/>
    <s v="OTHER"/>
    <s v="EURO1_MIX"/>
    <s v="IP_D1234_MIX"/>
    <s v="IP_D5_MIX"/>
    <s v="IP_D6_MIX"/>
    <s v="COLD"/>
    <s v="CGN"/>
    <s v="111654834018"/>
    <s v="1"/>
    <x v="62"/>
    <s v="137497478734"/>
    <s v="550977141"/>
    <s v="IP_D1234"/>
    <x v="0"/>
    <x v="0"/>
    <x v="0"/>
    <x v="20"/>
    <s v="CDGRP"/>
    <s v="CDGH"/>
    <s v="8009"/>
    <s v="20/11/2019 15:45"/>
    <s v="20/11/2019 16:05"/>
    <s v="20"/>
    <s v="02"/>
    <s v="EURO1_MIX,IP_D1234_MIX,IP_D5_MIX,IP_D6_MIX"/>
    <s v="MDE_AVAILABLE"/>
    <s v="FEDEX"/>
    <s v="IPD"/>
    <s v="CONVEYABLE"/>
    <s v="19-11-2019"/>
    <s v="BOX"/>
    <x v="0"/>
  </r>
  <r>
    <s v="20-11-2019"/>
    <s v="20-11-2019"/>
    <s v="777023413697"/>
    <s v="CA"/>
    <s v="FR"/>
    <s v="YYJ"/>
    <s v="BOR"/>
    <s v="19-11-2019"/>
    <s v="21-11-2019"/>
    <s v="01"/>
    <s v="01"/>
    <s v="CAD"/>
    <s v="6.00"/>
    <x v="0"/>
    <s v="3.10"/>
    <s v="L"/>
    <s v="OTHER"/>
    <s v="EURO1_MIX"/>
    <s v="IP_D1234_EMEA"/>
    <s v="IP_D5_EMEA"/>
    <s v="IP_D6_EMEA"/>
    <s v="WARM"/>
    <s v="CDG"/>
    <m/>
    <s v="1"/>
    <x v="14"/>
    <s v="304990406900"/>
    <s v="218307051"/>
    <s v="IP_D1234"/>
    <x v="0"/>
    <x v="0"/>
    <x v="1"/>
    <x v="11"/>
    <s v="MEM"/>
    <s v="CDG"/>
    <s v="0016"/>
    <s v="20/11/2019 18:47"/>
    <m/>
    <m/>
    <s v="02"/>
    <s v="EURO1_MIX,IP_D1234_EMEA,IP_D5_EMEA,IP_D6_EMEA"/>
    <s v="MDE_AVAILABLE"/>
    <s v="FEDEX"/>
    <s v="IPE"/>
    <s v="CONVEYABLE"/>
    <s v="19-11-2019"/>
    <s v="BOX"/>
    <x v="0"/>
  </r>
  <r>
    <s v="20-11-2019"/>
    <s v="20-11-2019"/>
    <s v="113482176170"/>
    <s v="US"/>
    <s v="FR"/>
    <s v="LKS"/>
    <s v="QNJ"/>
    <s v="19-11-2019"/>
    <s v="21-11-2019"/>
    <s v="01"/>
    <s v="01"/>
    <s v="USD"/>
    <s v="2936.12"/>
    <x v="0"/>
    <m/>
    <m/>
    <s v="OTHER"/>
    <s v="EURO1_MIX"/>
    <s v="IP_D1234_EMEA"/>
    <s v="IP_D5_EMEA"/>
    <s v="IP_D6_EMEA"/>
    <s v="WARM"/>
    <s v="CDG"/>
    <s v="113482176159"/>
    <s v="3"/>
    <x v="9"/>
    <s v="304844441782"/>
    <s v="103623987"/>
    <s v="IP_D1234"/>
    <x v="0"/>
    <x v="0"/>
    <x v="1"/>
    <x v="3"/>
    <s v="IND"/>
    <s v="CDG"/>
    <s v="0083"/>
    <s v="20/11/2019 18:17"/>
    <s v="20/11/2019 18:54"/>
    <s v="37"/>
    <s v="02"/>
    <s v="EURO1_MIX,IP_D1234_EMEA,IP_D5_EMEA,IP_D6_EMEA"/>
    <s v="MDE_AVAILABLE"/>
    <s v="FEDEX"/>
    <s v="IPE"/>
    <s v="CONVEYABLE"/>
    <s v="19-11-2019"/>
    <s v="UNKNOWN"/>
    <x v="0"/>
  </r>
  <r>
    <s v="20-11-2019"/>
    <s v="20-11-2019"/>
    <s v="812764316058"/>
    <s v="TT"/>
    <s v="IN"/>
    <s v="POS"/>
    <s v="DEL"/>
    <s v="19-11-2019"/>
    <s v="27-11-2019"/>
    <s v="04"/>
    <s v="06"/>
    <s v="USD"/>
    <s v="2.00"/>
    <x v="1"/>
    <s v="1.00"/>
    <s v="L"/>
    <s v="OTHER"/>
    <s v="EURO1_MIX"/>
    <s v="IP_D1234_LATE"/>
    <s v="IP_D5_EMEA"/>
    <s v="IP_D6_MIX"/>
    <s v="COLD"/>
    <s v="DEL"/>
    <m/>
    <s v="1"/>
    <x v="0"/>
    <s v="304990606836"/>
    <s v="310718661"/>
    <s v="IP_D1234"/>
    <x v="0"/>
    <x v="0"/>
    <x v="0"/>
    <x v="0"/>
    <s v="MEM"/>
    <s v="CDG"/>
    <s v="0083"/>
    <s v="20/11/2019 20:43"/>
    <m/>
    <m/>
    <s v="02"/>
    <s v="EURO1_MIX,IP_D1234_LATE,IP_D5_EMEA,IP_D6_MIX"/>
    <s v="MDE_AVAILABLE"/>
    <s v="FEDEX"/>
    <s v="IEB"/>
    <s v="CONVEYABLE"/>
    <s v="19-11-2019"/>
    <s v="DOC"/>
    <x v="0"/>
  </r>
  <r>
    <s v="20-11-2019"/>
    <s v="20-11-2019"/>
    <s v="813748394832"/>
    <s v="AU"/>
    <s v="GB"/>
    <s v="MEL"/>
    <s v="FKH"/>
    <m/>
    <s v="19-11-2019"/>
    <s v="01"/>
    <s v="06"/>
    <s v="AUD"/>
    <s v="1.00"/>
    <x v="1"/>
    <s v="0.50"/>
    <s v="K"/>
    <s v="OTHER"/>
    <s v="EURO1_MIX"/>
    <s v="IP_D1234_MIX"/>
    <s v="IP_D5_EMEA"/>
    <s v="IP_D6_MIX"/>
    <s v="DEAD"/>
    <s v="STN"/>
    <m/>
    <s v="1"/>
    <x v="71"/>
    <s v="304904614040"/>
    <m/>
    <s v="IP_D1234"/>
    <x v="0"/>
    <x v="0"/>
    <x v="0"/>
    <x v="1"/>
    <s v="CGN"/>
    <s v="CDG"/>
    <s v="0084"/>
    <s v="20/11/2019 13:20"/>
    <s v="20/11/2019 13:29"/>
    <s v="9"/>
    <s v="02"/>
    <s v="EURO1_MIX,IP_D1234_MIX,IP_D5_EMEA,IP_D6_MIX"/>
    <s v="MDE_AVAILABLE"/>
    <s v="FEDEX"/>
    <s v="IPE"/>
    <s v="CONVEYABLE"/>
    <s v="14-11-2019"/>
    <s v="DOC"/>
    <x v="0"/>
  </r>
  <r>
    <s v="20-11-2019"/>
    <s v="20-11-2019"/>
    <s v="571138392300"/>
    <s v="HK"/>
    <s v="CZ"/>
    <s v="HKG"/>
    <s v="PRG"/>
    <s v="19-11-2019"/>
    <s v="26-11-2019"/>
    <s v="04"/>
    <s v="01"/>
    <s v="USD"/>
    <s v="1395.61"/>
    <x v="0"/>
    <s v="11.40"/>
    <s v="L"/>
    <s v="OTHER"/>
    <s v="EURO1_MIX"/>
    <s v="IP_D1234_LATE"/>
    <s v="IP_D5_EMEA"/>
    <s v="IP_D6_EMEA"/>
    <s v="COLD"/>
    <s v="PRG"/>
    <m/>
    <s v="2"/>
    <x v="28"/>
    <s v="221453828286"/>
    <s v="211240008"/>
    <s v="IP_D1234"/>
    <x v="0"/>
    <x v="0"/>
    <x v="1"/>
    <x v="7"/>
    <s v="NRT"/>
    <s v="CDG"/>
    <s v="0083"/>
    <s v="20/11/2019 16:53"/>
    <s v="20/11/2019 17:38"/>
    <s v="45"/>
    <s v="02"/>
    <s v="EURO1_MIX,IP_D1234_LATE,IP_D5_EMEA,IP_D6_EMEA"/>
    <s v="MDE_AVAILABLE"/>
    <s v="FEDEX"/>
    <s v="IEB"/>
    <s v="CONVEYABLE"/>
    <s v="19-11-2019"/>
    <s v="BOX"/>
    <x v="0"/>
  </r>
  <r>
    <s v="20-11-2019"/>
    <s v="20-11-2019"/>
    <s v="135053371870"/>
    <s v="US"/>
    <s v="FR"/>
    <s v="OPF"/>
    <s v="TLS"/>
    <m/>
    <s v="21-11-2019"/>
    <s v="01"/>
    <s v="01"/>
    <s v="USD"/>
    <s v="335.78"/>
    <x v="0"/>
    <s v="17.5"/>
    <s v="L"/>
    <s v="OTHER"/>
    <s v="EURO1_MIX"/>
    <s v="IP_D1234_EMEA"/>
    <s v="IP_D5_EMEA"/>
    <s v="IP_D6_EMEA"/>
    <s v="WARM"/>
    <s v="CDG"/>
    <m/>
    <s v="1"/>
    <x v="53"/>
    <s v="304990406852"/>
    <s v="647810292"/>
    <s v="IP_D1234"/>
    <x v="0"/>
    <x v="0"/>
    <x v="2"/>
    <x v="11"/>
    <s v="MEM"/>
    <s v="CDG"/>
    <s v="0016"/>
    <s v="20/11/2019 18:47"/>
    <m/>
    <m/>
    <s v="02,54"/>
    <s v="EURO1_MIX,IP_D1234_EMEA,IP_D5_EMEA,IP_D6_EMEA"/>
    <s v="MDE_AVAILABLE"/>
    <s v="FEDEX"/>
    <s v="IPE"/>
    <s v="CONVEYABLE"/>
    <s v="19-11-2019"/>
    <s v="BOX"/>
    <x v="0"/>
  </r>
  <r>
    <s v="20-11-2019"/>
    <s v="20-11-2019"/>
    <s v="776990149618"/>
    <s v="BR"/>
    <s v="AE"/>
    <s v="CNF"/>
    <s v="DXB"/>
    <s v="18-11-2019"/>
    <m/>
    <s v="01"/>
    <s v="06"/>
    <s v="HKD"/>
    <s v="0.00"/>
    <x v="1"/>
    <s v="1.10"/>
    <s v="L"/>
    <s v="OTHER"/>
    <s v="EURO1_MIX"/>
    <s v="IP_D1234_LATE"/>
    <s v="IP_D5_EMEA"/>
    <s v="IP_D6_MIX"/>
    <s v="UNKNOWN"/>
    <s v="DXB"/>
    <m/>
    <s v="1"/>
    <x v="0"/>
    <s v="304990606836"/>
    <s v="898949729"/>
    <s v="IP_D1234"/>
    <x v="0"/>
    <x v="0"/>
    <x v="0"/>
    <x v="0"/>
    <s v="MEM"/>
    <s v="CDG"/>
    <s v="0083"/>
    <s v="20/11/2019 20:43"/>
    <m/>
    <m/>
    <s v="02"/>
    <s v="EURO1_MIX,IP_D1234_LATE,IP_D5_EMEA,IP_D6_MIX"/>
    <s v="MDE_AVAILABLE"/>
    <s v="FEDEX"/>
    <s v="IPE"/>
    <s v="CONVEYABLE"/>
    <s v="18-11-2019"/>
    <s v="DOC"/>
    <x v="0"/>
  </r>
  <r>
    <s v="20-11-2019"/>
    <s v="20-11-2019"/>
    <s v="778073336273"/>
    <s v="CN"/>
    <s v="DZ"/>
    <s v="FYN"/>
    <s v="ALG"/>
    <m/>
    <s v="27-11-2019"/>
    <s v="01"/>
    <s v="02"/>
    <s v="USD"/>
    <s v="18.50"/>
    <x v="1"/>
    <s v="0.20"/>
    <s v="K"/>
    <s v="OTHER"/>
    <s v="EURO1_MIX"/>
    <s v="IP_D1234_LATE"/>
    <s v="IP_D5_EMEA"/>
    <s v="IP_D6_EMEA"/>
    <s v="COLD"/>
    <s v="CDG"/>
    <m/>
    <s v="1"/>
    <x v="50"/>
    <s v="304904421210"/>
    <s v="589593642"/>
    <s v="IP_D1234"/>
    <x v="0"/>
    <x v="0"/>
    <x v="2"/>
    <x v="1"/>
    <s v="CGN"/>
    <s v="CDG"/>
    <s v="0084"/>
    <s v="20/11/2019 13:20"/>
    <s v="20/11/2019 13:29"/>
    <s v="9"/>
    <s v="02,09"/>
    <s v="EURO1_MIX,IP_D1234_LATE,IP_D5_EMEA,IP_D6_EMEA"/>
    <s v="MDE_AVAILABLE"/>
    <s v="FEDEX"/>
    <s v="IPE"/>
    <s v="CONVEYABLE"/>
    <s v="18-11-2019"/>
    <s v="DOC"/>
    <x v="0"/>
  </r>
  <r>
    <s v="20-11-2019"/>
    <s v="20-11-2019"/>
    <s v="707832058305"/>
    <s v="US"/>
    <s v="IN"/>
    <s v="AEL"/>
    <s v="BLR"/>
    <s v="19-11-2019"/>
    <s v="22-11-2019"/>
    <s v="01"/>
    <s v="01"/>
    <s v="USD"/>
    <s v="661.74"/>
    <x v="0"/>
    <s v="32.50"/>
    <s v="L"/>
    <s v="OTHER"/>
    <s v="EURO1_MIX"/>
    <s v="IP_D1234_LATE"/>
    <s v="IP_D5_EMEA"/>
    <s v="IP_D6_MIX"/>
    <s v="WARM"/>
    <s v="DEL"/>
    <m/>
    <s v="1"/>
    <x v="68"/>
    <s v="304844441760"/>
    <s v="055454213"/>
    <s v="IP_D1234"/>
    <x v="0"/>
    <x v="0"/>
    <x v="2"/>
    <x v="3"/>
    <s v="IND"/>
    <s v="CDG"/>
    <s v="0083"/>
    <s v="20/11/2019 18:17"/>
    <s v="20/11/2019 18:54"/>
    <s v="37"/>
    <s v="02"/>
    <s v="EURO1_MIX,IP_D1234_LATE,IP_D5_EMEA,IP_D6_MIX"/>
    <s v="MDE_AVAILABLE"/>
    <s v="FEDEX"/>
    <s v="IPE"/>
    <s v="CONVEYABLE"/>
    <s v="19-11-2019"/>
    <s v="UNKNOWN"/>
    <x v="0"/>
  </r>
  <r>
    <s v="20-11-2019"/>
    <s v="20-11-2019"/>
    <s v="778145100979"/>
    <s v="PA"/>
    <s v="IN"/>
    <s v="PTY"/>
    <s v="BOM"/>
    <s v="19-11-2019"/>
    <s v="23-11-2019"/>
    <s v="01"/>
    <s v="06"/>
    <s v="USD"/>
    <s v="0.00"/>
    <x v="1"/>
    <s v="0.50"/>
    <s v="K"/>
    <s v="OTHER"/>
    <s v="EURO1_MIX"/>
    <s v="IP_D1234_LATE"/>
    <s v="IP_D5_EMEA"/>
    <s v="IP_D6_MIX"/>
    <s v="COLD"/>
    <s v="DEL"/>
    <m/>
    <s v="1"/>
    <x v="0"/>
    <s v="304990606836"/>
    <s v="266498420"/>
    <s v="IP_D1234"/>
    <x v="0"/>
    <x v="0"/>
    <x v="0"/>
    <x v="0"/>
    <s v="MEM"/>
    <s v="CDG"/>
    <s v="0083"/>
    <s v="20/11/2019 20:43"/>
    <m/>
    <m/>
    <s v="02"/>
    <s v="EURO1_MIX,IP_D1234_LATE,IP_D5_EMEA,IP_D6_MIX"/>
    <s v="MDE_AVAILABLE"/>
    <s v="FEDEX"/>
    <s v="IPE"/>
    <s v="CONVEYABLE"/>
    <s v="19-11-2019"/>
    <s v="DOC"/>
    <x v="0"/>
  </r>
  <r>
    <s v="20-11-2019"/>
    <s v="20-11-2019"/>
    <s v="778106868750"/>
    <s v="US"/>
    <s v="TR"/>
    <s v="APN"/>
    <s v="SAW"/>
    <s v="19-11-2019"/>
    <s v="22-11-2019"/>
    <s v="01"/>
    <s v="01"/>
    <s v="USD"/>
    <s v="19679.00"/>
    <x v="0"/>
    <m/>
    <s v="L"/>
    <s v="OTHER"/>
    <s v="EURO1_MIX"/>
    <s v="IP_D1234_EMEA"/>
    <s v="IP_D5_EMEA"/>
    <s v="IP_D6_EMEA"/>
    <s v="WARM"/>
    <s v="IST"/>
    <m/>
    <s v="5"/>
    <x v="45"/>
    <s v="304990406841"/>
    <s v="855632284"/>
    <s v="IP_D1234"/>
    <x v="0"/>
    <x v="0"/>
    <x v="2"/>
    <x v="11"/>
    <s v="MEM"/>
    <s v="CDG"/>
    <s v="0016"/>
    <s v="20/11/2019 18:47"/>
    <m/>
    <m/>
    <s v="02,52"/>
    <s v="EURO1_MIX,IP_D1234_EMEA,IP_D5_EMEA,IP_D6_EMEA"/>
    <s v="MDE_AVAILABLE"/>
    <s v="FEDEX"/>
    <s v="IPE"/>
    <s v="CONVEYABLE"/>
    <s v="19-11-2019"/>
    <s v="BOX"/>
    <x v="0"/>
  </r>
  <r>
    <s v="20-11-2019"/>
    <s v="20-11-2019"/>
    <s v="777000784517"/>
    <s v="US"/>
    <s v="NO"/>
    <s v="JEM"/>
    <s v="OSL"/>
    <s v="19-11-2019"/>
    <s v="21-11-2019"/>
    <s v="01"/>
    <s v="06"/>
    <s v="USD"/>
    <s v="1.00"/>
    <x v="1"/>
    <s v="0.50"/>
    <s v="L"/>
    <s v="OTHER"/>
    <s v="EURO1_MIX"/>
    <s v="IP_D1234_LATE"/>
    <s v="IP_D5_EMEA"/>
    <s v="IP_D6_MIX"/>
    <s v="WARM"/>
    <s v="OSL"/>
    <m/>
    <s v="1"/>
    <x v="0"/>
    <s v="304990606836"/>
    <s v="155925299"/>
    <s v="IP_D1234"/>
    <x v="0"/>
    <x v="0"/>
    <x v="0"/>
    <x v="0"/>
    <s v="MEM"/>
    <s v="CDG"/>
    <s v="0083"/>
    <s v="20/11/2019 20:43"/>
    <m/>
    <m/>
    <s v="02"/>
    <s v="EURO1_MIX,IP_D1234_LATE,IP_D5_EMEA,IP_D6_MIX"/>
    <s v="MDE_AVAILABLE"/>
    <s v="FEDEX"/>
    <s v="IPE"/>
    <s v="CONVEYABLE"/>
    <s v="19-11-2019"/>
    <s v="DOC"/>
    <x v="0"/>
  </r>
  <r>
    <s v="20-11-2019"/>
    <s v="20-11-2019"/>
    <s v="131602064377"/>
    <s v="HK"/>
    <s v="NL"/>
    <s v="KTZ"/>
    <s v="RTM"/>
    <m/>
    <s v="21-11-2019"/>
    <s v="01"/>
    <s v="01"/>
    <s v="USD"/>
    <s v="2235.60"/>
    <x v="0"/>
    <s v="24.80"/>
    <s v="L"/>
    <s v="OTHER"/>
    <s v="EURO1_MIX"/>
    <s v="IP_D1234_EMEA"/>
    <s v="IP_D5_EMEA"/>
    <s v="IP_D6_EMEA"/>
    <s v="WARM"/>
    <s v="AMS"/>
    <m/>
    <s v="4"/>
    <x v="41"/>
    <s v="221453828069"/>
    <s v="630996295"/>
    <s v="IP_D1234"/>
    <x v="0"/>
    <x v="0"/>
    <x v="1"/>
    <x v="7"/>
    <s v="NRT"/>
    <s v="CDG"/>
    <s v="0083"/>
    <s v="20/11/2019 16:53"/>
    <s v="20/11/2019 17:38"/>
    <s v="45"/>
    <s v="02,09"/>
    <s v="EURO1_MIX,IP_D1234_EMEA,IP_D5_EMEA,IP_D6_EMEA"/>
    <s v="MDE_AVAILABLE"/>
    <s v="FEDEX"/>
    <s v="IPE"/>
    <s v="CONVEYABLE"/>
    <s v="18-11-2019"/>
    <s v="BOX"/>
    <x v="0"/>
  </r>
  <r>
    <s v="20-11-2019"/>
    <s v="20-11-2019"/>
    <s v="571138392311"/>
    <s v="HK"/>
    <s v="CZ"/>
    <s v="HKG"/>
    <s v="PRG"/>
    <s v="19-11-2019"/>
    <s v="26-11-2019"/>
    <s v="04"/>
    <s v="01"/>
    <s v="USD"/>
    <s v="1395.61"/>
    <x v="0"/>
    <s v="15.80"/>
    <s v="L"/>
    <s v="OTHER"/>
    <s v="EURO1_MIX"/>
    <s v="IP_D1234_LATE"/>
    <s v="IP_D5_EMEA"/>
    <s v="IP_D6_EMEA"/>
    <s v="COLD"/>
    <s v="PRG"/>
    <s v="571138392300"/>
    <s v="2"/>
    <x v="28"/>
    <s v="221453828286"/>
    <s v="211240008"/>
    <s v="IP_D1234"/>
    <x v="0"/>
    <x v="0"/>
    <x v="1"/>
    <x v="7"/>
    <s v="NRT"/>
    <s v="CDG"/>
    <s v="0083"/>
    <s v="20/11/2019 16:53"/>
    <s v="20/11/2019 17:38"/>
    <s v="45"/>
    <s v="02"/>
    <s v="EURO1_MIX,IP_D1234_LATE,IP_D5_EMEA,IP_D6_EMEA"/>
    <s v="MDE_AVAILABLE"/>
    <s v="FEDEX"/>
    <s v="IEB"/>
    <s v="CONVEYABLE"/>
    <s v="19-11-2019"/>
    <s v="BOX"/>
    <x v="0"/>
  </r>
  <r>
    <s v="20-11-2019"/>
    <s v="20-11-2019"/>
    <s v="778093675487"/>
    <s v="SG"/>
    <s v="BE"/>
    <s v="SIN"/>
    <s v="BRU"/>
    <s v="19-11-2019"/>
    <s v="21-11-2019"/>
    <s v="04"/>
    <s v="01"/>
    <s v="USD"/>
    <s v="1000.00"/>
    <x v="0"/>
    <s v="7.00"/>
    <s v="K"/>
    <s v="OTHER"/>
    <s v="EURO1_MIX"/>
    <s v="IP_D1234_EMEA"/>
    <s v="IP_D5_EMEA"/>
    <s v="IP_D6_EMEA"/>
    <s v="WARM"/>
    <s v="BRU"/>
    <m/>
    <s v="1"/>
    <x v="22"/>
    <s v="304904421264"/>
    <s v="724121802"/>
    <s v="IP_D1234"/>
    <x v="0"/>
    <x v="0"/>
    <x v="1"/>
    <x v="1"/>
    <s v="CGN"/>
    <s v="CDG"/>
    <s v="0084"/>
    <s v="20/11/2019 13:20"/>
    <s v="20/11/2019 13:29"/>
    <s v="9"/>
    <s v="02"/>
    <s v="EURO1_MIX,IP_D1234_EMEA,IP_D5_EMEA,IP_D6_EMEA"/>
    <s v="MDE_AVAILABLE"/>
    <s v="FEDEX"/>
    <s v="IEB"/>
    <s v="CONVEYABLE"/>
    <s v="19-11-2019"/>
    <s v="BOX"/>
    <x v="0"/>
  </r>
  <r>
    <s v="20-11-2019"/>
    <s v="20-11-2019"/>
    <s v="778154007210"/>
    <s v="CA"/>
    <s v="BE"/>
    <s v="YUX"/>
    <s v="CRL"/>
    <s v="19-11-2019"/>
    <s v="21-11-2019"/>
    <s v="01"/>
    <s v="01"/>
    <s v="CAD"/>
    <s v="88.00"/>
    <x v="0"/>
    <s v="0.50"/>
    <s v="K"/>
    <s v="OTHER"/>
    <s v="EURO1_MIX"/>
    <s v="IP_D1234_EMEA"/>
    <s v="IP_D5_EMEA"/>
    <s v="IP_D6_EMEA"/>
    <s v="WARM"/>
    <s v="BRU"/>
    <m/>
    <s v="1"/>
    <x v="35"/>
    <s v="304844441750"/>
    <s v="632431325"/>
    <s v="IP_D1234"/>
    <x v="0"/>
    <x v="0"/>
    <x v="2"/>
    <x v="3"/>
    <s v="IND"/>
    <s v="CDG"/>
    <s v="0083"/>
    <s v="20/11/2019 18:17"/>
    <s v="20/11/2019 18:54"/>
    <s v="37"/>
    <s v="02,54"/>
    <s v="EURO1_MIX,IP_D1234_EMEA,IP_D5_EMEA,IP_D6_EMEA"/>
    <s v="MDE_AVAILABLE"/>
    <s v="FEDEX"/>
    <s v="IPE"/>
    <s v="CONVEYABLE"/>
    <s v="19-11-2019"/>
    <s v="UNKNOWN"/>
    <x v="0"/>
  </r>
  <r>
    <s v="20-11-2019"/>
    <s v="20-11-2019"/>
    <s v="777023378603"/>
    <s v="CA"/>
    <s v="AT"/>
    <s v="YRM"/>
    <s v="HOH"/>
    <s v="19-11-2019"/>
    <s v="21-11-2019"/>
    <s v="01"/>
    <s v="01"/>
    <s v="CAD"/>
    <s v="1.00"/>
    <x v="0"/>
    <s v="11.80"/>
    <s v="L"/>
    <s v="OTHER"/>
    <s v="EURO1_MIX"/>
    <s v="IP_D1234_LATE"/>
    <s v="IP_D5_EMEA"/>
    <s v="IP_D6_EMEA"/>
    <s v="WARM"/>
    <s v="VIE"/>
    <m/>
    <s v="1"/>
    <x v="77"/>
    <s v="304990406955"/>
    <s v="141261606"/>
    <s v="IP_D1234"/>
    <x v="0"/>
    <x v="0"/>
    <x v="2"/>
    <x v="0"/>
    <s v="MEM"/>
    <s v="CDG"/>
    <s v="0083"/>
    <s v="20/11/2019 20:43"/>
    <m/>
    <m/>
    <s v="02"/>
    <s v="EURO1_MIX,IP_D1234_LATE,IP_D5_EMEA,IP_D6_EMEA"/>
    <s v="MDE_AVAILABLE"/>
    <s v="FEDEX"/>
    <s v="IPE"/>
    <s v="CONVEYABLE"/>
    <s v="19-11-2019"/>
    <s v="BOX"/>
    <x v="0"/>
  </r>
  <r>
    <s v="20-11-2019"/>
    <s v="20-11-2019"/>
    <s v="484375912487"/>
    <s v="US"/>
    <s v="FR"/>
    <s v="JSD"/>
    <s v="LBG"/>
    <s v="19-11-2019"/>
    <s v="21-11-2019"/>
    <s v="01"/>
    <s v="01"/>
    <s v="USD"/>
    <s v="1817.00"/>
    <x v="0"/>
    <s v="9.80"/>
    <s v="L"/>
    <s v="OTHER"/>
    <s v="EURO1_MIX"/>
    <s v="IP_D1234_EMEA"/>
    <s v="IP_D5_EMEA"/>
    <s v="IP_D6_EMEA"/>
    <s v="WARM"/>
    <s v="CDG"/>
    <m/>
    <s v="1"/>
    <x v="67"/>
    <s v="305026577314"/>
    <s v="585090506"/>
    <s v="IP_D1234"/>
    <x v="0"/>
    <x v="0"/>
    <x v="2"/>
    <x v="4"/>
    <s v="EWR"/>
    <s v="CDG"/>
    <s v="0072"/>
    <s v="20/11/2019 17:41"/>
    <s v="20/11/2019 17:39"/>
    <s v="-2"/>
    <s v="02"/>
    <s v="EURO1_MIX,IP_D1234_EMEA,IP_D5_EMEA,IP_D6_EMEA"/>
    <s v="MDE_AVAILABLE"/>
    <s v="FEDEX"/>
    <s v="IPE"/>
    <s v="CONVEYABLE"/>
    <s v="19-11-2019"/>
    <s v="BOX"/>
    <x v="0"/>
  </r>
  <r>
    <s v="20-11-2019"/>
    <s v="20-11-2019"/>
    <s v="777026511619"/>
    <s v="CA"/>
    <s v="TG"/>
    <s v="YMX"/>
    <s v="LFW"/>
    <s v="19-11-2019"/>
    <s v="27-11-2019"/>
    <s v="01"/>
    <s v="01"/>
    <s v="USD"/>
    <s v="560.00"/>
    <x v="0"/>
    <m/>
    <m/>
    <s v="OTHER"/>
    <s v="EURO1_MIX"/>
    <s v="IP_D1234_LATE"/>
    <s v="IP_D5_EMEA"/>
    <s v="IP_D6_EMEA"/>
    <s v="DEAD"/>
    <s v="CDG"/>
    <s v="777026510998"/>
    <s v="5"/>
    <x v="35"/>
    <s v="304844441750"/>
    <s v="340306155"/>
    <s v="IP_D1234"/>
    <x v="0"/>
    <x v="0"/>
    <x v="2"/>
    <x v="3"/>
    <s v="IND"/>
    <s v="CDG"/>
    <s v="0083"/>
    <s v="20/11/2019 18:17"/>
    <s v="20/11/2019 18:54"/>
    <s v="37"/>
    <s v="02"/>
    <s v="EURO1_MIX,IP_D1234_LATE,IP_D5_EMEA,IP_D6_EMEA"/>
    <s v="MDE_AVAILABLE"/>
    <s v="FEDEX"/>
    <s v="IPE"/>
    <s v="CONVEYABLE"/>
    <s v="19-11-2019"/>
    <s v="BOX"/>
    <x v="0"/>
  </r>
  <r>
    <s v="20-11-2019"/>
    <s v="20-11-2019"/>
    <s v="814297201811"/>
    <s v="ES"/>
    <s v="US"/>
    <s v="MAD"/>
    <s v="UVA"/>
    <s v="19-11-2019"/>
    <s v="21-11-2019"/>
    <s v="01"/>
    <s v="01"/>
    <s v="EUR"/>
    <s v="125.05"/>
    <x v="0"/>
    <s v="13.80"/>
    <s v="L"/>
    <s v="OTHER"/>
    <s v="EURO1_MIX"/>
    <s v="IP_D1234_MIX US"/>
    <s v="IP_D5_MIX US"/>
    <s v="IP_D6_EMEA"/>
    <s v="UNKNOWN"/>
    <s v="USA"/>
    <s v="812712491770"/>
    <s v="6"/>
    <x v="75"/>
    <s v="221484122152"/>
    <s v="341200009"/>
    <s v="IP_D1234"/>
    <x v="0"/>
    <x v="0"/>
    <x v="0"/>
    <x v="21"/>
    <s v="CDGRP"/>
    <s v="CDGH"/>
    <s v="8009"/>
    <s v="20/11/2019 17:15"/>
    <s v="20/11/2019 18:30"/>
    <s v="75"/>
    <s v="02"/>
    <s v="EURO1_MIX,IP_D1234_MIX US,IP_D5_MIX US,IP_D6_EMEA"/>
    <s v="MDE_AVAILABLE"/>
    <s v="FEDEX"/>
    <s v="IPE"/>
    <s v="CONVEYABLE"/>
    <s v="19-11-2019"/>
    <s v="BOX"/>
    <x v="0"/>
  </r>
  <r>
    <s v="20-11-2019"/>
    <s v="20-11-2019"/>
    <s v="776992740697"/>
    <s v="CN"/>
    <s v="IT"/>
    <s v="NTG"/>
    <s v="QME"/>
    <m/>
    <s v="25-11-2019"/>
    <s v="01"/>
    <s v="02"/>
    <s v="USD"/>
    <s v="10.00"/>
    <x v="0"/>
    <s v="1.50"/>
    <s v="K"/>
    <s v="OTHER"/>
    <s v="EURO1_MIX"/>
    <s v="IP_D1234_MIX"/>
    <s v="IP_D5_MIX"/>
    <s v="IP_D6_EMEA"/>
    <s v="WARM"/>
    <s v="MXP"/>
    <m/>
    <s v="1"/>
    <x v="78"/>
    <s v="305072965814"/>
    <s v="897231255"/>
    <s v="IP_D1234"/>
    <x v="0"/>
    <x v="0"/>
    <x v="1"/>
    <x v="14"/>
    <s v="LGGT7"/>
    <s v="CDGH"/>
    <s v="8009"/>
    <s v="20/11/2019 18:15"/>
    <m/>
    <m/>
    <s v="02"/>
    <s v="EURO1_MIX,IP_D1234_MIX,IP_D5_MIX,IP_D6_EMEA"/>
    <s v="MDE_AVAILABLE"/>
    <s v="FEDEX"/>
    <s v="IPE"/>
    <s v="CONVEYABLE"/>
    <s v="18-11-2019"/>
    <s v="SMALL_PARCEL"/>
    <x v="0"/>
  </r>
  <r>
    <s v="20-11-2019"/>
    <s v="20-11-2019"/>
    <s v="135053356263"/>
    <s v="US"/>
    <s v="FR"/>
    <s v="OPF"/>
    <s v="TLS"/>
    <m/>
    <s v="21-11-2019"/>
    <s v="01"/>
    <s v="01"/>
    <s v="USD"/>
    <s v="10125.00"/>
    <x v="0"/>
    <m/>
    <m/>
    <s v="OTHER"/>
    <s v="EURO1_MIX"/>
    <s v="IP_D1234_EMEA"/>
    <s v="IP_D5_EMEA"/>
    <s v="IP_D6_EMEA"/>
    <s v="WARM"/>
    <s v="CDG"/>
    <s v="135053356241"/>
    <s v="4"/>
    <x v="79"/>
    <s v="304990990319"/>
    <s v="647810292"/>
    <s v="IP_D1234"/>
    <x v="0"/>
    <x v="0"/>
    <x v="2"/>
    <x v="11"/>
    <s v="MEM"/>
    <s v="CDG"/>
    <s v="0016"/>
    <s v="20/11/2019 18:47"/>
    <m/>
    <m/>
    <s v="02,54"/>
    <s v="EURO1_MIX,IP_D1234_EMEA,IP_D5_EMEA,IP_D6_EMEA"/>
    <s v="MDE_AVAILABLE"/>
    <s v="FEDEX"/>
    <s v="IPE"/>
    <s v="CONVEYABLE"/>
    <s v="18-11-2019"/>
    <s v="BOX"/>
    <x v="0"/>
  </r>
  <r>
    <s v="20-11-2019"/>
    <s v="20-11-2019"/>
    <s v="777018458693"/>
    <s v="CN"/>
    <s v="FI"/>
    <s v="FUG"/>
    <s v="LTI"/>
    <s v="19-11-2019"/>
    <s v="22-11-2019"/>
    <s v="01"/>
    <s v="01"/>
    <s v="USD"/>
    <s v="120.00"/>
    <x v="0"/>
    <s v="5.50"/>
    <s v="K"/>
    <s v="OTHER"/>
    <s v="EURO1_MIX"/>
    <s v="IP_D1234_LATE"/>
    <s v="IP_D5_EMEA"/>
    <s v="IP_D6_MIX"/>
    <s v="WARM"/>
    <s v="HEL"/>
    <m/>
    <s v="1"/>
    <x v="11"/>
    <s v="305073044016"/>
    <s v="918863338"/>
    <s v="IP_D1234"/>
    <x v="0"/>
    <x v="0"/>
    <x v="0"/>
    <x v="8"/>
    <s v="LGGT7"/>
    <s v="CDGH"/>
    <s v="8009"/>
    <s v="20/11/2019 18:00"/>
    <s v="20/11/2019 18:47"/>
    <s v="47"/>
    <s v="02"/>
    <s v="EURO1_MIX,IP_D1234_LATE,IP_D5_EMEA,IP_D6_MIX"/>
    <s v="MDE_AVAILABLE"/>
    <s v="FEDEX"/>
    <s v="IPE"/>
    <s v="CONVEYABLE"/>
    <s v="19-11-2019"/>
    <s v="UNKNOWN"/>
    <x v="0"/>
  </r>
  <r>
    <s v="20-11-2019"/>
    <s v="20-11-2019"/>
    <s v="107313527360"/>
    <s v="US"/>
    <s v="IN"/>
    <s v="DAL"/>
    <s v="GUX"/>
    <s v="19-11-2019"/>
    <s v="22-11-2019"/>
    <s v="01"/>
    <s v="01"/>
    <s v="USD"/>
    <s v="1062.46"/>
    <x v="0"/>
    <s v="14.10"/>
    <s v="L"/>
    <s v="OTHER"/>
    <s v="EURO1_MIX"/>
    <s v="IP_D1234_LATE"/>
    <s v="IP_D5_EMEA"/>
    <s v="IP_D6_MIX"/>
    <s v="WARM"/>
    <s v="DEL"/>
    <m/>
    <s v="1"/>
    <x v="48"/>
    <s v="304844441771"/>
    <s v="858719976"/>
    <s v="IP_D1234"/>
    <x v="0"/>
    <x v="0"/>
    <x v="1"/>
    <x v="3"/>
    <s v="IND"/>
    <s v="CDG"/>
    <s v="0083"/>
    <s v="20/11/2019 18:17"/>
    <s v="20/11/2019 18:54"/>
    <s v="37"/>
    <s v="02"/>
    <s v="EURO1_MIX,IP_D1234_LATE,IP_D5_EMEA,IP_D6_MIX"/>
    <s v="MDE_AVAILABLE"/>
    <s v="FEDEX"/>
    <s v="IPE"/>
    <s v="CONVEYABLE"/>
    <s v="19-11-2019"/>
    <s v="BOX"/>
    <x v="0"/>
  </r>
  <r>
    <s v="20-11-2019"/>
    <s v="20-11-2019"/>
    <s v="107313527370"/>
    <s v="US"/>
    <s v="PL"/>
    <s v="DAL"/>
    <s v="RZE"/>
    <s v="19-11-2019"/>
    <s v="22-11-2019"/>
    <s v="01"/>
    <s v="01"/>
    <s v="USD"/>
    <s v="401.58"/>
    <x v="0"/>
    <s v="2.00"/>
    <s v="L"/>
    <s v="OTHER"/>
    <s v="EURO1_MIX"/>
    <s v="IP_D1234_LATE"/>
    <s v="IP_D5_EMEA"/>
    <s v="IP_D6_EMEA"/>
    <s v="WARM"/>
    <s v="WAW"/>
    <m/>
    <s v="1"/>
    <x v="30"/>
    <s v="304843425058"/>
    <s v="858719976"/>
    <s v="IP_D1234"/>
    <x v="0"/>
    <x v="0"/>
    <x v="1"/>
    <x v="3"/>
    <s v="IND"/>
    <s v="CDG"/>
    <s v="0083"/>
    <s v="20/11/2019 18:17"/>
    <s v="20/11/2019 18:54"/>
    <s v="37"/>
    <s v="02"/>
    <s v="EURO1_MIX,IP_D1234_LATE,IP_D5_EMEA,IP_D6_EMEA"/>
    <s v="MDE_AVAILABLE"/>
    <s v="FEDEX"/>
    <s v="IPE"/>
    <s v="CONVEYABLE"/>
    <s v="19-11-2019"/>
    <s v="BOX"/>
    <x v="0"/>
  </r>
  <r>
    <s v="20-11-2019"/>
    <s v="20-11-2019"/>
    <s v="778141771700"/>
    <s v="CA"/>
    <s v="ES"/>
    <s v="YOW"/>
    <s v="MAD"/>
    <s v="19-11-2019"/>
    <s v="21-11-2019"/>
    <s v="01"/>
    <s v="01"/>
    <s v="CAD"/>
    <s v="1.00"/>
    <x v="0"/>
    <m/>
    <m/>
    <s v="OTHER"/>
    <s v="EURO1_MIX"/>
    <s v="IP_D1234_EMEA"/>
    <s v="IP_D5_EMEA"/>
    <s v="IP_D6_EMEA"/>
    <s v="WARM"/>
    <s v="MAD"/>
    <s v="778141771090"/>
    <s v="7"/>
    <x v="9"/>
    <s v="304844441782"/>
    <s v="394806102"/>
    <s v="IP_D1234"/>
    <x v="0"/>
    <x v="0"/>
    <x v="1"/>
    <x v="3"/>
    <s v="IND"/>
    <s v="CDG"/>
    <s v="0083"/>
    <s v="20/11/2019 18:17"/>
    <s v="20/11/2019 18:54"/>
    <s v="37"/>
    <s v="02"/>
    <s v="EURO1_MIX,IP_D1234_EMEA,IP_D5_EMEA,IP_D6_EMEA"/>
    <s v="MDE_AVAILABLE"/>
    <s v="FEDEX"/>
    <s v="IPE"/>
    <s v="CONVEYABLE"/>
    <s v="19-11-2019"/>
    <s v="BOX"/>
    <x v="0"/>
  </r>
  <r>
    <s v="20-11-2019"/>
    <s v="20-11-2019"/>
    <s v="814297201822"/>
    <s v="ES"/>
    <s v="US"/>
    <s v="MAD"/>
    <s v="UVA"/>
    <s v="19-11-2019"/>
    <s v="21-11-2019"/>
    <s v="01"/>
    <s v="01"/>
    <s v="EUR"/>
    <s v="125.05"/>
    <x v="0"/>
    <s v="13.80"/>
    <s v="L"/>
    <s v="OTHER"/>
    <s v="EURO1_MIX"/>
    <s v="IP_D1234_MIX US"/>
    <s v="IP_D5_MIX US"/>
    <s v="IP_D6_EMEA"/>
    <s v="UNKNOWN"/>
    <s v="USA"/>
    <s v="812712491770"/>
    <s v="6"/>
    <x v="75"/>
    <s v="221484122152"/>
    <s v="341200009"/>
    <s v="IP_D1234"/>
    <x v="0"/>
    <x v="0"/>
    <x v="0"/>
    <x v="21"/>
    <s v="CDGRP"/>
    <s v="CDGH"/>
    <s v="8009"/>
    <s v="20/11/2019 17:15"/>
    <s v="20/11/2019 18:30"/>
    <s v="75"/>
    <s v="02"/>
    <s v="EURO1_MIX,IP_D1234_MIX US,IP_D5_MIX US,IP_D6_EMEA"/>
    <s v="MDE_AVAILABLE"/>
    <s v="FEDEX"/>
    <s v="IPE"/>
    <s v="CONVEYABLE"/>
    <s v="19-11-2019"/>
    <s v="BOX"/>
    <x v="0"/>
  </r>
  <r>
    <s v="20-11-2019"/>
    <s v="20-11-2019"/>
    <s v="811548447408"/>
    <s v="US"/>
    <s v="ES"/>
    <s v="MTC"/>
    <s v="MJV"/>
    <s v="19-11-2019"/>
    <s v="25-11-2019"/>
    <s v="01"/>
    <s v="01"/>
    <s v="USD"/>
    <s v="5.00"/>
    <x v="0"/>
    <s v="0.10"/>
    <s v="L"/>
    <s v="OTHER"/>
    <s v="EURO1_MIX"/>
    <s v="IP_D1234_EMEA"/>
    <s v="IP_D5_EMEA"/>
    <s v="IP_D6_EMEA"/>
    <s v="COLD"/>
    <s v="MAD"/>
    <m/>
    <s v="1"/>
    <x v="80"/>
    <s v="304990990308"/>
    <s v="258187555"/>
    <s v="IP_D1234"/>
    <x v="0"/>
    <x v="0"/>
    <x v="2"/>
    <x v="11"/>
    <s v="MEM"/>
    <s v="CDG"/>
    <s v="0016"/>
    <s v="20/11/2019 18:47"/>
    <m/>
    <m/>
    <s v="02"/>
    <s v="EURO1_MIX,IP_D1234_EMEA,IP_D5_EMEA,IP_D6_EMEA"/>
    <s v="MDE_AVAILABLE"/>
    <s v="FEDEX"/>
    <s v="IPE"/>
    <s v="CONVEYABLE"/>
    <s v="19-11-2019"/>
    <s v="UNKNOWN"/>
    <x v="0"/>
  </r>
  <r>
    <s v="20-11-2019"/>
    <s v="20-11-2019"/>
    <s v="110454293637"/>
    <s v="CN"/>
    <s v="ES"/>
    <s v="KCA"/>
    <s v="SPO"/>
    <m/>
    <s v="21-11-2019"/>
    <s v="01"/>
    <s v="02"/>
    <s v="USD"/>
    <s v="19.98"/>
    <x v="0"/>
    <s v="0.50"/>
    <s v="K"/>
    <s v="OTHER"/>
    <s v="EURO1_MIX"/>
    <s v="IP_D1234_EMEA"/>
    <s v="IP_D5_EMEA"/>
    <s v="IP_D6_EMEA"/>
    <s v="WARM"/>
    <s v="MAD"/>
    <m/>
    <s v="1"/>
    <x v="20"/>
    <s v="305072965799"/>
    <s v="559980765"/>
    <s v="IP_D1234"/>
    <x v="0"/>
    <x v="0"/>
    <x v="2"/>
    <x v="7"/>
    <s v="NRT"/>
    <s v="CDG"/>
    <s v="0083"/>
    <s v="20/11/2019 16:53"/>
    <s v="20/11/2019 17:38"/>
    <s v="45"/>
    <s v="02,09,54"/>
    <s v="EURO1_MIX,IP_D1234_EMEA,IP_D5_EMEA,IP_D6_EMEA"/>
    <s v="MDE_AVAILABLE"/>
    <s v="FEDEX"/>
    <s v="IPE"/>
    <s v="CONVEYABLE"/>
    <s v="09-11-2019"/>
    <s v="SMALL_PARCEL"/>
    <x v="0"/>
  </r>
  <r>
    <s v="20-11-2019"/>
    <s v="20-11-2019"/>
    <s v="777019086302"/>
    <s v="IT"/>
    <s v="CH"/>
    <s v="QCM"/>
    <s v="ZRH"/>
    <s v="19-11-2019"/>
    <s v="20-11-2019"/>
    <s v="01"/>
    <s v="01"/>
    <s v="EUR"/>
    <s v="2756.70"/>
    <x v="0"/>
    <s v="7.40"/>
    <s v="L"/>
    <s v="OTHER"/>
    <s v="EURO1_MIX"/>
    <s v="IP_D1234_MIX"/>
    <s v="IP_D5_EMEA"/>
    <s v="IP_D6_EMEA"/>
    <s v="DEAD"/>
    <s v="BSL"/>
    <m/>
    <s v="1"/>
    <x v="81"/>
    <s v="305054162468"/>
    <s v="200812786"/>
    <s v="IP_D1234"/>
    <x v="0"/>
    <x v="0"/>
    <x v="0"/>
    <x v="10"/>
    <s v="MXP"/>
    <s v="CDG"/>
    <s v="0072"/>
    <s v="20/11/2019 18:21"/>
    <s v="20/11/2019 18:27"/>
    <s v="6"/>
    <s v="02"/>
    <s v="EURO1_MIX,IP_D1234_MIX,IP_D5_EMEA,IP_D6_EMEA"/>
    <s v="MDE_AVAILABLE"/>
    <s v="FEDEX"/>
    <s v="IPE"/>
    <s v="CONVEYABLE"/>
    <s v="19-11-2019"/>
    <s v="BOX"/>
    <x v="0"/>
  </r>
  <r>
    <s v="20-11-2019"/>
    <s v="20-11-2019"/>
    <s v="135053356252"/>
    <s v="US"/>
    <s v="FR"/>
    <s v="OPF"/>
    <s v="TLS"/>
    <m/>
    <s v="21-11-2019"/>
    <s v="01"/>
    <s v="01"/>
    <s v="USD"/>
    <s v="10125.00"/>
    <x v="0"/>
    <m/>
    <m/>
    <s v="OTHER"/>
    <s v="EURO1_MIX"/>
    <s v="IP_D1234_EMEA"/>
    <s v="IP_D5_EMEA"/>
    <s v="IP_D6_EMEA"/>
    <s v="WARM"/>
    <s v="CDG"/>
    <s v="135053356241"/>
    <s v="4"/>
    <x v="82"/>
    <s v="304990990271"/>
    <s v="647810292"/>
    <s v="IP_D1234"/>
    <x v="0"/>
    <x v="0"/>
    <x v="2"/>
    <x v="11"/>
    <s v="MEM"/>
    <s v="CDG"/>
    <s v="0016"/>
    <s v="20/11/2019 18:47"/>
    <m/>
    <m/>
    <s v="02,54"/>
    <s v="EURO1_MIX,IP_D1234_EMEA,IP_D5_EMEA,IP_D6_EMEA"/>
    <s v="MDE_AVAILABLE"/>
    <s v="FEDEX"/>
    <s v="IPE"/>
    <s v="CONVEYABLE"/>
    <s v="18-11-2019"/>
    <s v="BOX"/>
    <x v="0"/>
  </r>
  <r>
    <s v="20-11-2019"/>
    <s v="20-11-2019"/>
    <s v="488772438447"/>
    <s v="CN"/>
    <s v="GB"/>
    <s v="SZV"/>
    <s v="LBA"/>
    <m/>
    <s v="21-11-2019"/>
    <s v="01"/>
    <s v="01"/>
    <s v="USD"/>
    <s v="3006.00"/>
    <x v="0"/>
    <s v="27.80"/>
    <s v="L"/>
    <s v="OTHER"/>
    <s v="EURO1_MIX"/>
    <s v="IP_D1234_MIX"/>
    <s v="IP_D5_EMEA"/>
    <s v="IP_D6_MIX"/>
    <s v="WARM"/>
    <s v="STN"/>
    <m/>
    <s v="2"/>
    <x v="20"/>
    <s v="305072965799"/>
    <s v="509449325"/>
    <s v="IP_D1234"/>
    <x v="0"/>
    <x v="0"/>
    <x v="2"/>
    <x v="7"/>
    <s v="NRT"/>
    <s v="CDG"/>
    <s v="0083"/>
    <s v="20/11/2019 16:53"/>
    <s v="20/11/2019 17:38"/>
    <s v="45"/>
    <s v="02,54"/>
    <s v="EURO1_MIX,IP_D1234_MIX,IP_D5_EMEA,IP_D6_MIX"/>
    <s v="MDE_AVAILABLE"/>
    <s v="FEDEX"/>
    <s v="IPE"/>
    <s v="CONVEYABLE"/>
    <s v="18-11-2019"/>
    <s v="BOX"/>
    <x v="0"/>
  </r>
  <r>
    <s v="20-11-2019"/>
    <s v="20-11-2019"/>
    <s v="778100431525"/>
    <s v="IT"/>
    <s v="AU"/>
    <s v="BLQ"/>
    <s v="BWU"/>
    <m/>
    <s v="22-11-2019"/>
    <s v="01"/>
    <s v="01"/>
    <s v="AUD"/>
    <s v="54.56"/>
    <x v="0"/>
    <s v="0.40"/>
    <s v="K"/>
    <s v="OTHER"/>
    <s v="EURO1_MIX"/>
    <s v="IP_D1234_LATE"/>
    <s v="IP_D5_EMEA"/>
    <s v="IP_D6_MIX"/>
    <s v="DEAD"/>
    <s v="DXB"/>
    <m/>
    <s v="1"/>
    <x v="23"/>
    <s v="220655778897"/>
    <s v="565901745"/>
    <s v="IP_D1234"/>
    <x v="0"/>
    <x v="0"/>
    <x v="1"/>
    <x v="12"/>
    <s v="MXPH"/>
    <s v="CDGH"/>
    <s v="8009"/>
    <s v="20/11/2019 16:30"/>
    <s v="20/11/2019 15:29"/>
    <s v="-61"/>
    <s v="02"/>
    <s v="EURO1_MIX,IP_D1234_LATE,IP_D5_EMEA,IP_D6_MIX"/>
    <s v="MDE_AVAILABLE"/>
    <s v="FEDEX"/>
    <s v="IPE"/>
    <s v="CONVEYABLE"/>
    <s v="19-11-2019"/>
    <s v="BOX"/>
    <x v="0"/>
  </r>
  <r>
    <s v="20-11-2019"/>
    <s v="20-11-2019"/>
    <s v="814297201833"/>
    <s v="ES"/>
    <s v="US"/>
    <s v="MAD"/>
    <s v="UVA"/>
    <s v="19-11-2019"/>
    <s v="21-11-2019"/>
    <s v="01"/>
    <s v="01"/>
    <s v="EUR"/>
    <s v="125.05"/>
    <x v="0"/>
    <s v="13.80"/>
    <s v="L"/>
    <s v="OTHER"/>
    <s v="EURO1_MIX"/>
    <s v="IP_D1234_MIX US"/>
    <s v="IP_D5_MIX US"/>
    <s v="IP_D6_EMEA"/>
    <s v="UNKNOWN"/>
    <s v="USA"/>
    <s v="812712491770"/>
    <s v="6"/>
    <x v="75"/>
    <s v="221484122152"/>
    <s v="341200009"/>
    <s v="IP_D1234"/>
    <x v="0"/>
    <x v="0"/>
    <x v="0"/>
    <x v="21"/>
    <s v="CDGRP"/>
    <s v="CDGH"/>
    <s v="8009"/>
    <s v="20/11/2019 17:15"/>
    <s v="20/11/2019 18:30"/>
    <s v="75"/>
    <s v="02"/>
    <s v="EURO1_MIX,IP_D1234_MIX US,IP_D5_MIX US,IP_D6_EMEA"/>
    <s v="MDE_AVAILABLE"/>
    <s v="FEDEX"/>
    <s v="IPE"/>
    <s v="CONVEYABLE"/>
    <s v="19-11-2019"/>
    <s v="BOX"/>
    <x v="0"/>
  </r>
  <r>
    <s v="20-11-2019"/>
    <s v="20-11-2019"/>
    <s v="457725195083"/>
    <s v="US"/>
    <s v="NL"/>
    <s v="BSM"/>
    <s v="QYM"/>
    <s v="19-11-2019"/>
    <s v="21-11-2019"/>
    <s v="01"/>
    <s v="01"/>
    <s v="USD"/>
    <s v="1400.00"/>
    <x v="0"/>
    <s v="23.60"/>
    <s v="L"/>
    <s v="OTHER"/>
    <s v="EURO1_MIX"/>
    <s v="IP_D1234_EMEA"/>
    <s v="IP_D5_EMEA"/>
    <s v="IP_D6_EMEA"/>
    <s v="WARM"/>
    <s v="AMS"/>
    <m/>
    <s v="1"/>
    <x v="53"/>
    <s v="304990406852"/>
    <s v="190335402"/>
    <s v="IP_D1234"/>
    <x v="0"/>
    <x v="0"/>
    <x v="2"/>
    <x v="11"/>
    <s v="MEM"/>
    <s v="CDG"/>
    <s v="0016"/>
    <s v="20/11/2019 18:47"/>
    <m/>
    <m/>
    <s v="02,54"/>
    <s v="EURO1_MIX,IP_D1234_EMEA,IP_D5_EMEA,IP_D6_EMEA"/>
    <s v="MDE_AVAILABLE"/>
    <s v="FEDEX"/>
    <s v="IPE"/>
    <s v="CONVEYABLE"/>
    <s v="19-11-2019"/>
    <s v="BOX"/>
    <x v="0"/>
  </r>
  <r>
    <s v="20-11-2019"/>
    <s v="20-11-2019"/>
    <s v="777018062570"/>
    <s v="TW"/>
    <s v="DE"/>
    <s v="TXG"/>
    <s v="DTZ"/>
    <s v="19-11-2019"/>
    <s v="21-11-2019"/>
    <s v="01"/>
    <s v="01"/>
    <s v="EUR"/>
    <s v="120.00"/>
    <x v="0"/>
    <m/>
    <m/>
    <s v="OTHER"/>
    <s v="EURO1_MIX"/>
    <s v="IP_D1234_MIX"/>
    <s v="IP_D5_MIX"/>
    <s v="IP_D6_MIX"/>
    <s v="UNKNOWN"/>
    <s v="CGN"/>
    <s v="777018062559"/>
    <s v="4"/>
    <x v="76"/>
    <s v="137361336812"/>
    <s v="144260147"/>
    <s v="IP_D1234"/>
    <x v="0"/>
    <x v="0"/>
    <x v="0"/>
    <x v="18"/>
    <s v="CDGRP"/>
    <s v="CDGH"/>
    <s v="8009"/>
    <s v="20/11/2019 16:45"/>
    <s v="20/11/2019 17:25"/>
    <s v="40"/>
    <s v="02"/>
    <s v="EURO1_MIX,IP_D1234_MIX,IP_D5_MIX,IP_D6_MIX"/>
    <s v="MDE_AVAILABLE"/>
    <s v="FEDEX"/>
    <s v="IPE"/>
    <s v="CONVEYABLE"/>
    <s v="19-11-2019"/>
    <s v="BOX"/>
    <x v="0"/>
  </r>
  <r>
    <s v="20-11-2019"/>
    <s v="20-11-2019"/>
    <s v="813274269177"/>
    <s v="HK"/>
    <s v="CH"/>
    <s v="HHP"/>
    <s v="BRN"/>
    <s v="19-11-2019"/>
    <s v="21-11-2019"/>
    <s v="01"/>
    <s v="01"/>
    <s v="SFR"/>
    <s v="11125.70"/>
    <x v="2"/>
    <m/>
    <m/>
    <s v="OTHER"/>
    <s v="EURO1_MIX"/>
    <s v="IP_D1234_MIX"/>
    <s v="IP_D5_EMEA"/>
    <s v="IP_D6_EMEA"/>
    <s v="WARM"/>
    <s v="BSL"/>
    <s v="814061535064"/>
    <s v="2"/>
    <x v="83"/>
    <s v="221481284327"/>
    <s v="164920127"/>
    <s v="IP_D1234"/>
    <x v="0"/>
    <x v="0"/>
    <x v="1"/>
    <x v="7"/>
    <s v="NRT"/>
    <s v="CDG"/>
    <s v="0083"/>
    <s v="20/11/2019 16:53"/>
    <s v="20/11/2019 17:38"/>
    <s v="45"/>
    <s v="02"/>
    <s v="EURO1_MIX,IP_D1234_MIX,IP_D5_EMEA,IP_D6_EMEA"/>
    <s v="MDE_AVAILABLE"/>
    <s v="FEDEX"/>
    <s v="IPE"/>
    <s v="UNKNOWN_CON_NCON"/>
    <s v="19-11-2019"/>
    <s v="UNKNOWN"/>
    <x v="0"/>
  </r>
  <r>
    <s v="20-11-2019"/>
    <s v="20-11-2019"/>
    <s v="488772438458"/>
    <s v="CN"/>
    <s v="GB"/>
    <s v="SZV"/>
    <s v="LBA"/>
    <m/>
    <s v="21-11-2019"/>
    <s v="01"/>
    <s v="01"/>
    <s v="USD"/>
    <s v="3006.00"/>
    <x v="0"/>
    <s v="27.80"/>
    <s v="L"/>
    <s v="OTHER"/>
    <s v="EURO1_MIX"/>
    <s v="IP_D1234_MIX"/>
    <s v="IP_D5_EMEA"/>
    <s v="IP_D6_MIX"/>
    <s v="WARM"/>
    <s v="STN"/>
    <s v="488772438447"/>
    <s v="2"/>
    <x v="20"/>
    <s v="305072965799"/>
    <s v="509449325"/>
    <s v="IP_D1234"/>
    <x v="0"/>
    <x v="0"/>
    <x v="2"/>
    <x v="7"/>
    <s v="NRT"/>
    <s v="CDG"/>
    <s v="0083"/>
    <s v="20/11/2019 16:53"/>
    <s v="20/11/2019 17:38"/>
    <s v="45"/>
    <s v="02,54"/>
    <s v="EURO1_MIX,IP_D1234_MIX,IP_D5_EMEA,IP_D6_MIX"/>
    <s v="MDE_AVAILABLE"/>
    <s v="FEDEX"/>
    <s v="IPE"/>
    <s v="CONVEYABLE"/>
    <s v="18-11-2019"/>
    <s v="BOX"/>
    <x v="0"/>
  </r>
  <r>
    <s v="20-11-2019"/>
    <s v="20-11-2019"/>
    <s v="135057769752"/>
    <s v="US"/>
    <s v="FR"/>
    <s v="TNT"/>
    <s v="URO"/>
    <s v="19-11-2019"/>
    <s v="21-11-2019"/>
    <s v="01"/>
    <s v="01"/>
    <s v="USD"/>
    <s v="782.93"/>
    <x v="0"/>
    <s v="1.00"/>
    <s v="L"/>
    <s v="OTHER"/>
    <s v="EURO1_MIX"/>
    <s v="IP_D1234_EMEA"/>
    <s v="IP_D5_EMEA"/>
    <s v="IP_D6_EMEA"/>
    <s v="WARM"/>
    <s v="CDG"/>
    <m/>
    <s v="1"/>
    <x v="45"/>
    <s v="304990406841"/>
    <s v="229862065"/>
    <s v="IP_D1234"/>
    <x v="0"/>
    <x v="0"/>
    <x v="2"/>
    <x v="11"/>
    <s v="MEM"/>
    <s v="CDG"/>
    <s v="0016"/>
    <s v="20/11/2019 18:47"/>
    <m/>
    <m/>
    <s v="02,54"/>
    <s v="EURO1_MIX,IP_D1234_EMEA,IP_D5_EMEA,IP_D6_EMEA"/>
    <s v="MDE_AVAILABLE"/>
    <s v="FEDEX"/>
    <s v="IPE"/>
    <s v="CONVEYABLE"/>
    <s v="19-11-2019"/>
    <s v="SMALL_PARCEL"/>
    <x v="0"/>
  </r>
  <r>
    <s v="20-11-2019"/>
    <s v="20-11-2019"/>
    <s v="814297201844"/>
    <s v="ES"/>
    <s v="US"/>
    <s v="MAD"/>
    <s v="UVA"/>
    <s v="19-11-2019"/>
    <s v="21-11-2019"/>
    <s v="01"/>
    <s v="01"/>
    <s v="EUR"/>
    <s v="125.05"/>
    <x v="0"/>
    <s v="13.90"/>
    <s v="L"/>
    <s v="OTHER"/>
    <s v="EURO1_MIX"/>
    <s v="IP_D1234_MIX US"/>
    <s v="IP_D5_MIX US"/>
    <s v="IP_D6_EMEA"/>
    <s v="UNKNOWN"/>
    <s v="USA"/>
    <s v="812712491770"/>
    <s v="6"/>
    <x v="75"/>
    <s v="221484122152"/>
    <s v="341200009"/>
    <s v="IP_D1234"/>
    <x v="0"/>
    <x v="0"/>
    <x v="0"/>
    <x v="21"/>
    <s v="CDGRP"/>
    <s v="CDGH"/>
    <s v="8009"/>
    <s v="20/11/2019 17:15"/>
    <s v="20/11/2019 18:30"/>
    <s v="75"/>
    <s v="02"/>
    <s v="EURO1_MIX,IP_D1234_MIX US,IP_D5_MIX US,IP_D6_EMEA"/>
    <s v="MDE_AVAILABLE"/>
    <s v="FEDEX"/>
    <s v="IPE"/>
    <s v="CONVEYABLE"/>
    <s v="19-11-2019"/>
    <s v="BOX"/>
    <x v="0"/>
  </r>
  <r>
    <s v="20-11-2019"/>
    <s v="20-11-2019"/>
    <s v="778166078993"/>
    <s v="FR"/>
    <s v="NL"/>
    <s v="LBG"/>
    <s v="QYM"/>
    <m/>
    <s v="21-11-2019"/>
    <s v="01"/>
    <s v="01"/>
    <s v="EUR"/>
    <s v="199.28"/>
    <x v="0"/>
    <s v="0.20"/>
    <s v="K"/>
    <s v="OTHER"/>
    <s v="EURO1_MIX"/>
    <s v="IP_D1234_EMEA"/>
    <s v="IP_D5_EMEA"/>
    <s v="IP_D6_EMEA"/>
    <s v="WARM"/>
    <s v="AMS"/>
    <m/>
    <s v="1"/>
    <x v="84"/>
    <s v="137817053505"/>
    <s v="464370480"/>
    <s v="IP_D1234"/>
    <x v="0"/>
    <x v="0"/>
    <x v="1"/>
    <x v="16"/>
    <s v="CDG"/>
    <s v="CDG"/>
    <m/>
    <m/>
    <m/>
    <m/>
    <s v="02,54"/>
    <s v="EURO1_MIX,IP_D1234_EMEA,IP_D5_EMEA,IP_D6_EMEA"/>
    <s v="MDE_AVAILABLE"/>
    <s v="FEDEX"/>
    <s v="IPE"/>
    <s v="CONVEYABLE"/>
    <s v="20-11-2019"/>
    <s v="SMALL_PARCEL"/>
    <x v="0"/>
  </r>
  <r>
    <s v="20-11-2019"/>
    <s v="20-11-2019"/>
    <s v="777023222950"/>
    <s v="BM"/>
    <s v="IN"/>
    <s v="BDA"/>
    <s v="BOM"/>
    <s v="19-11-2019"/>
    <s v="22-11-2019"/>
    <s v="01"/>
    <s v="06"/>
    <s v="USD"/>
    <s v="1.00"/>
    <x v="1"/>
    <s v="0.50"/>
    <s v="K"/>
    <s v="OTHER"/>
    <s v="EURO1_MIX"/>
    <s v="IP_D1234_LATE"/>
    <s v="IP_D5_EMEA"/>
    <s v="IP_D6_MIX"/>
    <s v="WARM"/>
    <s v="DEL"/>
    <m/>
    <s v="1"/>
    <x v="0"/>
    <s v="304990606836"/>
    <s v="356146042"/>
    <s v="IP_D1234"/>
    <x v="0"/>
    <x v="0"/>
    <x v="0"/>
    <x v="0"/>
    <s v="MEM"/>
    <s v="CDG"/>
    <s v="0083"/>
    <s v="20/11/2019 20:43"/>
    <m/>
    <m/>
    <s v="02"/>
    <s v="EURO1_MIX,IP_D1234_LATE,IP_D5_EMEA,IP_D6_MIX"/>
    <s v="MDE_AVAILABLE"/>
    <s v="FEDEX"/>
    <s v="IPE"/>
    <s v="CONVEYABLE"/>
    <s v="19-11-2019"/>
    <s v="DOC"/>
    <x v="0"/>
  </r>
  <r>
    <s v="20-11-2019"/>
    <s v="20-11-2019"/>
    <s v="777018169501"/>
    <s v="TW"/>
    <s v="HU"/>
    <s v="SMT"/>
    <s v="DEB"/>
    <s v="19-11-2019"/>
    <s v="22-11-2019"/>
    <s v="01"/>
    <s v="01"/>
    <s v="USD"/>
    <s v="288.00"/>
    <x v="0"/>
    <s v="19.40"/>
    <s v="K"/>
    <s v="OTHER"/>
    <s v="EURO1_MIX"/>
    <s v="IP_D1234_LATE"/>
    <s v="IP_D5_EMEA"/>
    <s v="IP_D6_EMEA"/>
    <s v="WARM"/>
    <s v="BUD"/>
    <m/>
    <s v="1"/>
    <x v="55"/>
    <s v="137361337094"/>
    <s v="146711006"/>
    <s v="IP_D1234"/>
    <x v="0"/>
    <x v="0"/>
    <x v="0"/>
    <x v="18"/>
    <s v="CDGRP"/>
    <s v="CDGH"/>
    <s v="8009"/>
    <s v="20/11/2019 16:45"/>
    <s v="20/11/2019 17:25"/>
    <s v="40"/>
    <s v="02"/>
    <s v="EURO1_MIX,IP_D1234_LATE,IP_D5_EMEA,IP_D6_EMEA"/>
    <s v="MDE_AVAILABLE"/>
    <s v="FEDEX"/>
    <s v="IPE"/>
    <s v="CONVEYABLE"/>
    <s v="19-11-2019"/>
    <s v="BOX"/>
    <x v="0"/>
  </r>
  <r>
    <s v="20-11-2019"/>
    <s v="20-11-2019"/>
    <s v="776982935008"/>
    <s v="IT"/>
    <s v="GN"/>
    <s v="GOA"/>
    <s v="CKY"/>
    <s v="19-11-2019"/>
    <s v="26-11-2019"/>
    <s v="04"/>
    <s v="01"/>
    <s v="EUR"/>
    <s v="1.00"/>
    <x v="0"/>
    <s v="66.00"/>
    <s v="K"/>
    <s v="OTHER"/>
    <s v="EURO1_MIX"/>
    <s v="IP_D1234_LATE"/>
    <s v="IP_D5_EMEA"/>
    <s v="IP_D6_EMEA"/>
    <s v="COLD"/>
    <s v="CDG"/>
    <m/>
    <s v="1"/>
    <x v="85"/>
    <s v="305054086690"/>
    <s v="476197660"/>
    <s v="IP_D1234"/>
    <x v="0"/>
    <x v="0"/>
    <x v="1"/>
    <x v="10"/>
    <s v="MXP"/>
    <s v="CDG"/>
    <s v="0072"/>
    <s v="20/11/2019 18:21"/>
    <s v="20/11/2019 18:27"/>
    <s v="6"/>
    <s v="02"/>
    <s v="EURO1_MIX,IP_D1234_LATE,IP_D5_EMEA,IP_D6_EMEA"/>
    <s v="MDE_AVAILABLE"/>
    <s v="FEDEX"/>
    <s v="IEB"/>
    <s v="BUILDING_AB_NON_CONV,BUILDING_V_NON_CONV"/>
    <s v="15-11-2019"/>
    <s v="BOX"/>
    <x v="1"/>
  </r>
  <r>
    <s v="20-11-2019"/>
    <s v="20-11-2019"/>
    <s v="777024511899"/>
    <s v="CA"/>
    <s v="IN"/>
    <s v="YUX"/>
    <s v="BOM"/>
    <s v="19-11-2019"/>
    <s v="22-11-2019"/>
    <s v="01"/>
    <s v="03"/>
    <s v="USD"/>
    <s v="8.00"/>
    <x v="0"/>
    <s v="2.90"/>
    <s v="L"/>
    <s v="OTHER"/>
    <s v="EURO1_MIX"/>
    <s v="IP_D1234_LATE"/>
    <s v="IP_D5_EMEA"/>
    <s v="IP_D6_MIX"/>
    <s v="WARM"/>
    <s v="DEL"/>
    <m/>
    <s v="1"/>
    <x v="30"/>
    <s v="304843425058"/>
    <s v="140691240"/>
    <s v="IP_D1234"/>
    <x v="0"/>
    <x v="0"/>
    <x v="1"/>
    <x v="3"/>
    <s v="IND"/>
    <s v="CDG"/>
    <s v="0083"/>
    <s v="20/11/2019 18:17"/>
    <s v="20/11/2019 18:54"/>
    <s v="37"/>
    <s v="02"/>
    <s v="EURO1_MIX,IP_D1234_LATE,IP_D5_EMEA,IP_D6_MIX"/>
    <s v="MDE_AVAILABLE"/>
    <s v="FEDEX"/>
    <s v="IPE"/>
    <s v="CONVEYABLE"/>
    <s v="19-11-2019"/>
    <s v="BOX"/>
    <x v="0"/>
  </r>
  <r>
    <s v="20-11-2019"/>
    <s v="20-11-2019"/>
    <s v="815126470266"/>
    <s v="HK"/>
    <s v="IT"/>
    <s v="HKG"/>
    <s v="PSA"/>
    <s v="19-11-2019"/>
    <s v="21-11-2019"/>
    <s v="01"/>
    <s v="01"/>
    <s v="USD"/>
    <s v="2408.00"/>
    <x v="0"/>
    <s v="3.20"/>
    <s v="L"/>
    <s v="OTHER"/>
    <s v="EURO1_MIX"/>
    <s v="IP_D1234_MIX"/>
    <s v="IP_D5_MIX"/>
    <s v="IP_D6_EMEA"/>
    <s v="WARM"/>
    <s v="MXP"/>
    <s v="810436362722"/>
    <s v="2"/>
    <x v="28"/>
    <s v="221453828286"/>
    <s v="102100000"/>
    <s v="IP_D1234"/>
    <x v="0"/>
    <x v="0"/>
    <x v="1"/>
    <x v="7"/>
    <s v="NRT"/>
    <s v="CDG"/>
    <s v="0083"/>
    <s v="20/11/2019 16:53"/>
    <s v="20/11/2019 17:38"/>
    <s v="45"/>
    <s v="02"/>
    <s v="EURO1_MIX,IP_D1234_MIX,IP_D5_MIX,IP_D6_EMEA"/>
    <s v="MDE_AVAILABLE"/>
    <s v="FEDEX"/>
    <s v="IPE"/>
    <s v="CONVEYABLE"/>
    <s v="19-11-2019"/>
    <s v="BOX"/>
    <x v="0"/>
  </r>
  <r>
    <s v="20-11-2019"/>
    <s v="20-11-2019"/>
    <s v="111310157251"/>
    <s v="CN"/>
    <s v="CZ"/>
    <s v="SZV"/>
    <s v="BRQ"/>
    <m/>
    <s v="22-11-2019"/>
    <s v="01"/>
    <s v="01"/>
    <s v="USD"/>
    <s v="386232.00"/>
    <x v="0"/>
    <s v="48.20"/>
    <s v="L"/>
    <s v="OTHER"/>
    <s v="EURO1_MIX"/>
    <s v="IP_D1234_LATE"/>
    <s v="IP_D5_EMEA"/>
    <s v="IP_D6_EMEA"/>
    <s v="COLD"/>
    <s v="PRG"/>
    <s v="130255971510"/>
    <s v="14"/>
    <x v="34"/>
    <s v="305073034081"/>
    <s v="274642394"/>
    <s v="IP_D1234"/>
    <x v="0"/>
    <x v="0"/>
    <x v="1"/>
    <x v="14"/>
    <s v="LGGT7"/>
    <s v="CDGH"/>
    <s v="8009"/>
    <s v="20/11/2019 18:15"/>
    <m/>
    <m/>
    <s v="02"/>
    <s v="EURO1_MIX,IP_D1234_LATE,IP_D5_EMEA,IP_D6_EMEA"/>
    <s v="MDE_AVAILABLE"/>
    <s v="FEDEX"/>
    <s v="IPE"/>
    <s v="CONVEYABLE"/>
    <s v="18-11-2019"/>
    <s v="BOX"/>
    <x v="0"/>
  </r>
  <r>
    <s v="20-11-2019"/>
    <s v="20-11-2019"/>
    <s v="777005870272"/>
    <s v="MY"/>
    <s v="GB"/>
    <s v="XKL"/>
    <s v="LPH"/>
    <m/>
    <s v="21-11-2019"/>
    <s v="01"/>
    <s v="01"/>
    <s v="USD"/>
    <s v="121067.99"/>
    <x v="0"/>
    <s v="16.00"/>
    <s v="K"/>
    <s v="OTHER"/>
    <s v="EURO1_MIX"/>
    <s v="IP_D1234_MIX"/>
    <s v="IP_D5_EMEA"/>
    <s v="IP_D6_MIX"/>
    <s v="WARM"/>
    <s v="STN"/>
    <m/>
    <s v="1"/>
    <x v="71"/>
    <s v="304904614040"/>
    <s v="434982740"/>
    <s v="IP_D1234"/>
    <x v="0"/>
    <x v="0"/>
    <x v="0"/>
    <x v="1"/>
    <s v="CGN"/>
    <s v="CDG"/>
    <s v="0084"/>
    <s v="20/11/2019 13:20"/>
    <s v="20/11/2019 13:29"/>
    <s v="9"/>
    <s v="02"/>
    <s v="EURO1_MIX,IP_D1234_MIX,IP_D5_EMEA,IP_D6_MIX"/>
    <s v="MDE_AVAILABLE"/>
    <s v="FEDEX"/>
    <s v="IPE"/>
    <s v="CONVEYABLE"/>
    <s v="18-11-2019"/>
    <s v="BOX"/>
    <x v="0"/>
  </r>
  <r>
    <s v="20-11-2019"/>
    <s v="20-11-2019"/>
    <s v="133505223095"/>
    <s v="CN"/>
    <s v="GB"/>
    <s v="SHS"/>
    <s v="LYE"/>
    <s v="19-11-2019"/>
    <s v="21-11-2019"/>
    <s v="01"/>
    <s v="01"/>
    <s v="USD"/>
    <s v="100.00"/>
    <x v="0"/>
    <s v="27.60"/>
    <s v="L"/>
    <s v="OTHER"/>
    <s v="EURO1_MIX"/>
    <s v="IP_D1234_MIX"/>
    <s v="IP_D5_EMEA"/>
    <s v="IP_D6_MIX"/>
    <s v="WARM"/>
    <s v="STN"/>
    <s v="133505223084"/>
    <s v="4"/>
    <x v="86"/>
    <s v="305072972724"/>
    <s v="629703799"/>
    <s v="IP_D1234"/>
    <x v="0"/>
    <x v="0"/>
    <x v="1"/>
    <x v="22"/>
    <s v="LGGT7"/>
    <s v="CDGH"/>
    <s v="8009"/>
    <s v="20/11/2019 18:30"/>
    <s v="20/11/2019 18:40"/>
    <s v="10"/>
    <s v="02,54"/>
    <s v="EURO1_MIX,IP_D1234_MIX,IP_D5_EMEA,IP_D6_MIX"/>
    <s v="MDE_AVAILABLE"/>
    <s v="FEDEX"/>
    <s v="IPE"/>
    <s v="CONVEYABLE"/>
    <s v="19-11-2019"/>
    <s v="BOX"/>
    <x v="0"/>
  </r>
  <r>
    <s v="20-11-2019"/>
    <s v="20-11-2019"/>
    <s v="778093626490"/>
    <s v="CN"/>
    <s v="CH"/>
    <s v="NTG"/>
    <s v="BRN"/>
    <m/>
    <s v="21-11-2019"/>
    <s v="01"/>
    <s v="01"/>
    <s v="USD"/>
    <s v="22.43"/>
    <x v="0"/>
    <s v="1.00"/>
    <s v="K"/>
    <s v="OTHER"/>
    <s v="EURO1_MIX"/>
    <s v="IP_D1234_MIX"/>
    <s v="IP_D5_EMEA"/>
    <s v="IP_D6_EMEA"/>
    <s v="WARM"/>
    <s v="BSL"/>
    <m/>
    <s v="1"/>
    <x v="34"/>
    <s v="305073034081"/>
    <s v="276786776"/>
    <s v="IP_D1234"/>
    <x v="0"/>
    <x v="0"/>
    <x v="1"/>
    <x v="14"/>
    <s v="LGGT7"/>
    <s v="CDGH"/>
    <s v="8009"/>
    <s v="20/11/2019 18:15"/>
    <m/>
    <m/>
    <s v="02"/>
    <s v="EURO1_MIX,IP_D1234_MIX,IP_D5_EMEA,IP_D6_EMEA"/>
    <s v="MDE_AVAILABLE"/>
    <s v="FEDEX"/>
    <s v="IPE"/>
    <s v="CONVEYABLE"/>
    <s v="18-11-2019"/>
    <s v="UNKNOWN"/>
    <x v="0"/>
  </r>
  <r>
    <s v="20-11-2019"/>
    <s v="20-11-2019"/>
    <s v="136664245080"/>
    <s v="US"/>
    <s v="IN"/>
    <s v="ALB"/>
    <s v="AMD"/>
    <s v="19-11-2019"/>
    <s v="25-11-2019"/>
    <s v="01"/>
    <s v="01"/>
    <s v="USD"/>
    <s v="45.60"/>
    <x v="0"/>
    <s v="3.70"/>
    <s v="L"/>
    <s v="OTHER"/>
    <s v="EURO1_MIX"/>
    <s v="IP_D1234_LATE"/>
    <s v="IP_D5_EMEA"/>
    <s v="IP_D6_MIX"/>
    <s v="COLD"/>
    <s v="DEL"/>
    <m/>
    <s v="1"/>
    <x v="87"/>
    <s v="305026577336"/>
    <s v="397944425"/>
    <s v="IP_D1234"/>
    <x v="0"/>
    <x v="0"/>
    <x v="2"/>
    <x v="4"/>
    <s v="EWR"/>
    <s v="CDG"/>
    <s v="0072"/>
    <s v="20/11/2019 17:41"/>
    <s v="20/11/2019 17:39"/>
    <s v="-2"/>
    <s v="02"/>
    <s v="EURO1_MIX,IP_D1234_LATE,IP_D5_EMEA,IP_D6_MIX"/>
    <s v="MDE_AVAILABLE"/>
    <s v="FEDEX"/>
    <s v="IPE"/>
    <s v="BUILDING_AB_NON_CONV"/>
    <s v="19-11-2019"/>
    <s v="BOX"/>
    <x v="1"/>
  </r>
  <r>
    <s v="20-11-2019"/>
    <s v="20-11-2019"/>
    <s v="133888857500"/>
    <s v="HK"/>
    <s v="FR"/>
    <s v="HHP"/>
    <s v="QFC"/>
    <s v="15-11-2019"/>
    <s v="20-11-2019"/>
    <s v="04"/>
    <s v="01"/>
    <s v="USD"/>
    <s v="300.00"/>
    <x v="0"/>
    <s v="6.10"/>
    <s v="L"/>
    <s v="OTHER"/>
    <s v="EURO1_MIX"/>
    <s v="IP_D1234_EMEA"/>
    <s v="IP_D5_EMEA"/>
    <s v="IP_D6_EMEA"/>
    <s v="DEAD"/>
    <s v="CDG"/>
    <m/>
    <s v="1"/>
    <x v="88"/>
    <s v="304904454575"/>
    <s v="167707165"/>
    <s v="IP_D1234"/>
    <x v="0"/>
    <x v="0"/>
    <x v="2"/>
    <x v="5"/>
    <s v="DXB"/>
    <s v="CDG"/>
    <s v="0083"/>
    <s v="20/11/2019 18:49"/>
    <s v="20/11/2019 18:57"/>
    <s v="8"/>
    <s v="02"/>
    <s v="EURO1_MIX,IP_D1234_EMEA,IP_D5_EMEA,IP_D6_EMEA"/>
    <s v="MDE_AVAILABLE"/>
    <s v="FEDEX"/>
    <s v="IEB"/>
    <s v="CONVEYABLE"/>
    <s v="15-11-2019"/>
    <s v="BOX"/>
    <x v="0"/>
  </r>
  <r>
    <s v="20-11-2019"/>
    <s v="20-11-2019"/>
    <s v="778152548510"/>
    <s v="US"/>
    <s v="PK"/>
    <s v="NYC"/>
    <s v="LHE"/>
    <s v="19-11-2019"/>
    <s v="22-11-2019"/>
    <s v="01"/>
    <s v="01"/>
    <s v="USD"/>
    <s v="0.00"/>
    <x v="0"/>
    <s v="0.50"/>
    <s v="L"/>
    <s v="OTHER"/>
    <s v="EURO1_MIX"/>
    <s v="IP_D1234_LATE"/>
    <s v="IP_D5_EMEA"/>
    <s v="IP_D6_MIX"/>
    <s v="WARM"/>
    <s v="DXB"/>
    <m/>
    <s v="1"/>
    <x v="0"/>
    <s v="304990606836"/>
    <s v="010074207"/>
    <s v="IP_D1234"/>
    <x v="0"/>
    <x v="0"/>
    <x v="0"/>
    <x v="0"/>
    <s v="MEM"/>
    <s v="CDG"/>
    <s v="0083"/>
    <s v="20/11/2019 20:43"/>
    <m/>
    <m/>
    <s v="02"/>
    <s v="EURO1_MIX,IP_D1234_LATE,IP_D5_EMEA,IP_D6_MIX"/>
    <s v="MDE_AVAILABLE"/>
    <s v="FEDEX"/>
    <s v="IPE"/>
    <s v="CONVEYABLE"/>
    <s v="19-11-2019"/>
    <s v="UNKNOWN"/>
    <x v="0"/>
  </r>
  <r>
    <s v="20-11-2019"/>
    <s v="20-11-2019"/>
    <s v="133505223084"/>
    <s v="CN"/>
    <s v="GB"/>
    <s v="SHS"/>
    <s v="LYE"/>
    <s v="19-11-2019"/>
    <s v="21-11-2019"/>
    <s v="01"/>
    <s v="01"/>
    <s v="USD"/>
    <s v="100.00"/>
    <x v="0"/>
    <s v="27.90"/>
    <s v="L"/>
    <s v="OTHER"/>
    <s v="EURO1_MIX"/>
    <s v="IP_D1234_MIX"/>
    <s v="IP_D5_EMEA"/>
    <s v="IP_D6_MIX"/>
    <s v="WARM"/>
    <s v="STN"/>
    <m/>
    <s v="4"/>
    <x v="86"/>
    <s v="305072972724"/>
    <s v="629703799"/>
    <s v="IP_D1234"/>
    <x v="0"/>
    <x v="0"/>
    <x v="1"/>
    <x v="22"/>
    <s v="LGGT7"/>
    <s v="CDGH"/>
    <s v="8009"/>
    <s v="20/11/2019 18:30"/>
    <s v="20/11/2019 18:40"/>
    <s v="10"/>
    <s v="02,54"/>
    <s v="EURO1_MIX,IP_D1234_MIX,IP_D5_EMEA,IP_D6_MIX"/>
    <s v="MDE_AVAILABLE"/>
    <s v="FEDEX"/>
    <s v="IPE"/>
    <s v="CONVEYABLE"/>
    <s v="19-11-2019"/>
    <s v="BOX"/>
    <x v="0"/>
  </r>
  <r>
    <s v="20-11-2019"/>
    <s v="20-11-2019"/>
    <s v="777018228320"/>
    <s v="VN"/>
    <s v="CH"/>
    <s v="HAN"/>
    <s v="ZRH"/>
    <s v="19-11-2019"/>
    <m/>
    <s v="01"/>
    <s v="01"/>
    <s v="USD"/>
    <s v="80.00"/>
    <x v="0"/>
    <m/>
    <m/>
    <s v="OTHER"/>
    <s v="EURO1_MIX"/>
    <s v="IP_D1234_MIX"/>
    <s v="IP_D5_EMEA"/>
    <s v="IP_D6_EMEA"/>
    <s v="UNKNOWN"/>
    <s v="BSL"/>
    <s v="777018228592"/>
    <s v="2"/>
    <x v="22"/>
    <s v="304904421264"/>
    <s v="640618183"/>
    <s v="IP_D1234"/>
    <x v="0"/>
    <x v="0"/>
    <x v="1"/>
    <x v="1"/>
    <s v="CGN"/>
    <s v="CDG"/>
    <s v="0084"/>
    <s v="20/11/2019 13:20"/>
    <s v="20/11/2019 13:29"/>
    <s v="9"/>
    <s v="02"/>
    <s v="EURO1_MIX,IP_D1234_MIX,IP_D5_EMEA,IP_D6_EMEA"/>
    <s v="MDE_AVAILABLE"/>
    <s v="FEDEX"/>
    <s v="IPE"/>
    <s v="CONVEYABLE"/>
    <s v="19-11-2019"/>
    <s v="UNKNOWN"/>
    <x v="0"/>
  </r>
  <r>
    <s v="20-11-2019"/>
    <s v="20-11-2019"/>
    <s v="119474085275"/>
    <s v="CN"/>
    <s v="ES"/>
    <s v="SHS"/>
    <s v="EAS"/>
    <s v="19-11-2019"/>
    <s v="22-11-2019"/>
    <s v="01"/>
    <s v="01"/>
    <s v="USD"/>
    <s v="2.80"/>
    <x v="0"/>
    <s v="0.50"/>
    <s v="K"/>
    <s v="OTHER"/>
    <s v="EURO1_MIX"/>
    <s v="IP_D1234_EMEA"/>
    <s v="IP_D5_EMEA"/>
    <s v="IP_D6_EMEA"/>
    <s v="COLD"/>
    <s v="MAD"/>
    <m/>
    <s v="1"/>
    <x v="11"/>
    <s v="305073044016"/>
    <s v="629703799"/>
    <s v="IP_D1234"/>
    <x v="0"/>
    <x v="0"/>
    <x v="0"/>
    <x v="8"/>
    <s v="LGGT7"/>
    <s v="CDGH"/>
    <s v="8009"/>
    <s v="20/11/2019 18:00"/>
    <s v="20/11/2019 18:47"/>
    <s v="47"/>
    <s v="02,54"/>
    <s v="EURO1_MIX,IP_D1234_EMEA,IP_D5_EMEA,IP_D6_EMEA"/>
    <s v="MDE_AVAILABLE"/>
    <s v="FEDEX"/>
    <s v="IPE"/>
    <s v="CONVEYABLE"/>
    <s v="19-11-2019"/>
    <s v="UNKNOWN"/>
    <x v="0"/>
  </r>
  <r>
    <s v="19-11-2019"/>
    <s v="20-11-2019"/>
    <s v="777018865159"/>
    <s v="LV"/>
    <s v="DE"/>
    <s v="RIX"/>
    <s v="CGN"/>
    <s v="19-11-2019"/>
    <s v="20-11-2019"/>
    <s v="01"/>
    <s v="02"/>
    <s v="EUR"/>
    <s v="47.00"/>
    <x v="0"/>
    <s v="1.20"/>
    <s v="L"/>
    <s v="OTHER"/>
    <s v="EURO1_MIX"/>
    <s v="IP_D1234_MIX"/>
    <s v="IP_D5_MIX"/>
    <s v="IP_D6_MIX"/>
    <s v="HOT"/>
    <s v="CGN"/>
    <m/>
    <s v="1"/>
    <x v="10"/>
    <s v="304882416668"/>
    <s v="574424046"/>
    <s v="EURO1"/>
    <x v="0"/>
    <x v="0"/>
    <x v="0"/>
    <x v="6"/>
    <s v="CDG"/>
    <s v="CDG"/>
    <m/>
    <m/>
    <m/>
    <m/>
    <s v="02,54"/>
    <s v="EURO1_MIX,IP_D1234_MIX,IP_D5_MIX,IP_D6_MIX"/>
    <s v="MDE_AVAILABLE"/>
    <s v="FEDEX"/>
    <s v="IPE"/>
    <s v="CONVEYABLE"/>
    <s v="19-11-2019"/>
    <s v="SMALL_PARCEL"/>
    <x v="0"/>
  </r>
  <r>
    <s v="20-11-2019"/>
    <s v="20-11-2019"/>
    <s v="778073542610"/>
    <s v="IN"/>
    <s v="NL"/>
    <s v="DAE"/>
    <s v="GRQ"/>
    <m/>
    <s v="25-11-2019"/>
    <s v="04"/>
    <s v="01"/>
    <s v="EUR"/>
    <s v="7259.70"/>
    <x v="0"/>
    <m/>
    <s v="K"/>
    <s v="OTHER"/>
    <s v="EURO1_MIX"/>
    <s v="IP_D1234_EMEA"/>
    <s v="IP_D5_EMEA"/>
    <s v="IP_D6_EMEA"/>
    <s v="COLD"/>
    <s v="AMS"/>
    <m/>
    <s v="15"/>
    <x v="89"/>
    <s v="812731290052"/>
    <s v="795607064"/>
    <s v="IP_D1234"/>
    <x v="0"/>
    <x v="0"/>
    <x v="1"/>
    <x v="10"/>
    <s v="MXP"/>
    <s v="CDG"/>
    <s v="0072"/>
    <s v="20/11/2019 18:21"/>
    <s v="20/11/2019 18:27"/>
    <s v="6"/>
    <s v="02,09"/>
    <s v="EURO1_MIX,IP_D1234_EMEA,IP_D5_EMEA,IP_D6_EMEA"/>
    <s v="MDE_AVAILABLE"/>
    <s v="FEDEX"/>
    <s v="IEB"/>
    <s v="CONVEYABLE"/>
    <s v="16-11-2019"/>
    <s v="BOX"/>
    <x v="0"/>
  </r>
  <r>
    <s v="20-11-2019"/>
    <s v="20-11-2019"/>
    <s v="113952886561"/>
    <s v="US"/>
    <s v="FR"/>
    <s v="PGA"/>
    <s v="ETZ"/>
    <s v="19-11-2019"/>
    <s v="22-11-2019"/>
    <s v="18"/>
    <s v="01"/>
    <s v="USD"/>
    <s v="1878.33"/>
    <x v="0"/>
    <s v="4.90"/>
    <s v="L"/>
    <s v="OTHER"/>
    <s v="EURO1_MIX"/>
    <s v="IP_D1234_EMEA"/>
    <s v="IP_D5_EMEA"/>
    <s v="IP_D6_EMEA"/>
    <s v="COLD"/>
    <s v="CDG"/>
    <s v="113952886149"/>
    <s v="1"/>
    <x v="21"/>
    <s v="304991539110"/>
    <s v="643188775"/>
    <s v="IP_D1234"/>
    <x v="0"/>
    <x v="0"/>
    <x v="1"/>
    <x v="11"/>
    <s v="MEM"/>
    <s v="CDG"/>
    <s v="0016"/>
    <s v="20/11/2019 18:47"/>
    <m/>
    <m/>
    <s v="02"/>
    <s v="EURO1_MIX,IP_D1234_EMEA,IP_D5_EMEA,IP_D6_EMEA"/>
    <s v="MDE_AVAILABLE"/>
    <s v="FEDEX"/>
    <s v="IPD"/>
    <s v="CONVEYABLE"/>
    <s v="19-11-2019"/>
    <s v="UNKNOWN"/>
    <x v="0"/>
  </r>
  <r>
    <s v="20-11-2019"/>
    <s v="20-11-2019"/>
    <s v="777006149436"/>
    <s v="CN"/>
    <s v="IE"/>
    <s v="WXN"/>
    <s v="NOC"/>
    <m/>
    <s v="25-11-2019"/>
    <s v="01"/>
    <s v="02"/>
    <s v="USD"/>
    <s v="23.50"/>
    <x v="0"/>
    <s v="0.70"/>
    <s v="K"/>
    <s v="OTHER"/>
    <s v="EURO1_MIX"/>
    <s v="IP_D1234_LATE"/>
    <s v="IP_D5_EMEA"/>
    <s v="IP_D6_MIX"/>
    <s v="COLD"/>
    <s v="STN"/>
    <m/>
    <s v="1"/>
    <x v="90"/>
    <s v="305073034060"/>
    <s v="912634531"/>
    <s v="IP_D1234"/>
    <x v="0"/>
    <x v="0"/>
    <x v="1"/>
    <x v="22"/>
    <s v="LGGT7"/>
    <s v="CDGH"/>
    <s v="8009"/>
    <s v="20/11/2019 18:30"/>
    <s v="20/11/2019 18:40"/>
    <s v="10"/>
    <s v="02"/>
    <s v="EURO1_MIX,IP_D1234_LATE,IP_D5_EMEA,IP_D6_MIX"/>
    <s v="MDE_AVAILABLE"/>
    <s v="FEDEX"/>
    <s v="IPE"/>
    <s v="CONVEYABLE"/>
    <s v="19-11-2019"/>
    <s v="SMALL_PARCEL"/>
    <x v="0"/>
  </r>
  <r>
    <s v="20-11-2019"/>
    <s v="20-11-2019"/>
    <s v="777025848949"/>
    <s v="US"/>
    <s v="DE"/>
    <s v="ALB"/>
    <s v="DUS"/>
    <s v="19-11-2019"/>
    <s v="21-11-2019"/>
    <s v="01"/>
    <s v="06"/>
    <s v="USD"/>
    <s v="0.00"/>
    <x v="1"/>
    <s v="1.00"/>
    <s v="L"/>
    <s v="OTHER"/>
    <s v="EURO1_MIX"/>
    <s v="IP_D1234_MIX"/>
    <s v="IP_D5_MIX"/>
    <s v="IP_D6_MIX"/>
    <s v="WARM"/>
    <s v="CGN"/>
    <m/>
    <s v="1"/>
    <x v="0"/>
    <s v="305026416022"/>
    <s v="104531580"/>
    <s v="IP_D1234"/>
    <x v="0"/>
    <x v="0"/>
    <x v="0"/>
    <x v="4"/>
    <s v="EWR"/>
    <s v="CDG"/>
    <s v="0072"/>
    <s v="20/11/2019 17:41"/>
    <s v="20/11/2019 17:39"/>
    <s v="-2"/>
    <s v="02"/>
    <s v="EURO1_MIX,IP_D1234_MIX,IP_D5_MIX,IP_D6_MIX"/>
    <s v="MDE_AVAILABLE"/>
    <s v="FEDEX"/>
    <s v="IPE"/>
    <s v="CONVEYABLE"/>
    <s v="19-11-2019"/>
    <s v="DOC"/>
    <x v="0"/>
  </r>
  <r>
    <s v="20-11-2019"/>
    <s v="20-11-2019"/>
    <s v="437347278340"/>
    <s v="US"/>
    <s v="NL"/>
    <s v="NCO"/>
    <s v="LEY"/>
    <s v="19-11-2019"/>
    <s v="21-11-2019"/>
    <s v="01"/>
    <s v="01"/>
    <s v="USD"/>
    <s v="13450.00"/>
    <x v="0"/>
    <s v="18.90"/>
    <s v="L"/>
    <s v="OTHER"/>
    <s v="EURO1_MIX"/>
    <s v="IP_D1234_EMEA"/>
    <s v="IP_D5_EMEA"/>
    <s v="IP_D6_EMEA"/>
    <s v="WARM"/>
    <s v="AMS"/>
    <m/>
    <s v="1"/>
    <x v="65"/>
    <s v="305026577380"/>
    <s v="136437607"/>
    <s v="IP_D1234"/>
    <x v="0"/>
    <x v="0"/>
    <x v="2"/>
    <x v="4"/>
    <s v="EWR"/>
    <s v="CDG"/>
    <s v="0072"/>
    <s v="20/11/2019 17:41"/>
    <s v="20/11/2019 17:39"/>
    <s v="-2"/>
    <s v="02,54"/>
    <s v="EURO1_MIX,IP_D1234_EMEA,IP_D5_EMEA,IP_D6_EMEA"/>
    <s v="MDE_AVAILABLE"/>
    <s v="FEDEX"/>
    <s v="IPE"/>
    <s v="CONVEYABLE"/>
    <s v="19-11-2019"/>
    <s v="UNKNOWN"/>
    <x v="0"/>
  </r>
  <r>
    <s v="20-11-2019"/>
    <s v="20-11-2019"/>
    <s v="777019542204"/>
    <s v="FR"/>
    <s v="FR"/>
    <s v="MLHB"/>
    <s v="LYNB"/>
    <s v="19-11-2019"/>
    <s v="21-11-2019"/>
    <s v="01"/>
    <s v="01"/>
    <m/>
    <m/>
    <x v="0"/>
    <s v="8.7"/>
    <s v="K"/>
    <s v="OTHER"/>
    <s v="EURO1_MIX"/>
    <s v="IP_D1234_EMEA"/>
    <s v="IP_D5_EMEA"/>
    <s v="IP_D6_EMEA"/>
    <s v="UNKNOWN"/>
    <s v="CDG"/>
    <m/>
    <s v="1"/>
    <x v="84"/>
    <s v="137817053505"/>
    <s v="716014029"/>
    <s v="IP_D1234"/>
    <x v="0"/>
    <x v="0"/>
    <x v="1"/>
    <x v="16"/>
    <s v="CDG"/>
    <s v="CDG"/>
    <m/>
    <m/>
    <m/>
    <m/>
    <s v="02"/>
    <s v="EURO1_MIX,IP_D1234_EMEA,IP_D5_EMEA,IP_D6_EMEA"/>
    <s v="MDE_AVAILABLE"/>
    <s v="FEDEX"/>
    <s v="IPE"/>
    <s v="CONVEYABLE"/>
    <s v="19-11-2019"/>
    <s v="UNKNOWN"/>
    <x v="0"/>
  </r>
  <r>
    <s v="20-11-2019"/>
    <s v="20-11-2019"/>
    <s v="126778621200"/>
    <s v="TW"/>
    <s v="DE"/>
    <s v="TSA"/>
    <s v="ZQH"/>
    <s v="19-11-2019"/>
    <s v="21-11-2019"/>
    <s v="01"/>
    <s v="01"/>
    <s v="USD"/>
    <s v="1089.00"/>
    <x v="0"/>
    <s v="1.00"/>
    <s v="K"/>
    <s v="OTHER"/>
    <s v="EURO1_MIX"/>
    <s v="IP_D1234_MIX"/>
    <s v="IP_D5_MIX"/>
    <s v="IP_D6_MIX"/>
    <s v="WARM"/>
    <s v="CGN"/>
    <m/>
    <s v="1"/>
    <x v="76"/>
    <s v="137361336812"/>
    <s v="717809106"/>
    <s v="IP_D1234"/>
    <x v="0"/>
    <x v="0"/>
    <x v="0"/>
    <x v="18"/>
    <s v="CDGRP"/>
    <s v="CDGH"/>
    <s v="8009"/>
    <s v="20/11/2019 16:45"/>
    <s v="20/11/2019 17:25"/>
    <s v="40"/>
    <s v="02"/>
    <s v="EURO1_MIX,IP_D1234_MIX,IP_D5_MIX,IP_D6_MIX"/>
    <s v="MDE_AVAILABLE"/>
    <s v="FEDEX"/>
    <s v="IPE"/>
    <s v="CONVEYABLE"/>
    <s v="19-11-2019"/>
    <s v="UNKNOWN"/>
    <x v="0"/>
  </r>
  <r>
    <s v="20-11-2019"/>
    <s v="20-11-2019"/>
    <s v="119474085286"/>
    <s v="CN"/>
    <s v="CH"/>
    <s v="SHS"/>
    <s v="BSL"/>
    <s v="19-11-2019"/>
    <s v="21-11-2019"/>
    <s v="01"/>
    <s v="01"/>
    <s v="USD"/>
    <s v="10.00"/>
    <x v="0"/>
    <s v="0.50"/>
    <s v="K"/>
    <s v="OTHER"/>
    <s v="EURO1_MIX"/>
    <s v="IP_D1234_MIX"/>
    <s v="IP_D5_EMEA"/>
    <s v="IP_D6_EMEA"/>
    <s v="WARM"/>
    <s v="BSL"/>
    <m/>
    <s v="1"/>
    <x v="33"/>
    <s v="305073042046"/>
    <s v="629703799"/>
    <s v="IP_D1234"/>
    <x v="0"/>
    <x v="0"/>
    <x v="1"/>
    <x v="8"/>
    <s v="LGGT7"/>
    <s v="CDGH"/>
    <s v="8009"/>
    <s v="20/11/2019 18:00"/>
    <s v="20/11/2019 18:47"/>
    <s v="47"/>
    <s v="02,54"/>
    <s v="EURO1_MIX,IP_D1234_MIX,IP_D5_EMEA,IP_D6_EMEA"/>
    <s v="MDE_AVAILABLE"/>
    <s v="FEDEX"/>
    <s v="IPE"/>
    <s v="CONVEYABLE"/>
    <s v="19-11-2019"/>
    <s v="UNKNOWN"/>
    <x v="0"/>
  </r>
  <r>
    <s v="20-11-2019"/>
    <s v="20-11-2019"/>
    <s v="777020161989"/>
    <s v="US"/>
    <s v="IT"/>
    <s v="GMV"/>
    <s v="QEA"/>
    <s v="19-11-2019"/>
    <s v="21-11-2019"/>
    <s v="01"/>
    <s v="06"/>
    <s v="USD"/>
    <s v="0.00"/>
    <x v="1"/>
    <s v="0.50"/>
    <s v="L"/>
    <s v="OTHER"/>
    <s v="EURO1_MIX"/>
    <s v="IP_D1234_MIX"/>
    <s v="IP_D5_MIX"/>
    <s v="IP_D6_EMEA"/>
    <s v="UNKNOWN"/>
    <s v="MXP"/>
    <m/>
    <s v="1"/>
    <x v="0"/>
    <s v="305026416022"/>
    <s v="007151322"/>
    <s v="IP_D1234"/>
    <x v="0"/>
    <x v="0"/>
    <x v="0"/>
    <x v="4"/>
    <s v="EWR"/>
    <s v="CDG"/>
    <s v="0072"/>
    <s v="20/11/2019 17:41"/>
    <s v="20/11/2019 17:39"/>
    <s v="-2"/>
    <s v="02,35"/>
    <s v="EURO1_MIX,IP_D1234_MIX,IP_D5_MIX,IP_D6_EMEA"/>
    <s v="MDE_AVAILABLE"/>
    <s v="FEDEX"/>
    <s v="IPE"/>
    <s v="CONVEYABLE"/>
    <s v="19-11-2019"/>
    <s v="DOC"/>
    <x v="0"/>
  </r>
  <r>
    <s v="20-11-2019"/>
    <s v="20-11-2019"/>
    <s v="778134899987"/>
    <s v="IT"/>
    <s v="KH"/>
    <s v="RAN"/>
    <s v="PNH"/>
    <s v="19-11-2019"/>
    <s v="22-11-2019"/>
    <s v="01"/>
    <s v="01"/>
    <s v="EUR"/>
    <s v="984.00"/>
    <x v="0"/>
    <s v="1.00"/>
    <s v="K"/>
    <s v="OTHER"/>
    <s v="EURO1_MIX"/>
    <s v="IP_D1234_LATE"/>
    <s v="IP_D5_EMEA"/>
    <s v="IP_D6_MIX"/>
    <s v="DEAD"/>
    <s v="CAN"/>
    <m/>
    <s v="1"/>
    <x v="23"/>
    <s v="220655778897"/>
    <s v="214493705"/>
    <s v="IP_D1234"/>
    <x v="0"/>
    <x v="0"/>
    <x v="1"/>
    <x v="12"/>
    <s v="MXPH"/>
    <s v="CDGH"/>
    <s v="8009"/>
    <s v="20/11/2019 16:30"/>
    <s v="20/11/2019 15:29"/>
    <s v="-61"/>
    <s v="02,54"/>
    <s v="EURO1_MIX,IP_D1234_LATE,IP_D5_EMEA,IP_D6_MIX"/>
    <s v="MDE_AVAILABLE"/>
    <s v="FEDEX"/>
    <s v="IPE"/>
    <s v="CONVEYABLE"/>
    <s v="19-11-2019"/>
    <s v="BOX"/>
    <x v="0"/>
  </r>
  <r>
    <s v="20-11-2019"/>
    <s v="20-11-2019"/>
    <s v="111310157284"/>
    <s v="CN"/>
    <s v="CZ"/>
    <s v="SZV"/>
    <s v="BRQ"/>
    <m/>
    <s v="22-11-2019"/>
    <s v="01"/>
    <s v="01"/>
    <s v="USD"/>
    <s v="386232.00"/>
    <x v="0"/>
    <s v="48.20"/>
    <s v="L"/>
    <s v="OTHER"/>
    <s v="EURO1_MIX"/>
    <s v="IP_D1234_LATE"/>
    <s v="IP_D5_EMEA"/>
    <s v="IP_D6_EMEA"/>
    <s v="COLD"/>
    <s v="PRG"/>
    <s v="130255971510"/>
    <s v="14"/>
    <x v="34"/>
    <s v="305073034081"/>
    <s v="274642394"/>
    <s v="IP_D1234"/>
    <x v="0"/>
    <x v="0"/>
    <x v="1"/>
    <x v="14"/>
    <s v="LGGT7"/>
    <s v="CDGH"/>
    <s v="8009"/>
    <s v="20/11/2019 18:15"/>
    <m/>
    <m/>
    <s v="02"/>
    <s v="EURO1_MIX,IP_D1234_LATE,IP_D5_EMEA,IP_D6_EMEA"/>
    <s v="MDE_AVAILABLE"/>
    <s v="FEDEX"/>
    <s v="IPE"/>
    <s v="CONVEYABLE"/>
    <s v="18-11-2019"/>
    <s v="BOX"/>
    <x v="0"/>
  </r>
  <r>
    <s v="20-11-2019"/>
    <s v="20-11-2019"/>
    <s v="113952886550"/>
    <s v="US"/>
    <s v="CZ"/>
    <s v="PGA"/>
    <s v="BRQ"/>
    <s v="19-11-2019"/>
    <s v="25-11-2019"/>
    <s v="18"/>
    <s v="01"/>
    <s v="USD"/>
    <s v="1878.33"/>
    <x v="0"/>
    <s v="2.80"/>
    <s v="L"/>
    <s v="OTHER"/>
    <s v="EURO1_MIX"/>
    <s v="IP_D1234_LATE"/>
    <s v="IP_D5_EMEA"/>
    <s v="IP_D6_EMEA"/>
    <s v="COLD"/>
    <s v="PRG"/>
    <s v="113952886149"/>
    <s v="1"/>
    <x v="21"/>
    <s v="304991539110"/>
    <s v="643188775"/>
    <s v="IP_D1234"/>
    <x v="0"/>
    <x v="0"/>
    <x v="1"/>
    <x v="11"/>
    <s v="MEM"/>
    <s v="CDG"/>
    <s v="0016"/>
    <s v="20/11/2019 18:47"/>
    <m/>
    <m/>
    <s v="02"/>
    <s v="EURO1_MIX,IP_D1234_LATE,IP_D5_EMEA,IP_D6_EMEA"/>
    <s v="MDE_AVAILABLE"/>
    <s v="FEDEX"/>
    <s v="IPD"/>
    <s v="CONVEYABLE"/>
    <s v="19-11-2019"/>
    <s v="UNKNOWN"/>
    <x v="0"/>
  </r>
  <r>
    <s v="20-11-2019"/>
    <s v="20-11-2019"/>
    <s v="451909420338"/>
    <s v="IT"/>
    <s v="HK"/>
    <s v="XNC"/>
    <s v="HHK"/>
    <s v="19-11-2019"/>
    <s v="27-11-2019"/>
    <s v="04"/>
    <s v="01"/>
    <s v="EUR"/>
    <s v="1752.01"/>
    <x v="0"/>
    <s v="15.00"/>
    <s v="K"/>
    <s v="OTHER"/>
    <s v="EURO1_CAN"/>
    <s v="IP_D1234_LATE"/>
    <s v="IP_D5_EMEA"/>
    <s v="IP_D6_MIX"/>
    <s v="UNKNOWN"/>
    <s v="HKG"/>
    <m/>
    <s v="1"/>
    <x v="85"/>
    <s v="305054086690"/>
    <s v="335576497"/>
    <s v="IP_D1234"/>
    <x v="0"/>
    <x v="0"/>
    <x v="1"/>
    <x v="10"/>
    <s v="MXP"/>
    <s v="CDG"/>
    <s v="0072"/>
    <s v="20/11/2019 18:21"/>
    <s v="20/11/2019 18:27"/>
    <s v="6"/>
    <s v="02"/>
    <s v="EURO1_CAN,IP_D1234_LATE,IP_D5_EMEA,IP_D6_MIX"/>
    <s v="MDE_AVAILABLE"/>
    <s v="FEDEX"/>
    <s v="IEB"/>
    <s v="BUILDING_AB_NON_CONV"/>
    <s v="19-11-2019"/>
    <s v="BOX"/>
    <x v="1"/>
  </r>
  <r>
    <s v="19-11-2019"/>
    <s v="20-11-2019"/>
    <s v="118463849827"/>
    <s v="US"/>
    <s v="FR"/>
    <s v="DNEA"/>
    <s v="IDSI"/>
    <s v="15-11-2019"/>
    <s v="19-11-2019"/>
    <s v="18"/>
    <s v="01"/>
    <s v="USD"/>
    <s v="7712.00"/>
    <x v="3"/>
    <m/>
    <m/>
    <s v="INACCESSIBLE_DG,OTHER"/>
    <s v="EURO1_MIX"/>
    <s v="IP_D1234_EMEA"/>
    <s v="IP_D5_EMEA"/>
    <s v="IP_D6_EMEA"/>
    <s v="UNKNOWN"/>
    <s v="CDG"/>
    <m/>
    <s v="29"/>
    <x v="6"/>
    <s v="304882601925"/>
    <s v="353360477"/>
    <s v="EURO1"/>
    <x v="0"/>
    <x v="0"/>
    <x v="0"/>
    <x v="6"/>
    <s v="CDG"/>
    <s v="CDG"/>
    <m/>
    <m/>
    <m/>
    <m/>
    <s v="02,04"/>
    <s v="EURO1_MIX,IP_D1234_EMEA,IP_D5_EMEA,IP_D6_EMEA"/>
    <s v="MDE_AVAILABLE"/>
    <s v="FEDEX"/>
    <s v="IPD"/>
    <s v="CONVEYABLE"/>
    <s v="15-11-2019"/>
    <s v="BOX"/>
    <x v="0"/>
  </r>
  <r>
    <s v="20-11-2019"/>
    <s v="20-11-2019"/>
    <s v="777025427799"/>
    <s v="US"/>
    <s v="AE"/>
    <s v="EMT"/>
    <s v="AUH"/>
    <s v="19-11-2019"/>
    <s v="21-11-2019"/>
    <s v="01"/>
    <s v="06"/>
    <s v="USD"/>
    <s v="60.00"/>
    <x v="1"/>
    <s v="1.00"/>
    <s v="L"/>
    <s v="OTHER"/>
    <s v="EURO1_MIX"/>
    <s v="IP_D1234_LATE"/>
    <s v="IP_D5_EMEA"/>
    <s v="IP_D6_MIX"/>
    <s v="DEAD"/>
    <s v="DXB"/>
    <m/>
    <s v="1"/>
    <x v="0"/>
    <s v="304990606836"/>
    <s v="597863365"/>
    <s v="IP_D1234"/>
    <x v="0"/>
    <x v="0"/>
    <x v="0"/>
    <x v="0"/>
    <s v="MEM"/>
    <s v="CDG"/>
    <s v="0083"/>
    <s v="20/11/2019 20:43"/>
    <m/>
    <m/>
    <s v="02,83"/>
    <s v="EURO1_MIX,IP_D1234_LATE,IP_D5_EMEA,IP_D6_MIX"/>
    <s v="MDE_AVAILABLE"/>
    <s v="FEDEX"/>
    <s v="IPE"/>
    <s v="CONVEYABLE"/>
    <s v="19-11-2019"/>
    <s v="DOC"/>
    <x v="0"/>
  </r>
  <r>
    <s v="20-11-2019"/>
    <s v="20-11-2019"/>
    <s v="111310157295"/>
    <s v="CN"/>
    <s v="CZ"/>
    <s v="SZV"/>
    <s v="BRQ"/>
    <m/>
    <s v="22-11-2019"/>
    <s v="01"/>
    <s v="01"/>
    <s v="USD"/>
    <s v="386232.00"/>
    <x v="0"/>
    <s v="47.80"/>
    <s v="L"/>
    <s v="OTHER"/>
    <s v="EURO1_MIX"/>
    <s v="IP_D1234_LATE"/>
    <s v="IP_D5_EMEA"/>
    <s v="IP_D6_EMEA"/>
    <s v="COLD"/>
    <s v="PRG"/>
    <s v="130255971510"/>
    <s v="14"/>
    <x v="34"/>
    <s v="305073034081"/>
    <s v="274642394"/>
    <s v="IP_D1234"/>
    <x v="0"/>
    <x v="0"/>
    <x v="1"/>
    <x v="14"/>
    <s v="LGGT7"/>
    <s v="CDGH"/>
    <s v="8009"/>
    <s v="20/11/2019 18:15"/>
    <m/>
    <m/>
    <s v="02"/>
    <s v="EURO1_MIX,IP_D1234_LATE,IP_D5_EMEA,IP_D6_EMEA"/>
    <s v="MDE_AVAILABLE"/>
    <s v="FEDEX"/>
    <s v="IPE"/>
    <s v="CONVEYABLE"/>
    <s v="18-11-2019"/>
    <s v="BOX"/>
    <x v="0"/>
  </r>
  <r>
    <s v="20-11-2019"/>
    <s v="20-11-2019"/>
    <s v="777029777227"/>
    <s v="US"/>
    <s v="NL"/>
    <s v="CLD"/>
    <s v="RTM"/>
    <s v="19-11-2019"/>
    <s v="21-11-2019"/>
    <s v="01"/>
    <s v="01"/>
    <s v="USD"/>
    <s v="2705.00"/>
    <x v="0"/>
    <m/>
    <m/>
    <s v="OTHER"/>
    <s v="EURO1_MIX"/>
    <s v="IP_D1234_EMEA"/>
    <s v="IP_D5_EMEA"/>
    <s v="IP_D6_EMEA"/>
    <s v="WARM"/>
    <s v="AMS"/>
    <s v="777029776437"/>
    <s v="20"/>
    <x v="61"/>
    <s v="304843425069"/>
    <s v="369999907"/>
    <s v="IP_D1234"/>
    <x v="0"/>
    <x v="0"/>
    <x v="1"/>
    <x v="3"/>
    <s v="IND"/>
    <s v="CDG"/>
    <s v="0083"/>
    <s v="20/11/2019 18:17"/>
    <s v="20/11/2019 18:54"/>
    <s v="37"/>
    <s v="02"/>
    <s v="EURO1_MIX,IP_D1234_EMEA,IP_D5_EMEA,IP_D6_EMEA"/>
    <s v="MDE_AVAILABLE"/>
    <s v="FEDEX"/>
    <s v="IPE"/>
    <s v="CONVEYABLE"/>
    <s v="19-11-2019"/>
    <s v="BOX"/>
    <x v="0"/>
  </r>
  <r>
    <s v="20-11-2019"/>
    <s v="20-11-2019"/>
    <s v="813829148835"/>
    <s v="US"/>
    <s v="IN"/>
    <s v="PNE"/>
    <s v="MAA"/>
    <s v="19-11-2019"/>
    <s v="22-11-2019"/>
    <s v="01"/>
    <s v="06"/>
    <s v="USD"/>
    <s v="0.00"/>
    <x v="1"/>
    <s v="1.00"/>
    <s v="L"/>
    <s v="OTHER"/>
    <s v="EURO1_MIX"/>
    <s v="IP_D1234_LATE"/>
    <s v="IP_D5_EMEA"/>
    <s v="IP_D6_MIX"/>
    <s v="WARM"/>
    <s v="DEL"/>
    <m/>
    <s v="1"/>
    <x v="0"/>
    <s v="305026416022"/>
    <s v="195548463"/>
    <s v="IP_D1234"/>
    <x v="0"/>
    <x v="0"/>
    <x v="0"/>
    <x v="4"/>
    <s v="EWR"/>
    <s v="CDG"/>
    <s v="0072"/>
    <s v="20/11/2019 17:41"/>
    <s v="20/11/2019 17:39"/>
    <s v="-2"/>
    <s v="02"/>
    <s v="EURO1_MIX,IP_D1234_LATE,IP_D5_EMEA,IP_D6_MIX"/>
    <s v="MDE_AVAILABLE"/>
    <s v="FEDEX"/>
    <s v="IPE"/>
    <s v="CONVEYABLE"/>
    <s v="19-11-2019"/>
    <s v="DOC"/>
    <x v="0"/>
  </r>
  <r>
    <s v="20-11-2019"/>
    <s v="20-11-2019"/>
    <s v="113952886540"/>
    <s v="US"/>
    <s v="HU"/>
    <s v="PGA"/>
    <s v="BUD"/>
    <s v="19-11-2019"/>
    <s v="25-11-2019"/>
    <s v="18"/>
    <s v="01"/>
    <s v="USD"/>
    <s v="1878.33"/>
    <x v="0"/>
    <s v="1.00"/>
    <s v="L"/>
    <s v="OTHER"/>
    <s v="EURO1_MIX"/>
    <s v="IP_D1234_LATE"/>
    <s v="IP_D5_EMEA"/>
    <s v="IP_D6_EMEA"/>
    <s v="COLD"/>
    <s v="BUD"/>
    <s v="113952886149"/>
    <s v="1"/>
    <x v="21"/>
    <s v="304991539110"/>
    <s v="643188775"/>
    <s v="IP_D1234"/>
    <x v="0"/>
    <x v="0"/>
    <x v="1"/>
    <x v="11"/>
    <s v="MEM"/>
    <s v="CDG"/>
    <s v="0016"/>
    <s v="20/11/2019 18:47"/>
    <m/>
    <m/>
    <s v="02"/>
    <s v="EURO1_MIX,IP_D1234_LATE,IP_D5_EMEA,IP_D6_EMEA"/>
    <s v="MDE_AVAILABLE"/>
    <s v="FEDEX"/>
    <s v="IPD"/>
    <s v="CONVEYABLE"/>
    <s v="19-11-2019"/>
    <s v="UNKNOWN"/>
    <x v="0"/>
  </r>
  <r>
    <s v="20-11-2019"/>
    <s v="20-11-2019"/>
    <s v="107738760678"/>
    <s v="CN"/>
    <s v="FI"/>
    <s v="SZV"/>
    <s v="TMP"/>
    <m/>
    <s v="21-11-2019"/>
    <s v="01"/>
    <s v="01"/>
    <s v="USD"/>
    <s v="820.00"/>
    <x v="0"/>
    <s v="6.30"/>
    <s v="L"/>
    <s v="OTHER"/>
    <s v="EURO1_MIX"/>
    <s v="IP_D1234_LATE"/>
    <s v="IP_D5_EMEA"/>
    <s v="IP_D6_MIX"/>
    <s v="WARM"/>
    <s v="HEL"/>
    <m/>
    <s v="2"/>
    <x v="20"/>
    <s v="305072965799"/>
    <s v="322099380"/>
    <s v="IP_D1234"/>
    <x v="0"/>
    <x v="0"/>
    <x v="2"/>
    <x v="7"/>
    <s v="NRT"/>
    <s v="CDG"/>
    <s v="0083"/>
    <s v="20/11/2019 16:53"/>
    <s v="20/11/2019 17:38"/>
    <s v="45"/>
    <s v="02"/>
    <s v="EURO1_MIX,IP_D1234_LATE,IP_D5_EMEA,IP_D6_MIX"/>
    <s v="MDE_AVAILABLE"/>
    <s v="FEDEX"/>
    <s v="IPE"/>
    <s v="CONVEYABLE"/>
    <s v="18-11-2019"/>
    <s v="BOX"/>
    <x v="0"/>
  </r>
  <r>
    <s v="20-11-2019"/>
    <s v="20-11-2019"/>
    <s v="131613552320"/>
    <s v="CN"/>
    <s v="RU"/>
    <s v="YUA"/>
    <s v="DME"/>
    <s v="19-11-2019"/>
    <s v="26-11-2019"/>
    <s v="01"/>
    <s v="01"/>
    <s v="USD"/>
    <s v="2.00"/>
    <x v="0"/>
    <s v="3.00"/>
    <s v="K"/>
    <s v="OTHER"/>
    <s v="EURO1_MIX"/>
    <s v="IP_D1234_EMEA"/>
    <s v="IP_D5_EMEA"/>
    <s v="IP_D6_MIX"/>
    <s v="COLD"/>
    <s v="STN"/>
    <m/>
    <s v="1"/>
    <x v="33"/>
    <s v="305073042046"/>
    <s v="311619632"/>
    <s v="IP_D1234"/>
    <x v="0"/>
    <x v="0"/>
    <x v="1"/>
    <x v="8"/>
    <s v="LGGT7"/>
    <s v="CDGH"/>
    <s v="8009"/>
    <s v="20/11/2019 18:00"/>
    <s v="20/11/2019 18:47"/>
    <s v="47"/>
    <s v="02"/>
    <s v="EURO1_MIX,IP_D1234_EMEA,IP_D5_EMEA,IP_D6_MIX"/>
    <s v="MDE_AVAILABLE"/>
    <s v="FEDEX"/>
    <s v="IPE"/>
    <s v="CONVEYABLE"/>
    <s v="19-11-2019"/>
    <s v="BOX"/>
    <x v="0"/>
  </r>
  <r>
    <s v="20-11-2019"/>
    <s v="20-11-2019"/>
    <s v="113952886539"/>
    <s v="US"/>
    <s v="FR"/>
    <s v="PGA"/>
    <s v="QNX"/>
    <s v="19-11-2019"/>
    <s v="22-11-2019"/>
    <s v="18"/>
    <s v="01"/>
    <s v="USD"/>
    <s v="1878.33"/>
    <x v="0"/>
    <s v="5.10"/>
    <s v="L"/>
    <s v="OTHER"/>
    <s v="EURO1_MIX"/>
    <s v="IP_D1234_EMEA"/>
    <s v="IP_D5_EMEA"/>
    <s v="IP_D6_EMEA"/>
    <s v="COLD"/>
    <s v="CDG"/>
    <s v="113952886149"/>
    <s v="1"/>
    <x v="21"/>
    <s v="304991539110"/>
    <s v="643188775"/>
    <s v="IP_D1234"/>
    <x v="0"/>
    <x v="0"/>
    <x v="1"/>
    <x v="11"/>
    <s v="MEM"/>
    <s v="CDG"/>
    <s v="0016"/>
    <s v="20/11/2019 18:47"/>
    <m/>
    <m/>
    <s v="02"/>
    <s v="EURO1_MIX,IP_D1234_EMEA,IP_D5_EMEA,IP_D6_EMEA"/>
    <s v="MDE_AVAILABLE"/>
    <s v="FEDEX"/>
    <s v="IPD"/>
    <s v="CONVEYABLE"/>
    <s v="19-11-2019"/>
    <s v="UNKNOWN"/>
    <x v="0"/>
  </r>
  <r>
    <s v="20-11-2019"/>
    <s v="20-11-2019"/>
    <s v="136472235493"/>
    <s v="US"/>
    <s v="SI"/>
    <s v="FWH"/>
    <s v="LJR"/>
    <m/>
    <s v="26-11-2019"/>
    <s v="18"/>
    <s v="01"/>
    <s v="USD"/>
    <s v="1063179.65"/>
    <x v="0"/>
    <s v="1.20"/>
    <s v="L"/>
    <s v="OTHER"/>
    <s v="EURO1_MIX"/>
    <s v="IP_D1234_LATE"/>
    <s v="IP_D5_EMEA"/>
    <s v="IP_D6_EMEA"/>
    <s v="UNKNOWN"/>
    <s v="VIE"/>
    <s v="136472192968"/>
    <s v="1"/>
    <x v="39"/>
    <s v="304991539132"/>
    <s v="110344082"/>
    <s v="IP_D1234"/>
    <x v="0"/>
    <x v="0"/>
    <x v="1"/>
    <x v="11"/>
    <s v="MEM"/>
    <s v="CDG"/>
    <s v="0016"/>
    <s v="20/11/2019 18:47"/>
    <m/>
    <m/>
    <s v="02"/>
    <s v="EURO1_MIX,IP_D1234_LATE,IP_D5_EMEA,IP_D6_EMEA"/>
    <s v="MDE_AVAILABLE"/>
    <s v="FEDEX"/>
    <s v="IPD"/>
    <s v="CONVEYABLE"/>
    <s v="19-11-2019"/>
    <s v="SMALL_PARCEL"/>
    <x v="0"/>
  </r>
  <r>
    <m/>
    <m/>
    <m/>
    <m/>
    <m/>
    <m/>
    <m/>
    <m/>
    <m/>
    <m/>
    <m/>
    <m/>
    <m/>
    <x v="4"/>
    <m/>
    <m/>
    <m/>
    <m/>
    <m/>
    <m/>
    <m/>
    <m/>
    <m/>
    <m/>
    <m/>
    <x v="91"/>
    <m/>
    <m/>
    <m/>
    <x v="2"/>
    <x v="1"/>
    <x v="4"/>
    <x v="23"/>
    <m/>
    <m/>
    <m/>
    <m/>
    <m/>
    <m/>
    <m/>
    <m/>
    <m/>
    <m/>
    <m/>
    <m/>
    <m/>
    <m/>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4" cacheId="9"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2">
  <location ref="P7:S123" firstHeaderRow="1" firstDataRow="2" firstDataCol="1" rowPageCount="2" colPageCount="1"/>
  <pivotFields count="48">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multipleItemSelectionAllowed="1" showAll="0"/>
    <pivotField showAll="0"/>
    <pivotField showAll="0"/>
    <pivotField showAll="0"/>
    <pivotField showAll="0"/>
    <pivotField showAll="0"/>
    <pivotField showAll="0"/>
    <pivotField showAll="0"/>
    <pivotField showAll="0"/>
    <pivotField showAll="0"/>
    <pivotField showAll="0"/>
    <pivotField showAll="0"/>
    <pivotField axis="axisRow" showAll="0">
      <items count="539">
        <item m="1" x="176"/>
        <item m="1" x="471"/>
        <item m="1" x="322"/>
        <item m="1" x="439"/>
        <item m="1" x="437"/>
        <item m="1" x="459"/>
        <item m="1" x="302"/>
        <item m="1" x="383"/>
        <item m="1" x="291"/>
        <item m="1" x="136"/>
        <item m="1" x="269"/>
        <item m="1" x="168"/>
        <item m="1" x="447"/>
        <item m="1" x="238"/>
        <item m="1" x="433"/>
        <item m="1" x="246"/>
        <item m="1" x="151"/>
        <item m="1" x="203"/>
        <item m="1" x="250"/>
        <item m="1" x="453"/>
        <item m="1" x="489"/>
        <item m="1" x="341"/>
        <item m="1" x="479"/>
        <item m="1" x="304"/>
        <item m="1" x="186"/>
        <item m="1" x="305"/>
        <item m="1" x="164"/>
        <item m="1" x="137"/>
        <item m="1" x="184"/>
        <item m="1" x="386"/>
        <item m="1" x="428"/>
        <item m="1" x="337"/>
        <item m="1" x="313"/>
        <item m="1" x="535"/>
        <item m="1" x="222"/>
        <item m="1" x="264"/>
        <item m="1" x="308"/>
        <item m="1" x="292"/>
        <item m="1" x="420"/>
        <item m="1" x="407"/>
        <item m="1" x="513"/>
        <item m="1" x="97"/>
        <item m="1" x="367"/>
        <item m="1" x="462"/>
        <item m="1" x="240"/>
        <item m="1" x="332"/>
        <item m="1" x="370"/>
        <item m="1" x="438"/>
        <item m="1" x="123"/>
        <item m="1" x="258"/>
        <item m="1" x="209"/>
        <item m="1" x="421"/>
        <item m="1" x="201"/>
        <item m="1" x="343"/>
        <item m="1" x="426"/>
        <item m="1" x="319"/>
        <item m="1" x="366"/>
        <item m="1" x="384"/>
        <item m="1" x="299"/>
        <item m="1" x="160"/>
        <item m="1" x="104"/>
        <item m="1" x="205"/>
        <item m="1" x="248"/>
        <item m="1" x="389"/>
        <item m="1" x="457"/>
        <item m="1" x="436"/>
        <item m="1" x="92"/>
        <item m="1" x="429"/>
        <item m="1" x="482"/>
        <item m="1" x="310"/>
        <item m="1" x="109"/>
        <item m="1" x="402"/>
        <item m="1" x="422"/>
        <item m="1" x="252"/>
        <item m="1" x="125"/>
        <item m="1" x="488"/>
        <item m="1" x="283"/>
        <item m="1" x="172"/>
        <item m="1" x="257"/>
        <item m="1" x="514"/>
        <item m="1" x="251"/>
        <item m="1" x="103"/>
        <item m="1" x="502"/>
        <item m="1" x="156"/>
        <item m="1" x="216"/>
        <item m="1" x="469"/>
        <item m="1" x="208"/>
        <item m="1" x="510"/>
        <item m="1" x="290"/>
        <item m="1" x="275"/>
        <item m="1" x="359"/>
        <item m="1" x="261"/>
        <item m="1" x="187"/>
        <item m="1" x="373"/>
        <item m="1" x="531"/>
        <item m="1" x="227"/>
        <item m="1" x="300"/>
        <item m="1" x="381"/>
        <item m="1" x="193"/>
        <item m="1" x="523"/>
        <item m="1" x="369"/>
        <item m="1" x="517"/>
        <item m="1" x="432"/>
        <item m="1" x="346"/>
        <item m="1" x="180"/>
        <item m="1" x="133"/>
        <item m="1" x="408"/>
        <item m="1" x="456"/>
        <item m="1" x="167"/>
        <item m="1" x="239"/>
        <item m="1" x="270"/>
        <item m="1" x="211"/>
        <item m="1" x="185"/>
        <item m="1" x="134"/>
        <item m="1" x="249"/>
        <item m="1" x="303"/>
        <item m="1" x="265"/>
        <item m="1" x="388"/>
        <item m="1" x="190"/>
        <item m="1" x="536"/>
        <item m="1" x="423"/>
        <item m="1" x="206"/>
        <item m="1" x="280"/>
        <item m="1" x="352"/>
        <item m="1" x="450"/>
        <item m="1" x="197"/>
        <item m="1" x="353"/>
        <item m="1" x="245"/>
        <item m="1" x="95"/>
        <item m="1" x="195"/>
        <item m="1" x="146"/>
        <item m="1" x="242"/>
        <item m="1" x="140"/>
        <item m="1" x="142"/>
        <item m="1" x="194"/>
        <item m="1" x="101"/>
        <item m="1" x="182"/>
        <item m="1" x="454"/>
        <item m="1" x="143"/>
        <item m="1" x="391"/>
        <item m="1" x="493"/>
        <item m="1" x="282"/>
        <item m="1" x="217"/>
        <item m="1" x="527"/>
        <item m="1" x="237"/>
        <item m="1" x="213"/>
        <item m="1" x="235"/>
        <item m="1" x="499"/>
        <item m="1" x="445"/>
        <item m="1" x="417"/>
        <item m="1" x="139"/>
        <item m="1" x="481"/>
        <item m="1" x="534"/>
        <item m="1" x="223"/>
        <item m="1" x="155"/>
        <item m="1" x="336"/>
        <item m="1" x="277"/>
        <item m="1" x="356"/>
        <item m="1" x="325"/>
        <item m="1" x="405"/>
        <item m="1" x="382"/>
        <item m="1" x="354"/>
        <item m="1" x="507"/>
        <item m="1" x="518"/>
        <item m="1" x="528"/>
        <item m="1" x="490"/>
        <item m="1" x="307"/>
        <item m="1" x="397"/>
        <item m="1" x="272"/>
        <item m="1" x="363"/>
        <item m="1" x="338"/>
        <item m="1" x="98"/>
        <item m="1" x="448"/>
        <item m="1" x="255"/>
        <item x="85"/>
        <item m="1" x="511"/>
        <item m="1" x="472"/>
        <item x="84"/>
        <item m="1" x="467"/>
        <item m="1" x="452"/>
        <item m="1" x="348"/>
        <item m="1" x="416"/>
        <item m="1" x="393"/>
        <item m="1" x="153"/>
        <item m="1" x="111"/>
        <item m="1" x="375"/>
        <item m="1" x="473"/>
        <item m="1" x="524"/>
        <item m="1" x="293"/>
        <item m="1" x="295"/>
        <item m="1" x="189"/>
        <item m="1" x="377"/>
        <item m="1" x="380"/>
        <item m="1" x="311"/>
        <item m="1" x="496"/>
        <item m="1" x="449"/>
        <item m="1" x="145"/>
        <item m="1" x="515"/>
        <item m="1" x="424"/>
        <item m="1" x="230"/>
        <item m="1" x="163"/>
        <item m="1" x="492"/>
        <item m="1" x="229"/>
        <item m="1" x="412"/>
        <item m="1" x="177"/>
        <item m="1" x="224"/>
        <item m="1" x="312"/>
        <item m="1" x="487"/>
        <item m="1" x="460"/>
        <item m="1" x="147"/>
        <item m="1" x="198"/>
        <item m="1" x="232"/>
        <item m="1" x="119"/>
        <item m="1" x="297"/>
        <item m="1" x="435"/>
        <item m="1" x="537"/>
        <item m="1" x="161"/>
        <item m="1" x="333"/>
        <item m="1" x="505"/>
        <item m="1" x="330"/>
        <item m="1" x="418"/>
        <item m="1" x="102"/>
        <item m="1" x="129"/>
        <item m="1" x="455"/>
        <item m="1" x="112"/>
        <item m="1" x="503"/>
        <item m="1" x="509"/>
        <item m="1" x="461"/>
        <item m="1" x="466"/>
        <item m="1" x="355"/>
        <item m="1" x="385"/>
        <item m="1" x="320"/>
        <item m="1" x="498"/>
        <item m="1" x="113"/>
        <item m="1" x="241"/>
        <item m="1" x="281"/>
        <item m="1" x="121"/>
        <item m="1" x="154"/>
        <item m="1" x="218"/>
        <item m="1" x="441"/>
        <item m="1" x="379"/>
        <item m="1" x="309"/>
        <item m="1" x="409"/>
        <item m="1" x="128"/>
        <item m="1" x="178"/>
        <item m="1" x="117"/>
        <item m="1" x="214"/>
        <item m="1" x="114"/>
        <item m="1" x="254"/>
        <item m="1" x="360"/>
        <item m="1" x="321"/>
        <item m="1" x="376"/>
        <item m="1" x="179"/>
        <item m="1" x="504"/>
        <item m="1" x="399"/>
        <item m="1" x="470"/>
        <item m="1" x="497"/>
        <item m="1" x="158"/>
        <item m="1" x="100"/>
        <item m="1" x="414"/>
        <item m="1" x="315"/>
        <item m="1" x="342"/>
        <item m="1" x="474"/>
        <item m="1" x="327"/>
        <item m="1" x="200"/>
        <item m="1" x="236"/>
        <item m="1" x="159"/>
        <item m="1" x="430"/>
        <item x="2"/>
        <item m="1" x="394"/>
        <item m="1" x="403"/>
        <item m="1" x="196"/>
        <item m="1" x="406"/>
        <item x="0"/>
        <item m="1" x="228"/>
        <item m="1" x="434"/>
        <item m="1" x="144"/>
        <item m="1" x="267"/>
        <item m="1" x="219"/>
        <item m="1" x="152"/>
        <item m="1" x="478"/>
        <item m="1" x="506"/>
        <item m="1" x="314"/>
        <item m="1" x="183"/>
        <item m="1" x="345"/>
        <item m="1" x="365"/>
        <item m="1" x="340"/>
        <item m="1" x="108"/>
        <item m="1" x="508"/>
        <item m="1" x="480"/>
        <item m="1" x="444"/>
        <item m="1" x="263"/>
        <item m="1" x="93"/>
        <item m="1" x="476"/>
        <item m="1" x="512"/>
        <item m="1" x="96"/>
        <item m="1" x="171"/>
        <item m="1" x="221"/>
        <item m="1" x="326"/>
        <item m="1" x="529"/>
        <item m="1" x="525"/>
        <item m="1" x="124"/>
        <item m="1" x="130"/>
        <item m="1" x="192"/>
        <item m="1" x="328"/>
        <item m="1" x="289"/>
        <item m="1" x="247"/>
        <item m="1" x="120"/>
        <item m="1" x="465"/>
        <item m="1" x="400"/>
        <item m="1" x="215"/>
        <item m="1" x="419"/>
        <item x="91"/>
        <item m="1" x="339"/>
        <item m="1" x="431"/>
        <item m="1" x="204"/>
        <item m="1" x="188"/>
        <item m="1" x="410"/>
        <item m="1" x="296"/>
        <item m="1" x="105"/>
        <item m="1" x="225"/>
        <item m="1" x="126"/>
        <item m="1" x="368"/>
        <item m="1" x="475"/>
        <item m="1" x="173"/>
        <item m="1" x="278"/>
        <item m="1" x="335"/>
        <item m="1" x="413"/>
        <item m="1" x="226"/>
        <item m="1" x="404"/>
        <item m="1" x="202"/>
        <item m="1" x="357"/>
        <item m="1" x="446"/>
        <item m="1" x="395"/>
        <item m="1" x="415"/>
        <item m="1" x="110"/>
        <item m="1" x="94"/>
        <item m="1" x="427"/>
        <item m="1" x="132"/>
        <item m="1" x="253"/>
        <item m="1" x="349"/>
        <item m="1" x="316"/>
        <item m="1" x="259"/>
        <item m="1" x="284"/>
        <item m="1" x="350"/>
        <item m="1" x="271"/>
        <item m="1" x="396"/>
        <item m="1" x="273"/>
        <item m="1" x="174"/>
        <item x="1"/>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6"/>
        <item x="87"/>
        <item x="88"/>
        <item x="89"/>
        <item x="90"/>
        <item m="1" x="374"/>
        <item m="1" x="165"/>
        <item m="1" x="520"/>
        <item m="1" x="463"/>
        <item m="1" x="344"/>
        <item m="1" x="191"/>
        <item m="1" x="169"/>
        <item m="1" x="317"/>
        <item m="1" x="148"/>
        <item m="1" x="331"/>
        <item m="1" x="231"/>
        <item m="1" x="294"/>
        <item m="1" x="162"/>
        <item m="1" x="181"/>
        <item m="1" x="106"/>
        <item m="1" x="329"/>
        <item m="1" x="387"/>
        <item m="1" x="443"/>
        <item m="1" x="318"/>
        <item m="1" x="372"/>
        <item m="1" x="334"/>
        <item m="1" x="116"/>
        <item m="1" x="500"/>
        <item m="1" x="234"/>
        <item m="1" x="521"/>
        <item m="1" x="378"/>
        <item m="1" x="212"/>
        <item m="1" x="266"/>
        <item m="1" x="440"/>
        <item m="1" x="138"/>
        <item m="1" x="157"/>
        <item m="1" x="458"/>
        <item m="1" x="233"/>
        <item m="1" x="364"/>
        <item m="1" x="285"/>
        <item m="1" x="526"/>
        <item m="1" x="122"/>
        <item m="1" x="398"/>
        <item m="1" x="274"/>
        <item m="1" x="262"/>
        <item m="1" x="276"/>
        <item m="1" x="127"/>
        <item m="1" x="115"/>
        <item m="1" x="199"/>
        <item m="1" x="149"/>
        <item m="1" x="519"/>
        <item m="1" x="131"/>
        <item m="1" x="451"/>
        <item m="1" x="220"/>
        <item m="1" x="483"/>
        <item m="1" x="175"/>
        <item m="1" x="442"/>
        <item m="1" x="324"/>
        <item m="1" x="135"/>
        <item m="1" x="150"/>
        <item m="1" x="485"/>
        <item m="1" x="501"/>
        <item m="1" x="268"/>
        <item m="1" x="390"/>
        <item m="1" x="279"/>
        <item m="1" x="107"/>
        <item m="1" x="244"/>
        <item m="1" x="243"/>
        <item m="1" x="484"/>
        <item m="1" x="141"/>
        <item m="1" x="347"/>
        <item m="1" x="494"/>
        <item m="1" x="392"/>
        <item m="1" x="323"/>
        <item m="1" x="351"/>
        <item m="1" x="210"/>
        <item m="1" x="287"/>
        <item m="1" x="486"/>
        <item m="1" x="166"/>
        <item m="1" x="361"/>
        <item m="1" x="477"/>
        <item m="1" x="362"/>
        <item m="1" x="530"/>
        <item m="1" x="286"/>
        <item m="1" x="533"/>
        <item m="1" x="306"/>
        <item m="1" x="99"/>
        <item m="1" x="491"/>
        <item m="1" x="301"/>
        <item m="1" x="260"/>
        <item m="1" x="358"/>
        <item m="1" x="468"/>
        <item m="1" x="298"/>
        <item m="1" x="371"/>
        <item m="1" x="288"/>
        <item m="1" x="170"/>
        <item m="1" x="532"/>
        <item m="1" x="425"/>
        <item m="1" x="118"/>
        <item m="1" x="464"/>
        <item m="1" x="207"/>
        <item m="1" x="522"/>
        <item m="1" x="256"/>
        <item m="1" x="516"/>
        <item m="1" x="411"/>
        <item m="1" x="495"/>
        <item m="1" x="401"/>
        <item t="default"/>
      </items>
    </pivotField>
    <pivotField showAll="0"/>
    <pivotField showAll="0"/>
    <pivotField showAll="0"/>
    <pivotField axis="axisPage" multipleItemSelectionAllowed="1" showAll="0">
      <items count="4">
        <item x="0"/>
        <item h="1" x="2"/>
        <item h="1" x="1"/>
        <item t="default"/>
      </items>
    </pivotField>
    <pivotField axis="axisPage" multipleItemSelectionAllowed="1" showAll="0">
      <items count="15">
        <item h="1" m="1" x="9"/>
        <item h="1" m="1" x="12"/>
        <item x="0"/>
        <item h="1" m="1" x="5"/>
        <item h="1" m="1" x="8"/>
        <item h="1" m="1" x="6"/>
        <item h="1" m="1" x="10"/>
        <item h="1" m="1" x="3"/>
        <item h="1" m="1" x="11"/>
        <item h="1" m="1" x="7"/>
        <item h="1" m="1" x="13"/>
        <item h="1" m="1" x="4"/>
        <item h="1" m="1" x="2"/>
        <item h="1" x="1"/>
        <item t="default"/>
      </items>
    </pivotField>
    <pivotField showAll="0">
      <items count="8">
        <item m="1" x="5"/>
        <item x="3"/>
        <item x="2"/>
        <item x="1"/>
        <item x="0"/>
        <item m="1" x="6"/>
        <item x="4"/>
        <item t="default"/>
      </items>
    </pivotField>
    <pivotField axis="axisRow" showAll="0" sortType="descending">
      <items count="66">
        <item x="23"/>
        <item m="1" x="26"/>
        <item m="1" x="56"/>
        <item m="1" x="62"/>
        <item m="1" x="63"/>
        <item m="1" x="37"/>
        <item m="1" x="36"/>
        <item m="1" x="59"/>
        <item x="21"/>
        <item x="18"/>
        <item x="20"/>
        <item m="1" x="35"/>
        <item m="1" x="45"/>
        <item x="5"/>
        <item m="1" x="51"/>
        <item x="10"/>
        <item x="2"/>
        <item x="4"/>
        <item x="1"/>
        <item m="1" x="28"/>
        <item m="1" x="39"/>
        <item m="1" x="33"/>
        <item m="1" x="32"/>
        <item m="1" x="25"/>
        <item m="1" x="27"/>
        <item m="1" x="54"/>
        <item m="1" x="61"/>
        <item m="1" x="47"/>
        <item m="1" x="46"/>
        <item x="13"/>
        <item m="1" x="40"/>
        <item m="1" x="57"/>
        <item m="1" x="55"/>
        <item x="11"/>
        <item x="0"/>
        <item x="3"/>
        <item m="1" x="52"/>
        <item m="1" x="42"/>
        <item m="1" x="60"/>
        <item m="1" x="43"/>
        <item m="1" x="38"/>
        <item m="1" x="24"/>
        <item x="16"/>
        <item m="1" x="50"/>
        <item m="1" x="48"/>
        <item m="1" x="58"/>
        <item x="17"/>
        <item m="1" x="29"/>
        <item m="1" x="31"/>
        <item m="1" x="41"/>
        <item m="1" x="44"/>
        <item m="1" x="30"/>
        <item m="1" x="64"/>
        <item m="1" x="34"/>
        <item x="6"/>
        <item x="7"/>
        <item x="8"/>
        <item x="9"/>
        <item x="12"/>
        <item x="14"/>
        <item x="15"/>
        <item x="19"/>
        <item x="22"/>
        <item m="1" x="53"/>
        <item m="1" x="49"/>
        <item t="default"/>
      </items>
      <autoSortScope>
        <pivotArea dataOnly="0" outline="0" fieldPosition="0">
          <references count="1">
            <reference field="4294967294" count="1" selected="0">
              <x v="0"/>
            </reference>
          </references>
        </pivotArea>
      </autoSortScope>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Col" multipleItemSelectionAllowed="1" showAll="0">
      <items count="4">
        <item x="0"/>
        <item x="1"/>
        <item x="2"/>
        <item t="default"/>
      </items>
    </pivotField>
  </pivotFields>
  <rowFields count="2">
    <field x="32"/>
    <field x="25"/>
  </rowFields>
  <rowItems count="115">
    <i>
      <x v="35"/>
    </i>
    <i r="1">
      <x v="350"/>
    </i>
    <i r="1">
      <x v="356"/>
    </i>
    <i r="1">
      <x v="363"/>
    </i>
    <i r="1">
      <x v="365"/>
    </i>
    <i r="1">
      <x v="376"/>
    </i>
    <i r="1">
      <x v="377"/>
    </i>
    <i r="1">
      <x v="382"/>
    </i>
    <i r="1">
      <x v="395"/>
    </i>
    <i r="1">
      <x v="398"/>
    </i>
    <i r="1">
      <x v="404"/>
    </i>
    <i r="1">
      <x v="405"/>
    </i>
    <i r="1">
      <x v="408"/>
    </i>
    <i r="1">
      <x v="415"/>
    </i>
    <i>
      <x v="55"/>
    </i>
    <i r="1">
      <x v="354"/>
    </i>
    <i r="1">
      <x v="367"/>
    </i>
    <i r="1">
      <x v="375"/>
    </i>
    <i r="1">
      <x v="378"/>
    </i>
    <i r="1">
      <x v="387"/>
    </i>
    <i r="1">
      <x v="388"/>
    </i>
    <i r="1">
      <x v="396"/>
    </i>
    <i r="1">
      <x v="406"/>
    </i>
    <i r="1">
      <x v="416"/>
    </i>
    <i r="1">
      <x v="417"/>
    </i>
    <i r="1">
      <x v="430"/>
    </i>
    <i>
      <x v="18"/>
    </i>
    <i r="1">
      <x v="273"/>
    </i>
    <i r="1">
      <x v="349"/>
    </i>
    <i r="1">
      <x v="364"/>
    </i>
    <i r="1">
      <x v="369"/>
    </i>
    <i r="1">
      <x v="390"/>
    </i>
    <i r="1">
      <x v="391"/>
    </i>
    <i r="1">
      <x v="397"/>
    </i>
    <i r="1">
      <x v="418"/>
    </i>
    <i>
      <x v="33"/>
    </i>
    <i r="1">
      <x v="273"/>
    </i>
    <i r="1">
      <x v="361"/>
    </i>
    <i r="1">
      <x v="368"/>
    </i>
    <i r="1">
      <x v="386"/>
    </i>
    <i r="1">
      <x v="392"/>
    </i>
    <i r="1">
      <x v="393"/>
    </i>
    <i r="1">
      <x v="400"/>
    </i>
    <i r="1">
      <x v="426"/>
    </i>
    <i r="1">
      <x v="427"/>
    </i>
    <i r="1">
      <x v="429"/>
    </i>
    <i>
      <x v="34"/>
    </i>
    <i r="1">
      <x v="273"/>
    </i>
    <i r="1">
      <x v="355"/>
    </i>
    <i r="1">
      <x v="372"/>
    </i>
    <i r="1">
      <x v="394"/>
    </i>
    <i r="1">
      <x v="419"/>
    </i>
    <i r="1">
      <x v="421"/>
    </i>
    <i r="1">
      <x v="424"/>
    </i>
    <i>
      <x v="13"/>
    </i>
    <i r="1">
      <x v="273"/>
    </i>
    <i r="1">
      <x v="352"/>
    </i>
    <i r="1">
      <x v="374"/>
    </i>
    <i r="1">
      <x v="379"/>
    </i>
    <i r="1">
      <x v="383"/>
    </i>
    <i r="1">
      <x v="384"/>
    </i>
    <i r="1">
      <x v="385"/>
    </i>
    <i r="1">
      <x v="420"/>
    </i>
    <i r="1">
      <x v="433"/>
    </i>
    <i>
      <x v="17"/>
    </i>
    <i r="1">
      <x v="273"/>
    </i>
    <i r="1">
      <x v="351"/>
    </i>
    <i r="1">
      <x v="373"/>
    </i>
    <i r="1">
      <x v="412"/>
    </i>
    <i r="1">
      <x v="414"/>
    </i>
    <i r="1">
      <x v="432"/>
    </i>
    <i>
      <x v="15"/>
    </i>
    <i r="1">
      <x v="174"/>
    </i>
    <i r="1">
      <x v="360"/>
    </i>
    <i r="1">
      <x v="362"/>
    </i>
    <i r="1">
      <x v="366"/>
    </i>
    <i r="1">
      <x v="413"/>
    </i>
    <i r="1">
      <x v="428"/>
    </i>
    <i r="1">
      <x v="434"/>
    </i>
    <i>
      <x v="56"/>
    </i>
    <i r="1">
      <x v="358"/>
    </i>
    <i r="1">
      <x v="380"/>
    </i>
    <i>
      <x v="59"/>
    </i>
    <i r="1">
      <x v="381"/>
    </i>
    <i r="1">
      <x v="425"/>
    </i>
    <i>
      <x v="57"/>
    </i>
    <i r="1">
      <x v="359"/>
    </i>
    <i r="1">
      <x v="411"/>
    </i>
    <i>
      <x v="54"/>
    </i>
    <i r="1">
      <x v="353"/>
    </i>
    <i r="1">
      <x v="357"/>
    </i>
    <i r="1">
      <x v="407"/>
    </i>
    <i>
      <x v="9"/>
    </i>
    <i r="1">
      <x v="402"/>
    </i>
    <i r="1">
      <x v="423"/>
    </i>
    <i>
      <x v="8"/>
    </i>
    <i r="1">
      <x v="422"/>
    </i>
    <i>
      <x v="58"/>
    </i>
    <i r="1">
      <x v="370"/>
    </i>
    <i r="1">
      <x v="410"/>
    </i>
    <i>
      <x v="10"/>
    </i>
    <i r="1">
      <x v="409"/>
    </i>
    <i>
      <x v="29"/>
    </i>
    <i r="1">
      <x v="371"/>
    </i>
    <i>
      <x v="62"/>
    </i>
    <i r="1">
      <x v="431"/>
    </i>
    <i r="1">
      <x v="435"/>
    </i>
    <i>
      <x v="42"/>
    </i>
    <i r="1">
      <x v="177"/>
    </i>
    <i r="1">
      <x v="399"/>
    </i>
    <i>
      <x v="60"/>
    </i>
    <i r="1">
      <x v="389"/>
    </i>
    <i>
      <x v="16"/>
    </i>
    <i r="1">
      <x v="268"/>
    </i>
    <i t="grand">
      <x/>
    </i>
  </rowItems>
  <colFields count="1">
    <field x="47"/>
  </colFields>
  <colItems count="3">
    <i>
      <x/>
    </i>
    <i>
      <x v="1"/>
    </i>
    <i t="grand">
      <x/>
    </i>
  </colItems>
  <pageFields count="2">
    <pageField fld="29" hier="-1"/>
    <pageField fld="30" hier="-1"/>
  </pageFields>
  <dataFields count="1">
    <dataField name="Count of AWB" fld="2" subtotal="count" showDataAs="percentOfRow" baseField="2" baseItem="27" numFmtId="10"/>
  </dataFields>
  <formats count="6">
    <format dxfId="5">
      <pivotArea outline="0" collapsedLevelsAreSubtotals="1" fieldPosition="0">
        <references count="1">
          <reference field="47" count="1" selected="0">
            <x v="1"/>
          </reference>
        </references>
      </pivotArea>
    </format>
    <format dxfId="4">
      <pivotArea type="topRight" dataOnly="0" labelOnly="1" outline="0" fieldPosition="0"/>
    </format>
    <format dxfId="3">
      <pivotArea dataOnly="0" labelOnly="1" fieldPosition="0">
        <references count="1">
          <reference field="47" count="1">
            <x v="1"/>
          </reference>
        </references>
      </pivotArea>
    </format>
    <format dxfId="2">
      <pivotArea outline="0" collapsedLevelsAreSubtotals="1" fieldPosition="0">
        <references count="1">
          <reference field="47" count="1" selected="0">
            <x v="0"/>
          </reference>
        </references>
      </pivotArea>
    </format>
    <format dxfId="1">
      <pivotArea field="47" type="button" dataOnly="0" labelOnly="1" outline="0" axis="axisCol" fieldPosition="0"/>
    </format>
    <format dxfId="0">
      <pivotArea dataOnly="0" labelOnly="1" fieldPosition="0">
        <references count="1">
          <reference field="47" count="1">
            <x v="0"/>
          </reference>
        </references>
      </pivotArea>
    </format>
  </formats>
  <chartFormats count="8">
    <chartFormat chart="1" format="0" series="1">
      <pivotArea type="data" outline="0" fieldPosition="0">
        <references count="2">
          <reference field="4294967294" count="1" selected="0">
            <x v="0"/>
          </reference>
          <reference field="47" count="1" selected="0">
            <x v="0"/>
          </reference>
        </references>
      </pivotArea>
    </chartFormat>
    <chartFormat chart="1" format="1" series="1">
      <pivotArea type="data" outline="0" fieldPosition="0">
        <references count="2">
          <reference field="4294967294" count="1" selected="0">
            <x v="0"/>
          </reference>
          <reference field="47" count="1" selected="0">
            <x v="1"/>
          </reference>
        </references>
      </pivotArea>
    </chartFormat>
    <chartFormat chart="12" format="0" series="1">
      <pivotArea type="data" outline="0" fieldPosition="0">
        <references count="2">
          <reference field="4294967294" count="1" selected="0">
            <x v="0"/>
          </reference>
          <reference field="47" count="1" selected="0">
            <x v="0"/>
          </reference>
        </references>
      </pivotArea>
    </chartFormat>
    <chartFormat chart="12" format="1" series="1">
      <pivotArea type="data" outline="0" fieldPosition="0">
        <references count="2">
          <reference field="4294967294" count="1" selected="0">
            <x v="0"/>
          </reference>
          <reference field="47" count="1" selected="0">
            <x v="1"/>
          </reference>
        </references>
      </pivotArea>
    </chartFormat>
    <chartFormat chart="15" format="0" series="1">
      <pivotArea type="data" outline="0" fieldPosition="0">
        <references count="1">
          <reference field="4294967294" count="1" selected="0">
            <x v="0"/>
          </reference>
        </references>
      </pivotArea>
    </chartFormat>
    <chartFormat chart="19" format="0" series="1">
      <pivotArea type="data" outline="0" fieldPosition="0">
        <references count="1">
          <reference field="4294967294" count="1" selected="0">
            <x v="0"/>
          </reference>
        </references>
      </pivotArea>
    </chartFormat>
    <chartFormat chart="21" format="0" series="1">
      <pivotArea type="data" outline="0" fieldPosition="0">
        <references count="2">
          <reference field="4294967294" count="1" selected="0">
            <x v="0"/>
          </reference>
          <reference field="47" count="1" selected="0">
            <x v="0"/>
          </reference>
        </references>
      </pivotArea>
    </chartFormat>
    <chartFormat chart="21" format="1" series="1">
      <pivotArea type="data" outline="0" fieldPosition="0">
        <references count="2">
          <reference field="4294967294" count="1" selected="0">
            <x v="0"/>
          </reference>
          <reference field="4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PivotTable3" cacheId="9"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0">
  <location ref="J7:N123" firstHeaderRow="1" firstDataRow="2" firstDataCol="1" rowPageCount="3" colPageCount="1"/>
  <pivotFields count="48">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multipleItemSelectionAllowed="1" showAll="0"/>
    <pivotField showAll="0"/>
    <pivotField showAll="0"/>
    <pivotField showAll="0"/>
    <pivotField showAll="0"/>
    <pivotField showAll="0"/>
    <pivotField showAll="0"/>
    <pivotField showAll="0"/>
    <pivotField showAll="0"/>
    <pivotField showAll="0"/>
    <pivotField showAll="0"/>
    <pivotField showAll="0"/>
    <pivotField axis="axisRow" showAll="0">
      <items count="539">
        <item m="1" x="176"/>
        <item m="1" x="471"/>
        <item m="1" x="322"/>
        <item m="1" x="439"/>
        <item m="1" x="437"/>
        <item m="1" x="459"/>
        <item m="1" x="302"/>
        <item m="1" x="383"/>
        <item m="1" x="291"/>
        <item m="1" x="136"/>
        <item m="1" x="269"/>
        <item m="1" x="168"/>
        <item m="1" x="447"/>
        <item m="1" x="238"/>
        <item m="1" x="433"/>
        <item m="1" x="246"/>
        <item m="1" x="151"/>
        <item m="1" x="203"/>
        <item m="1" x="250"/>
        <item m="1" x="453"/>
        <item m="1" x="489"/>
        <item m="1" x="341"/>
        <item m="1" x="479"/>
        <item m="1" x="304"/>
        <item m="1" x="186"/>
        <item m="1" x="305"/>
        <item m="1" x="164"/>
        <item m="1" x="137"/>
        <item m="1" x="184"/>
        <item m="1" x="386"/>
        <item m="1" x="428"/>
        <item m="1" x="337"/>
        <item m="1" x="313"/>
        <item m="1" x="535"/>
        <item m="1" x="222"/>
        <item m="1" x="264"/>
        <item m="1" x="308"/>
        <item m="1" x="292"/>
        <item m="1" x="420"/>
        <item m="1" x="407"/>
        <item m="1" x="513"/>
        <item m="1" x="97"/>
        <item m="1" x="367"/>
        <item m="1" x="462"/>
        <item m="1" x="240"/>
        <item m="1" x="332"/>
        <item m="1" x="370"/>
        <item m="1" x="438"/>
        <item m="1" x="123"/>
        <item m="1" x="258"/>
        <item m="1" x="209"/>
        <item m="1" x="421"/>
        <item m="1" x="201"/>
        <item m="1" x="343"/>
        <item m="1" x="426"/>
        <item m="1" x="319"/>
        <item m="1" x="366"/>
        <item m="1" x="384"/>
        <item m="1" x="299"/>
        <item m="1" x="160"/>
        <item m="1" x="104"/>
        <item m="1" x="205"/>
        <item m="1" x="248"/>
        <item m="1" x="389"/>
        <item m="1" x="457"/>
        <item m="1" x="436"/>
        <item m="1" x="92"/>
        <item m="1" x="429"/>
        <item m="1" x="482"/>
        <item m="1" x="310"/>
        <item m="1" x="109"/>
        <item m="1" x="402"/>
        <item m="1" x="422"/>
        <item m="1" x="252"/>
        <item m="1" x="125"/>
        <item m="1" x="488"/>
        <item m="1" x="283"/>
        <item m="1" x="172"/>
        <item m="1" x="257"/>
        <item m="1" x="514"/>
        <item m="1" x="251"/>
        <item m="1" x="103"/>
        <item m="1" x="502"/>
        <item m="1" x="156"/>
        <item m="1" x="216"/>
        <item m="1" x="469"/>
        <item m="1" x="208"/>
        <item m="1" x="510"/>
        <item m="1" x="290"/>
        <item m="1" x="275"/>
        <item m="1" x="359"/>
        <item m="1" x="261"/>
        <item m="1" x="187"/>
        <item m="1" x="373"/>
        <item m="1" x="531"/>
        <item m="1" x="227"/>
        <item m="1" x="300"/>
        <item m="1" x="381"/>
        <item m="1" x="193"/>
        <item m="1" x="523"/>
        <item m="1" x="369"/>
        <item m="1" x="517"/>
        <item m="1" x="432"/>
        <item m="1" x="346"/>
        <item m="1" x="180"/>
        <item m="1" x="133"/>
        <item m="1" x="408"/>
        <item m="1" x="456"/>
        <item m="1" x="167"/>
        <item m="1" x="239"/>
        <item m="1" x="270"/>
        <item m="1" x="211"/>
        <item m="1" x="185"/>
        <item m="1" x="134"/>
        <item m="1" x="249"/>
        <item m="1" x="303"/>
        <item m="1" x="265"/>
        <item m="1" x="388"/>
        <item m="1" x="190"/>
        <item m="1" x="536"/>
        <item m="1" x="423"/>
        <item m="1" x="206"/>
        <item m="1" x="280"/>
        <item m="1" x="352"/>
        <item m="1" x="450"/>
        <item m="1" x="197"/>
        <item m="1" x="353"/>
        <item m="1" x="245"/>
        <item m="1" x="95"/>
        <item m="1" x="195"/>
        <item m="1" x="146"/>
        <item m="1" x="242"/>
        <item m="1" x="140"/>
        <item m="1" x="142"/>
        <item m="1" x="194"/>
        <item m="1" x="101"/>
        <item m="1" x="182"/>
        <item m="1" x="454"/>
        <item m="1" x="143"/>
        <item m="1" x="391"/>
        <item m="1" x="493"/>
        <item m="1" x="282"/>
        <item m="1" x="217"/>
        <item m="1" x="527"/>
        <item m="1" x="237"/>
        <item m="1" x="213"/>
        <item m="1" x="235"/>
        <item m="1" x="499"/>
        <item m="1" x="445"/>
        <item m="1" x="417"/>
        <item m="1" x="139"/>
        <item m="1" x="481"/>
        <item m="1" x="534"/>
        <item m="1" x="223"/>
        <item m="1" x="155"/>
        <item m="1" x="336"/>
        <item m="1" x="277"/>
        <item m="1" x="356"/>
        <item m="1" x="325"/>
        <item m="1" x="405"/>
        <item m="1" x="382"/>
        <item m="1" x="354"/>
        <item m="1" x="507"/>
        <item m="1" x="518"/>
        <item m="1" x="528"/>
        <item m="1" x="490"/>
        <item m="1" x="307"/>
        <item m="1" x="397"/>
        <item m="1" x="272"/>
        <item m="1" x="363"/>
        <item m="1" x="338"/>
        <item m="1" x="98"/>
        <item m="1" x="448"/>
        <item m="1" x="255"/>
        <item x="85"/>
        <item m="1" x="511"/>
        <item m="1" x="472"/>
        <item x="84"/>
        <item m="1" x="467"/>
        <item m="1" x="452"/>
        <item m="1" x="348"/>
        <item m="1" x="416"/>
        <item m="1" x="393"/>
        <item m="1" x="153"/>
        <item m="1" x="111"/>
        <item m="1" x="375"/>
        <item m="1" x="473"/>
        <item m="1" x="524"/>
        <item m="1" x="293"/>
        <item m="1" x="295"/>
        <item m="1" x="189"/>
        <item m="1" x="377"/>
        <item m="1" x="380"/>
        <item m="1" x="311"/>
        <item m="1" x="496"/>
        <item m="1" x="449"/>
        <item m="1" x="145"/>
        <item m="1" x="515"/>
        <item m="1" x="424"/>
        <item m="1" x="230"/>
        <item m="1" x="163"/>
        <item m="1" x="492"/>
        <item m="1" x="229"/>
        <item m="1" x="412"/>
        <item m="1" x="177"/>
        <item m="1" x="224"/>
        <item m="1" x="312"/>
        <item m="1" x="487"/>
        <item m="1" x="460"/>
        <item m="1" x="147"/>
        <item m="1" x="198"/>
        <item m="1" x="232"/>
        <item m="1" x="119"/>
        <item m="1" x="297"/>
        <item m="1" x="435"/>
        <item m="1" x="537"/>
        <item m="1" x="161"/>
        <item m="1" x="333"/>
        <item m="1" x="505"/>
        <item m="1" x="330"/>
        <item m="1" x="418"/>
        <item m="1" x="102"/>
        <item m="1" x="129"/>
        <item m="1" x="455"/>
        <item m="1" x="112"/>
        <item m="1" x="503"/>
        <item m="1" x="509"/>
        <item m="1" x="461"/>
        <item m="1" x="466"/>
        <item m="1" x="355"/>
        <item m="1" x="385"/>
        <item m="1" x="320"/>
        <item m="1" x="498"/>
        <item m="1" x="113"/>
        <item m="1" x="241"/>
        <item m="1" x="281"/>
        <item m="1" x="121"/>
        <item m="1" x="154"/>
        <item m="1" x="218"/>
        <item m="1" x="441"/>
        <item m="1" x="379"/>
        <item m="1" x="309"/>
        <item m="1" x="409"/>
        <item m="1" x="128"/>
        <item m="1" x="178"/>
        <item m="1" x="117"/>
        <item m="1" x="214"/>
        <item m="1" x="114"/>
        <item m="1" x="254"/>
        <item m="1" x="360"/>
        <item m="1" x="321"/>
        <item m="1" x="376"/>
        <item m="1" x="179"/>
        <item m="1" x="504"/>
        <item m="1" x="399"/>
        <item m="1" x="470"/>
        <item m="1" x="497"/>
        <item m="1" x="158"/>
        <item m="1" x="100"/>
        <item m="1" x="414"/>
        <item m="1" x="315"/>
        <item m="1" x="342"/>
        <item m="1" x="474"/>
        <item m="1" x="327"/>
        <item m="1" x="200"/>
        <item m="1" x="236"/>
        <item m="1" x="159"/>
        <item m="1" x="430"/>
        <item x="2"/>
        <item m="1" x="394"/>
        <item m="1" x="403"/>
        <item m="1" x="196"/>
        <item m="1" x="406"/>
        <item x="0"/>
        <item m="1" x="228"/>
        <item m="1" x="434"/>
        <item m="1" x="144"/>
        <item m="1" x="267"/>
        <item m="1" x="219"/>
        <item m="1" x="152"/>
        <item m="1" x="478"/>
        <item m="1" x="506"/>
        <item m="1" x="314"/>
        <item m="1" x="183"/>
        <item m="1" x="345"/>
        <item m="1" x="365"/>
        <item m="1" x="340"/>
        <item m="1" x="108"/>
        <item m="1" x="508"/>
        <item m="1" x="480"/>
        <item m="1" x="444"/>
        <item m="1" x="263"/>
        <item m="1" x="93"/>
        <item m="1" x="476"/>
        <item m="1" x="512"/>
        <item m="1" x="96"/>
        <item m="1" x="171"/>
        <item m="1" x="221"/>
        <item m="1" x="326"/>
        <item m="1" x="529"/>
        <item m="1" x="525"/>
        <item m="1" x="124"/>
        <item m="1" x="130"/>
        <item m="1" x="192"/>
        <item m="1" x="328"/>
        <item m="1" x="289"/>
        <item m="1" x="247"/>
        <item m="1" x="120"/>
        <item m="1" x="465"/>
        <item m="1" x="400"/>
        <item m="1" x="215"/>
        <item m="1" x="419"/>
        <item x="91"/>
        <item m="1" x="339"/>
        <item m="1" x="431"/>
        <item m="1" x="204"/>
        <item m="1" x="188"/>
        <item m="1" x="410"/>
        <item m="1" x="296"/>
        <item m="1" x="105"/>
        <item m="1" x="225"/>
        <item m="1" x="126"/>
        <item m="1" x="368"/>
        <item m="1" x="475"/>
        <item m="1" x="173"/>
        <item m="1" x="278"/>
        <item m="1" x="335"/>
        <item m="1" x="413"/>
        <item m="1" x="226"/>
        <item m="1" x="404"/>
        <item m="1" x="202"/>
        <item m="1" x="357"/>
        <item m="1" x="446"/>
        <item m="1" x="395"/>
        <item m="1" x="415"/>
        <item m="1" x="110"/>
        <item m="1" x="94"/>
        <item m="1" x="427"/>
        <item m="1" x="132"/>
        <item m="1" x="253"/>
        <item m="1" x="349"/>
        <item m="1" x="316"/>
        <item m="1" x="259"/>
        <item m="1" x="284"/>
        <item m="1" x="350"/>
        <item m="1" x="271"/>
        <item m="1" x="396"/>
        <item m="1" x="273"/>
        <item m="1" x="174"/>
        <item x="1"/>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6"/>
        <item x="87"/>
        <item x="88"/>
        <item x="89"/>
        <item x="90"/>
        <item m="1" x="374"/>
        <item m="1" x="165"/>
        <item m="1" x="520"/>
        <item m="1" x="463"/>
        <item m="1" x="344"/>
        <item m="1" x="191"/>
        <item m="1" x="169"/>
        <item m="1" x="317"/>
        <item m="1" x="148"/>
        <item m="1" x="331"/>
        <item m="1" x="231"/>
        <item m="1" x="294"/>
        <item m="1" x="162"/>
        <item m="1" x="181"/>
        <item m="1" x="106"/>
        <item m="1" x="329"/>
        <item m="1" x="387"/>
        <item m="1" x="443"/>
        <item m="1" x="318"/>
        <item m="1" x="372"/>
        <item m="1" x="334"/>
        <item m="1" x="116"/>
        <item m="1" x="500"/>
        <item m="1" x="234"/>
        <item m="1" x="521"/>
        <item m="1" x="378"/>
        <item m="1" x="212"/>
        <item m="1" x="266"/>
        <item m="1" x="440"/>
        <item m="1" x="138"/>
        <item m="1" x="157"/>
        <item m="1" x="458"/>
        <item m="1" x="233"/>
        <item m="1" x="364"/>
        <item m="1" x="285"/>
        <item m="1" x="526"/>
        <item m="1" x="122"/>
        <item m="1" x="398"/>
        <item m="1" x="274"/>
        <item m="1" x="262"/>
        <item m="1" x="276"/>
        <item m="1" x="127"/>
        <item m="1" x="115"/>
        <item m="1" x="199"/>
        <item m="1" x="149"/>
        <item m="1" x="519"/>
        <item m="1" x="131"/>
        <item m="1" x="451"/>
        <item m="1" x="220"/>
        <item m="1" x="483"/>
        <item m="1" x="175"/>
        <item m="1" x="442"/>
        <item m="1" x="324"/>
        <item m="1" x="135"/>
        <item m="1" x="150"/>
        <item m="1" x="485"/>
        <item m="1" x="501"/>
        <item m="1" x="268"/>
        <item m="1" x="390"/>
        <item m="1" x="279"/>
        <item m="1" x="107"/>
        <item m="1" x="244"/>
        <item m="1" x="243"/>
        <item m="1" x="484"/>
        <item m="1" x="141"/>
        <item m="1" x="347"/>
        <item m="1" x="494"/>
        <item m="1" x="392"/>
        <item m="1" x="323"/>
        <item m="1" x="351"/>
        <item m="1" x="210"/>
        <item m="1" x="287"/>
        <item m="1" x="486"/>
        <item m="1" x="166"/>
        <item m="1" x="361"/>
        <item m="1" x="477"/>
        <item m="1" x="362"/>
        <item m="1" x="530"/>
        <item m="1" x="286"/>
        <item m="1" x="533"/>
        <item m="1" x="306"/>
        <item m="1" x="99"/>
        <item m="1" x="491"/>
        <item m="1" x="301"/>
        <item m="1" x="260"/>
        <item m="1" x="358"/>
        <item m="1" x="468"/>
        <item m="1" x="298"/>
        <item m="1" x="371"/>
        <item m="1" x="288"/>
        <item m="1" x="170"/>
        <item m="1" x="532"/>
        <item m="1" x="425"/>
        <item m="1" x="118"/>
        <item m="1" x="464"/>
        <item m="1" x="207"/>
        <item m="1" x="522"/>
        <item m="1" x="256"/>
        <item m="1" x="516"/>
        <item m="1" x="411"/>
        <item m="1" x="495"/>
        <item m="1" x="401"/>
        <item t="default"/>
      </items>
    </pivotField>
    <pivotField showAll="0"/>
    <pivotField showAll="0"/>
    <pivotField showAll="0"/>
    <pivotField axis="axisPage" multipleItemSelectionAllowed="1" showAll="0">
      <items count="4">
        <item x="0"/>
        <item h="1" x="2"/>
        <item h="1" x="1"/>
        <item t="default"/>
      </items>
    </pivotField>
    <pivotField axis="axisPage" multipleItemSelectionAllowed="1" showAll="0">
      <items count="15">
        <item h="1" m="1" x="9"/>
        <item h="1" m="1" x="12"/>
        <item x="0"/>
        <item h="1" m="1" x="5"/>
        <item h="1" m="1" x="8"/>
        <item h="1" m="1" x="6"/>
        <item h="1" m="1" x="10"/>
        <item h="1" m="1" x="3"/>
        <item h="1" m="1" x="11"/>
        <item h="1" m="1" x="7"/>
        <item h="1" m="1" x="13"/>
        <item h="1" m="1" x="4"/>
        <item h="1" m="1" x="2"/>
        <item h="1" x="1"/>
        <item t="default"/>
      </items>
    </pivotField>
    <pivotField axis="axisCol" showAll="0">
      <items count="8">
        <item x="2"/>
        <item x="1"/>
        <item x="0"/>
        <item m="1" x="6"/>
        <item x="4"/>
        <item x="3"/>
        <item m="1" x="5"/>
        <item t="default"/>
      </items>
    </pivotField>
    <pivotField axis="axisRow" showAll="0" sortType="descending">
      <items count="66">
        <item x="23"/>
        <item m="1" x="26"/>
        <item m="1" x="56"/>
        <item m="1" x="62"/>
        <item m="1" x="63"/>
        <item m="1" x="37"/>
        <item m="1" x="36"/>
        <item m="1" x="59"/>
        <item x="21"/>
        <item x="18"/>
        <item x="20"/>
        <item m="1" x="35"/>
        <item m="1" x="45"/>
        <item x="5"/>
        <item m="1" x="51"/>
        <item x="10"/>
        <item x="2"/>
        <item x="4"/>
        <item x="1"/>
        <item m="1" x="28"/>
        <item m="1" x="39"/>
        <item m="1" x="33"/>
        <item m="1" x="32"/>
        <item m="1" x="25"/>
        <item m="1" x="27"/>
        <item m="1" x="54"/>
        <item m="1" x="61"/>
        <item m="1" x="47"/>
        <item m="1" x="46"/>
        <item x="13"/>
        <item m="1" x="40"/>
        <item m="1" x="57"/>
        <item m="1" x="55"/>
        <item x="11"/>
        <item x="0"/>
        <item x="3"/>
        <item m="1" x="52"/>
        <item m="1" x="42"/>
        <item m="1" x="60"/>
        <item m="1" x="43"/>
        <item m="1" x="38"/>
        <item m="1" x="24"/>
        <item x="16"/>
        <item m="1" x="50"/>
        <item m="1" x="48"/>
        <item m="1" x="58"/>
        <item x="17"/>
        <item m="1" x="29"/>
        <item m="1" x="31"/>
        <item m="1" x="41"/>
        <item m="1" x="44"/>
        <item m="1" x="30"/>
        <item m="1" x="64"/>
        <item m="1" x="34"/>
        <item x="6"/>
        <item x="7"/>
        <item x="8"/>
        <item x="9"/>
        <item x="12"/>
        <item x="14"/>
        <item x="15"/>
        <item x="19"/>
        <item x="22"/>
        <item m="1" x="53"/>
        <item m="1" x="49"/>
        <item t="default"/>
      </items>
      <autoSortScope>
        <pivotArea dataOnly="0" outline="0" fieldPosition="0">
          <references count="1">
            <reference field="4294967294" count="1" selected="0">
              <x v="0"/>
            </reference>
          </references>
        </pivotArea>
      </autoSortScope>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4">
        <item x="0"/>
        <item x="1"/>
        <item x="2"/>
        <item t="default"/>
      </items>
    </pivotField>
  </pivotFields>
  <rowFields count="2">
    <field x="32"/>
    <field x="25"/>
  </rowFields>
  <rowItems count="115">
    <i>
      <x v="35"/>
    </i>
    <i r="1">
      <x v="350"/>
    </i>
    <i r="1">
      <x v="356"/>
    </i>
    <i r="1">
      <x v="363"/>
    </i>
    <i r="1">
      <x v="365"/>
    </i>
    <i r="1">
      <x v="376"/>
    </i>
    <i r="1">
      <x v="377"/>
    </i>
    <i r="1">
      <x v="382"/>
    </i>
    <i r="1">
      <x v="395"/>
    </i>
    <i r="1">
      <x v="398"/>
    </i>
    <i r="1">
      <x v="404"/>
    </i>
    <i r="1">
      <x v="405"/>
    </i>
    <i r="1">
      <x v="408"/>
    </i>
    <i r="1">
      <x v="415"/>
    </i>
    <i>
      <x v="55"/>
    </i>
    <i r="1">
      <x v="354"/>
    </i>
    <i r="1">
      <x v="367"/>
    </i>
    <i r="1">
      <x v="375"/>
    </i>
    <i r="1">
      <x v="378"/>
    </i>
    <i r="1">
      <x v="387"/>
    </i>
    <i r="1">
      <x v="388"/>
    </i>
    <i r="1">
      <x v="396"/>
    </i>
    <i r="1">
      <x v="406"/>
    </i>
    <i r="1">
      <x v="416"/>
    </i>
    <i r="1">
      <x v="417"/>
    </i>
    <i r="1">
      <x v="430"/>
    </i>
    <i>
      <x v="18"/>
    </i>
    <i r="1">
      <x v="273"/>
    </i>
    <i r="1">
      <x v="349"/>
    </i>
    <i r="1">
      <x v="364"/>
    </i>
    <i r="1">
      <x v="369"/>
    </i>
    <i r="1">
      <x v="390"/>
    </i>
    <i r="1">
      <x v="391"/>
    </i>
    <i r="1">
      <x v="397"/>
    </i>
    <i r="1">
      <x v="418"/>
    </i>
    <i>
      <x v="33"/>
    </i>
    <i r="1">
      <x v="273"/>
    </i>
    <i r="1">
      <x v="361"/>
    </i>
    <i r="1">
      <x v="368"/>
    </i>
    <i r="1">
      <x v="386"/>
    </i>
    <i r="1">
      <x v="392"/>
    </i>
    <i r="1">
      <x v="393"/>
    </i>
    <i r="1">
      <x v="400"/>
    </i>
    <i r="1">
      <x v="426"/>
    </i>
    <i r="1">
      <x v="427"/>
    </i>
    <i r="1">
      <x v="429"/>
    </i>
    <i>
      <x v="34"/>
    </i>
    <i r="1">
      <x v="273"/>
    </i>
    <i r="1">
      <x v="355"/>
    </i>
    <i r="1">
      <x v="372"/>
    </i>
    <i r="1">
      <x v="394"/>
    </i>
    <i r="1">
      <x v="419"/>
    </i>
    <i r="1">
      <x v="421"/>
    </i>
    <i r="1">
      <x v="424"/>
    </i>
    <i>
      <x v="13"/>
    </i>
    <i r="1">
      <x v="273"/>
    </i>
    <i r="1">
      <x v="352"/>
    </i>
    <i r="1">
      <x v="374"/>
    </i>
    <i r="1">
      <x v="379"/>
    </i>
    <i r="1">
      <x v="383"/>
    </i>
    <i r="1">
      <x v="384"/>
    </i>
    <i r="1">
      <x v="385"/>
    </i>
    <i r="1">
      <x v="420"/>
    </i>
    <i r="1">
      <x v="433"/>
    </i>
    <i>
      <x v="17"/>
    </i>
    <i r="1">
      <x v="273"/>
    </i>
    <i r="1">
      <x v="351"/>
    </i>
    <i r="1">
      <x v="373"/>
    </i>
    <i r="1">
      <x v="412"/>
    </i>
    <i r="1">
      <x v="414"/>
    </i>
    <i r="1">
      <x v="432"/>
    </i>
    <i>
      <x v="15"/>
    </i>
    <i r="1">
      <x v="174"/>
    </i>
    <i r="1">
      <x v="360"/>
    </i>
    <i r="1">
      <x v="362"/>
    </i>
    <i r="1">
      <x v="366"/>
    </i>
    <i r="1">
      <x v="413"/>
    </i>
    <i r="1">
      <x v="428"/>
    </i>
    <i r="1">
      <x v="434"/>
    </i>
    <i>
      <x v="56"/>
    </i>
    <i r="1">
      <x v="358"/>
    </i>
    <i r="1">
      <x v="380"/>
    </i>
    <i>
      <x v="59"/>
    </i>
    <i r="1">
      <x v="381"/>
    </i>
    <i r="1">
      <x v="425"/>
    </i>
    <i>
      <x v="57"/>
    </i>
    <i r="1">
      <x v="359"/>
    </i>
    <i r="1">
      <x v="411"/>
    </i>
    <i>
      <x v="54"/>
    </i>
    <i r="1">
      <x v="353"/>
    </i>
    <i r="1">
      <x v="357"/>
    </i>
    <i r="1">
      <x v="407"/>
    </i>
    <i>
      <x v="9"/>
    </i>
    <i r="1">
      <x v="402"/>
    </i>
    <i r="1">
      <x v="423"/>
    </i>
    <i>
      <x v="8"/>
    </i>
    <i r="1">
      <x v="422"/>
    </i>
    <i>
      <x v="58"/>
    </i>
    <i r="1">
      <x v="370"/>
    </i>
    <i r="1">
      <x v="410"/>
    </i>
    <i>
      <x v="10"/>
    </i>
    <i r="1">
      <x v="409"/>
    </i>
    <i>
      <x v="29"/>
    </i>
    <i r="1">
      <x v="371"/>
    </i>
    <i>
      <x v="62"/>
    </i>
    <i r="1">
      <x v="431"/>
    </i>
    <i r="1">
      <x v="435"/>
    </i>
    <i>
      <x v="42"/>
    </i>
    <i r="1">
      <x v="177"/>
    </i>
    <i r="1">
      <x v="399"/>
    </i>
    <i>
      <x v="60"/>
    </i>
    <i r="1">
      <x v="389"/>
    </i>
    <i>
      <x v="16"/>
    </i>
    <i r="1">
      <x v="268"/>
    </i>
    <i t="grand">
      <x/>
    </i>
  </rowItems>
  <colFields count="1">
    <field x="31"/>
  </colFields>
  <colItems count="4">
    <i>
      <x/>
    </i>
    <i>
      <x v="1"/>
    </i>
    <i>
      <x v="2"/>
    </i>
    <i t="grand">
      <x/>
    </i>
  </colItems>
  <pageFields count="3">
    <pageField fld="29" hier="-1"/>
    <pageField fld="30" hier="-1"/>
    <pageField fld="47" hier="-1"/>
  </pageFields>
  <dataFields count="1">
    <dataField name="Count of AWB" fld="2" subtotal="count" baseField="0" baseItem="0"/>
  </dataFields>
  <chartFormats count="6">
    <chartFormat chart="1" format="0" series="1">
      <pivotArea type="data" outline="0" fieldPosition="0">
        <references count="2">
          <reference field="4294967294" count="1" selected="0">
            <x v="0"/>
          </reference>
          <reference field="47" count="1" selected="0">
            <x v="0"/>
          </reference>
        </references>
      </pivotArea>
    </chartFormat>
    <chartFormat chart="1" format="1" series="1">
      <pivotArea type="data" outline="0" fieldPosition="0">
        <references count="2">
          <reference field="4294967294" count="1" selected="0">
            <x v="0"/>
          </reference>
          <reference field="47" count="1" selected="0">
            <x v="1"/>
          </reference>
        </references>
      </pivotArea>
    </chartFormat>
    <chartFormat chart="12" format="0" series="1">
      <pivotArea type="data" outline="0" fieldPosition="0">
        <references count="2">
          <reference field="4294967294" count="1" selected="0">
            <x v="0"/>
          </reference>
          <reference field="47" count="1" selected="0">
            <x v="0"/>
          </reference>
        </references>
      </pivotArea>
    </chartFormat>
    <chartFormat chart="12" format="1" series="1">
      <pivotArea type="data" outline="0" fieldPosition="0">
        <references count="2">
          <reference field="4294967294" count="1" selected="0">
            <x v="0"/>
          </reference>
          <reference field="47" count="1" selected="0">
            <x v="1"/>
          </reference>
        </references>
      </pivotArea>
    </chartFormat>
    <chartFormat chart="15" format="0" series="1">
      <pivotArea type="data" outline="0" fieldPosition="0">
        <references count="1">
          <reference field="4294967294" count="1" selected="0">
            <x v="0"/>
          </reference>
        </references>
      </pivotArea>
    </chartFormat>
    <chartFormat chart="19"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PivotTable5" cacheId="9"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3">
  <location ref="A19:B41" firstHeaderRow="1" firstDataRow="1" firstDataCol="1" rowPageCount="3" colPageCount="1"/>
  <pivotFields count="48">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multipleItemSelectionAllowed="1"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4">
        <item x="0"/>
        <item h="1" x="2"/>
        <item h="1" x="1"/>
        <item t="default"/>
      </items>
    </pivotField>
    <pivotField axis="axisPage" multipleItemSelectionAllowed="1" showAll="0">
      <items count="15">
        <item h="1" m="1" x="9"/>
        <item h="1" m="1" x="12"/>
        <item x="0"/>
        <item h="1" m="1" x="5"/>
        <item h="1" m="1" x="8"/>
        <item h="1" m="1" x="6"/>
        <item h="1" m="1" x="10"/>
        <item h="1" m="1" x="3"/>
        <item h="1" m="1" x="11"/>
        <item h="1" m="1" x="7"/>
        <item h="1" m="1" x="13"/>
        <item h="1" m="1" x="4"/>
        <item h="1" m="1" x="2"/>
        <item h="1" x="1"/>
        <item t="default"/>
      </items>
    </pivotField>
    <pivotField showAll="0">
      <items count="8">
        <item m="1" x="5"/>
        <item x="3"/>
        <item x="2"/>
        <item x="1"/>
        <item x="0"/>
        <item m="1" x="6"/>
        <item x="4"/>
        <item t="default"/>
      </items>
    </pivotField>
    <pivotField axis="axisRow" showAll="0" sortType="descending">
      <items count="66">
        <item m="1" x="52"/>
        <item x="3"/>
        <item x="0"/>
        <item x="11"/>
        <item m="1" x="55"/>
        <item m="1" x="57"/>
        <item m="1" x="40"/>
        <item x="13"/>
        <item m="1" x="46"/>
        <item m="1" x="47"/>
        <item m="1" x="61"/>
        <item m="1" x="54"/>
        <item m="1" x="27"/>
        <item m="1" x="25"/>
        <item m="1" x="32"/>
        <item m="1" x="33"/>
        <item m="1" x="39"/>
        <item m="1" x="28"/>
        <item x="1"/>
        <item x="4"/>
        <item x="2"/>
        <item x="10"/>
        <item m="1" x="51"/>
        <item x="5"/>
        <item m="1" x="45"/>
        <item m="1" x="35"/>
        <item x="20"/>
        <item x="18"/>
        <item x="21"/>
        <item m="1" x="59"/>
        <item m="1" x="36"/>
        <item m="1" x="37"/>
        <item m="1" x="63"/>
        <item m="1" x="62"/>
        <item m="1" x="56"/>
        <item m="1" x="26"/>
        <item x="23"/>
        <item m="1" x="42"/>
        <item m="1" x="60"/>
        <item m="1" x="43"/>
        <item m="1" x="38"/>
        <item m="1" x="24"/>
        <item x="16"/>
        <item m="1" x="50"/>
        <item m="1" x="48"/>
        <item m="1" x="58"/>
        <item x="17"/>
        <item m="1" x="29"/>
        <item m="1" x="31"/>
        <item m="1" x="41"/>
        <item m="1" x="44"/>
        <item m="1" x="30"/>
        <item m="1" x="64"/>
        <item m="1" x="34"/>
        <item x="6"/>
        <item x="7"/>
        <item x="8"/>
        <item x="9"/>
        <item x="12"/>
        <item x="14"/>
        <item x="15"/>
        <item x="19"/>
        <item x="22"/>
        <item m="1" x="53"/>
        <item m="1" x="49"/>
        <item t="default"/>
      </items>
      <autoSortScope>
        <pivotArea dataOnly="0" outline="0" fieldPosition="0">
          <references count="1">
            <reference field="4294967294" count="1" selected="0">
              <x v="0"/>
            </reference>
          </references>
        </pivotArea>
      </autoSortScope>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4">
        <item x="0"/>
        <item x="1"/>
        <item x="2"/>
        <item t="default"/>
      </items>
    </pivotField>
  </pivotFields>
  <rowFields count="1">
    <field x="32"/>
  </rowFields>
  <rowItems count="22">
    <i>
      <x v="1"/>
    </i>
    <i>
      <x v="55"/>
    </i>
    <i>
      <x v="18"/>
    </i>
    <i>
      <x v="3"/>
    </i>
    <i>
      <x v="2"/>
    </i>
    <i>
      <x v="23"/>
    </i>
    <i>
      <x v="19"/>
    </i>
    <i>
      <x v="21"/>
    </i>
    <i>
      <x v="56"/>
    </i>
    <i>
      <x v="59"/>
    </i>
    <i>
      <x v="57"/>
    </i>
    <i>
      <x v="54"/>
    </i>
    <i>
      <x v="28"/>
    </i>
    <i>
      <x v="27"/>
    </i>
    <i>
      <x v="26"/>
    </i>
    <i>
      <x v="58"/>
    </i>
    <i>
      <x v="62"/>
    </i>
    <i>
      <x v="42"/>
    </i>
    <i>
      <x v="7"/>
    </i>
    <i>
      <x v="60"/>
    </i>
    <i>
      <x v="20"/>
    </i>
    <i t="grand">
      <x/>
    </i>
  </rowItems>
  <colItems count="1">
    <i/>
  </colItems>
  <pageFields count="3">
    <pageField fld="29" hier="-1"/>
    <pageField fld="30" hier="-1"/>
    <pageField fld="47" hier="-1"/>
  </pageFields>
  <dataFields count="1">
    <dataField name="Count of AWB" fld="2" subtotal="count" baseField="0" baseItem="0"/>
  </dataFields>
  <chartFormats count="47">
    <chartFormat chart="1" format="0" series="1">
      <pivotArea type="data" outline="0" fieldPosition="0">
        <references count="2">
          <reference field="4294967294" count="1" selected="0">
            <x v="0"/>
          </reference>
          <reference field="47" count="1" selected="0">
            <x v="0"/>
          </reference>
        </references>
      </pivotArea>
    </chartFormat>
    <chartFormat chart="1" format="1" series="1">
      <pivotArea type="data" outline="0" fieldPosition="0">
        <references count="2">
          <reference field="4294967294" count="1" selected="0">
            <x v="0"/>
          </reference>
          <reference field="47" count="1" selected="0">
            <x v="1"/>
          </reference>
        </references>
      </pivotArea>
    </chartFormat>
    <chartFormat chart="12" format="0" series="1">
      <pivotArea type="data" outline="0" fieldPosition="0">
        <references count="2">
          <reference field="4294967294" count="1" selected="0">
            <x v="0"/>
          </reference>
          <reference field="47" count="1" selected="0">
            <x v="0"/>
          </reference>
        </references>
      </pivotArea>
    </chartFormat>
    <chartFormat chart="12" format="1" series="1">
      <pivotArea type="data" outline="0" fieldPosition="0">
        <references count="2">
          <reference field="4294967294" count="1" selected="0">
            <x v="0"/>
          </reference>
          <reference field="47" count="1" selected="0">
            <x v="1"/>
          </reference>
        </references>
      </pivotArea>
    </chartFormat>
    <chartFormat chart="19" format="0" series="1">
      <pivotArea type="data" outline="0" fieldPosition="0">
        <references count="1">
          <reference field="4294967294" count="1" selected="0">
            <x v="0"/>
          </reference>
        </references>
      </pivotArea>
    </chartFormat>
    <chartFormat chart="19" format="1">
      <pivotArea type="data" outline="0" fieldPosition="0">
        <references count="2">
          <reference field="4294967294" count="1" selected="0">
            <x v="0"/>
          </reference>
          <reference field="32" count="1" selected="0">
            <x v="24"/>
          </reference>
        </references>
      </pivotArea>
    </chartFormat>
    <chartFormat chart="19" format="2">
      <pivotArea type="data" outline="0" fieldPosition="0">
        <references count="2">
          <reference field="4294967294" count="1" selected="0">
            <x v="0"/>
          </reference>
          <reference field="32" count="1" selected="0">
            <x v="1"/>
          </reference>
        </references>
      </pivotArea>
    </chartFormat>
    <chartFormat chart="19" format="3">
      <pivotArea type="data" outline="0" fieldPosition="0">
        <references count="2">
          <reference field="4294967294" count="1" selected="0">
            <x v="0"/>
          </reference>
          <reference field="32" count="1" selected="0">
            <x v="3"/>
          </reference>
        </references>
      </pivotArea>
    </chartFormat>
    <chartFormat chart="19" format="4">
      <pivotArea type="data" outline="0" fieldPosition="0">
        <references count="2">
          <reference field="4294967294" count="1" selected="0">
            <x v="0"/>
          </reference>
          <reference field="32" count="1" selected="0">
            <x v="19"/>
          </reference>
        </references>
      </pivotArea>
    </chartFormat>
    <chartFormat chart="19" format="5">
      <pivotArea type="data" outline="0" fieldPosition="0">
        <references count="2">
          <reference field="4294967294" count="1" selected="0">
            <x v="0"/>
          </reference>
          <reference field="32" count="1" selected="0">
            <x v="23"/>
          </reference>
        </references>
      </pivotArea>
    </chartFormat>
    <chartFormat chart="19" format="6">
      <pivotArea type="data" outline="0" fieldPosition="0">
        <references count="2">
          <reference field="4294967294" count="1" selected="0">
            <x v="0"/>
          </reference>
          <reference field="32" count="1" selected="0">
            <x v="18"/>
          </reference>
        </references>
      </pivotArea>
    </chartFormat>
    <chartFormat chart="19" format="7">
      <pivotArea type="data" outline="0" fieldPosition="0">
        <references count="2">
          <reference field="4294967294" count="1" selected="0">
            <x v="0"/>
          </reference>
          <reference field="32" count="1" selected="0">
            <x v="21"/>
          </reference>
        </references>
      </pivotArea>
    </chartFormat>
    <chartFormat chart="19" format="8">
      <pivotArea type="data" outline="0" fieldPosition="0">
        <references count="2">
          <reference field="4294967294" count="1" selected="0">
            <x v="0"/>
          </reference>
          <reference field="32" count="1" selected="0">
            <x v="2"/>
          </reference>
        </references>
      </pivotArea>
    </chartFormat>
    <chartFormat chart="19" format="9">
      <pivotArea type="data" outline="0" fieldPosition="0">
        <references count="2">
          <reference field="4294967294" count="1" selected="0">
            <x v="0"/>
          </reference>
          <reference field="32" count="1" selected="0">
            <x v="35"/>
          </reference>
        </references>
      </pivotArea>
    </chartFormat>
    <chartFormat chart="19" format="10">
      <pivotArea type="data" outline="0" fieldPosition="0">
        <references count="2">
          <reference field="4294967294" count="1" selected="0">
            <x v="0"/>
          </reference>
          <reference field="32" count="1" selected="0">
            <x v="40"/>
          </reference>
        </references>
      </pivotArea>
    </chartFormat>
    <chartFormat chart="19" format="11">
      <pivotArea type="data" outline="0" fieldPosition="0">
        <references count="2">
          <reference field="4294967294" count="1" selected="0">
            <x v="0"/>
          </reference>
          <reference field="32" count="1" selected="0">
            <x v="50"/>
          </reference>
        </references>
      </pivotArea>
    </chartFormat>
    <chartFormat chart="19" format="12">
      <pivotArea type="data" outline="0" fieldPosition="0">
        <references count="2">
          <reference field="4294967294" count="1" selected="0">
            <x v="0"/>
          </reference>
          <reference field="32" count="1" selected="0">
            <x v="29"/>
          </reference>
        </references>
      </pivotArea>
    </chartFormat>
    <chartFormat chart="19" format="13">
      <pivotArea type="data" outline="0" fieldPosition="0">
        <references count="2">
          <reference field="4294967294" count="1" selected="0">
            <x v="0"/>
          </reference>
          <reference field="32" count="1" selected="0">
            <x v="25"/>
          </reference>
        </references>
      </pivotArea>
    </chartFormat>
    <chartFormat chart="19" format="14">
      <pivotArea type="data" outline="0" fieldPosition="0">
        <references count="2">
          <reference field="4294967294" count="1" selected="0">
            <x v="0"/>
          </reference>
          <reference field="32" count="1" selected="0">
            <x v="30"/>
          </reference>
        </references>
      </pivotArea>
    </chartFormat>
    <chartFormat chart="19" format="15">
      <pivotArea type="data" outline="0" fieldPosition="0">
        <references count="2">
          <reference field="4294967294" count="1" selected="0">
            <x v="0"/>
          </reference>
          <reference field="32" count="1" selected="0">
            <x v="7"/>
          </reference>
        </references>
      </pivotArea>
    </chartFormat>
    <chartFormat chart="19" format="16">
      <pivotArea type="data" outline="0" fieldPosition="0">
        <references count="2">
          <reference field="4294967294" count="1" selected="0">
            <x v="0"/>
          </reference>
          <reference field="32" count="1" selected="0">
            <x v="49"/>
          </reference>
        </references>
      </pivotArea>
    </chartFormat>
    <chartFormat chart="19" format="17">
      <pivotArea type="data" outline="0" fieldPosition="0">
        <references count="2">
          <reference field="4294967294" count="1" selected="0">
            <x v="0"/>
          </reference>
          <reference field="32" count="1" selected="0">
            <x v="20"/>
          </reference>
        </references>
      </pivotArea>
    </chartFormat>
    <chartFormat chart="19" format="18">
      <pivotArea type="data" outline="0" fieldPosition="0">
        <references count="2">
          <reference field="4294967294" count="1" selected="0">
            <x v="0"/>
          </reference>
          <reference field="32" count="1" selected="0">
            <x v="51"/>
          </reference>
        </references>
      </pivotArea>
    </chartFormat>
    <chartFormat chart="19" format="19">
      <pivotArea type="data" outline="0" fieldPosition="0">
        <references count="2">
          <reference field="4294967294" count="1" selected="0">
            <x v="0"/>
          </reference>
          <reference field="32" count="1" selected="0">
            <x v="26"/>
          </reference>
        </references>
      </pivotArea>
    </chartFormat>
    <chartFormat chart="19" format="20">
      <pivotArea type="data" outline="0" fieldPosition="0">
        <references count="2">
          <reference field="4294967294" count="1" selected="0">
            <x v="0"/>
          </reference>
          <reference field="32" count="1" selected="0">
            <x v="32"/>
          </reference>
        </references>
      </pivotArea>
    </chartFormat>
    <chartFormat chart="19" format="21">
      <pivotArea type="data" outline="0" fieldPosition="0">
        <references count="2">
          <reference field="4294967294" count="1" selected="0">
            <x v="0"/>
          </reference>
          <reference field="32" count="1" selected="0">
            <x v="44"/>
          </reference>
        </references>
      </pivotArea>
    </chartFormat>
    <chartFormat chart="19" format="22">
      <pivotArea type="data" outline="0" fieldPosition="0">
        <references count="2">
          <reference field="4294967294" count="1" selected="0">
            <x v="0"/>
          </reference>
          <reference field="32" count="1" selected="0">
            <x v="27"/>
          </reference>
        </references>
      </pivotArea>
    </chartFormat>
    <chartFormat chart="19" format="23">
      <pivotArea type="data" outline="0" fieldPosition="0">
        <references count="2">
          <reference field="4294967294" count="1" selected="0">
            <x v="0"/>
          </reference>
          <reference field="32" count="1" selected="0">
            <x v="4"/>
          </reference>
        </references>
      </pivotArea>
    </chartFormat>
    <chartFormat chart="19" format="24">
      <pivotArea type="data" outline="0" fieldPosition="0">
        <references count="2">
          <reference field="4294967294" count="1" selected="0">
            <x v="0"/>
          </reference>
          <reference field="32" count="1" selected="0">
            <x v="5"/>
          </reference>
        </references>
      </pivotArea>
    </chartFormat>
    <chartFormat chart="19" format="25">
      <pivotArea type="data" outline="0" fieldPosition="0">
        <references count="2">
          <reference field="4294967294" count="1" selected="0">
            <x v="0"/>
          </reference>
          <reference field="32" count="1" selected="0">
            <x v="31"/>
          </reference>
        </references>
      </pivotArea>
    </chartFormat>
    <chartFormat chart="19" format="26">
      <pivotArea type="data" outline="0" fieldPosition="0">
        <references count="2">
          <reference field="4294967294" count="1" selected="0">
            <x v="0"/>
          </reference>
          <reference field="32" count="1" selected="0">
            <x v="9"/>
          </reference>
        </references>
      </pivotArea>
    </chartFormat>
    <chartFormat chart="19" format="27">
      <pivotArea type="data" outline="0" fieldPosition="0">
        <references count="2">
          <reference field="4294967294" count="1" selected="0">
            <x v="0"/>
          </reference>
          <reference field="32" count="1" selected="0">
            <x v="42"/>
          </reference>
        </references>
      </pivotArea>
    </chartFormat>
    <chartFormat chart="19" format="28">
      <pivotArea type="data" outline="0" fieldPosition="0">
        <references count="2">
          <reference field="4294967294" count="1" selected="0">
            <x v="0"/>
          </reference>
          <reference field="32" count="1" selected="0">
            <x v="33"/>
          </reference>
        </references>
      </pivotArea>
    </chartFormat>
    <chartFormat chart="19" format="29">
      <pivotArea type="data" outline="0" fieldPosition="0">
        <references count="2">
          <reference field="4294967294" count="1" selected="0">
            <x v="0"/>
          </reference>
          <reference field="32" count="1" selected="0">
            <x v="53"/>
          </reference>
        </references>
      </pivotArea>
    </chartFormat>
    <chartFormat chart="19" format="30">
      <pivotArea type="data" outline="0" fieldPosition="0">
        <references count="2">
          <reference field="4294967294" count="1" selected="0">
            <x v="0"/>
          </reference>
          <reference field="32" count="1" selected="0">
            <x v="16"/>
          </reference>
        </references>
      </pivotArea>
    </chartFormat>
    <chartFormat chart="19" format="31">
      <pivotArea type="data" outline="0" fieldPosition="0">
        <references count="2">
          <reference field="4294967294" count="1" selected="0">
            <x v="0"/>
          </reference>
          <reference field="32" count="1" selected="0">
            <x v="55"/>
          </reference>
        </references>
      </pivotArea>
    </chartFormat>
    <chartFormat chart="19" format="32">
      <pivotArea type="data" outline="0" fieldPosition="0">
        <references count="2">
          <reference field="4294967294" count="1" selected="0">
            <x v="0"/>
          </reference>
          <reference field="32" count="1" selected="0">
            <x v="59"/>
          </reference>
        </references>
      </pivotArea>
    </chartFormat>
    <chartFormat chart="19" format="33">
      <pivotArea type="data" outline="0" fieldPosition="0">
        <references count="2">
          <reference field="4294967294" count="1" selected="0">
            <x v="0"/>
          </reference>
          <reference field="32" count="1" selected="0">
            <x v="62"/>
          </reference>
        </references>
      </pivotArea>
    </chartFormat>
    <chartFormat chart="19" format="34">
      <pivotArea type="data" outline="0" fieldPosition="0">
        <references count="2">
          <reference field="4294967294" count="1" selected="0">
            <x v="0"/>
          </reference>
          <reference field="32" count="1" selected="0">
            <x v="54"/>
          </reference>
        </references>
      </pivotArea>
    </chartFormat>
    <chartFormat chart="19" format="35">
      <pivotArea type="data" outline="0" fieldPosition="0">
        <references count="2">
          <reference field="4294967294" count="1" selected="0">
            <x v="0"/>
          </reference>
          <reference field="32" count="1" selected="0">
            <x v="56"/>
          </reference>
        </references>
      </pivotArea>
    </chartFormat>
    <chartFormat chart="19" format="36">
      <pivotArea type="data" outline="0" fieldPosition="0">
        <references count="2">
          <reference field="4294967294" count="1" selected="0">
            <x v="0"/>
          </reference>
          <reference field="32" count="1" selected="0">
            <x v="58"/>
          </reference>
        </references>
      </pivotArea>
    </chartFormat>
    <chartFormat chart="19" format="37">
      <pivotArea type="data" outline="0" fieldPosition="0">
        <references count="2">
          <reference field="4294967294" count="1" selected="0">
            <x v="0"/>
          </reference>
          <reference field="32" count="1" selected="0">
            <x v="8"/>
          </reference>
        </references>
      </pivotArea>
    </chartFormat>
    <chartFormat chart="19" format="38">
      <pivotArea type="data" outline="0" fieldPosition="0">
        <references count="2">
          <reference field="4294967294" count="1" selected="0">
            <x v="0"/>
          </reference>
          <reference field="32" count="1" selected="0">
            <x v="57"/>
          </reference>
        </references>
      </pivotArea>
    </chartFormat>
    <chartFormat chart="19" format="39">
      <pivotArea type="data" outline="0" fieldPosition="0">
        <references count="2">
          <reference field="4294967294" count="1" selected="0">
            <x v="0"/>
          </reference>
          <reference field="32" count="1" selected="0">
            <x v="28"/>
          </reference>
        </references>
      </pivotArea>
    </chartFormat>
    <chartFormat chart="19" format="40">
      <pivotArea type="data" outline="0" fieldPosition="0">
        <references count="2">
          <reference field="4294967294" count="1" selected="0">
            <x v="0"/>
          </reference>
          <reference field="32" count="1" selected="0">
            <x v="60"/>
          </reference>
        </references>
      </pivotArea>
    </chartFormat>
    <chartFormat chart="19" format="41">
      <pivotArea type="data" outline="0" fieldPosition="0">
        <references count="2">
          <reference field="4294967294" count="1" selected="0">
            <x v="0"/>
          </reference>
          <reference field="32" count="1" selected="0">
            <x v="63"/>
          </reference>
        </references>
      </pivotArea>
    </chartFormat>
    <chartFormat chart="19" format="42">
      <pivotArea type="data" outline="0" fieldPosition="0">
        <references count="2">
          <reference field="4294967294" count="1" selected="0">
            <x v="0"/>
          </reference>
          <reference field="32" count="1" selected="0">
            <x v="64"/>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PivotTable2" cacheId="9"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1">
  <location ref="A7:D12" firstHeaderRow="1" firstDataRow="2" firstDataCol="1" rowPageCount="3" colPageCount="1"/>
  <pivotFields count="48">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7">
        <item x="0"/>
        <item h="1" x="4"/>
        <item h="1" x="3"/>
        <item h="1" x="1"/>
        <item h="1" x="2"/>
        <item h="1" m="1" x="5"/>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4">
        <item x="0"/>
        <item h="1" x="2"/>
        <item h="1" x="1"/>
        <item t="default"/>
      </items>
    </pivotField>
    <pivotField axis="axisPage" multipleItemSelectionAllowed="1" showAll="0">
      <items count="15">
        <item h="1" m="1" x="9"/>
        <item h="1" m="1" x="12"/>
        <item x="0"/>
        <item h="1" m="1" x="5"/>
        <item h="1" m="1" x="8"/>
        <item h="1" m="1" x="6"/>
        <item h="1" m="1" x="10"/>
        <item h="1" m="1" x="3"/>
        <item h="1" m="1" x="11"/>
        <item h="1" m="1" x="7"/>
        <item h="1" m="1" x="13"/>
        <item h="1" m="1" x="4"/>
        <item h="1" m="1" x="2"/>
        <item h="1" x="1"/>
        <item t="default"/>
      </items>
    </pivotField>
    <pivotField axis="axisRow" showAll="0">
      <items count="8">
        <item x="2"/>
        <item x="1"/>
        <item x="0"/>
        <item m="1" x="6"/>
        <item x="4"/>
        <item x="3"/>
        <item m="1" x="5"/>
        <item t="default"/>
      </items>
    </pivotField>
    <pivotField showAll="0" sortType="descending">
      <autoSortScope>
        <pivotArea dataOnly="0" outline="0" fieldPosition="0">
          <references count="1">
            <reference field="4294967294" count="1" selected="0">
              <x v="0"/>
            </reference>
          </references>
        </pivotArea>
      </autoSortScope>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Col" showAll="0">
      <items count="4">
        <item x="0"/>
        <item x="1"/>
        <item x="2"/>
        <item t="default"/>
      </items>
    </pivotField>
  </pivotFields>
  <rowFields count="1">
    <field x="31"/>
  </rowFields>
  <rowItems count="4">
    <i>
      <x/>
    </i>
    <i>
      <x v="1"/>
    </i>
    <i>
      <x v="2"/>
    </i>
    <i t="grand">
      <x/>
    </i>
  </rowItems>
  <colFields count="1">
    <field x="47"/>
  </colFields>
  <colItems count="3">
    <i>
      <x/>
    </i>
    <i>
      <x v="1"/>
    </i>
    <i t="grand">
      <x/>
    </i>
  </colItems>
  <pageFields count="3">
    <pageField fld="13" hier="-1"/>
    <pageField fld="29" hier="-1"/>
    <pageField fld="30" hier="-1"/>
  </pageFields>
  <dataFields count="1">
    <dataField name="Count of AWB" fld="2" subtotal="count" baseField="0" baseItem="0"/>
  </dataFields>
  <formats count="32">
    <format dxfId="37">
      <pivotArea type="all" dataOnly="0" outline="0" fieldPosition="0"/>
    </format>
    <format dxfId="36">
      <pivotArea outline="0" collapsedLevelsAreSubtotals="1" fieldPosition="0"/>
    </format>
    <format dxfId="35">
      <pivotArea dataOnly="0" labelOnly="1" fieldPosition="0">
        <references count="1">
          <reference field="31" count="3">
            <x v="0"/>
            <x v="1"/>
            <x v="2"/>
          </reference>
        </references>
      </pivotArea>
    </format>
    <format dxfId="34">
      <pivotArea dataOnly="0" labelOnly="1" grandRow="1" outline="0" fieldPosition="0"/>
    </format>
    <format dxfId="33">
      <pivotArea dataOnly="0" labelOnly="1" fieldPosition="0">
        <references count="1">
          <reference field="47" count="2">
            <x v="0"/>
            <x v="1"/>
          </reference>
        </references>
      </pivotArea>
    </format>
    <format dxfId="32">
      <pivotArea dataOnly="0" labelOnly="1" grandCol="1" outline="0" fieldPosition="0"/>
    </format>
    <format dxfId="31">
      <pivotArea field="31" type="button" dataOnly="0" labelOnly="1" outline="0" axis="axisRow" fieldPosition="0"/>
    </format>
    <format dxfId="30">
      <pivotArea dataOnly="0" labelOnly="1" fieldPosition="0">
        <references count="1">
          <reference field="47" count="2">
            <x v="0"/>
            <x v="1"/>
          </reference>
        </references>
      </pivotArea>
    </format>
    <format dxfId="29">
      <pivotArea dataOnly="0" labelOnly="1" grandCol="1" outline="0" fieldPosition="0"/>
    </format>
    <format dxfId="28">
      <pivotArea collapsedLevelsAreSubtotals="1" fieldPosition="0">
        <references count="1">
          <reference field="31" count="3">
            <x v="0"/>
            <x v="1"/>
            <x v="2"/>
          </reference>
        </references>
      </pivotArea>
    </format>
    <format dxfId="27">
      <pivotArea dataOnly="0" labelOnly="1" fieldPosition="0">
        <references count="1">
          <reference field="31" count="3">
            <x v="0"/>
            <x v="1"/>
            <x v="2"/>
          </reference>
        </references>
      </pivotArea>
    </format>
    <format dxfId="26">
      <pivotArea dataOnly="0" labelOnly="1" outline="0" fieldPosition="0">
        <references count="1">
          <reference field="30" count="0"/>
        </references>
      </pivotArea>
    </format>
    <format dxfId="25">
      <pivotArea type="all" dataOnly="0" outline="0" fieldPosition="0"/>
    </format>
    <format dxfId="24">
      <pivotArea outline="0" collapsedLevelsAreSubtotals="1" fieldPosition="0"/>
    </format>
    <format dxfId="23">
      <pivotArea dataOnly="0" labelOnly="1" fieldPosition="0">
        <references count="1">
          <reference field="31" count="3">
            <x v="0"/>
            <x v="1"/>
            <x v="2"/>
          </reference>
        </references>
      </pivotArea>
    </format>
    <format dxfId="22">
      <pivotArea dataOnly="0" labelOnly="1" grandRow="1" outline="0" fieldPosition="0"/>
    </format>
    <format dxfId="21">
      <pivotArea dataOnly="0" labelOnly="1" fieldPosition="0">
        <references count="1">
          <reference field="47" count="2">
            <x v="0"/>
            <x v="1"/>
          </reference>
        </references>
      </pivotArea>
    </format>
    <format dxfId="20">
      <pivotArea dataOnly="0" labelOnly="1" grandCol="1" outline="0" fieldPosition="0"/>
    </format>
    <format dxfId="19">
      <pivotArea dataOnly="0" labelOnly="1" fieldPosition="0">
        <references count="1">
          <reference field="47" count="2">
            <x v="0"/>
            <x v="1"/>
          </reference>
        </references>
      </pivotArea>
    </format>
    <format dxfId="18">
      <pivotArea dataOnly="0" labelOnly="1" grandCol="1" outline="0" fieldPosition="0"/>
    </format>
    <format dxfId="17">
      <pivotArea type="all" dataOnly="0" outline="0" fieldPosition="0"/>
    </format>
    <format dxfId="16">
      <pivotArea outline="0" collapsedLevelsAreSubtotals="1" fieldPosition="0"/>
    </format>
    <format dxfId="15">
      <pivotArea dataOnly="0" labelOnly="1" fieldPosition="0">
        <references count="1">
          <reference field="31" count="3">
            <x v="0"/>
            <x v="1"/>
            <x v="2"/>
          </reference>
        </references>
      </pivotArea>
    </format>
    <format dxfId="14">
      <pivotArea dataOnly="0" labelOnly="1" grandRow="1" outline="0" fieldPosition="0"/>
    </format>
    <format dxfId="13">
      <pivotArea dataOnly="0" labelOnly="1" fieldPosition="0">
        <references count="1">
          <reference field="47" count="2">
            <x v="0"/>
            <x v="1"/>
          </reference>
        </references>
      </pivotArea>
    </format>
    <format dxfId="12">
      <pivotArea dataOnly="0" labelOnly="1" grandCol="1" outline="0" fieldPosition="0"/>
    </format>
    <format dxfId="11">
      <pivotArea type="all" dataOnly="0" outline="0" fieldPosition="0"/>
    </format>
    <format dxfId="10">
      <pivotArea outline="0" collapsedLevelsAreSubtotals="1" fieldPosition="0"/>
    </format>
    <format dxfId="9">
      <pivotArea dataOnly="0" labelOnly="1" fieldPosition="0">
        <references count="1">
          <reference field="31" count="3">
            <x v="0"/>
            <x v="1"/>
            <x v="2"/>
          </reference>
        </references>
      </pivotArea>
    </format>
    <format dxfId="8">
      <pivotArea dataOnly="0" labelOnly="1" grandRow="1" outline="0" fieldPosition="0"/>
    </format>
    <format dxfId="7">
      <pivotArea dataOnly="0" labelOnly="1" fieldPosition="0">
        <references count="1">
          <reference field="47" count="2">
            <x v="0"/>
            <x v="1"/>
          </reference>
        </references>
      </pivotArea>
    </format>
    <format dxfId="6">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Vessel_Number" sourceName="Vessel Number">
  <pivotTables>
    <pivotTable tabId="2" name="PivotTable5"/>
    <pivotTable tabId="2" name="PivotTable3"/>
    <pivotTable tabId="2" name="PivotTable4"/>
  </pivotTables>
  <data>
    <tabular pivotCacheId="1">
      <items count="65">
        <i x="3" s="1"/>
        <i x="0" s="1"/>
        <i x="11" s="1"/>
        <i x="13" s="1"/>
        <i x="8" s="1"/>
        <i x="14" s="1"/>
        <i x="22" s="1"/>
        <i x="15" s="1"/>
        <i x="12" s="1"/>
        <i x="1" s="1"/>
        <i x="4" s="1"/>
        <i x="2" s="1"/>
        <i x="10" s="1"/>
        <i x="5" s="1"/>
        <i x="7" s="1"/>
        <i x="20" s="1"/>
        <i x="9" s="1"/>
        <i x="18" s="1"/>
        <i x="21" s="1"/>
        <i x="16" s="1"/>
        <i x="6" s="1"/>
        <i x="52" s="1" nd="1"/>
        <i x="55" s="1" nd="1"/>
        <i x="29" s="1" nd="1"/>
        <i x="57" s="1" nd="1"/>
        <i x="40" s="1" nd="1"/>
        <i x="17" s="1" nd="1"/>
        <i x="42" s="1" nd="1"/>
        <i x="50" s="1" nd="1"/>
        <i x="46" s="1" nd="1"/>
        <i x="47" s="1" nd="1"/>
        <i x="53" s="1" nd="1"/>
        <i x="61" s="1" nd="1"/>
        <i x="54" s="1" nd="1"/>
        <i x="27" s="1" nd="1"/>
        <i x="25" s="1" nd="1"/>
        <i x="32" s="1" nd="1"/>
        <i x="33" s="1" nd="1"/>
        <i x="39" s="1" nd="1"/>
        <i x="28" s="1" nd="1"/>
        <i x="43" s="1" nd="1"/>
        <i x="51" s="1" nd="1"/>
        <i x="45" s="1" nd="1"/>
        <i x="64" s="1" nd="1"/>
        <i x="60" s="1" nd="1"/>
        <i x="58" s="1" nd="1"/>
        <i x="19" s="1" nd="1"/>
        <i x="35" s="1" nd="1"/>
        <i x="59" s="1" nd="1"/>
        <i x="34" s="1" nd="1"/>
        <i x="49" s="1" nd="1"/>
        <i x="30" s="1" nd="1"/>
        <i x="36" s="1" nd="1"/>
        <i x="38" s="1" nd="1"/>
        <i x="37" s="1" nd="1"/>
        <i x="24" s="1" nd="1"/>
        <i x="63" s="1" nd="1"/>
        <i x="62" s="1" nd="1"/>
        <i x="56" s="1" nd="1"/>
        <i x="48" s="1" nd="1"/>
        <i x="41" s="1" nd="1"/>
        <i x="26" s="1" nd="1"/>
        <i x="44" s="1" nd="1"/>
        <i x="31" s="1" nd="1"/>
        <i x="23" s="1"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CONV_NON_CONV" sourceName="CONV/NON-CONV">
  <pivotTables>
    <pivotTable tabId="2" name="PivotTable5"/>
    <pivotTable tabId="2" name="PivotTable3"/>
    <pivotTable tabId="2" name="PivotTable4"/>
  </pivotTables>
  <data>
    <tabular pivotCacheId="1">
      <items count="3">
        <i x="0" s="1"/>
        <i x="1" s="1"/>
        <i x="2" s="1" nd="1"/>
      </items>
    </tabular>
  </data>
  <extLst>
    <x:ext xmlns:x15="http://schemas.microsoft.com/office/spreadsheetml/2010/11/main" uri="{470722E0-AACD-4C17-9CDC-17EF765DBC7E}">
      <x15:slicerCacheHideItemsWithNoData/>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Sort_Sequence__Processed" sourceName="Sort Sequence (Processed)">
  <pivotTables>
    <pivotTable tabId="2" name="PivotTable5"/>
    <pivotTable tabId="2" name="PivotTable3"/>
    <pivotTable tabId="2" name="PivotTable4"/>
  </pivotTables>
  <data>
    <tabular pivotCacheId="1">
      <items count="7">
        <i x="2" s="1"/>
        <i x="1" s="1"/>
        <i x="0" s="1"/>
        <i x="5" s="1" nd="1"/>
        <i x="3" s="1" nd="1"/>
        <i x="6" s="1" nd="1"/>
        <i x="4" s="1"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Vessel Number" cache="Slicer_Vessel_Number" caption="Vessel Number" rowHeight="241300"/>
  <slicer name="CONV/NON-CONV" cache="Slicer_CONV_NON_CONV" caption="CONV/NON-CONV" rowHeight="241300"/>
  <slicer name="Sort Sequence (Processed)" cache="Slicer_Sort_Sequence__Processed" caption="Sort Sequence (Processed)"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7" Type="http://schemas.microsoft.com/office/2007/relationships/slicer" Target="../slicers/slicer1.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AV52"/>
  <sheetViews>
    <sheetView workbookViewId="0">
      <selection activeCell="F48" sqref="F48"/>
    </sheetView>
  </sheetViews>
  <sheetFormatPr baseColWidth="10" defaultColWidth="9.140625" defaultRowHeight="15" x14ac:dyDescent="0.25"/>
  <cols>
    <col min="1" max="1" width="18.5703125" bestFit="1" customWidth="1"/>
    <col min="2" max="2" width="20.140625" bestFit="1" customWidth="1"/>
    <col min="3" max="3" width="13.140625" bestFit="1" customWidth="1"/>
    <col min="4" max="4" width="14" bestFit="1" customWidth="1"/>
    <col min="5" max="5" width="12.42578125" bestFit="1" customWidth="1"/>
    <col min="6" max="6" width="12.5703125" bestFit="1" customWidth="1"/>
    <col min="7" max="7" width="12.85546875" bestFit="1" customWidth="1"/>
    <col min="8" max="8" width="11.42578125" bestFit="1" customWidth="1"/>
    <col min="9" max="9" width="12.5703125" bestFit="1" customWidth="1"/>
    <col min="10" max="10" width="12.42578125" bestFit="1" customWidth="1"/>
    <col min="11" max="11" width="18.140625" bestFit="1" customWidth="1"/>
    <col min="12" max="12" width="17" bestFit="1" customWidth="1"/>
    <col min="13" max="13" width="14.28515625" bestFit="1" customWidth="1"/>
    <col min="15" max="15" width="7.5703125" bestFit="1" customWidth="1"/>
    <col min="16" max="16" width="11.85546875" bestFit="1" customWidth="1"/>
    <col min="17" max="17" width="34.5703125" bestFit="1" customWidth="1"/>
    <col min="18" max="18" width="18.85546875" bestFit="1" customWidth="1"/>
    <col min="19" max="19" width="22" bestFit="1" customWidth="1"/>
    <col min="20" max="21" width="18.85546875" bestFit="1" customWidth="1"/>
    <col min="22" max="22" width="12.28515625" bestFit="1" customWidth="1"/>
    <col min="23" max="23" width="14.140625" bestFit="1" customWidth="1"/>
    <col min="24" max="24" width="19.7109375" bestFit="1" customWidth="1"/>
    <col min="25" max="25" width="12.42578125" bestFit="1" customWidth="1"/>
    <col min="26" max="26" width="12.28515625" bestFit="1" customWidth="1"/>
    <col min="27" max="27" width="13.85546875" bestFit="1" customWidth="1"/>
    <col min="28" max="28" width="23.5703125" bestFit="1" customWidth="1"/>
    <col min="29" max="29" width="22.28515625" bestFit="1" customWidth="1"/>
    <col min="30" max="30" width="23.85546875" bestFit="1" customWidth="1"/>
    <col min="31" max="31" width="30.28515625" customWidth="1"/>
    <col min="32" max="32" width="25" bestFit="1" customWidth="1"/>
    <col min="33" max="33" width="14.7109375" bestFit="1" customWidth="1"/>
    <col min="34" max="34" width="14.42578125" bestFit="1" customWidth="1"/>
    <col min="35" max="35" width="14.7109375" bestFit="1" customWidth="1"/>
    <col min="36" max="36" width="11" bestFit="1" customWidth="1"/>
    <col min="37" max="37" width="18.28515625" bestFit="1" customWidth="1"/>
    <col min="38" max="38" width="15.85546875" bestFit="1" customWidth="1"/>
    <col min="39" max="39" width="17.85546875" bestFit="1" customWidth="1"/>
    <col min="40" max="40" width="21.85546875" bestFit="1" customWidth="1"/>
    <col min="41" max="41" width="72.7109375" bestFit="1" customWidth="1"/>
    <col min="42" max="42" width="15.7109375" customWidth="1"/>
    <col min="43" max="43" width="13.28515625" bestFit="1" customWidth="1"/>
    <col min="44" max="44" width="12.85546875" bestFit="1" customWidth="1"/>
    <col min="45" max="45" width="64.28515625" bestFit="1" customWidth="1"/>
    <col min="46" max="46" width="10.42578125" bestFit="1" customWidth="1"/>
    <col min="47" max="47" width="20.140625" bestFit="1" customWidth="1"/>
    <col min="48" max="48" width="17.7109375" style="1" bestFit="1" customWidth="1"/>
  </cols>
  <sheetData>
    <row r="1" spans="1:48" s="3" customFormat="1" ht="28.5" customHeight="1" x14ac:dyDescent="0.25">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c r="Z1" t="s">
        <v>25</v>
      </c>
      <c r="AA1" t="s">
        <v>26</v>
      </c>
      <c r="AB1" t="s">
        <v>27</v>
      </c>
      <c r="AC1" t="s">
        <v>28</v>
      </c>
      <c r="AD1" t="s">
        <v>29</v>
      </c>
      <c r="AE1" t="s">
        <v>30</v>
      </c>
      <c r="AF1" t="s">
        <v>31</v>
      </c>
      <c r="AG1" t="s">
        <v>32</v>
      </c>
      <c r="AH1" t="s">
        <v>33</v>
      </c>
      <c r="AI1" t="s">
        <v>34</v>
      </c>
      <c r="AJ1" t="s">
        <v>35</v>
      </c>
      <c r="AK1" t="s">
        <v>36</v>
      </c>
      <c r="AL1" t="s">
        <v>37</v>
      </c>
      <c r="AM1" t="s">
        <v>38</v>
      </c>
      <c r="AN1" t="s">
        <v>39</v>
      </c>
      <c r="AO1" t="s">
        <v>40</v>
      </c>
      <c r="AP1" t="s">
        <v>41</v>
      </c>
      <c r="AQ1" t="s">
        <v>42</v>
      </c>
      <c r="AR1" t="s">
        <v>43</v>
      </c>
      <c r="AS1" t="s">
        <v>44</v>
      </c>
      <c r="AT1" t="s">
        <v>45</v>
      </c>
      <c r="AU1" t="s">
        <v>46</v>
      </c>
      <c r="AV1" s="2" t="s">
        <v>47</v>
      </c>
    </row>
    <row r="2" spans="1:48" x14ac:dyDescent="0.25">
      <c r="A2" t="str">
        <f t="shared" ref="A2:B17" si="0">"20-11-2019"</f>
        <v>20-11-2019</v>
      </c>
      <c r="B2" t="str">
        <f t="shared" si="0"/>
        <v>20-11-2019</v>
      </c>
      <c r="C2" t="str">
        <f>"777028944235"</f>
        <v>777028944235</v>
      </c>
      <c r="D2" t="str">
        <f>"US"</f>
        <v>US</v>
      </c>
      <c r="E2" t="str">
        <f>"IN"</f>
        <v>IN</v>
      </c>
      <c r="F2" t="str">
        <f>"COA"</f>
        <v>COA</v>
      </c>
      <c r="G2" t="str">
        <f>"BLR"</f>
        <v>BLR</v>
      </c>
      <c r="H2" t="str">
        <f>"19-11-2019"</f>
        <v>19-11-2019</v>
      </c>
      <c r="I2" t="str">
        <f>"22-11-2019"</f>
        <v>22-11-2019</v>
      </c>
      <c r="J2" t="str">
        <f>"01"</f>
        <v>01</v>
      </c>
      <c r="K2" t="str">
        <f>"02"</f>
        <v>02</v>
      </c>
      <c r="L2" t="str">
        <f>"USD"</f>
        <v>USD</v>
      </c>
      <c r="M2" t="str">
        <f>"1.00"</f>
        <v>1.00</v>
      </c>
      <c r="N2" t="str">
        <f t="shared" ref="N2:N13" si="1">"BOX"</f>
        <v>BOX</v>
      </c>
      <c r="O2" t="str">
        <f>"2.10"</f>
        <v>2.10</v>
      </c>
      <c r="P2" t="str">
        <f>"L"</f>
        <v>L</v>
      </c>
      <c r="Q2" t="str">
        <f t="shared" ref="Q2:Q65" si="2">"OTHER"</f>
        <v>OTHER</v>
      </c>
      <c r="R2" t="str">
        <f t="shared" ref="R2:R65" si="3">"EURO1_MIX"</f>
        <v>EURO1_MIX</v>
      </c>
      <c r="S2" t="str">
        <f>"IP_D1234_LATE"</f>
        <v>IP_D1234_LATE</v>
      </c>
      <c r="T2" t="str">
        <f>"IP_D5_EMEA"</f>
        <v>IP_D5_EMEA</v>
      </c>
      <c r="U2" t="str">
        <f>"IP_D6_MIX"</f>
        <v>IP_D6_MIX</v>
      </c>
      <c r="V2" t="str">
        <f>"WARM"</f>
        <v>WARM</v>
      </c>
      <c r="W2" t="str">
        <f>"DEL"</f>
        <v>DEL</v>
      </c>
      <c r="Y2" t="str">
        <f>"1"</f>
        <v>1</v>
      </c>
      <c r="Z2" t="str">
        <f>"BULK"</f>
        <v>BULK</v>
      </c>
      <c r="AA2" t="str">
        <f>"304990606836"</f>
        <v>304990606836</v>
      </c>
      <c r="AB2" t="str">
        <f>"187335558"</f>
        <v>187335558</v>
      </c>
      <c r="AC2" t="str">
        <f t="shared" ref="AC2:AD17" si="4">"IP_D1234"</f>
        <v>IP_D1234</v>
      </c>
      <c r="AD2" t="str">
        <f t="shared" si="4"/>
        <v>IP_D1234</v>
      </c>
      <c r="AE2" t="str">
        <f t="shared" ref="AE2:AE65" si="5">"BOX PK"</f>
        <v>BOX PK</v>
      </c>
      <c r="AF2" t="str">
        <f>"IP_D1234-MIX US"</f>
        <v>IP_D1234-MIX US</v>
      </c>
      <c r="AG2" t="str">
        <f>"0038"</f>
        <v>0038</v>
      </c>
      <c r="AH2" t="str">
        <f>"MEM"</f>
        <v>MEM</v>
      </c>
      <c r="AI2" t="str">
        <f t="shared" ref="AI2:AI14" si="6">"CDG"</f>
        <v>CDG</v>
      </c>
      <c r="AJ2" t="str">
        <f>"0083"</f>
        <v>0083</v>
      </c>
      <c r="AK2" t="str">
        <f>"20/11/2019 20:43"</f>
        <v>20/11/2019 20:43</v>
      </c>
      <c r="AN2" t="str">
        <f>"02"</f>
        <v>02</v>
      </c>
      <c r="AO2" t="str">
        <f>"EURO1_MIX,IP_D1234_LATE,IP_D5_EMEA,IP_D6_MIX"</f>
        <v>EURO1_MIX,IP_D1234_LATE,IP_D5_EMEA,IP_D6_MIX</v>
      </c>
      <c r="AP2" t="str">
        <f t="shared" ref="AP2:AP65" si="7">"MDE_AVAILABLE"</f>
        <v>MDE_AVAILABLE</v>
      </c>
      <c r="AQ2" t="str">
        <f t="shared" ref="AQ2:AQ65" si="8">"FEDEX"</f>
        <v>FEDEX</v>
      </c>
      <c r="AR2" t="str">
        <f>"IPE"</f>
        <v>IPE</v>
      </c>
      <c r="AS2" t="str">
        <f>"CONVEYABLE"</f>
        <v>CONVEYABLE</v>
      </c>
      <c r="AT2" t="str">
        <f>"19-11-2019"</f>
        <v>19-11-2019</v>
      </c>
      <c r="AU2" t="str">
        <f>"SMALL_PARCEL"</f>
        <v>SMALL_PARCEL</v>
      </c>
      <c r="AV2" s="1" t="str">
        <f>IF(ISNUMBER(SEARCH("NON_CONV",AS2)),"NON_CONV","CONVEYABLE")</f>
        <v>CONVEYABLE</v>
      </c>
    </row>
    <row r="3" spans="1:48" x14ac:dyDescent="0.25">
      <c r="A3" t="str">
        <f t="shared" si="0"/>
        <v>20-11-2019</v>
      </c>
      <c r="B3" t="str">
        <f t="shared" si="0"/>
        <v>20-11-2019</v>
      </c>
      <c r="C3" t="str">
        <f>"135744517141"</f>
        <v>135744517141</v>
      </c>
      <c r="D3" t="str">
        <f>"CN"</f>
        <v>CN</v>
      </c>
      <c r="E3" t="str">
        <f>"DE"</f>
        <v>DE</v>
      </c>
      <c r="F3" t="str">
        <f>"SXJ"</f>
        <v>SXJ</v>
      </c>
      <c r="G3" t="str">
        <f>"STR"</f>
        <v>STR</v>
      </c>
      <c r="I3" t="str">
        <f>"22-11-2019"</f>
        <v>22-11-2019</v>
      </c>
      <c r="J3" t="str">
        <f>"04"</f>
        <v>04</v>
      </c>
      <c r="K3" t="str">
        <f>"01"</f>
        <v>01</v>
      </c>
      <c r="L3" t="str">
        <f>"USD"</f>
        <v>USD</v>
      </c>
      <c r="M3" t="str">
        <f>"240.00"</f>
        <v>240.00</v>
      </c>
      <c r="N3" t="str">
        <f t="shared" si="1"/>
        <v>BOX</v>
      </c>
      <c r="O3" t="str">
        <f>"16.60"</f>
        <v>16.60</v>
      </c>
      <c r="P3" t="str">
        <f>"K"</f>
        <v>K</v>
      </c>
      <c r="Q3" t="str">
        <f t="shared" si="2"/>
        <v>OTHER</v>
      </c>
      <c r="R3" t="str">
        <f t="shared" si="3"/>
        <v>EURO1_MIX</v>
      </c>
      <c r="S3" t="str">
        <f>"IP_D1234_MIX"</f>
        <v>IP_D1234_MIX</v>
      </c>
      <c r="T3" t="str">
        <f>"IP_D5_MIX"</f>
        <v>IP_D5_MIX</v>
      </c>
      <c r="U3" t="str">
        <f>"IP_D6_MIX"</f>
        <v>IP_D6_MIX</v>
      </c>
      <c r="V3" t="str">
        <f>"COLD"</f>
        <v>COLD</v>
      </c>
      <c r="W3" t="str">
        <f>"CGN"</f>
        <v>CGN</v>
      </c>
      <c r="Y3" t="str">
        <f>"1"</f>
        <v>1</v>
      </c>
      <c r="Z3" t="str">
        <f>"AMJ58358FX"</f>
        <v>AMJ58358FX</v>
      </c>
      <c r="AA3" t="str">
        <f>"304904491606"</f>
        <v>304904491606</v>
      </c>
      <c r="AB3" t="str">
        <f>"901581967"</f>
        <v>901581967</v>
      </c>
      <c r="AC3" t="str">
        <f t="shared" si="4"/>
        <v>IP_D1234</v>
      </c>
      <c r="AD3" t="str">
        <f t="shared" si="4"/>
        <v>IP_D1234</v>
      </c>
      <c r="AE3" t="str">
        <f t="shared" si="5"/>
        <v>BOX PK</v>
      </c>
      <c r="AF3" t="str">
        <f>"IP_D1234-MIX"</f>
        <v>IP_D1234-MIX</v>
      </c>
      <c r="AG3" t="str">
        <f>"5030"</f>
        <v>5030</v>
      </c>
      <c r="AH3" t="str">
        <f>"CGN"</f>
        <v>CGN</v>
      </c>
      <c r="AI3" t="str">
        <f t="shared" si="6"/>
        <v>CDG</v>
      </c>
      <c r="AJ3" t="str">
        <f>"0084"</f>
        <v>0084</v>
      </c>
      <c r="AK3" t="str">
        <f>"20/11/2019 13:20"</f>
        <v>20/11/2019 13:20</v>
      </c>
      <c r="AL3" t="str">
        <f>"20/11/2019 13:29"</f>
        <v>20/11/2019 13:29</v>
      </c>
      <c r="AM3" t="str">
        <f>"9"</f>
        <v>9</v>
      </c>
      <c r="AN3" t="str">
        <f>"02,09,54"</f>
        <v>02,09,54</v>
      </c>
      <c r="AO3" t="str">
        <f>"EURO1_MIX,IP_D1234_MIX,IP_D5_MIX,IP_D6_MIX"</f>
        <v>EURO1_MIX,IP_D1234_MIX,IP_D5_MIX,IP_D6_MIX</v>
      </c>
      <c r="AP3" t="str">
        <f t="shared" si="7"/>
        <v>MDE_AVAILABLE</v>
      </c>
      <c r="AQ3" t="str">
        <f t="shared" si="8"/>
        <v>FEDEX</v>
      </c>
      <c r="AR3" t="str">
        <f>"IEB"</f>
        <v>IEB</v>
      </c>
      <c r="AS3" t="str">
        <f>"BUILDING_AB_NON_CONV,BUILDING_V_NON_CONV"</f>
        <v>BUILDING_AB_NON_CONV,BUILDING_V_NON_CONV</v>
      </c>
      <c r="AT3" t="str">
        <f>"16-11-2019"</f>
        <v>16-11-2019</v>
      </c>
      <c r="AU3" t="str">
        <f>"BOX"</f>
        <v>BOX</v>
      </c>
      <c r="AV3" s="1" t="str">
        <f t="shared" ref="AV3:AV66" si="9">IF(ISNUMBER(SEARCH("NON_CONV",AS3)),"NON_CONV","CONVEYABLE")</f>
        <v>NON_CONV</v>
      </c>
    </row>
    <row r="4" spans="1:48" x14ac:dyDescent="0.25">
      <c r="A4" t="str">
        <f t="shared" si="0"/>
        <v>20-11-2019</v>
      </c>
      <c r="B4" t="str">
        <f t="shared" si="0"/>
        <v>20-11-2019</v>
      </c>
      <c r="C4" t="str">
        <f>"806093960681"</f>
        <v>806093960681</v>
      </c>
      <c r="D4" t="str">
        <f>"CH"</f>
        <v>CH</v>
      </c>
      <c r="E4" t="str">
        <f>"DE"</f>
        <v>DE</v>
      </c>
      <c r="F4" t="str">
        <f>"QLS"</f>
        <v>QLS</v>
      </c>
      <c r="G4" t="str">
        <f>"STR"</f>
        <v>STR</v>
      </c>
      <c r="H4" t="str">
        <f>"20-11-2019"</f>
        <v>20-11-2019</v>
      </c>
      <c r="I4" t="str">
        <f>"21-11-2019"</f>
        <v>21-11-2019</v>
      </c>
      <c r="J4" t="str">
        <f>"01"</f>
        <v>01</v>
      </c>
      <c r="K4" t="str">
        <f>"01"</f>
        <v>01</v>
      </c>
      <c r="L4" t="str">
        <f>"SFR"</f>
        <v>SFR</v>
      </c>
      <c r="M4" t="str">
        <f>"5.00"</f>
        <v>5.00</v>
      </c>
      <c r="N4" t="str">
        <f t="shared" si="1"/>
        <v>BOX</v>
      </c>
      <c r="O4" t="str">
        <f>"5.0"</f>
        <v>5.0</v>
      </c>
      <c r="P4" t="str">
        <f>"K"</f>
        <v>K</v>
      </c>
      <c r="Q4" t="str">
        <f t="shared" si="2"/>
        <v>OTHER</v>
      </c>
      <c r="R4" t="str">
        <f t="shared" si="3"/>
        <v>EURO1_MIX</v>
      </c>
      <c r="S4" t="str">
        <f>"IP_D1234_MIX"</f>
        <v>IP_D1234_MIX</v>
      </c>
      <c r="T4" t="str">
        <f>"IP_D5_MIX"</f>
        <v>IP_D5_MIX</v>
      </c>
      <c r="U4" t="str">
        <f>"IP_D6_MIX"</f>
        <v>IP_D6_MIX</v>
      </c>
      <c r="V4" t="str">
        <f>"WARM"</f>
        <v>WARM</v>
      </c>
      <c r="W4" t="str">
        <f>"CGN"</f>
        <v>CGN</v>
      </c>
      <c r="Y4" t="str">
        <f>"1"</f>
        <v>1</v>
      </c>
      <c r="Z4" t="str">
        <f>"AYY13560FX"</f>
        <v>AYY13560FX</v>
      </c>
      <c r="AA4" t="str">
        <f>"221435149460"</f>
        <v>221435149460</v>
      </c>
      <c r="AB4" t="str">
        <f>"129853549"</f>
        <v>129853549</v>
      </c>
      <c r="AC4" t="str">
        <f t="shared" si="4"/>
        <v>IP_D1234</v>
      </c>
      <c r="AD4" t="str">
        <f t="shared" si="4"/>
        <v>IP_D1234</v>
      </c>
      <c r="AE4" t="str">
        <f t="shared" si="5"/>
        <v>BOX PK</v>
      </c>
      <c r="AF4" t="str">
        <f>"IP_D1234-MIX"</f>
        <v>IP_D1234-MIX</v>
      </c>
      <c r="AG4" t="str">
        <f>"5051"</f>
        <v>5051</v>
      </c>
      <c r="AH4" t="str">
        <f>"BSL"</f>
        <v>BSL</v>
      </c>
      <c r="AI4" t="str">
        <f t="shared" si="6"/>
        <v>CDG</v>
      </c>
      <c r="AJ4" t="str">
        <f>"0022"</f>
        <v>0022</v>
      </c>
      <c r="AK4" t="str">
        <f>"20/11/2019 18:36"</f>
        <v>20/11/2019 18:36</v>
      </c>
      <c r="AL4" t="str">
        <f>"20/11/2019 18:33"</f>
        <v>20/11/2019 18:33</v>
      </c>
      <c r="AM4" t="str">
        <f>"-3"</f>
        <v>-3</v>
      </c>
      <c r="AN4" t="str">
        <f>"02"</f>
        <v>02</v>
      </c>
      <c r="AO4" t="str">
        <f>"EURO1_MIX,IP_D1234_MIX,IP_D5_MIX,IP_D6_MIX"</f>
        <v>EURO1_MIX,IP_D1234_MIX,IP_D5_MIX,IP_D6_MIX</v>
      </c>
      <c r="AP4" t="str">
        <f t="shared" si="7"/>
        <v>MDE_AVAILABLE</v>
      </c>
      <c r="AQ4" t="str">
        <f t="shared" si="8"/>
        <v>FEDEX</v>
      </c>
      <c r="AR4" t="str">
        <f>"IPE"</f>
        <v>IPE</v>
      </c>
      <c r="AS4" t="str">
        <f>"CONVEYABLE"</f>
        <v>CONVEYABLE</v>
      </c>
      <c r="AT4" t="str">
        <f>"20-11-2019"</f>
        <v>20-11-2019</v>
      </c>
      <c r="AU4" t="str">
        <f>"BOX"</f>
        <v>BOX</v>
      </c>
      <c r="AV4" s="1" t="str">
        <f t="shared" si="9"/>
        <v>CONVEYABLE</v>
      </c>
    </row>
    <row r="5" spans="1:48" x14ac:dyDescent="0.25">
      <c r="A5" t="str">
        <f t="shared" si="0"/>
        <v>20-11-2019</v>
      </c>
      <c r="B5" t="str">
        <f t="shared" si="0"/>
        <v>20-11-2019</v>
      </c>
      <c r="C5" t="str">
        <f>"484246885322"</f>
        <v>484246885322</v>
      </c>
      <c r="D5" t="str">
        <f>"US"</f>
        <v>US</v>
      </c>
      <c r="E5" t="str">
        <f>"IT"</f>
        <v>IT</v>
      </c>
      <c r="F5" t="str">
        <f>"TVC"</f>
        <v>TVC</v>
      </c>
      <c r="G5" t="str">
        <f>"QVA"</f>
        <v>QVA</v>
      </c>
      <c r="I5" t="str">
        <f>"21-11-2019"</f>
        <v>21-11-2019</v>
      </c>
      <c r="J5" t="str">
        <f>"01"</f>
        <v>01</v>
      </c>
      <c r="K5" t="str">
        <f>"01"</f>
        <v>01</v>
      </c>
      <c r="L5" t="str">
        <f>"USD"</f>
        <v>USD</v>
      </c>
      <c r="M5" t="str">
        <f>"144.00"</f>
        <v>144.00</v>
      </c>
      <c r="N5" t="str">
        <f t="shared" si="1"/>
        <v>BOX</v>
      </c>
      <c r="O5" t="str">
        <f>"1.40"</f>
        <v>1.40</v>
      </c>
      <c r="P5" t="str">
        <f>"L"</f>
        <v>L</v>
      </c>
      <c r="Q5" t="str">
        <f t="shared" si="2"/>
        <v>OTHER</v>
      </c>
      <c r="R5" t="str">
        <f t="shared" si="3"/>
        <v>EURO1_MIX</v>
      </c>
      <c r="S5" t="str">
        <f>"IP_D1234_MIX"</f>
        <v>IP_D1234_MIX</v>
      </c>
      <c r="T5" t="str">
        <f>"IP_D5_MIX"</f>
        <v>IP_D5_MIX</v>
      </c>
      <c r="U5" t="str">
        <f>"IP_D6_EMEA"</f>
        <v>IP_D6_EMEA</v>
      </c>
      <c r="V5" t="str">
        <f>"WARM"</f>
        <v>WARM</v>
      </c>
      <c r="W5" t="str">
        <f>"MXP"</f>
        <v>MXP</v>
      </c>
      <c r="Y5" t="str">
        <f>"1"</f>
        <v>1</v>
      </c>
      <c r="Z5" t="str">
        <f>"AKE44393FX"</f>
        <v>AKE44393FX</v>
      </c>
      <c r="AA5" t="str">
        <f>"304844073879"</f>
        <v>304844073879</v>
      </c>
      <c r="AB5" t="str">
        <f>"100657880"</f>
        <v>100657880</v>
      </c>
      <c r="AC5" t="str">
        <f t="shared" si="4"/>
        <v>IP_D1234</v>
      </c>
      <c r="AD5" t="str">
        <f t="shared" si="4"/>
        <v>IP_D1234</v>
      </c>
      <c r="AE5" t="str">
        <f t="shared" si="5"/>
        <v>BOX PK</v>
      </c>
      <c r="AF5" t="str">
        <f>"IP_D1234-MIX"</f>
        <v>IP_D1234-MIX</v>
      </c>
      <c r="AG5" t="str">
        <f>"0030"</f>
        <v>0030</v>
      </c>
      <c r="AH5" t="str">
        <f>"IND"</f>
        <v>IND</v>
      </c>
      <c r="AI5" t="str">
        <f t="shared" si="6"/>
        <v>CDG</v>
      </c>
      <c r="AJ5" t="str">
        <f>"0083"</f>
        <v>0083</v>
      </c>
      <c r="AK5" t="str">
        <f>"20/11/2019 18:17"</f>
        <v>20/11/2019 18:17</v>
      </c>
      <c r="AL5" t="str">
        <f>"20/11/2019 18:54"</f>
        <v>20/11/2019 18:54</v>
      </c>
      <c r="AM5" t="str">
        <f>"37"</f>
        <v>37</v>
      </c>
      <c r="AN5" t="str">
        <f>"02"</f>
        <v>02</v>
      </c>
      <c r="AO5" t="str">
        <f>"EURO1_MIX,IP_D1234_MIX,IP_D5_MIX,IP_D6_EMEA"</f>
        <v>EURO1_MIX,IP_D1234_MIX,IP_D5_MIX,IP_D6_EMEA</v>
      </c>
      <c r="AP5" t="str">
        <f t="shared" si="7"/>
        <v>MDE_AVAILABLE</v>
      </c>
      <c r="AQ5" t="str">
        <f t="shared" si="8"/>
        <v>FEDEX</v>
      </c>
      <c r="AR5" t="str">
        <f>"IPE"</f>
        <v>IPE</v>
      </c>
      <c r="AS5" t="str">
        <f>"CONVEYABLE"</f>
        <v>CONVEYABLE</v>
      </c>
      <c r="AT5" t="str">
        <f>"19-11-2019"</f>
        <v>19-11-2019</v>
      </c>
      <c r="AU5" t="str">
        <f>"UNKNOWN"</f>
        <v>UNKNOWN</v>
      </c>
      <c r="AV5" s="1" t="str">
        <f t="shared" si="9"/>
        <v>CONVEYABLE</v>
      </c>
    </row>
    <row r="6" spans="1:48" x14ac:dyDescent="0.25">
      <c r="A6" t="str">
        <f t="shared" si="0"/>
        <v>20-11-2019</v>
      </c>
      <c r="B6" t="str">
        <f t="shared" si="0"/>
        <v>20-11-2019</v>
      </c>
      <c r="C6" t="str">
        <f>"777015371015"</f>
        <v>777015371015</v>
      </c>
      <c r="D6" t="str">
        <f>"US"</f>
        <v>US</v>
      </c>
      <c r="E6" t="str">
        <f>"IN"</f>
        <v>IN</v>
      </c>
      <c r="F6" t="str">
        <f>"AYE"</f>
        <v>AYE</v>
      </c>
      <c r="G6" t="str">
        <f>"DEL"</f>
        <v>DEL</v>
      </c>
      <c r="H6" t="str">
        <f>"19-11-2019"</f>
        <v>19-11-2019</v>
      </c>
      <c r="I6" t="str">
        <f>"22-11-2019"</f>
        <v>22-11-2019</v>
      </c>
      <c r="J6" t="str">
        <f>"01"</f>
        <v>01</v>
      </c>
      <c r="K6" t="str">
        <f>"02"</f>
        <v>02</v>
      </c>
      <c r="L6" t="str">
        <f>"USD"</f>
        <v>USD</v>
      </c>
      <c r="M6" t="str">
        <f>"1.00"</f>
        <v>1.00</v>
      </c>
      <c r="N6" t="str">
        <f t="shared" si="1"/>
        <v>BOX</v>
      </c>
      <c r="O6" t="str">
        <f>"1.00"</f>
        <v>1.00</v>
      </c>
      <c r="P6" t="str">
        <f>"L"</f>
        <v>L</v>
      </c>
      <c r="Q6" t="str">
        <f t="shared" si="2"/>
        <v>OTHER</v>
      </c>
      <c r="R6" t="str">
        <f t="shared" si="3"/>
        <v>EURO1_MIX</v>
      </c>
      <c r="S6" t="str">
        <f>"IP_D1234_LATE"</f>
        <v>IP_D1234_LATE</v>
      </c>
      <c r="T6" t="str">
        <f>"IP_D5_EMEA"</f>
        <v>IP_D5_EMEA</v>
      </c>
      <c r="U6" t="str">
        <f>"IP_D6_MIX"</f>
        <v>IP_D6_MIX</v>
      </c>
      <c r="V6" t="str">
        <f>"WARM"</f>
        <v>WARM</v>
      </c>
      <c r="W6" t="str">
        <f>"DEL"</f>
        <v>DEL</v>
      </c>
      <c r="Y6" t="str">
        <f>"1"</f>
        <v>1</v>
      </c>
      <c r="Z6" t="str">
        <f>"AQF13488FX"</f>
        <v>AQF13488FX</v>
      </c>
      <c r="AA6" t="str">
        <f>"305026503003"</f>
        <v>305026503003</v>
      </c>
      <c r="AB6" t="str">
        <f>"683846481"</f>
        <v>683846481</v>
      </c>
      <c r="AC6" t="str">
        <f t="shared" si="4"/>
        <v>IP_D1234</v>
      </c>
      <c r="AD6" t="str">
        <f t="shared" si="4"/>
        <v>IP_D1234</v>
      </c>
      <c r="AE6" t="str">
        <f t="shared" si="5"/>
        <v>BOX PK</v>
      </c>
      <c r="AF6" t="str">
        <f>"IP_D1234-EMEA"</f>
        <v>IP_D1234-EMEA</v>
      </c>
      <c r="AG6" t="str">
        <f>"5046"</f>
        <v>5046</v>
      </c>
      <c r="AH6" t="str">
        <f>"EWR"</f>
        <v>EWR</v>
      </c>
      <c r="AI6" t="str">
        <f t="shared" si="6"/>
        <v>CDG</v>
      </c>
      <c r="AJ6" t="str">
        <f>"0072"</f>
        <v>0072</v>
      </c>
      <c r="AK6" t="str">
        <f>"20/11/2019 17:41"</f>
        <v>20/11/2019 17:41</v>
      </c>
      <c r="AL6" t="str">
        <f>"20/11/2019 17:39"</f>
        <v>20/11/2019 17:39</v>
      </c>
      <c r="AM6" t="str">
        <f>"-2"</f>
        <v>-2</v>
      </c>
      <c r="AN6" t="str">
        <f>"02"</f>
        <v>02</v>
      </c>
      <c r="AO6" t="str">
        <f>"EURO1_MIX,IP_D1234_LATE,IP_D5_EMEA,IP_D6_MIX"</f>
        <v>EURO1_MIX,IP_D1234_LATE,IP_D5_EMEA,IP_D6_MIX</v>
      </c>
      <c r="AP6" t="str">
        <f t="shared" si="7"/>
        <v>MDE_AVAILABLE</v>
      </c>
      <c r="AQ6" t="str">
        <f t="shared" si="8"/>
        <v>FEDEX</v>
      </c>
      <c r="AR6" t="str">
        <f>"IPE"</f>
        <v>IPE</v>
      </c>
      <c r="AS6" t="str">
        <f>"CONVEYABLE"</f>
        <v>CONVEYABLE</v>
      </c>
      <c r="AT6" t="str">
        <f>"19-11-2019"</f>
        <v>19-11-2019</v>
      </c>
      <c r="AU6" t="str">
        <f>"SMALL_PARCEL"</f>
        <v>SMALL_PARCEL</v>
      </c>
      <c r="AV6" s="1" t="str">
        <f t="shared" si="9"/>
        <v>CONVEYABLE</v>
      </c>
    </row>
    <row r="7" spans="1:48" x14ac:dyDescent="0.25">
      <c r="A7" t="str">
        <f t="shared" si="0"/>
        <v>20-11-2019</v>
      </c>
      <c r="B7" t="str">
        <f t="shared" si="0"/>
        <v>20-11-2019</v>
      </c>
      <c r="C7" t="str">
        <f>"778092229697"</f>
        <v>778092229697</v>
      </c>
      <c r="D7" t="str">
        <f>"CN"</f>
        <v>CN</v>
      </c>
      <c r="E7" t="str">
        <f>"GB"</f>
        <v>GB</v>
      </c>
      <c r="F7" t="str">
        <f>"CIF"</f>
        <v>CIF</v>
      </c>
      <c r="G7" t="str">
        <f>"FIE"</f>
        <v>FIE</v>
      </c>
      <c r="I7" t="str">
        <f>"25-11-2019"</f>
        <v>25-11-2019</v>
      </c>
      <c r="J7" t="str">
        <f>"04"</f>
        <v>04</v>
      </c>
      <c r="K7" t="str">
        <f>"01"</f>
        <v>01</v>
      </c>
      <c r="L7" t="str">
        <f>"USD"</f>
        <v>USD</v>
      </c>
      <c r="M7" t="str">
        <f>"2320.00"</f>
        <v>2320.00</v>
      </c>
      <c r="N7" t="str">
        <f t="shared" si="1"/>
        <v>BOX</v>
      </c>
      <c r="Q7" t="str">
        <f t="shared" si="2"/>
        <v>OTHER</v>
      </c>
      <c r="R7" t="str">
        <f t="shared" si="3"/>
        <v>EURO1_MIX</v>
      </c>
      <c r="S7" t="str">
        <f>"IP_D1234_MIX"</f>
        <v>IP_D1234_MIX</v>
      </c>
      <c r="T7" t="str">
        <f>"IP_D5_EMEA"</f>
        <v>IP_D5_EMEA</v>
      </c>
      <c r="U7" t="str">
        <f>"IP_D6_MIX"</f>
        <v>IP_D6_MIX</v>
      </c>
      <c r="V7" t="str">
        <f>"UNKNOWN"</f>
        <v>UNKNOWN</v>
      </c>
      <c r="W7" t="str">
        <f>"STN"</f>
        <v>STN</v>
      </c>
      <c r="X7" t="str">
        <f>"778092226600"</f>
        <v>778092226600</v>
      </c>
      <c r="Y7" t="str">
        <f>"4"</f>
        <v>4</v>
      </c>
      <c r="Z7" t="str">
        <f>"PMC17935FX"</f>
        <v>PMC17935FX</v>
      </c>
      <c r="AA7" t="str">
        <f>"304904491558"</f>
        <v>304904491558</v>
      </c>
      <c r="AB7" t="str">
        <f>"698977175"</f>
        <v>698977175</v>
      </c>
      <c r="AC7" t="str">
        <f t="shared" si="4"/>
        <v>IP_D1234</v>
      </c>
      <c r="AD7" t="str">
        <f t="shared" si="4"/>
        <v>IP_D1234</v>
      </c>
      <c r="AE7" t="str">
        <f t="shared" si="5"/>
        <v>BOX PK</v>
      </c>
      <c r="AF7" t="str">
        <f>"IP_D1234-MIX"</f>
        <v>IP_D1234-MIX</v>
      </c>
      <c r="AG7" t="str">
        <f>"5279"</f>
        <v>5279</v>
      </c>
      <c r="AH7" t="str">
        <f>"DXB"</f>
        <v>DXB</v>
      </c>
      <c r="AI7" t="str">
        <f t="shared" si="6"/>
        <v>CDG</v>
      </c>
      <c r="AJ7" t="str">
        <f>"0083"</f>
        <v>0083</v>
      </c>
      <c r="AK7" t="str">
        <f>"20/11/2019 18:49"</f>
        <v>20/11/2019 18:49</v>
      </c>
      <c r="AL7" t="str">
        <f>"20/11/2019 18:57"</f>
        <v>20/11/2019 18:57</v>
      </c>
      <c r="AM7" t="str">
        <f>"8"</f>
        <v>8</v>
      </c>
      <c r="AN7" t="str">
        <f>"02,16"</f>
        <v>02,16</v>
      </c>
      <c r="AO7" t="str">
        <f>"EURO1_MIX,IP_D1234_MIX,IP_D5_EMEA,IP_D6_MIX"</f>
        <v>EURO1_MIX,IP_D1234_MIX,IP_D5_EMEA,IP_D6_MIX</v>
      </c>
      <c r="AP7" t="str">
        <f t="shared" si="7"/>
        <v>MDE_AVAILABLE</v>
      </c>
      <c r="AQ7" t="str">
        <f t="shared" si="8"/>
        <v>FEDEX</v>
      </c>
      <c r="AR7" t="str">
        <f>"IEB"</f>
        <v>IEB</v>
      </c>
      <c r="AS7" t="str">
        <f>"BUILDING_AB_NON_CONV,BUILDING_V_NON_CONV"</f>
        <v>BUILDING_AB_NON_CONV,BUILDING_V_NON_CONV</v>
      </c>
      <c r="AT7" t="str">
        <f>"18-11-2019"</f>
        <v>18-11-2019</v>
      </c>
      <c r="AU7" t="str">
        <f>"BOX"</f>
        <v>BOX</v>
      </c>
      <c r="AV7" s="1" t="str">
        <f t="shared" si="9"/>
        <v>NON_CONV</v>
      </c>
    </row>
    <row r="8" spans="1:48" x14ac:dyDescent="0.25">
      <c r="A8" t="str">
        <f t="shared" si="0"/>
        <v>20-11-2019</v>
      </c>
      <c r="B8" t="str">
        <f t="shared" si="0"/>
        <v>20-11-2019</v>
      </c>
      <c r="C8" t="str">
        <f>"135392502025"</f>
        <v>135392502025</v>
      </c>
      <c r="D8" t="str">
        <f>"SG"</f>
        <v>SG</v>
      </c>
      <c r="E8" t="str">
        <f>"CZ"</f>
        <v>CZ</v>
      </c>
      <c r="F8" t="str">
        <f>"XSP"</f>
        <v>XSP</v>
      </c>
      <c r="G8" t="str">
        <f>"UHE"</f>
        <v>UHE</v>
      </c>
      <c r="H8" t="str">
        <f t="shared" ref="H8:H18" si="10">"19-11-2019"</f>
        <v>19-11-2019</v>
      </c>
      <c r="I8" t="str">
        <f>"22-11-2019"</f>
        <v>22-11-2019</v>
      </c>
      <c r="J8" t="str">
        <f>"18"</f>
        <v>18</v>
      </c>
      <c r="K8" t="str">
        <f>"01"</f>
        <v>01</v>
      </c>
      <c r="L8" t="str">
        <f>"USD"</f>
        <v>USD</v>
      </c>
      <c r="M8" t="str">
        <f>"1133603.76"</f>
        <v>1133603.76</v>
      </c>
      <c r="N8" t="str">
        <f t="shared" si="1"/>
        <v>BOX</v>
      </c>
      <c r="O8" t="str">
        <f>"15.9"</f>
        <v>15.9</v>
      </c>
      <c r="P8" t="str">
        <f>"K"</f>
        <v>K</v>
      </c>
      <c r="Q8" t="str">
        <f t="shared" si="2"/>
        <v>OTHER</v>
      </c>
      <c r="R8" t="str">
        <f t="shared" si="3"/>
        <v>EURO1_MIX</v>
      </c>
      <c r="S8" t="str">
        <f>"IP_D1234_LATE"</f>
        <v>IP_D1234_LATE</v>
      </c>
      <c r="T8" t="str">
        <f>"IP_D5_EMEA"</f>
        <v>IP_D5_EMEA</v>
      </c>
      <c r="U8" t="str">
        <f>"IP_D6_EMEA"</f>
        <v>IP_D6_EMEA</v>
      </c>
      <c r="V8" t="str">
        <f>"COLD"</f>
        <v>COLD</v>
      </c>
      <c r="W8" t="str">
        <f>"PRG"</f>
        <v>PRG</v>
      </c>
      <c r="X8" t="str">
        <f>"135392493840"</f>
        <v>135392493840</v>
      </c>
      <c r="Y8" t="str">
        <f>"1"</f>
        <v>1</v>
      </c>
      <c r="Z8" t="str">
        <f>"BULK"</f>
        <v>BULK</v>
      </c>
      <c r="AA8" t="str">
        <f>"304904421297"</f>
        <v>304904421297</v>
      </c>
      <c r="AB8" t="str">
        <f>"685123525"</f>
        <v>685123525</v>
      </c>
      <c r="AC8" t="str">
        <f t="shared" si="4"/>
        <v>IP_D1234</v>
      </c>
      <c r="AD8" t="str">
        <f t="shared" si="4"/>
        <v>IP_D1234</v>
      </c>
      <c r="AE8" t="str">
        <f t="shared" si="5"/>
        <v>BOX PK</v>
      </c>
      <c r="AF8" t="str">
        <f>"IP_D1234-MIX US"</f>
        <v>IP_D1234-MIX US</v>
      </c>
      <c r="AG8" t="str">
        <f>"5030"</f>
        <v>5030</v>
      </c>
      <c r="AH8" t="str">
        <f>"CGN"</f>
        <v>CGN</v>
      </c>
      <c r="AI8" t="str">
        <f t="shared" si="6"/>
        <v>CDG</v>
      </c>
      <c r="AJ8" t="str">
        <f>"0084"</f>
        <v>0084</v>
      </c>
      <c r="AK8" t="str">
        <f>"20/11/2019 13:20"</f>
        <v>20/11/2019 13:20</v>
      </c>
      <c r="AL8" t="str">
        <f>"20/11/2019 13:29"</f>
        <v>20/11/2019 13:29</v>
      </c>
      <c r="AM8" t="str">
        <f>"9"</f>
        <v>9</v>
      </c>
      <c r="AN8" t="str">
        <f>"02"</f>
        <v>02</v>
      </c>
      <c r="AO8" t="str">
        <f>"EURO1_MIX,IP_D1234_LATE,IP_D5_EMEA,IP_D6_EMEA"</f>
        <v>EURO1_MIX,IP_D1234_LATE,IP_D5_EMEA,IP_D6_EMEA</v>
      </c>
      <c r="AP8" t="str">
        <f t="shared" si="7"/>
        <v>MDE_AVAILABLE</v>
      </c>
      <c r="AQ8" t="str">
        <f t="shared" si="8"/>
        <v>FEDEX</v>
      </c>
      <c r="AR8" t="str">
        <f>"IPD"</f>
        <v>IPD</v>
      </c>
      <c r="AS8" t="str">
        <f t="shared" ref="AS8:AS15" si="11">"CONVEYABLE"</f>
        <v>CONVEYABLE</v>
      </c>
      <c r="AT8" t="str">
        <f t="shared" ref="AT8:AT19" si="12">"19-11-2019"</f>
        <v>19-11-2019</v>
      </c>
      <c r="AU8" t="str">
        <f>"BOX"</f>
        <v>BOX</v>
      </c>
      <c r="AV8" s="1" t="str">
        <f t="shared" si="9"/>
        <v>CONVEYABLE</v>
      </c>
    </row>
    <row r="9" spans="1:48" x14ac:dyDescent="0.25">
      <c r="A9" t="str">
        <f>"19-11-2019"</f>
        <v>19-11-2019</v>
      </c>
      <c r="B9" t="str">
        <f t="shared" si="0"/>
        <v>20-11-2019</v>
      </c>
      <c r="C9" t="str">
        <f>"777018914540"</f>
        <v>777018914540</v>
      </c>
      <c r="D9" t="str">
        <f>"IT"</f>
        <v>IT</v>
      </c>
      <c r="E9" t="str">
        <f>"DE"</f>
        <v>DE</v>
      </c>
      <c r="F9" t="str">
        <f>"VBS"</f>
        <v>VBS</v>
      </c>
      <c r="G9" t="str">
        <f>"ZAS"</f>
        <v>ZAS</v>
      </c>
      <c r="H9" t="str">
        <f t="shared" si="10"/>
        <v>19-11-2019</v>
      </c>
      <c r="I9" t="str">
        <f>"21-11-2019"</f>
        <v>21-11-2019</v>
      </c>
      <c r="J9" t="str">
        <f t="shared" ref="J9:J17" si="13">"01"</f>
        <v>01</v>
      </c>
      <c r="K9" t="str">
        <f>"01"</f>
        <v>01</v>
      </c>
      <c r="L9" t="str">
        <f>"EUR"</f>
        <v>EUR</v>
      </c>
      <c r="M9" t="str">
        <f>"592.00"</f>
        <v>592.00</v>
      </c>
      <c r="N9" t="str">
        <f t="shared" si="1"/>
        <v>BOX</v>
      </c>
      <c r="O9" t="str">
        <f>"22.80"</f>
        <v>22.80</v>
      </c>
      <c r="P9" t="str">
        <f>"L"</f>
        <v>L</v>
      </c>
      <c r="Q9" t="str">
        <f t="shared" si="2"/>
        <v>OTHER</v>
      </c>
      <c r="R9" t="str">
        <f t="shared" si="3"/>
        <v>EURO1_MIX</v>
      </c>
      <c r="S9" t="str">
        <f>"IP_D1234_MIX"</f>
        <v>IP_D1234_MIX</v>
      </c>
      <c r="T9" t="str">
        <f>"IP_D5_MIX"</f>
        <v>IP_D5_MIX</v>
      </c>
      <c r="U9" t="str">
        <f t="shared" ref="U9:U14" si="14">"IP_D6_MIX"</f>
        <v>IP_D6_MIX</v>
      </c>
      <c r="V9" t="str">
        <f>"COLD"</f>
        <v>COLD</v>
      </c>
      <c r="W9" t="str">
        <f>"CGN"</f>
        <v>CGN</v>
      </c>
      <c r="X9" t="str">
        <f>"777018914610"</f>
        <v>777018914610</v>
      </c>
      <c r="Y9" t="str">
        <f>"8"</f>
        <v>8</v>
      </c>
      <c r="Z9" t="str">
        <f>"AMJ61520FX"</f>
        <v>AMJ61520FX</v>
      </c>
      <c r="AA9" t="str">
        <f>"304882601925"</f>
        <v>304882601925</v>
      </c>
      <c r="AB9" t="str">
        <f>"352729019"</f>
        <v>352729019</v>
      </c>
      <c r="AC9" t="str">
        <f>"EURO1"</f>
        <v>EURO1</v>
      </c>
      <c r="AD9" t="str">
        <f t="shared" si="4"/>
        <v>IP_D1234</v>
      </c>
      <c r="AE9" t="str">
        <f t="shared" si="5"/>
        <v>BOX PK</v>
      </c>
      <c r="AF9" t="str">
        <f>"IP_D1234-MIX US"</f>
        <v>IP_D1234-MIX US</v>
      </c>
      <c r="AG9" t="str">
        <f>"ROLL E1-19"</f>
        <v>ROLL E1-19</v>
      </c>
      <c r="AH9" t="str">
        <f>"CDG"</f>
        <v>CDG</v>
      </c>
      <c r="AI9" t="str">
        <f t="shared" si="6"/>
        <v>CDG</v>
      </c>
      <c r="AN9" t="str">
        <f>"02"</f>
        <v>02</v>
      </c>
      <c r="AO9" t="str">
        <f>"EURO1_MIX,IP_D1234_MIX,IP_D5_MIX,IP_D6_MIX"</f>
        <v>EURO1_MIX,IP_D1234_MIX,IP_D5_MIX,IP_D6_MIX</v>
      </c>
      <c r="AP9" t="str">
        <f t="shared" si="7"/>
        <v>MDE_AVAILABLE</v>
      </c>
      <c r="AQ9" t="str">
        <f t="shared" si="8"/>
        <v>FEDEX</v>
      </c>
      <c r="AR9" t="str">
        <f t="shared" ref="AR9:AR17" si="15">"IPE"</f>
        <v>IPE</v>
      </c>
      <c r="AS9" t="str">
        <f t="shared" si="11"/>
        <v>CONVEYABLE</v>
      </c>
      <c r="AT9" t="str">
        <f t="shared" si="12"/>
        <v>19-11-2019</v>
      </c>
      <c r="AU9" t="str">
        <f>"BOX"</f>
        <v>BOX</v>
      </c>
      <c r="AV9" s="1" t="str">
        <f t="shared" si="9"/>
        <v>CONVEYABLE</v>
      </c>
    </row>
    <row r="10" spans="1:48" x14ac:dyDescent="0.25">
      <c r="A10" t="str">
        <f>"20-11-2019"</f>
        <v>20-11-2019</v>
      </c>
      <c r="B10" t="str">
        <f t="shared" si="0"/>
        <v>20-11-2019</v>
      </c>
      <c r="C10" t="str">
        <f>"777018434641"</f>
        <v>777018434641</v>
      </c>
      <c r="D10" t="str">
        <f>"JP"</f>
        <v>JP</v>
      </c>
      <c r="E10" t="str">
        <f>"GB"</f>
        <v>GB</v>
      </c>
      <c r="F10" t="str">
        <f>"TYO"</f>
        <v>TYO</v>
      </c>
      <c r="G10" t="str">
        <f>"NQT"</f>
        <v>NQT</v>
      </c>
      <c r="H10" t="str">
        <f t="shared" si="10"/>
        <v>19-11-2019</v>
      </c>
      <c r="I10" t="str">
        <f>"21-11-2019"</f>
        <v>21-11-2019</v>
      </c>
      <c r="J10" t="str">
        <f t="shared" si="13"/>
        <v>01</v>
      </c>
      <c r="K10" t="str">
        <f>"01"</f>
        <v>01</v>
      </c>
      <c r="L10" t="str">
        <f>"UKL"</f>
        <v>UKL</v>
      </c>
      <c r="M10" t="str">
        <f>"4241.50"</f>
        <v>4241.50</v>
      </c>
      <c r="N10" t="str">
        <f t="shared" si="1"/>
        <v>BOX</v>
      </c>
      <c r="O10" t="str">
        <f>"5.10"</f>
        <v>5.10</v>
      </c>
      <c r="P10" t="str">
        <f>"K"</f>
        <v>K</v>
      </c>
      <c r="Q10" t="str">
        <f t="shared" si="2"/>
        <v>OTHER</v>
      </c>
      <c r="R10" t="str">
        <f t="shared" si="3"/>
        <v>EURO1_MIX</v>
      </c>
      <c r="S10" t="str">
        <f>"IP_D1234_MIX"</f>
        <v>IP_D1234_MIX</v>
      </c>
      <c r="T10" t="str">
        <f>"IP_D5_EMEA"</f>
        <v>IP_D5_EMEA</v>
      </c>
      <c r="U10" t="str">
        <f t="shared" si="14"/>
        <v>IP_D6_MIX</v>
      </c>
      <c r="V10" t="str">
        <f>"WARM"</f>
        <v>WARM</v>
      </c>
      <c r="W10" t="str">
        <f>"STN"</f>
        <v>STN</v>
      </c>
      <c r="Y10" t="str">
        <f t="shared" ref="Y10:Y19" si="16">"1"</f>
        <v>1</v>
      </c>
      <c r="Z10" t="str">
        <f>"AAD22543FX"</f>
        <v>AAD22543FX</v>
      </c>
      <c r="AA10" t="str">
        <f>"305386316972"</f>
        <v>305386316972</v>
      </c>
      <c r="AB10" t="str">
        <f>"131009429"</f>
        <v>131009429</v>
      </c>
      <c r="AC10" t="str">
        <f>"IP_D1234"</f>
        <v>IP_D1234</v>
      </c>
      <c r="AD10" t="str">
        <f t="shared" si="4"/>
        <v>IP_D1234</v>
      </c>
      <c r="AE10" t="str">
        <f t="shared" si="5"/>
        <v>BOX PK</v>
      </c>
      <c r="AF10" t="str">
        <f>"IP_D1234-MIX US"</f>
        <v>IP_D1234-MIX US</v>
      </c>
      <c r="AG10" t="str">
        <f>"5392"</f>
        <v>5392</v>
      </c>
      <c r="AH10" t="str">
        <f>"NRT"</f>
        <v>NRT</v>
      </c>
      <c r="AI10" t="str">
        <f t="shared" si="6"/>
        <v>CDG</v>
      </c>
      <c r="AJ10" t="str">
        <f>"0083"</f>
        <v>0083</v>
      </c>
      <c r="AK10" t="str">
        <f>"20/11/2019 16:53"</f>
        <v>20/11/2019 16:53</v>
      </c>
      <c r="AL10" t="str">
        <f>"20/11/2019 17:38"</f>
        <v>20/11/2019 17:38</v>
      </c>
      <c r="AM10" t="str">
        <f>"45"</f>
        <v>45</v>
      </c>
      <c r="AN10" t="str">
        <f>"02"</f>
        <v>02</v>
      </c>
      <c r="AO10" t="str">
        <f>"EURO1_MIX,IP_D1234_MIX,IP_D5_EMEA,IP_D6_MIX"</f>
        <v>EURO1_MIX,IP_D1234_MIX,IP_D5_EMEA,IP_D6_MIX</v>
      </c>
      <c r="AP10" t="str">
        <f t="shared" si="7"/>
        <v>MDE_AVAILABLE</v>
      </c>
      <c r="AQ10" t="str">
        <f t="shared" si="8"/>
        <v>FEDEX</v>
      </c>
      <c r="AR10" t="str">
        <f t="shared" si="15"/>
        <v>IPE</v>
      </c>
      <c r="AS10" t="str">
        <f t="shared" si="11"/>
        <v>CONVEYABLE</v>
      </c>
      <c r="AT10" t="str">
        <f t="shared" si="12"/>
        <v>19-11-2019</v>
      </c>
      <c r="AU10" t="str">
        <f>"BOX"</f>
        <v>BOX</v>
      </c>
      <c r="AV10" s="1" t="str">
        <f t="shared" si="9"/>
        <v>CONVEYABLE</v>
      </c>
    </row>
    <row r="11" spans="1:48" x14ac:dyDescent="0.25">
      <c r="A11" t="str">
        <f>"20-11-2019"</f>
        <v>20-11-2019</v>
      </c>
      <c r="B11" t="str">
        <f t="shared" si="0"/>
        <v>20-11-2019</v>
      </c>
      <c r="C11" t="str">
        <f>"102303080618"</f>
        <v>102303080618</v>
      </c>
      <c r="D11" t="str">
        <f>"US"</f>
        <v>US</v>
      </c>
      <c r="E11" t="str">
        <f>"LV"</f>
        <v>LV</v>
      </c>
      <c r="F11" t="str">
        <f>"COA"</f>
        <v>COA</v>
      </c>
      <c r="G11" t="str">
        <f>"RIX"</f>
        <v>RIX</v>
      </c>
      <c r="H11" t="str">
        <f t="shared" si="10"/>
        <v>19-11-2019</v>
      </c>
      <c r="I11" t="str">
        <f>"25-11-2019"</f>
        <v>25-11-2019</v>
      </c>
      <c r="J11" t="str">
        <f t="shared" si="13"/>
        <v>01</v>
      </c>
      <c r="K11" t="str">
        <f>"03"</f>
        <v>03</v>
      </c>
      <c r="L11" t="str">
        <f>"USD"</f>
        <v>USD</v>
      </c>
      <c r="M11" t="str">
        <f>"100.00"</f>
        <v>100.00</v>
      </c>
      <c r="N11" t="str">
        <f t="shared" si="1"/>
        <v>BOX</v>
      </c>
      <c r="O11" t="str">
        <f>"1.30"</f>
        <v>1.30</v>
      </c>
      <c r="P11" t="str">
        <f>"L"</f>
        <v>L</v>
      </c>
      <c r="Q11" t="str">
        <f t="shared" si="2"/>
        <v>OTHER</v>
      </c>
      <c r="R11" t="str">
        <f t="shared" si="3"/>
        <v>EURO1_MIX</v>
      </c>
      <c r="S11" t="str">
        <f>"IP_D1234_LATE"</f>
        <v>IP_D1234_LATE</v>
      </c>
      <c r="T11" t="str">
        <f>"IP_D5_EMEA"</f>
        <v>IP_D5_EMEA</v>
      </c>
      <c r="U11" t="str">
        <f t="shared" si="14"/>
        <v>IP_D6_MIX</v>
      </c>
      <c r="V11" t="str">
        <f>"COLD"</f>
        <v>COLD</v>
      </c>
      <c r="W11" t="str">
        <f>"HEL"</f>
        <v>HEL</v>
      </c>
      <c r="Y11" t="str">
        <f t="shared" si="16"/>
        <v>1</v>
      </c>
      <c r="Z11" t="str">
        <f>"AAD13593FX"</f>
        <v>AAD13593FX</v>
      </c>
      <c r="AA11" t="str">
        <f>"304990990352"</f>
        <v>304990990352</v>
      </c>
      <c r="AB11" t="str">
        <f>"138858693"</f>
        <v>138858693</v>
      </c>
      <c r="AC11" t="str">
        <f>"IP_D1234"</f>
        <v>IP_D1234</v>
      </c>
      <c r="AD11" t="str">
        <f t="shared" si="4"/>
        <v>IP_D1234</v>
      </c>
      <c r="AE11" t="str">
        <f t="shared" si="5"/>
        <v>BOX PK</v>
      </c>
      <c r="AF11" t="str">
        <f>"IP_D1234-EMEA"</f>
        <v>IP_D1234-EMEA</v>
      </c>
      <c r="AG11" t="str">
        <f>"0038"</f>
        <v>0038</v>
      </c>
      <c r="AH11" t="str">
        <f>"MEM"</f>
        <v>MEM</v>
      </c>
      <c r="AI11" t="str">
        <f t="shared" si="6"/>
        <v>CDG</v>
      </c>
      <c r="AJ11" t="str">
        <f>"0083"</f>
        <v>0083</v>
      </c>
      <c r="AK11" t="str">
        <f>"20/11/2019 20:43"</f>
        <v>20/11/2019 20:43</v>
      </c>
      <c r="AN11" t="str">
        <f>"02,54"</f>
        <v>02,54</v>
      </c>
      <c r="AO11" t="str">
        <f>"EURO1_MIX,IP_D1234_LATE,IP_D5_EMEA,IP_D6_MIX"</f>
        <v>EURO1_MIX,IP_D1234_LATE,IP_D5_EMEA,IP_D6_MIX</v>
      </c>
      <c r="AP11" t="str">
        <f t="shared" si="7"/>
        <v>MDE_AVAILABLE</v>
      </c>
      <c r="AQ11" t="str">
        <f t="shared" si="8"/>
        <v>FEDEX</v>
      </c>
      <c r="AR11" t="str">
        <f t="shared" si="15"/>
        <v>IPE</v>
      </c>
      <c r="AS11" t="str">
        <f t="shared" si="11"/>
        <v>CONVEYABLE</v>
      </c>
      <c r="AT11" t="str">
        <f t="shared" si="12"/>
        <v>19-11-2019</v>
      </c>
      <c r="AU11" t="str">
        <f>"SMALL_PARCEL"</f>
        <v>SMALL_PARCEL</v>
      </c>
      <c r="AV11" s="1" t="str">
        <f t="shared" si="9"/>
        <v>CONVEYABLE</v>
      </c>
    </row>
    <row r="12" spans="1:48" x14ac:dyDescent="0.25">
      <c r="A12" t="str">
        <f>"20-11-2019"</f>
        <v>20-11-2019</v>
      </c>
      <c r="B12" t="str">
        <f t="shared" si="0"/>
        <v>20-11-2019</v>
      </c>
      <c r="C12" t="str">
        <f>"778135395837"</f>
        <v>778135395837</v>
      </c>
      <c r="D12" t="str">
        <f>"US"</f>
        <v>US</v>
      </c>
      <c r="E12" t="str">
        <f>"SC"</f>
        <v>SC</v>
      </c>
      <c r="F12" t="str">
        <f>"PNV"</f>
        <v>PNV</v>
      </c>
      <c r="G12" t="str">
        <f>"SEZ"</f>
        <v>SEZ</v>
      </c>
      <c r="H12" t="str">
        <f t="shared" si="10"/>
        <v>19-11-2019</v>
      </c>
      <c r="I12" t="str">
        <f>"26-11-2019"</f>
        <v>26-11-2019</v>
      </c>
      <c r="J12" t="str">
        <f t="shared" si="13"/>
        <v>01</v>
      </c>
      <c r="K12" t="str">
        <f>"01"</f>
        <v>01</v>
      </c>
      <c r="L12" t="str">
        <f>"USD"</f>
        <v>USD</v>
      </c>
      <c r="M12" t="str">
        <f>"15.00"</f>
        <v>15.00</v>
      </c>
      <c r="N12" t="str">
        <f t="shared" si="1"/>
        <v>BOX</v>
      </c>
      <c r="O12" t="str">
        <f>"0.30"</f>
        <v>0.30</v>
      </c>
      <c r="P12" t="str">
        <f>"L"</f>
        <v>L</v>
      </c>
      <c r="Q12" t="str">
        <f t="shared" si="2"/>
        <v>OTHER</v>
      </c>
      <c r="R12" t="str">
        <f t="shared" si="3"/>
        <v>EURO1_MIX</v>
      </c>
      <c r="S12" t="str">
        <f>"IP_D1234_LATE"</f>
        <v>IP_D1234_LATE</v>
      </c>
      <c r="T12" t="str">
        <f>"IP_D5_EMEA"</f>
        <v>IP_D5_EMEA</v>
      </c>
      <c r="U12" t="str">
        <f t="shared" si="14"/>
        <v>IP_D6_MIX</v>
      </c>
      <c r="V12" t="str">
        <f>"COLD"</f>
        <v>COLD</v>
      </c>
      <c r="W12" t="str">
        <f>"DXB"</f>
        <v>DXB</v>
      </c>
      <c r="Y12" t="str">
        <f t="shared" si="16"/>
        <v>1</v>
      </c>
      <c r="Z12" t="str">
        <f>"BULK"</f>
        <v>BULK</v>
      </c>
      <c r="AA12" t="str">
        <f>"304990606836"</f>
        <v>304990606836</v>
      </c>
      <c r="AB12" t="str">
        <f>"808894688"</f>
        <v>808894688</v>
      </c>
      <c r="AC12" t="str">
        <f>"IP_D1234"</f>
        <v>IP_D1234</v>
      </c>
      <c r="AD12" t="str">
        <f t="shared" si="4"/>
        <v>IP_D1234</v>
      </c>
      <c r="AE12" t="str">
        <f t="shared" si="5"/>
        <v>BOX PK</v>
      </c>
      <c r="AF12" t="str">
        <f>"IP_D1234-MIX US"</f>
        <v>IP_D1234-MIX US</v>
      </c>
      <c r="AG12" t="str">
        <f>"0038"</f>
        <v>0038</v>
      </c>
      <c r="AH12" t="str">
        <f>"MEM"</f>
        <v>MEM</v>
      </c>
      <c r="AI12" t="str">
        <f t="shared" si="6"/>
        <v>CDG</v>
      </c>
      <c r="AJ12" t="str">
        <f>"0083"</f>
        <v>0083</v>
      </c>
      <c r="AK12" t="str">
        <f>"20/11/2019 20:43"</f>
        <v>20/11/2019 20:43</v>
      </c>
      <c r="AN12" t="str">
        <f>"02,28,52,83"</f>
        <v>02,28,52,83</v>
      </c>
      <c r="AO12" t="str">
        <f>"EURO1_MIX,IP_D1234_LATE,IP_D5_EMEA,IP_D6_MIX"</f>
        <v>EURO1_MIX,IP_D1234_LATE,IP_D5_EMEA,IP_D6_MIX</v>
      </c>
      <c r="AP12" t="str">
        <f t="shared" si="7"/>
        <v>MDE_AVAILABLE</v>
      </c>
      <c r="AQ12" t="str">
        <f t="shared" si="8"/>
        <v>FEDEX</v>
      </c>
      <c r="AR12" t="str">
        <f t="shared" si="15"/>
        <v>IPE</v>
      </c>
      <c r="AS12" t="str">
        <f t="shared" si="11"/>
        <v>CONVEYABLE</v>
      </c>
      <c r="AT12" t="str">
        <f t="shared" si="12"/>
        <v>19-11-2019</v>
      </c>
      <c r="AU12" t="str">
        <f>"SMALL_PARCEL"</f>
        <v>SMALL_PARCEL</v>
      </c>
      <c r="AV12" s="1" t="str">
        <f t="shared" si="9"/>
        <v>CONVEYABLE</v>
      </c>
    </row>
    <row r="13" spans="1:48" x14ac:dyDescent="0.25">
      <c r="A13" t="str">
        <f>"20-11-2019"</f>
        <v>20-11-2019</v>
      </c>
      <c r="B13" t="str">
        <f t="shared" si="0"/>
        <v>20-11-2019</v>
      </c>
      <c r="C13" t="str">
        <f>"777020268736"</f>
        <v>777020268736</v>
      </c>
      <c r="D13" t="str">
        <f>"US"</f>
        <v>US</v>
      </c>
      <c r="E13" t="str">
        <f>"IN"</f>
        <v>IN</v>
      </c>
      <c r="F13" t="str">
        <f>"ALN"</f>
        <v>ALN</v>
      </c>
      <c r="G13" t="str">
        <f>"IXC"</f>
        <v>IXC</v>
      </c>
      <c r="H13" t="str">
        <f t="shared" si="10"/>
        <v>19-11-2019</v>
      </c>
      <c r="I13" t="str">
        <f>"25-11-2019"</f>
        <v>25-11-2019</v>
      </c>
      <c r="J13" t="str">
        <f t="shared" si="13"/>
        <v>01</v>
      </c>
      <c r="K13" t="str">
        <f>"02"</f>
        <v>02</v>
      </c>
      <c r="L13" t="str">
        <f>"USD"</f>
        <v>USD</v>
      </c>
      <c r="M13" t="str">
        <f>"30.00"</f>
        <v>30.00</v>
      </c>
      <c r="N13" t="str">
        <f t="shared" si="1"/>
        <v>BOX</v>
      </c>
      <c r="O13" t="str">
        <f>"1.00"</f>
        <v>1.00</v>
      </c>
      <c r="P13" t="str">
        <f>"L"</f>
        <v>L</v>
      </c>
      <c r="Q13" t="str">
        <f t="shared" si="2"/>
        <v>OTHER</v>
      </c>
      <c r="R13" t="str">
        <f t="shared" si="3"/>
        <v>EURO1_MIX</v>
      </c>
      <c r="S13" t="str">
        <f>"IP_D1234_LATE"</f>
        <v>IP_D1234_LATE</v>
      </c>
      <c r="T13" t="str">
        <f>"IP_D5_EMEA"</f>
        <v>IP_D5_EMEA</v>
      </c>
      <c r="U13" t="str">
        <f t="shared" si="14"/>
        <v>IP_D6_MIX</v>
      </c>
      <c r="V13" t="str">
        <f>"COLD"</f>
        <v>COLD</v>
      </c>
      <c r="W13" t="str">
        <f>"DEL"</f>
        <v>DEL</v>
      </c>
      <c r="Y13" t="str">
        <f t="shared" si="16"/>
        <v>1</v>
      </c>
      <c r="Z13" t="str">
        <f>"AMJ64343FX"</f>
        <v>AMJ64343FX</v>
      </c>
      <c r="AA13" t="str">
        <f>"304844441782"</f>
        <v>304844441782</v>
      </c>
      <c r="AB13" t="str">
        <f>"101678067"</f>
        <v>101678067</v>
      </c>
      <c r="AC13" t="str">
        <f>"IP_D1234"</f>
        <v>IP_D1234</v>
      </c>
      <c r="AD13" t="str">
        <f t="shared" si="4"/>
        <v>IP_D1234</v>
      </c>
      <c r="AE13" t="str">
        <f t="shared" si="5"/>
        <v>BOX PK</v>
      </c>
      <c r="AF13" t="str">
        <f>"IP_D1234-MIX"</f>
        <v>IP_D1234-MIX</v>
      </c>
      <c r="AG13" t="str">
        <f>"0030"</f>
        <v>0030</v>
      </c>
      <c r="AH13" t="str">
        <f>"IND"</f>
        <v>IND</v>
      </c>
      <c r="AI13" t="str">
        <f t="shared" si="6"/>
        <v>CDG</v>
      </c>
      <c r="AJ13" t="str">
        <f>"0083"</f>
        <v>0083</v>
      </c>
      <c r="AK13" t="str">
        <f>"20/11/2019 18:17"</f>
        <v>20/11/2019 18:17</v>
      </c>
      <c r="AL13" t="str">
        <f>"20/11/2019 18:54"</f>
        <v>20/11/2019 18:54</v>
      </c>
      <c r="AM13" t="str">
        <f>"37"</f>
        <v>37</v>
      </c>
      <c r="AN13" t="str">
        <f t="shared" ref="AN13:AN27" si="17">"02"</f>
        <v>02</v>
      </c>
      <c r="AO13" t="str">
        <f>"EURO1_MIX,IP_D1234_LATE,IP_D5_EMEA,IP_D6_MIX"</f>
        <v>EURO1_MIX,IP_D1234_LATE,IP_D5_EMEA,IP_D6_MIX</v>
      </c>
      <c r="AP13" t="str">
        <f t="shared" si="7"/>
        <v>MDE_AVAILABLE</v>
      </c>
      <c r="AQ13" t="str">
        <f t="shared" si="8"/>
        <v>FEDEX</v>
      </c>
      <c r="AR13" t="str">
        <f t="shared" si="15"/>
        <v>IPE</v>
      </c>
      <c r="AS13" t="str">
        <f t="shared" si="11"/>
        <v>CONVEYABLE</v>
      </c>
      <c r="AT13" t="str">
        <f t="shared" si="12"/>
        <v>19-11-2019</v>
      </c>
      <c r="AU13" t="str">
        <f>"SMALL_PARCEL"</f>
        <v>SMALL_PARCEL</v>
      </c>
      <c r="AV13" s="1" t="str">
        <f t="shared" si="9"/>
        <v>CONVEYABLE</v>
      </c>
    </row>
    <row r="14" spans="1:48" x14ac:dyDescent="0.25">
      <c r="A14" t="str">
        <f>"19-11-2019"</f>
        <v>19-11-2019</v>
      </c>
      <c r="B14" t="str">
        <f t="shared" si="0"/>
        <v>20-11-2019</v>
      </c>
      <c r="C14" t="str">
        <f>"777018649330"</f>
        <v>777018649330</v>
      </c>
      <c r="D14" t="str">
        <f>"SE"</f>
        <v>SE</v>
      </c>
      <c r="E14" t="str">
        <f>"DE"</f>
        <v>DE</v>
      </c>
      <c r="F14" t="str">
        <f>"GOT"</f>
        <v>GOT</v>
      </c>
      <c r="G14" t="str">
        <f>"FMO"</f>
        <v>FMO</v>
      </c>
      <c r="H14" t="str">
        <f t="shared" si="10"/>
        <v>19-11-2019</v>
      </c>
      <c r="I14" t="str">
        <f>"20-11-2019"</f>
        <v>20-11-2019</v>
      </c>
      <c r="J14" t="str">
        <f t="shared" si="13"/>
        <v>01</v>
      </c>
      <c r="K14" t="str">
        <f>"06"</f>
        <v>06</v>
      </c>
      <c r="L14" t="str">
        <f>"SEK"</f>
        <v>SEK</v>
      </c>
      <c r="M14" t="str">
        <f>"0.00"</f>
        <v>0.00</v>
      </c>
      <c r="N14" t="str">
        <f>"SPSS"</f>
        <v>SPSS</v>
      </c>
      <c r="O14" t="str">
        <f>"0.10"</f>
        <v>0.10</v>
      </c>
      <c r="P14" t="str">
        <f>"K"</f>
        <v>K</v>
      </c>
      <c r="Q14" t="str">
        <f t="shared" si="2"/>
        <v>OTHER</v>
      </c>
      <c r="R14" t="str">
        <f t="shared" si="3"/>
        <v>EURO1_MIX</v>
      </c>
      <c r="S14" t="str">
        <f>"IP_D1234_MIX"</f>
        <v>IP_D1234_MIX</v>
      </c>
      <c r="T14" t="str">
        <f>"IP_D5_MIX"</f>
        <v>IP_D5_MIX</v>
      </c>
      <c r="U14" t="str">
        <f t="shared" si="14"/>
        <v>IP_D6_MIX</v>
      </c>
      <c r="V14" t="str">
        <f>"HOT"</f>
        <v>HOT</v>
      </c>
      <c r="W14" t="str">
        <f>"CGN"</f>
        <v>CGN</v>
      </c>
      <c r="Y14" t="str">
        <f t="shared" si="16"/>
        <v>1</v>
      </c>
      <c r="Z14" t="str">
        <f>"AM66493FX"</f>
        <v>AM66493FX</v>
      </c>
      <c r="AA14" t="str">
        <f>"304882416668"</f>
        <v>304882416668</v>
      </c>
      <c r="AB14" t="str">
        <f>"297897411"</f>
        <v>297897411</v>
      </c>
      <c r="AC14" t="str">
        <f>"EURO1"</f>
        <v>EURO1</v>
      </c>
      <c r="AD14" t="str">
        <f t="shared" si="4"/>
        <v>IP_D1234</v>
      </c>
      <c r="AE14" t="str">
        <f t="shared" si="5"/>
        <v>BOX PK</v>
      </c>
      <c r="AF14" t="str">
        <f>"IP_D1234-MIX US"</f>
        <v>IP_D1234-MIX US</v>
      </c>
      <c r="AG14" t="str">
        <f>"ROLL E1-19"</f>
        <v>ROLL E1-19</v>
      </c>
      <c r="AH14" t="str">
        <f>"CDG"</f>
        <v>CDG</v>
      </c>
      <c r="AI14" t="str">
        <f t="shared" si="6"/>
        <v>CDG</v>
      </c>
      <c r="AN14" t="str">
        <f t="shared" si="17"/>
        <v>02</v>
      </c>
      <c r="AO14" t="str">
        <f>"EURO1_MIX,IP_D1234_MIX,IP_D5_MIX,IP_D6_MIX"</f>
        <v>EURO1_MIX,IP_D1234_MIX,IP_D5_MIX,IP_D6_MIX</v>
      </c>
      <c r="AP14" t="str">
        <f t="shared" si="7"/>
        <v>MDE_AVAILABLE</v>
      </c>
      <c r="AQ14" t="str">
        <f t="shared" si="8"/>
        <v>FEDEX</v>
      </c>
      <c r="AR14" t="str">
        <f t="shared" si="15"/>
        <v>IPE</v>
      </c>
      <c r="AS14" t="str">
        <f t="shared" si="11"/>
        <v>CONVEYABLE</v>
      </c>
      <c r="AT14" t="str">
        <f t="shared" si="12"/>
        <v>19-11-2019</v>
      </c>
      <c r="AU14" t="str">
        <f>"DOC"</f>
        <v>DOC</v>
      </c>
      <c r="AV14" s="1" t="str">
        <f t="shared" si="9"/>
        <v>CONVEYABLE</v>
      </c>
    </row>
    <row r="15" spans="1:48" x14ac:dyDescent="0.25">
      <c r="A15" t="str">
        <f t="shared" ref="A15:B47" si="18">"20-11-2019"</f>
        <v>20-11-2019</v>
      </c>
      <c r="B15" t="str">
        <f t="shared" si="0"/>
        <v>20-11-2019</v>
      </c>
      <c r="C15" t="str">
        <f>"106817310832"</f>
        <v>106817310832</v>
      </c>
      <c r="D15" t="str">
        <f>"CN"</f>
        <v>CN</v>
      </c>
      <c r="E15" t="str">
        <f>"EG"</f>
        <v>EG</v>
      </c>
      <c r="F15" t="str">
        <f>"TXN"</f>
        <v>TXN</v>
      </c>
      <c r="G15" t="str">
        <f>"CAI"</f>
        <v>CAI</v>
      </c>
      <c r="H15" t="str">
        <f t="shared" si="10"/>
        <v>19-11-2019</v>
      </c>
      <c r="I15" t="str">
        <f>"24-11-2019"</f>
        <v>24-11-2019</v>
      </c>
      <c r="J15" t="str">
        <f t="shared" si="13"/>
        <v>01</v>
      </c>
      <c r="K15" t="str">
        <f>"06"</f>
        <v>06</v>
      </c>
      <c r="L15" t="str">
        <f>"USD"</f>
        <v>USD</v>
      </c>
      <c r="M15" t="str">
        <f>"5.00"</f>
        <v>5.00</v>
      </c>
      <c r="N15" t="str">
        <f>"SPSS"</f>
        <v>SPSS</v>
      </c>
      <c r="O15" t="str">
        <f>"0.50"</f>
        <v>0.50</v>
      </c>
      <c r="P15" t="str">
        <f>"K"</f>
        <v>K</v>
      </c>
      <c r="Q15" t="str">
        <f t="shared" si="2"/>
        <v>OTHER</v>
      </c>
      <c r="R15" t="str">
        <f t="shared" si="3"/>
        <v>EURO1_MIX</v>
      </c>
      <c r="S15" t="str">
        <f>"IP_D1234_LATE"</f>
        <v>IP_D1234_LATE</v>
      </c>
      <c r="T15" t="str">
        <f>"IP_D5_EMEA"</f>
        <v>IP_D5_EMEA</v>
      </c>
      <c r="U15" t="str">
        <f>"IP_D6_EMEA"</f>
        <v>IP_D6_EMEA</v>
      </c>
      <c r="V15" t="str">
        <f>"COLD"</f>
        <v>COLD</v>
      </c>
      <c r="W15" t="str">
        <f>"CDG"</f>
        <v>CDG</v>
      </c>
      <c r="Y15" t="str">
        <f t="shared" si="16"/>
        <v>1</v>
      </c>
      <c r="Z15" t="str">
        <f>"AKE34895FX"</f>
        <v>AKE34895FX</v>
      </c>
      <c r="AA15" t="str">
        <f>"305073044016"</f>
        <v>305073044016</v>
      </c>
      <c r="AB15" t="str">
        <f>"901614970"</f>
        <v>901614970</v>
      </c>
      <c r="AC15" t="str">
        <f t="shared" ref="AC15:AD47" si="19">"IP_D1234"</f>
        <v>IP_D1234</v>
      </c>
      <c r="AD15" t="str">
        <f t="shared" si="4"/>
        <v>IP_D1234</v>
      </c>
      <c r="AE15" t="str">
        <f t="shared" si="5"/>
        <v>BOX PK</v>
      </c>
      <c r="AF15" t="str">
        <f>"IP_D1234-MIX US"</f>
        <v>IP_D1234-MIX US</v>
      </c>
      <c r="AG15" t="str">
        <f>"3621H"</f>
        <v>3621H</v>
      </c>
      <c r="AH15" t="str">
        <f>"LGGT7"</f>
        <v>LGGT7</v>
      </c>
      <c r="AI15" t="str">
        <f>"CDGH"</f>
        <v>CDGH</v>
      </c>
      <c r="AJ15" t="str">
        <f>"8009"</f>
        <v>8009</v>
      </c>
      <c r="AK15" t="str">
        <f>"20/11/2019 18:00"</f>
        <v>20/11/2019 18:00</v>
      </c>
      <c r="AL15" t="str">
        <f>"20/11/2019 18:47"</f>
        <v>20/11/2019 18:47</v>
      </c>
      <c r="AM15" t="str">
        <f>"47"</f>
        <v>47</v>
      </c>
      <c r="AN15" t="str">
        <f t="shared" si="17"/>
        <v>02</v>
      </c>
      <c r="AO15" t="str">
        <f>"EURO1_MIX,IP_D1234_LATE,IP_D5_EMEA,IP_D6_EMEA"</f>
        <v>EURO1_MIX,IP_D1234_LATE,IP_D5_EMEA,IP_D6_EMEA</v>
      </c>
      <c r="AP15" t="str">
        <f t="shared" si="7"/>
        <v>MDE_AVAILABLE</v>
      </c>
      <c r="AQ15" t="str">
        <f t="shared" si="8"/>
        <v>FEDEX</v>
      </c>
      <c r="AR15" t="str">
        <f t="shared" si="15"/>
        <v>IPE</v>
      </c>
      <c r="AS15" t="str">
        <f t="shared" si="11"/>
        <v>CONVEYABLE</v>
      </c>
      <c r="AT15" t="str">
        <f t="shared" si="12"/>
        <v>19-11-2019</v>
      </c>
      <c r="AU15" t="str">
        <f>"DOC"</f>
        <v>DOC</v>
      </c>
      <c r="AV15" s="1" t="str">
        <f t="shared" si="9"/>
        <v>CONVEYABLE</v>
      </c>
    </row>
    <row r="16" spans="1:48" x14ac:dyDescent="0.25">
      <c r="A16" t="str">
        <f t="shared" si="18"/>
        <v>20-11-2019</v>
      </c>
      <c r="B16" t="str">
        <f t="shared" si="0"/>
        <v>20-11-2019</v>
      </c>
      <c r="C16" t="str">
        <f>"777006208325"</f>
        <v>777006208325</v>
      </c>
      <c r="D16" t="str">
        <f>"VN"</f>
        <v>VN</v>
      </c>
      <c r="E16" t="str">
        <f>"DE"</f>
        <v>DE</v>
      </c>
      <c r="F16" t="str">
        <f>"SGN"</f>
        <v>SGN</v>
      </c>
      <c r="G16" t="str">
        <f>"HAM"</f>
        <v>HAM</v>
      </c>
      <c r="H16" t="str">
        <f t="shared" si="10"/>
        <v>19-11-2019</v>
      </c>
      <c r="I16" t="str">
        <f>"21-11-2019"</f>
        <v>21-11-2019</v>
      </c>
      <c r="J16" t="str">
        <f t="shared" si="13"/>
        <v>01</v>
      </c>
      <c r="K16" t="str">
        <f>"01"</f>
        <v>01</v>
      </c>
      <c r="L16" t="str">
        <f>"USD"</f>
        <v>USD</v>
      </c>
      <c r="M16" t="str">
        <f>"250.00"</f>
        <v>250.00</v>
      </c>
      <c r="N16" t="str">
        <f t="shared" ref="N16:N25" si="20">"BOX"</f>
        <v>BOX</v>
      </c>
      <c r="O16" t="str">
        <f>"20.00"</f>
        <v>20.00</v>
      </c>
      <c r="P16" t="str">
        <f>"K"</f>
        <v>K</v>
      </c>
      <c r="Q16" t="str">
        <f t="shared" si="2"/>
        <v>OTHER</v>
      </c>
      <c r="R16" t="str">
        <f t="shared" si="3"/>
        <v>EURO1_MIX</v>
      </c>
      <c r="S16" t="str">
        <f>"IP_D1234_MIX"</f>
        <v>IP_D1234_MIX</v>
      </c>
      <c r="T16" t="str">
        <f>"IP_D5_MIX"</f>
        <v>IP_D5_MIX</v>
      </c>
      <c r="U16" t="str">
        <f>"IP_D6_MIX"</f>
        <v>IP_D6_MIX</v>
      </c>
      <c r="V16" t="str">
        <f>"WARM"</f>
        <v>WARM</v>
      </c>
      <c r="W16" t="str">
        <f>"CGN"</f>
        <v>CGN</v>
      </c>
      <c r="Y16" t="str">
        <f t="shared" si="16"/>
        <v>1</v>
      </c>
      <c r="Z16" t="str">
        <f>"AMJ61640FX"</f>
        <v>AMJ61640FX</v>
      </c>
      <c r="AA16" t="str">
        <f>"221484122108"</f>
        <v>221484122108</v>
      </c>
      <c r="AB16" t="str">
        <f>"982005655"</f>
        <v>982005655</v>
      </c>
      <c r="AC16" t="str">
        <f t="shared" si="19"/>
        <v>IP_D1234</v>
      </c>
      <c r="AD16" t="str">
        <f t="shared" si="4"/>
        <v>IP_D1234</v>
      </c>
      <c r="AE16" t="str">
        <f t="shared" si="5"/>
        <v>BOX PK</v>
      </c>
      <c r="AF16" t="str">
        <f>"IP_D1234-MIX US"</f>
        <v>IP_D1234-MIX US</v>
      </c>
      <c r="AG16" t="str">
        <f>"CDG05"</f>
        <v>CDG05</v>
      </c>
      <c r="AH16" t="str">
        <f>"CDGRP"</f>
        <v>CDGRP</v>
      </c>
      <c r="AI16" t="str">
        <f>"CDGH"</f>
        <v>CDGH</v>
      </c>
      <c r="AJ16" t="str">
        <f>"8009"</f>
        <v>8009</v>
      </c>
      <c r="AK16" t="str">
        <f>"20/11/2019 16:15"</f>
        <v>20/11/2019 16:15</v>
      </c>
      <c r="AL16" t="str">
        <f>"20/11/2019 16:55"</f>
        <v>20/11/2019 16:55</v>
      </c>
      <c r="AM16" t="str">
        <f>"40"</f>
        <v>40</v>
      </c>
      <c r="AN16" t="str">
        <f t="shared" si="17"/>
        <v>02</v>
      </c>
      <c r="AO16" t="str">
        <f>"EURO1_MIX,IP_D1234_MIX,IP_D5_MIX,IP_D6_MIX"</f>
        <v>EURO1_MIX,IP_D1234_MIX,IP_D5_MIX,IP_D6_MIX</v>
      </c>
      <c r="AP16" t="str">
        <f t="shared" si="7"/>
        <v>MDE_AVAILABLE</v>
      </c>
      <c r="AQ16" t="str">
        <f t="shared" si="8"/>
        <v>FEDEX</v>
      </c>
      <c r="AR16" t="str">
        <f t="shared" si="15"/>
        <v>IPE</v>
      </c>
      <c r="AS16" t="str">
        <f>"BUILDING_AB_NON_CONV,BUILDING_V_NON_CONV"</f>
        <v>BUILDING_AB_NON_CONV,BUILDING_V_NON_CONV</v>
      </c>
      <c r="AT16" t="str">
        <f t="shared" si="12"/>
        <v>19-11-2019</v>
      </c>
      <c r="AU16" t="str">
        <f>"BOX"</f>
        <v>BOX</v>
      </c>
      <c r="AV16" s="1" t="str">
        <f t="shared" si="9"/>
        <v>NON_CONV</v>
      </c>
    </row>
    <row r="17" spans="1:48" x14ac:dyDescent="0.25">
      <c r="A17" t="str">
        <f t="shared" si="18"/>
        <v>20-11-2019</v>
      </c>
      <c r="B17" t="str">
        <f t="shared" si="0"/>
        <v>20-11-2019</v>
      </c>
      <c r="C17" t="str">
        <f>"813040424770"</f>
        <v>813040424770</v>
      </c>
      <c r="D17" t="str">
        <f>"IN"</f>
        <v>IN</v>
      </c>
      <c r="E17" t="str">
        <f>"GB"</f>
        <v>GB</v>
      </c>
      <c r="F17" t="str">
        <f>"BOM"</f>
        <v>BOM</v>
      </c>
      <c r="G17" t="str">
        <f>"BBS"</f>
        <v>BBS</v>
      </c>
      <c r="H17" t="str">
        <f t="shared" si="10"/>
        <v>19-11-2019</v>
      </c>
      <c r="I17" t="str">
        <f>"21-11-2019"</f>
        <v>21-11-2019</v>
      </c>
      <c r="J17" t="str">
        <f t="shared" si="13"/>
        <v>01</v>
      </c>
      <c r="K17" t="str">
        <f>"02"</f>
        <v>02</v>
      </c>
      <c r="L17" t="str">
        <f>"USD"</f>
        <v>USD</v>
      </c>
      <c r="M17" t="str">
        <f>"1.00"</f>
        <v>1.00</v>
      </c>
      <c r="N17" t="str">
        <f t="shared" si="20"/>
        <v>BOX</v>
      </c>
      <c r="O17" t="str">
        <f>"3.80"</f>
        <v>3.80</v>
      </c>
      <c r="P17" t="str">
        <f>"L"</f>
        <v>L</v>
      </c>
      <c r="Q17" t="str">
        <f t="shared" si="2"/>
        <v>OTHER</v>
      </c>
      <c r="R17" t="str">
        <f t="shared" si="3"/>
        <v>EURO1_MIX</v>
      </c>
      <c r="S17" t="str">
        <f>"IP_D1234_MIX"</f>
        <v>IP_D1234_MIX</v>
      </c>
      <c r="T17" t="str">
        <f t="shared" ref="T17:T42" si="21">"IP_D5_EMEA"</f>
        <v>IP_D5_EMEA</v>
      </c>
      <c r="U17" t="str">
        <f>"IP_D6_MIX"</f>
        <v>IP_D6_MIX</v>
      </c>
      <c r="V17" t="str">
        <f>"WARM"</f>
        <v>WARM</v>
      </c>
      <c r="W17" t="str">
        <f>"STN"</f>
        <v>STN</v>
      </c>
      <c r="Y17" t="str">
        <f t="shared" si="16"/>
        <v>1</v>
      </c>
      <c r="Z17" t="str">
        <f>"AKE53462FX"</f>
        <v>AKE53462FX</v>
      </c>
      <c r="AA17" t="str">
        <f>"814449867951"</f>
        <v>814449867951</v>
      </c>
      <c r="AB17" t="str">
        <f>"156261726"</f>
        <v>156261726</v>
      </c>
      <c r="AC17" t="str">
        <f t="shared" si="19"/>
        <v>IP_D1234</v>
      </c>
      <c r="AD17" t="str">
        <f t="shared" si="4"/>
        <v>IP_D1234</v>
      </c>
      <c r="AE17" t="str">
        <f t="shared" si="5"/>
        <v>BOX PK</v>
      </c>
      <c r="AF17" t="str">
        <f>"IP_D1234-MIX US"</f>
        <v>IP_D1234-MIX US</v>
      </c>
      <c r="AG17" t="str">
        <f>"5238"</f>
        <v>5238</v>
      </c>
      <c r="AH17" t="str">
        <f>"MXP"</f>
        <v>MXP</v>
      </c>
      <c r="AI17" t="str">
        <f t="shared" ref="AI17:AI30" si="22">"CDG"</f>
        <v>CDG</v>
      </c>
      <c r="AJ17" t="str">
        <f>"0072"</f>
        <v>0072</v>
      </c>
      <c r="AK17" t="str">
        <f>"20/11/2019 18:21"</f>
        <v>20/11/2019 18:21</v>
      </c>
      <c r="AL17" t="str">
        <f>"20/11/2019 18:27"</f>
        <v>20/11/2019 18:27</v>
      </c>
      <c r="AM17" t="str">
        <f>"6"</f>
        <v>6</v>
      </c>
      <c r="AN17" t="str">
        <f t="shared" si="17"/>
        <v>02</v>
      </c>
      <c r="AO17" t="str">
        <f>"EURO1_MIX,IP_D1234_MIX,IP_D5_EMEA,IP_D6_MIX"</f>
        <v>EURO1_MIX,IP_D1234_MIX,IP_D5_EMEA,IP_D6_MIX</v>
      </c>
      <c r="AP17" t="str">
        <f t="shared" si="7"/>
        <v>MDE_AVAILABLE</v>
      </c>
      <c r="AQ17" t="str">
        <f t="shared" si="8"/>
        <v>FEDEX</v>
      </c>
      <c r="AR17" t="str">
        <f t="shared" si="15"/>
        <v>IPE</v>
      </c>
      <c r="AS17" t="str">
        <f t="shared" ref="AS17:AS32" si="23">"CONVEYABLE"</f>
        <v>CONVEYABLE</v>
      </c>
      <c r="AT17" t="str">
        <f t="shared" si="12"/>
        <v>19-11-2019</v>
      </c>
      <c r="AU17" t="str">
        <f>"SMALL_PARCEL"</f>
        <v>SMALL_PARCEL</v>
      </c>
      <c r="AV17" s="1" t="str">
        <f t="shared" si="9"/>
        <v>CONVEYABLE</v>
      </c>
    </row>
    <row r="18" spans="1:48" x14ac:dyDescent="0.25">
      <c r="A18" t="str">
        <f t="shared" si="18"/>
        <v>20-11-2019</v>
      </c>
      <c r="B18" t="str">
        <f t="shared" si="18"/>
        <v>20-11-2019</v>
      </c>
      <c r="C18" t="str">
        <f>"135392502014"</f>
        <v>135392502014</v>
      </c>
      <c r="D18" t="str">
        <f>"SG"</f>
        <v>SG</v>
      </c>
      <c r="E18" t="str">
        <f>"CZ"</f>
        <v>CZ</v>
      </c>
      <c r="F18" t="str">
        <f>"XSP"</f>
        <v>XSP</v>
      </c>
      <c r="G18" t="str">
        <f>"BRQ"</f>
        <v>BRQ</v>
      </c>
      <c r="H18" t="str">
        <f t="shared" si="10"/>
        <v>19-11-2019</v>
      </c>
      <c r="I18" t="str">
        <f>"22-11-2019"</f>
        <v>22-11-2019</v>
      </c>
      <c r="J18" t="str">
        <f>"18"</f>
        <v>18</v>
      </c>
      <c r="K18" t="str">
        <f>"01"</f>
        <v>01</v>
      </c>
      <c r="L18" t="str">
        <f>"USD"</f>
        <v>USD</v>
      </c>
      <c r="M18" t="str">
        <f>"1133603.76"</f>
        <v>1133603.76</v>
      </c>
      <c r="N18" t="str">
        <f t="shared" si="20"/>
        <v>BOX</v>
      </c>
      <c r="O18" t="str">
        <f>"11.80"</f>
        <v>11.80</v>
      </c>
      <c r="P18" t="str">
        <f>"K"</f>
        <v>K</v>
      </c>
      <c r="Q18" t="str">
        <f t="shared" si="2"/>
        <v>OTHER</v>
      </c>
      <c r="R18" t="str">
        <f t="shared" si="3"/>
        <v>EURO1_MIX</v>
      </c>
      <c r="S18" t="str">
        <f>"IP_D1234_LATE"</f>
        <v>IP_D1234_LATE</v>
      </c>
      <c r="T18" t="str">
        <f t="shared" si="21"/>
        <v>IP_D5_EMEA</v>
      </c>
      <c r="U18" t="str">
        <f t="shared" ref="U18:U28" si="24">"IP_D6_EMEA"</f>
        <v>IP_D6_EMEA</v>
      </c>
      <c r="V18" t="str">
        <f>"COLD"</f>
        <v>COLD</v>
      </c>
      <c r="W18" t="str">
        <f>"PRG"</f>
        <v>PRG</v>
      </c>
      <c r="X18" t="str">
        <f>"135392493840"</f>
        <v>135392493840</v>
      </c>
      <c r="Y18" t="str">
        <f t="shared" si="16"/>
        <v>1</v>
      </c>
      <c r="Z18" t="str">
        <f>"BULK"</f>
        <v>BULK</v>
      </c>
      <c r="AA18" t="str">
        <f>"304904421297"</f>
        <v>304904421297</v>
      </c>
      <c r="AB18" t="str">
        <f>"685123525"</f>
        <v>685123525</v>
      </c>
      <c r="AC18" t="str">
        <f t="shared" si="19"/>
        <v>IP_D1234</v>
      </c>
      <c r="AD18" t="str">
        <f t="shared" si="19"/>
        <v>IP_D1234</v>
      </c>
      <c r="AE18" t="str">
        <f t="shared" si="5"/>
        <v>BOX PK</v>
      </c>
      <c r="AF18" t="str">
        <f>"IP_D1234-MIX US"</f>
        <v>IP_D1234-MIX US</v>
      </c>
      <c r="AG18" t="str">
        <f>"5030"</f>
        <v>5030</v>
      </c>
      <c r="AH18" t="str">
        <f>"CGN"</f>
        <v>CGN</v>
      </c>
      <c r="AI18" t="str">
        <f t="shared" si="22"/>
        <v>CDG</v>
      </c>
      <c r="AJ18" t="str">
        <f>"0084"</f>
        <v>0084</v>
      </c>
      <c r="AK18" t="str">
        <f>"20/11/2019 13:20"</f>
        <v>20/11/2019 13:20</v>
      </c>
      <c r="AL18" t="str">
        <f>"20/11/2019 13:29"</f>
        <v>20/11/2019 13:29</v>
      </c>
      <c r="AM18" t="str">
        <f>"9"</f>
        <v>9</v>
      </c>
      <c r="AN18" t="str">
        <f t="shared" si="17"/>
        <v>02</v>
      </c>
      <c r="AO18" t="str">
        <f>"EURO1_MIX,IP_D1234_LATE,IP_D5_EMEA,IP_D6_EMEA"</f>
        <v>EURO1_MIX,IP_D1234_LATE,IP_D5_EMEA,IP_D6_EMEA</v>
      </c>
      <c r="AP18" t="str">
        <f t="shared" si="7"/>
        <v>MDE_AVAILABLE</v>
      </c>
      <c r="AQ18" t="str">
        <f t="shared" si="8"/>
        <v>FEDEX</v>
      </c>
      <c r="AR18" t="str">
        <f>"IPD"</f>
        <v>IPD</v>
      </c>
      <c r="AS18" t="str">
        <f t="shared" si="23"/>
        <v>CONVEYABLE</v>
      </c>
      <c r="AT18" t="str">
        <f t="shared" si="12"/>
        <v>19-11-2019</v>
      </c>
      <c r="AU18" t="str">
        <f>"BOX"</f>
        <v>BOX</v>
      </c>
      <c r="AV18" s="1" t="str">
        <f t="shared" si="9"/>
        <v>CONVEYABLE</v>
      </c>
    </row>
    <row r="19" spans="1:48" x14ac:dyDescent="0.25">
      <c r="A19" t="str">
        <f t="shared" si="18"/>
        <v>20-11-2019</v>
      </c>
      <c r="B19" t="str">
        <f t="shared" si="18"/>
        <v>20-11-2019</v>
      </c>
      <c r="C19" t="str">
        <f>"129931956367"</f>
        <v>129931956367</v>
      </c>
      <c r="D19" t="str">
        <f>"US"</f>
        <v>US</v>
      </c>
      <c r="E19" t="str">
        <f>"FR"</f>
        <v>FR</v>
      </c>
      <c r="F19" t="str">
        <f>"ATU"</f>
        <v>ATU</v>
      </c>
      <c r="G19" t="str">
        <f>"RNE"</f>
        <v>RNE</v>
      </c>
      <c r="I19" t="str">
        <f>"21-11-2019"</f>
        <v>21-11-2019</v>
      </c>
      <c r="J19" t="str">
        <f>"01"</f>
        <v>01</v>
      </c>
      <c r="K19" t="str">
        <f>"01"</f>
        <v>01</v>
      </c>
      <c r="L19" t="str">
        <f>"USD"</f>
        <v>USD</v>
      </c>
      <c r="M19" t="str">
        <f>"200.00"</f>
        <v>200.00</v>
      </c>
      <c r="N19" t="str">
        <f t="shared" si="20"/>
        <v>BOX</v>
      </c>
      <c r="O19" t="str">
        <f>"13.00"</f>
        <v>13.00</v>
      </c>
      <c r="P19" t="str">
        <f>"L"</f>
        <v>L</v>
      </c>
      <c r="Q19" t="str">
        <f t="shared" si="2"/>
        <v>OTHER</v>
      </c>
      <c r="R19" t="str">
        <f t="shared" si="3"/>
        <v>EURO1_MIX</v>
      </c>
      <c r="S19" t="str">
        <f>"IP_D1234_EMEA"</f>
        <v>IP_D1234_EMEA</v>
      </c>
      <c r="T19" t="str">
        <f t="shared" si="21"/>
        <v>IP_D5_EMEA</v>
      </c>
      <c r="U19" t="str">
        <f t="shared" si="24"/>
        <v>IP_D6_EMEA</v>
      </c>
      <c r="V19" t="str">
        <f>"WARM"</f>
        <v>WARM</v>
      </c>
      <c r="W19" t="str">
        <f>"CDG"</f>
        <v>CDG</v>
      </c>
      <c r="Y19" t="str">
        <f t="shared" si="16"/>
        <v>1</v>
      </c>
      <c r="Z19" t="str">
        <f>"AMJ66773FX"</f>
        <v>AMJ66773FX</v>
      </c>
      <c r="AA19" t="str">
        <f>"304990406900"</f>
        <v>304990406900</v>
      </c>
      <c r="AB19" t="str">
        <f>"358910424"</f>
        <v>358910424</v>
      </c>
      <c r="AC19" t="str">
        <f t="shared" si="19"/>
        <v>IP_D1234</v>
      </c>
      <c r="AD19" t="str">
        <f t="shared" si="19"/>
        <v>IP_D1234</v>
      </c>
      <c r="AE19" t="str">
        <f t="shared" si="5"/>
        <v>BOX PK</v>
      </c>
      <c r="AF19" t="str">
        <f>"IP_D1234-MIX"</f>
        <v>IP_D1234-MIX</v>
      </c>
      <c r="AG19" t="str">
        <f>"0078"</f>
        <v>0078</v>
      </c>
      <c r="AH19" t="str">
        <f>"MEM"</f>
        <v>MEM</v>
      </c>
      <c r="AI19" t="str">
        <f t="shared" si="22"/>
        <v>CDG</v>
      </c>
      <c r="AJ19" t="str">
        <f>"0016"</f>
        <v>0016</v>
      </c>
      <c r="AK19" t="str">
        <f>"20/11/2019 18:47"</f>
        <v>20/11/2019 18:47</v>
      </c>
      <c r="AN19" t="str">
        <f t="shared" si="17"/>
        <v>02</v>
      </c>
      <c r="AO19" t="str">
        <f>"EURO1_MIX,IP_D1234_EMEA,IP_D5_EMEA,IP_D6_EMEA"</f>
        <v>EURO1_MIX,IP_D1234_EMEA,IP_D5_EMEA,IP_D6_EMEA</v>
      </c>
      <c r="AP19" t="str">
        <f t="shared" si="7"/>
        <v>MDE_AVAILABLE</v>
      </c>
      <c r="AQ19" t="str">
        <f t="shared" si="8"/>
        <v>FEDEX</v>
      </c>
      <c r="AR19" t="str">
        <f>"IPE"</f>
        <v>IPE</v>
      </c>
      <c r="AS19" t="str">
        <f t="shared" si="23"/>
        <v>CONVEYABLE</v>
      </c>
      <c r="AT19" t="str">
        <f t="shared" si="12"/>
        <v>19-11-2019</v>
      </c>
      <c r="AU19" t="str">
        <f>"BOX"</f>
        <v>BOX</v>
      </c>
      <c r="AV19" s="1" t="str">
        <f t="shared" si="9"/>
        <v>CONVEYABLE</v>
      </c>
    </row>
    <row r="20" spans="1:48" x14ac:dyDescent="0.25">
      <c r="A20" t="str">
        <f t="shared" si="18"/>
        <v>20-11-2019</v>
      </c>
      <c r="B20" t="str">
        <f t="shared" si="18"/>
        <v>20-11-2019</v>
      </c>
      <c r="C20" t="str">
        <f>"812150605170"</f>
        <v>812150605170</v>
      </c>
      <c r="D20" t="str">
        <f>"IT"</f>
        <v>IT</v>
      </c>
      <c r="E20" t="str">
        <f>"FR"</f>
        <v>FR</v>
      </c>
      <c r="F20" t="str">
        <f>"QLP"</f>
        <v>QLP</v>
      </c>
      <c r="G20" t="str">
        <f>"QNJ"</f>
        <v>QNJ</v>
      </c>
      <c r="H20" t="str">
        <f>"20-11-2019"</f>
        <v>20-11-2019</v>
      </c>
      <c r="I20" t="str">
        <f>"22-11-2019"</f>
        <v>22-11-2019</v>
      </c>
      <c r="J20" t="str">
        <f>"57"</f>
        <v>57</v>
      </c>
      <c r="K20" t="str">
        <f>"01"</f>
        <v>01</v>
      </c>
      <c r="L20" t="str">
        <f>"EUR"</f>
        <v>EUR</v>
      </c>
      <c r="M20" t="str">
        <f>"0.00"</f>
        <v>0.00</v>
      </c>
      <c r="N20" t="str">
        <f t="shared" si="20"/>
        <v>BOX</v>
      </c>
      <c r="O20" t="str">
        <f>"25.40"</f>
        <v>25.40</v>
      </c>
      <c r="P20" t="str">
        <f>"L"</f>
        <v>L</v>
      </c>
      <c r="Q20" t="str">
        <f t="shared" si="2"/>
        <v>OTHER</v>
      </c>
      <c r="R20" t="str">
        <f t="shared" si="3"/>
        <v>EURO1_MIX</v>
      </c>
      <c r="S20" t="str">
        <f>"IP_D1234_EMEA"</f>
        <v>IP_D1234_EMEA</v>
      </c>
      <c r="T20" t="str">
        <f t="shared" si="21"/>
        <v>IP_D5_EMEA</v>
      </c>
      <c r="U20" t="str">
        <f t="shared" si="24"/>
        <v>IP_D6_EMEA</v>
      </c>
      <c r="V20" t="str">
        <f>"COLD"</f>
        <v>COLD</v>
      </c>
      <c r="W20" t="str">
        <f>"CDG"</f>
        <v>CDG</v>
      </c>
      <c r="X20" t="str">
        <f>"876350096440"</f>
        <v>876350096440</v>
      </c>
      <c r="Y20" t="str">
        <f>"4"</f>
        <v>4</v>
      </c>
      <c r="Z20" t="str">
        <f>"AYYD167FX"</f>
        <v>AYYD167FX</v>
      </c>
      <c r="AA20" t="str">
        <f>"305054141025"</f>
        <v>305054141025</v>
      </c>
      <c r="AB20" t="str">
        <f>"282663368"</f>
        <v>282663368</v>
      </c>
      <c r="AC20" t="str">
        <f t="shared" si="19"/>
        <v>IP_D1234</v>
      </c>
      <c r="AD20" t="str">
        <f t="shared" si="19"/>
        <v>IP_D1234</v>
      </c>
      <c r="AE20" t="str">
        <f t="shared" si="5"/>
        <v>BOX PK</v>
      </c>
      <c r="AF20" t="str">
        <f>"IP_D1234-MIX"</f>
        <v>IP_D1234-MIX</v>
      </c>
      <c r="AG20" t="str">
        <f>"5238"</f>
        <v>5238</v>
      </c>
      <c r="AH20" t="str">
        <f>"MXP"</f>
        <v>MXP</v>
      </c>
      <c r="AI20" t="str">
        <f t="shared" si="22"/>
        <v>CDG</v>
      </c>
      <c r="AJ20" t="str">
        <f>"0072"</f>
        <v>0072</v>
      </c>
      <c r="AK20" t="str">
        <f>"20/11/2019 18:21"</f>
        <v>20/11/2019 18:21</v>
      </c>
      <c r="AL20" t="str">
        <f>"20/11/2019 18:27"</f>
        <v>20/11/2019 18:27</v>
      </c>
      <c r="AM20" t="str">
        <f>"6"</f>
        <v>6</v>
      </c>
      <c r="AN20" t="str">
        <f t="shared" si="17"/>
        <v>02</v>
      </c>
      <c r="AO20" t="str">
        <f>"EURO1_MIX,IP_D1234_EMEA,IP_D5_EMEA,IP_D6_EMEA"</f>
        <v>EURO1_MIX,IP_D1234_EMEA,IP_D5_EMEA,IP_D6_EMEA</v>
      </c>
      <c r="AP20" t="str">
        <f t="shared" si="7"/>
        <v>MDE_AVAILABLE</v>
      </c>
      <c r="AQ20" t="str">
        <f t="shared" si="8"/>
        <v>FEDEX</v>
      </c>
      <c r="AR20" t="str">
        <f>"FEF"</f>
        <v>FEF</v>
      </c>
      <c r="AS20" t="str">
        <f t="shared" si="23"/>
        <v>CONVEYABLE</v>
      </c>
      <c r="AT20" t="str">
        <f>"20-11-2019"</f>
        <v>20-11-2019</v>
      </c>
      <c r="AU20" t="str">
        <f>"BOX"</f>
        <v>BOX</v>
      </c>
      <c r="AV20" s="1" t="str">
        <f t="shared" si="9"/>
        <v>CONVEYABLE</v>
      </c>
    </row>
    <row r="21" spans="1:48" x14ac:dyDescent="0.25">
      <c r="A21" t="str">
        <f t="shared" si="18"/>
        <v>20-11-2019</v>
      </c>
      <c r="B21" t="str">
        <f t="shared" si="18"/>
        <v>20-11-2019</v>
      </c>
      <c r="C21" t="str">
        <f>"777028464347"</f>
        <v>777028464347</v>
      </c>
      <c r="D21" t="str">
        <f>"CA"</f>
        <v>CA</v>
      </c>
      <c r="E21" t="str">
        <f>"CZ"</f>
        <v>CZ</v>
      </c>
      <c r="F21" t="str">
        <f>"YKZ"</f>
        <v>YKZ</v>
      </c>
      <c r="G21" t="str">
        <f>"PRG"</f>
        <v>PRG</v>
      </c>
      <c r="H21" t="str">
        <f>"19-11-2019"</f>
        <v>19-11-2019</v>
      </c>
      <c r="I21" t="str">
        <f>"22-11-2019"</f>
        <v>22-11-2019</v>
      </c>
      <c r="J21" t="str">
        <f>"01"</f>
        <v>01</v>
      </c>
      <c r="K21" t="str">
        <f>"01"</f>
        <v>01</v>
      </c>
      <c r="L21" t="str">
        <f>"USD"</f>
        <v>USD</v>
      </c>
      <c r="M21" t="str">
        <f>"215925.00"</f>
        <v>215925.00</v>
      </c>
      <c r="N21" t="str">
        <f t="shared" si="20"/>
        <v>BOX</v>
      </c>
      <c r="Q21" t="str">
        <f t="shared" si="2"/>
        <v>OTHER</v>
      </c>
      <c r="R21" t="str">
        <f t="shared" si="3"/>
        <v>EURO1_MIX</v>
      </c>
      <c r="S21" t="str">
        <f>"IP_D1234_LATE"</f>
        <v>IP_D1234_LATE</v>
      </c>
      <c r="T21" t="str">
        <f t="shared" si="21"/>
        <v>IP_D5_EMEA</v>
      </c>
      <c r="U21" t="str">
        <f t="shared" si="24"/>
        <v>IP_D6_EMEA</v>
      </c>
      <c r="V21" t="str">
        <f>"COLD"</f>
        <v>COLD</v>
      </c>
      <c r="W21" t="str">
        <f>"PRG"</f>
        <v>PRG</v>
      </c>
      <c r="X21" t="str">
        <f>"777028463627"</f>
        <v>777028463627</v>
      </c>
      <c r="Y21" t="str">
        <f>"6"</f>
        <v>6</v>
      </c>
      <c r="Z21" t="str">
        <f>"AKE36926FX"</f>
        <v>AKE36926FX</v>
      </c>
      <c r="AA21" t="str">
        <f>"304844073721"</f>
        <v>304844073721</v>
      </c>
      <c r="AB21" t="str">
        <f>"122593630"</f>
        <v>122593630</v>
      </c>
      <c r="AC21" t="str">
        <f t="shared" si="19"/>
        <v>IP_D1234</v>
      </c>
      <c r="AD21" t="str">
        <f t="shared" si="19"/>
        <v>IP_D1234</v>
      </c>
      <c r="AE21" t="str">
        <f t="shared" si="5"/>
        <v>BOX PK</v>
      </c>
      <c r="AF21" t="str">
        <f>"IP_D1234-EMEA"</f>
        <v>IP_D1234-EMEA</v>
      </c>
      <c r="AG21" t="str">
        <f>"0030"</f>
        <v>0030</v>
      </c>
      <c r="AH21" t="str">
        <f>"IND"</f>
        <v>IND</v>
      </c>
      <c r="AI21" t="str">
        <f t="shared" si="22"/>
        <v>CDG</v>
      </c>
      <c r="AJ21" t="str">
        <f>"0083"</f>
        <v>0083</v>
      </c>
      <c r="AK21" t="str">
        <f>"20/11/2019 18:17"</f>
        <v>20/11/2019 18:17</v>
      </c>
      <c r="AL21" t="str">
        <f>"20/11/2019 18:54"</f>
        <v>20/11/2019 18:54</v>
      </c>
      <c r="AM21" t="str">
        <f>"37"</f>
        <v>37</v>
      </c>
      <c r="AN21" t="str">
        <f t="shared" si="17"/>
        <v>02</v>
      </c>
      <c r="AO21" t="str">
        <f>"EURO1_MIX,IP_D1234_LATE,IP_D5_EMEA,IP_D6_EMEA"</f>
        <v>EURO1_MIX,IP_D1234_LATE,IP_D5_EMEA,IP_D6_EMEA</v>
      </c>
      <c r="AP21" t="str">
        <f t="shared" si="7"/>
        <v>MDE_AVAILABLE</v>
      </c>
      <c r="AQ21" t="str">
        <f t="shared" si="8"/>
        <v>FEDEX</v>
      </c>
      <c r="AR21" t="str">
        <f>"IPE"</f>
        <v>IPE</v>
      </c>
      <c r="AS21" t="str">
        <f t="shared" si="23"/>
        <v>CONVEYABLE</v>
      </c>
      <c r="AT21" t="str">
        <f>"19-11-2019"</f>
        <v>19-11-2019</v>
      </c>
      <c r="AU21" t="str">
        <f>"UNKNOWN"</f>
        <v>UNKNOWN</v>
      </c>
      <c r="AV21" s="1" t="str">
        <f t="shared" si="9"/>
        <v>CONVEYABLE</v>
      </c>
    </row>
    <row r="22" spans="1:48" x14ac:dyDescent="0.25">
      <c r="A22" t="str">
        <f t="shared" si="18"/>
        <v>20-11-2019</v>
      </c>
      <c r="B22" t="str">
        <f t="shared" si="18"/>
        <v>20-11-2019</v>
      </c>
      <c r="C22" t="str">
        <f>"777018169464"</f>
        <v>777018169464</v>
      </c>
      <c r="D22" t="str">
        <f>"VN"</f>
        <v>VN</v>
      </c>
      <c r="E22" t="str">
        <f>"LU"</f>
        <v>LU</v>
      </c>
      <c r="F22" t="str">
        <f>"HAN"</f>
        <v>HAN</v>
      </c>
      <c r="G22" t="str">
        <f>"ZYZ"</f>
        <v>ZYZ</v>
      </c>
      <c r="H22" t="str">
        <f>"19-11-2019"</f>
        <v>19-11-2019</v>
      </c>
      <c r="J22" t="str">
        <f>"01"</f>
        <v>01</v>
      </c>
      <c r="K22" t="str">
        <f>"01"</f>
        <v>01</v>
      </c>
      <c r="L22" t="str">
        <f>"USD"</f>
        <v>USD</v>
      </c>
      <c r="M22" t="str">
        <f>"80.00"</f>
        <v>80.00</v>
      </c>
      <c r="N22" t="str">
        <f t="shared" si="20"/>
        <v>BOX</v>
      </c>
      <c r="Q22" t="str">
        <f t="shared" si="2"/>
        <v>OTHER</v>
      </c>
      <c r="R22" t="str">
        <f t="shared" si="3"/>
        <v>EURO1_MIX</v>
      </c>
      <c r="S22" t="str">
        <f>"IP_D1234_LATE"</f>
        <v>IP_D1234_LATE</v>
      </c>
      <c r="T22" t="str">
        <f t="shared" si="21"/>
        <v>IP_D5_EMEA</v>
      </c>
      <c r="U22" t="str">
        <f t="shared" si="24"/>
        <v>IP_D6_EMEA</v>
      </c>
      <c r="V22" t="str">
        <f>"UNKNOWN"</f>
        <v>UNKNOWN</v>
      </c>
      <c r="W22" t="str">
        <f>"LUX"</f>
        <v>LUX</v>
      </c>
      <c r="X22" t="str">
        <f>"777018169865"</f>
        <v>777018169865</v>
      </c>
      <c r="Y22" t="str">
        <f>"2"</f>
        <v>2</v>
      </c>
      <c r="Z22" t="str">
        <f>"AAD11933FX"</f>
        <v>AAD11933FX</v>
      </c>
      <c r="AA22" t="str">
        <f>"304904421209"</f>
        <v>304904421209</v>
      </c>
      <c r="AB22" t="str">
        <f>"640618183"</f>
        <v>640618183</v>
      </c>
      <c r="AC22" t="str">
        <f t="shared" si="19"/>
        <v>IP_D1234</v>
      </c>
      <c r="AD22" t="str">
        <f t="shared" si="19"/>
        <v>IP_D1234</v>
      </c>
      <c r="AE22" t="str">
        <f t="shared" si="5"/>
        <v>BOX PK</v>
      </c>
      <c r="AF22" t="str">
        <f>"IP_D1234-EMEA"</f>
        <v>IP_D1234-EMEA</v>
      </c>
      <c r="AG22" t="str">
        <f>"5030"</f>
        <v>5030</v>
      </c>
      <c r="AH22" t="str">
        <f>"CGN"</f>
        <v>CGN</v>
      </c>
      <c r="AI22" t="str">
        <f t="shared" si="22"/>
        <v>CDG</v>
      </c>
      <c r="AJ22" t="str">
        <f>"0084"</f>
        <v>0084</v>
      </c>
      <c r="AK22" t="str">
        <f>"20/11/2019 13:20"</f>
        <v>20/11/2019 13:20</v>
      </c>
      <c r="AL22" t="str">
        <f>"20/11/2019 13:29"</f>
        <v>20/11/2019 13:29</v>
      </c>
      <c r="AM22" t="str">
        <f>"9"</f>
        <v>9</v>
      </c>
      <c r="AN22" t="str">
        <f t="shared" si="17"/>
        <v>02</v>
      </c>
      <c r="AO22" t="str">
        <f>"EURO1_MIX,IP_D1234_LATE,IP_D5_EMEA,IP_D6_EMEA"</f>
        <v>EURO1_MIX,IP_D1234_LATE,IP_D5_EMEA,IP_D6_EMEA</v>
      </c>
      <c r="AP22" t="str">
        <f t="shared" si="7"/>
        <v>MDE_AVAILABLE</v>
      </c>
      <c r="AQ22" t="str">
        <f t="shared" si="8"/>
        <v>FEDEX</v>
      </c>
      <c r="AR22" t="str">
        <f>"IPE"</f>
        <v>IPE</v>
      </c>
      <c r="AS22" t="str">
        <f t="shared" si="23"/>
        <v>CONVEYABLE</v>
      </c>
      <c r="AT22" t="str">
        <f>"19-11-2019"</f>
        <v>19-11-2019</v>
      </c>
      <c r="AU22" t="str">
        <f>"UNKNOWN"</f>
        <v>UNKNOWN</v>
      </c>
      <c r="AV22" s="1" t="str">
        <f t="shared" si="9"/>
        <v>CONVEYABLE</v>
      </c>
    </row>
    <row r="23" spans="1:48" x14ac:dyDescent="0.25">
      <c r="A23" t="str">
        <f t="shared" si="18"/>
        <v>20-11-2019</v>
      </c>
      <c r="B23" t="str">
        <f t="shared" si="18"/>
        <v>20-11-2019</v>
      </c>
      <c r="C23" t="str">
        <f>"778054783701"</f>
        <v>778054783701</v>
      </c>
      <c r="D23" t="str">
        <f>"CO"</f>
        <v>CO</v>
      </c>
      <c r="E23" t="str">
        <f>"CH"</f>
        <v>CH</v>
      </c>
      <c r="F23" t="str">
        <f>"MDE"</f>
        <v>MDE</v>
      </c>
      <c r="G23" t="str">
        <f>"GVA"</f>
        <v>GVA</v>
      </c>
      <c r="H23" t="str">
        <f>"15-11-2019"</f>
        <v>15-11-2019</v>
      </c>
      <c r="I23" t="str">
        <f>"20-11-2019"</f>
        <v>20-11-2019</v>
      </c>
      <c r="J23" t="str">
        <f>"01"</f>
        <v>01</v>
      </c>
      <c r="K23" t="str">
        <f>"02"</f>
        <v>02</v>
      </c>
      <c r="L23" t="str">
        <f>"USD"</f>
        <v>USD</v>
      </c>
      <c r="M23" t="str">
        <f>"1.00"</f>
        <v>1.00</v>
      </c>
      <c r="N23" t="str">
        <f t="shared" si="20"/>
        <v>BOX</v>
      </c>
      <c r="O23" t="str">
        <f>"1.20"</f>
        <v>1.20</v>
      </c>
      <c r="P23" t="str">
        <f>"L"</f>
        <v>L</v>
      </c>
      <c r="Q23" t="str">
        <f t="shared" si="2"/>
        <v>OTHER</v>
      </c>
      <c r="R23" t="str">
        <f t="shared" si="3"/>
        <v>EURO1_MIX</v>
      </c>
      <c r="S23" t="str">
        <f>"IP_D1234_MIX"</f>
        <v>IP_D1234_MIX</v>
      </c>
      <c r="T23" t="str">
        <f t="shared" si="21"/>
        <v>IP_D5_EMEA</v>
      </c>
      <c r="U23" t="str">
        <f t="shared" si="24"/>
        <v>IP_D6_EMEA</v>
      </c>
      <c r="V23" t="str">
        <f>"DEAD"</f>
        <v>DEAD</v>
      </c>
      <c r="W23" t="str">
        <f>"BSL"</f>
        <v>BSL</v>
      </c>
      <c r="Y23" t="str">
        <f>"1"</f>
        <v>1</v>
      </c>
      <c r="Z23" t="str">
        <f>"BULK"</f>
        <v>BULK</v>
      </c>
      <c r="AA23" t="str">
        <f>"304990606836"</f>
        <v>304990606836</v>
      </c>
      <c r="AB23" t="str">
        <f>"250887787"</f>
        <v>250887787</v>
      </c>
      <c r="AC23" t="str">
        <f t="shared" si="19"/>
        <v>IP_D1234</v>
      </c>
      <c r="AD23" t="str">
        <f t="shared" si="19"/>
        <v>IP_D1234</v>
      </c>
      <c r="AE23" t="str">
        <f t="shared" si="5"/>
        <v>BOX PK</v>
      </c>
      <c r="AF23" t="str">
        <f>"IP_D1234-MIX US"</f>
        <v>IP_D1234-MIX US</v>
      </c>
      <c r="AG23" t="str">
        <f>"0038"</f>
        <v>0038</v>
      </c>
      <c r="AH23" t="str">
        <f>"MEM"</f>
        <v>MEM</v>
      </c>
      <c r="AI23" t="str">
        <f t="shared" si="22"/>
        <v>CDG</v>
      </c>
      <c r="AJ23" t="str">
        <f>"0083"</f>
        <v>0083</v>
      </c>
      <c r="AK23" t="str">
        <f>"20/11/2019 20:43"</f>
        <v>20/11/2019 20:43</v>
      </c>
      <c r="AN23" t="str">
        <f t="shared" si="17"/>
        <v>02</v>
      </c>
      <c r="AO23" t="str">
        <f>"EURO1_MIX,IP_D1234_MIX,IP_D5_EMEA,IP_D6_EMEA"</f>
        <v>EURO1_MIX,IP_D1234_MIX,IP_D5_EMEA,IP_D6_EMEA</v>
      </c>
      <c r="AP23" t="str">
        <f t="shared" si="7"/>
        <v>MDE_AVAILABLE</v>
      </c>
      <c r="AQ23" t="str">
        <f t="shared" si="8"/>
        <v>FEDEX</v>
      </c>
      <c r="AR23" t="str">
        <f>"IPE"</f>
        <v>IPE</v>
      </c>
      <c r="AS23" t="str">
        <f t="shared" si="23"/>
        <v>CONVEYABLE</v>
      </c>
      <c r="AT23" t="str">
        <f>"15-11-2019"</f>
        <v>15-11-2019</v>
      </c>
      <c r="AU23" t="str">
        <f>"SMALL_PARCEL"</f>
        <v>SMALL_PARCEL</v>
      </c>
      <c r="AV23" s="1" t="str">
        <f t="shared" si="9"/>
        <v>CONVEYABLE</v>
      </c>
    </row>
    <row r="24" spans="1:48" x14ac:dyDescent="0.25">
      <c r="A24" t="str">
        <f t="shared" si="18"/>
        <v>20-11-2019</v>
      </c>
      <c r="B24" t="str">
        <f t="shared" si="18"/>
        <v>20-11-2019</v>
      </c>
      <c r="C24" t="str">
        <f>"778156335760"</f>
        <v>778156335760</v>
      </c>
      <c r="D24" t="str">
        <f>"US"</f>
        <v>US</v>
      </c>
      <c r="E24" t="str">
        <f>"CH"</f>
        <v>CH</v>
      </c>
      <c r="F24" t="str">
        <f>"VNY"</f>
        <v>VNY</v>
      </c>
      <c r="G24" t="str">
        <f>"ZRH"</f>
        <v>ZRH</v>
      </c>
      <c r="H24" t="str">
        <f>"19-11-2019"</f>
        <v>19-11-2019</v>
      </c>
      <c r="I24" t="str">
        <f>"21-11-2019"</f>
        <v>21-11-2019</v>
      </c>
      <c r="J24" t="str">
        <f>"01"</f>
        <v>01</v>
      </c>
      <c r="K24" t="str">
        <f>"01"</f>
        <v>01</v>
      </c>
      <c r="L24" t="str">
        <f>"USD"</f>
        <v>USD</v>
      </c>
      <c r="M24" t="str">
        <f>"241001.30"</f>
        <v>241001.30</v>
      </c>
      <c r="N24" t="str">
        <f t="shared" si="20"/>
        <v>BOX</v>
      </c>
      <c r="Q24" t="str">
        <f t="shared" si="2"/>
        <v>OTHER</v>
      </c>
      <c r="R24" t="str">
        <f t="shared" si="3"/>
        <v>EURO1_MIX</v>
      </c>
      <c r="S24" t="str">
        <f>"IP_D1234_MIX"</f>
        <v>IP_D1234_MIX</v>
      </c>
      <c r="T24" t="str">
        <f t="shared" si="21"/>
        <v>IP_D5_EMEA</v>
      </c>
      <c r="U24" t="str">
        <f t="shared" si="24"/>
        <v>IP_D6_EMEA</v>
      </c>
      <c r="V24" t="str">
        <f>"WARM"</f>
        <v>WARM</v>
      </c>
      <c r="W24" t="str">
        <f>"BSL"</f>
        <v>BSL</v>
      </c>
      <c r="X24" t="str">
        <f>"778156334454"</f>
        <v>778156334454</v>
      </c>
      <c r="Y24" t="str">
        <f>"7"</f>
        <v>7</v>
      </c>
      <c r="Z24" t="str">
        <f>"AMJ59210FX"</f>
        <v>AMJ59210FX</v>
      </c>
      <c r="AA24" t="str">
        <f>"304844441793"</f>
        <v>304844441793</v>
      </c>
      <c r="AB24" t="str">
        <f>"208202448"</f>
        <v>208202448</v>
      </c>
      <c r="AC24" t="str">
        <f t="shared" si="19"/>
        <v>IP_D1234</v>
      </c>
      <c r="AD24" t="str">
        <f t="shared" si="19"/>
        <v>IP_D1234</v>
      </c>
      <c r="AE24" t="str">
        <f t="shared" si="5"/>
        <v>BOX PK</v>
      </c>
      <c r="AF24" t="str">
        <f>"IP_D1234-MIX"</f>
        <v>IP_D1234-MIX</v>
      </c>
      <c r="AG24" t="str">
        <f>"0030"</f>
        <v>0030</v>
      </c>
      <c r="AH24" t="str">
        <f>"IND"</f>
        <v>IND</v>
      </c>
      <c r="AI24" t="str">
        <f t="shared" si="22"/>
        <v>CDG</v>
      </c>
      <c r="AJ24" t="str">
        <f>"0083"</f>
        <v>0083</v>
      </c>
      <c r="AK24" t="str">
        <f>"20/11/2019 18:17"</f>
        <v>20/11/2019 18:17</v>
      </c>
      <c r="AL24" t="str">
        <f>"20/11/2019 18:54"</f>
        <v>20/11/2019 18:54</v>
      </c>
      <c r="AM24" t="str">
        <f>"37"</f>
        <v>37</v>
      </c>
      <c r="AN24" t="str">
        <f t="shared" si="17"/>
        <v>02</v>
      </c>
      <c r="AO24" t="str">
        <f>"EURO1_MIX,IP_D1234_MIX,IP_D5_EMEA,IP_D6_EMEA"</f>
        <v>EURO1_MIX,IP_D1234_MIX,IP_D5_EMEA,IP_D6_EMEA</v>
      </c>
      <c r="AP24" t="str">
        <f t="shared" si="7"/>
        <v>MDE_AVAILABLE</v>
      </c>
      <c r="AQ24" t="str">
        <f t="shared" si="8"/>
        <v>FEDEX</v>
      </c>
      <c r="AR24" t="str">
        <f>"IPE"</f>
        <v>IPE</v>
      </c>
      <c r="AS24" t="str">
        <f t="shared" si="23"/>
        <v>CONVEYABLE</v>
      </c>
      <c r="AT24" t="str">
        <f>"19-11-2019"</f>
        <v>19-11-2019</v>
      </c>
      <c r="AU24" t="str">
        <f>"BOX"</f>
        <v>BOX</v>
      </c>
      <c r="AV24" s="1" t="str">
        <f t="shared" si="9"/>
        <v>CONVEYABLE</v>
      </c>
    </row>
    <row r="25" spans="1:48" x14ac:dyDescent="0.25">
      <c r="A25" t="str">
        <f t="shared" si="18"/>
        <v>20-11-2019</v>
      </c>
      <c r="B25" t="str">
        <f t="shared" si="18"/>
        <v>20-11-2019</v>
      </c>
      <c r="C25" t="str">
        <f>"812150605181"</f>
        <v>812150605181</v>
      </c>
      <c r="D25" t="str">
        <f>"IT"</f>
        <v>IT</v>
      </c>
      <c r="E25" t="str">
        <f>"FR"</f>
        <v>FR</v>
      </c>
      <c r="F25" t="str">
        <f>"QLP"</f>
        <v>QLP</v>
      </c>
      <c r="G25" t="str">
        <f>"QNJ"</f>
        <v>QNJ</v>
      </c>
      <c r="H25" t="str">
        <f>"20-11-2019"</f>
        <v>20-11-2019</v>
      </c>
      <c r="I25" t="str">
        <f>"22-11-2019"</f>
        <v>22-11-2019</v>
      </c>
      <c r="J25" t="str">
        <f>"57"</f>
        <v>57</v>
      </c>
      <c r="K25" t="str">
        <f>"01"</f>
        <v>01</v>
      </c>
      <c r="L25" t="str">
        <f>"EUR"</f>
        <v>EUR</v>
      </c>
      <c r="M25" t="str">
        <f>"0.00"</f>
        <v>0.00</v>
      </c>
      <c r="N25" t="str">
        <f t="shared" si="20"/>
        <v>BOX</v>
      </c>
      <c r="O25" t="str">
        <f>"15.80"</f>
        <v>15.80</v>
      </c>
      <c r="P25" t="str">
        <f>"L"</f>
        <v>L</v>
      </c>
      <c r="Q25" t="str">
        <f t="shared" si="2"/>
        <v>OTHER</v>
      </c>
      <c r="R25" t="str">
        <f t="shared" si="3"/>
        <v>EURO1_MIX</v>
      </c>
      <c r="S25" t="str">
        <f>"IP_D1234_EMEA"</f>
        <v>IP_D1234_EMEA</v>
      </c>
      <c r="T25" t="str">
        <f t="shared" si="21"/>
        <v>IP_D5_EMEA</v>
      </c>
      <c r="U25" t="str">
        <f t="shared" si="24"/>
        <v>IP_D6_EMEA</v>
      </c>
      <c r="V25" t="str">
        <f>"COLD"</f>
        <v>COLD</v>
      </c>
      <c r="W25" t="str">
        <f>"CDG"</f>
        <v>CDG</v>
      </c>
      <c r="X25" t="str">
        <f>"876350096440"</f>
        <v>876350096440</v>
      </c>
      <c r="Y25" t="str">
        <f>"4"</f>
        <v>4</v>
      </c>
      <c r="Z25" t="str">
        <f>"AYY3967FX"</f>
        <v>AYY3967FX</v>
      </c>
      <c r="AA25" t="str">
        <f>"305054168087"</f>
        <v>305054168087</v>
      </c>
      <c r="AB25" t="str">
        <f>"282663368"</f>
        <v>282663368</v>
      </c>
      <c r="AC25" t="str">
        <f t="shared" si="19"/>
        <v>IP_D1234</v>
      </c>
      <c r="AD25" t="str">
        <f t="shared" si="19"/>
        <v>IP_D1234</v>
      </c>
      <c r="AE25" t="str">
        <f t="shared" si="5"/>
        <v>BOX PK</v>
      </c>
      <c r="AF25" t="str">
        <f>"IP_D1234-MIX US"</f>
        <v>IP_D1234-MIX US</v>
      </c>
      <c r="AG25" t="str">
        <f>"5238"</f>
        <v>5238</v>
      </c>
      <c r="AH25" t="str">
        <f>"MXP"</f>
        <v>MXP</v>
      </c>
      <c r="AI25" t="str">
        <f t="shared" si="22"/>
        <v>CDG</v>
      </c>
      <c r="AJ25" t="str">
        <f>"0072"</f>
        <v>0072</v>
      </c>
      <c r="AK25" t="str">
        <f>"20/11/2019 18:21"</f>
        <v>20/11/2019 18:21</v>
      </c>
      <c r="AL25" t="str">
        <f>"20/11/2019 18:27"</f>
        <v>20/11/2019 18:27</v>
      </c>
      <c r="AM25" t="str">
        <f>"6"</f>
        <v>6</v>
      </c>
      <c r="AN25" t="str">
        <f t="shared" si="17"/>
        <v>02</v>
      </c>
      <c r="AO25" t="str">
        <f>"EURO1_MIX,IP_D1234_EMEA,IP_D5_EMEA,IP_D6_EMEA"</f>
        <v>EURO1_MIX,IP_D1234_EMEA,IP_D5_EMEA,IP_D6_EMEA</v>
      </c>
      <c r="AP25" t="str">
        <f t="shared" si="7"/>
        <v>MDE_AVAILABLE</v>
      </c>
      <c r="AQ25" t="str">
        <f t="shared" si="8"/>
        <v>FEDEX</v>
      </c>
      <c r="AR25" t="str">
        <f>"FEF"</f>
        <v>FEF</v>
      </c>
      <c r="AS25" t="str">
        <f t="shared" si="23"/>
        <v>CONVEYABLE</v>
      </c>
      <c r="AT25" t="str">
        <f>"20-11-2019"</f>
        <v>20-11-2019</v>
      </c>
      <c r="AU25" t="str">
        <f>"BOX"</f>
        <v>BOX</v>
      </c>
      <c r="AV25" s="1" t="str">
        <f t="shared" si="9"/>
        <v>CONVEYABLE</v>
      </c>
    </row>
    <row r="26" spans="1:48" x14ac:dyDescent="0.25">
      <c r="A26" t="str">
        <f t="shared" si="18"/>
        <v>20-11-2019</v>
      </c>
      <c r="B26" t="str">
        <f t="shared" si="18"/>
        <v>20-11-2019</v>
      </c>
      <c r="C26" t="str">
        <f>"777025452860"</f>
        <v>777025452860</v>
      </c>
      <c r="D26" t="str">
        <f>"US"</f>
        <v>US</v>
      </c>
      <c r="E26" t="str">
        <f>"TR"</f>
        <v>TR</v>
      </c>
      <c r="F26" t="str">
        <f>"TSS"</f>
        <v>TSS</v>
      </c>
      <c r="G26" t="str">
        <f>"DIY"</f>
        <v>DIY</v>
      </c>
      <c r="H26" t="str">
        <f>"19-11-2019"</f>
        <v>19-11-2019</v>
      </c>
      <c r="I26" t="str">
        <f>"21-11-2019"</f>
        <v>21-11-2019</v>
      </c>
      <c r="J26" t="str">
        <f>"01"</f>
        <v>01</v>
      </c>
      <c r="K26" t="str">
        <f>"06"</f>
        <v>06</v>
      </c>
      <c r="L26" t="str">
        <f>"USD"</f>
        <v>USD</v>
      </c>
      <c r="M26" t="str">
        <f>"1.00"</f>
        <v>1.00</v>
      </c>
      <c r="N26" t="str">
        <f>"SPSS"</f>
        <v>SPSS</v>
      </c>
      <c r="O26" t="str">
        <f>"0.50"</f>
        <v>0.50</v>
      </c>
      <c r="P26" t="str">
        <f>"L"</f>
        <v>L</v>
      </c>
      <c r="Q26" t="str">
        <f t="shared" si="2"/>
        <v>OTHER</v>
      </c>
      <c r="R26" t="str">
        <f t="shared" si="3"/>
        <v>EURO1_MIX</v>
      </c>
      <c r="S26" t="str">
        <f>"IP_D1234_EMEA"</f>
        <v>IP_D1234_EMEA</v>
      </c>
      <c r="T26" t="str">
        <f t="shared" si="21"/>
        <v>IP_D5_EMEA</v>
      </c>
      <c r="U26" t="str">
        <f t="shared" si="24"/>
        <v>IP_D6_EMEA</v>
      </c>
      <c r="V26" t="str">
        <f>"UNKNOWN"</f>
        <v>UNKNOWN</v>
      </c>
      <c r="W26" t="str">
        <f>"IST"</f>
        <v>IST</v>
      </c>
      <c r="Y26" t="str">
        <f t="shared" ref="Y26:Y33" si="25">"1"</f>
        <v>1</v>
      </c>
      <c r="Z26" t="str">
        <f>"BULK"</f>
        <v>BULK</v>
      </c>
      <c r="AA26" t="str">
        <f>"305026416022"</f>
        <v>305026416022</v>
      </c>
      <c r="AB26" t="str">
        <f>"859677274"</f>
        <v>859677274</v>
      </c>
      <c r="AC26" t="str">
        <f t="shared" si="19"/>
        <v>IP_D1234</v>
      </c>
      <c r="AD26" t="str">
        <f t="shared" si="19"/>
        <v>IP_D1234</v>
      </c>
      <c r="AE26" t="str">
        <f t="shared" si="5"/>
        <v>BOX PK</v>
      </c>
      <c r="AF26" t="str">
        <f>"IP_D1234-MIX US"</f>
        <v>IP_D1234-MIX US</v>
      </c>
      <c r="AG26" t="str">
        <f>"5046"</f>
        <v>5046</v>
      </c>
      <c r="AH26" t="str">
        <f>"EWR"</f>
        <v>EWR</v>
      </c>
      <c r="AI26" t="str">
        <f t="shared" si="22"/>
        <v>CDG</v>
      </c>
      <c r="AJ26" t="str">
        <f>"0072"</f>
        <v>0072</v>
      </c>
      <c r="AK26" t="str">
        <f>"20/11/2019 17:41"</f>
        <v>20/11/2019 17:41</v>
      </c>
      <c r="AL26" t="str">
        <f>"20/11/2019 17:39"</f>
        <v>20/11/2019 17:39</v>
      </c>
      <c r="AM26" t="str">
        <f>"-2"</f>
        <v>-2</v>
      </c>
      <c r="AN26" t="str">
        <f t="shared" si="17"/>
        <v>02</v>
      </c>
      <c r="AO26" t="str">
        <f>"EURO1_MIX,IP_D1234_EMEA,IP_D5_EMEA,IP_D6_EMEA"</f>
        <v>EURO1_MIX,IP_D1234_EMEA,IP_D5_EMEA,IP_D6_EMEA</v>
      </c>
      <c r="AP26" t="str">
        <f t="shared" si="7"/>
        <v>MDE_AVAILABLE</v>
      </c>
      <c r="AQ26" t="str">
        <f t="shared" si="8"/>
        <v>FEDEX</v>
      </c>
      <c r="AR26" t="str">
        <f>"IPE"</f>
        <v>IPE</v>
      </c>
      <c r="AS26" t="str">
        <f t="shared" si="23"/>
        <v>CONVEYABLE</v>
      </c>
      <c r="AT26" t="str">
        <f>"19-11-2019"</f>
        <v>19-11-2019</v>
      </c>
      <c r="AU26" t="str">
        <f>"DOC"</f>
        <v>DOC</v>
      </c>
      <c r="AV26" s="1" t="str">
        <f t="shared" si="9"/>
        <v>CONVEYABLE</v>
      </c>
    </row>
    <row r="27" spans="1:48" x14ac:dyDescent="0.25">
      <c r="A27" t="str">
        <f t="shared" si="18"/>
        <v>20-11-2019</v>
      </c>
      <c r="B27" t="str">
        <f t="shared" si="18"/>
        <v>20-11-2019</v>
      </c>
      <c r="C27" t="str">
        <f>"777006149480"</f>
        <v>777006149480</v>
      </c>
      <c r="D27" t="str">
        <f>"CN"</f>
        <v>CN</v>
      </c>
      <c r="E27" t="str">
        <f>"FR"</f>
        <v>FR</v>
      </c>
      <c r="F27" t="str">
        <f>"HGH"</f>
        <v>HGH</v>
      </c>
      <c r="G27" t="str">
        <f>"ZFQ"</f>
        <v>ZFQ</v>
      </c>
      <c r="I27" t="str">
        <f>"21-11-2019"</f>
        <v>21-11-2019</v>
      </c>
      <c r="J27" t="str">
        <f>"01"</f>
        <v>01</v>
      </c>
      <c r="K27" t="str">
        <f>"02"</f>
        <v>02</v>
      </c>
      <c r="L27" t="str">
        <f>"USD"</f>
        <v>USD</v>
      </c>
      <c r="M27" t="str">
        <f>"3.00"</f>
        <v>3.00</v>
      </c>
      <c r="N27" t="str">
        <f t="shared" ref="N27:N36" si="26">"BOX"</f>
        <v>BOX</v>
      </c>
      <c r="O27" t="str">
        <f>"0.50"</f>
        <v>0.50</v>
      </c>
      <c r="P27" t="str">
        <f>"K"</f>
        <v>K</v>
      </c>
      <c r="Q27" t="str">
        <f t="shared" si="2"/>
        <v>OTHER</v>
      </c>
      <c r="R27" t="str">
        <f t="shared" si="3"/>
        <v>EURO1_MIX</v>
      </c>
      <c r="S27" t="str">
        <f>"IP_D1234_EMEA"</f>
        <v>IP_D1234_EMEA</v>
      </c>
      <c r="T27" t="str">
        <f t="shared" si="21"/>
        <v>IP_D5_EMEA</v>
      </c>
      <c r="U27" t="str">
        <f t="shared" si="24"/>
        <v>IP_D6_EMEA</v>
      </c>
      <c r="V27" t="str">
        <f>"WARM"</f>
        <v>WARM</v>
      </c>
      <c r="W27" t="str">
        <f>"CDG"</f>
        <v>CDG</v>
      </c>
      <c r="Y27" t="str">
        <f t="shared" si="25"/>
        <v>1</v>
      </c>
      <c r="Z27" t="str">
        <f>"PMC61311FX"</f>
        <v>PMC61311FX</v>
      </c>
      <c r="AA27" t="str">
        <f>"305072965799"</f>
        <v>305072965799</v>
      </c>
      <c r="AB27" t="str">
        <f>"388450100"</f>
        <v>388450100</v>
      </c>
      <c r="AC27" t="str">
        <f t="shared" si="19"/>
        <v>IP_D1234</v>
      </c>
      <c r="AD27" t="str">
        <f t="shared" si="19"/>
        <v>IP_D1234</v>
      </c>
      <c r="AE27" t="str">
        <f t="shared" si="5"/>
        <v>BOX PK</v>
      </c>
      <c r="AF27" t="str">
        <f>"IP_D1234-EMEA"</f>
        <v>IP_D1234-EMEA</v>
      </c>
      <c r="AG27" t="str">
        <f>"5392"</f>
        <v>5392</v>
      </c>
      <c r="AH27" t="str">
        <f>"NRT"</f>
        <v>NRT</v>
      </c>
      <c r="AI27" t="str">
        <f t="shared" si="22"/>
        <v>CDG</v>
      </c>
      <c r="AJ27" t="str">
        <f>"0083"</f>
        <v>0083</v>
      </c>
      <c r="AK27" t="str">
        <f>"20/11/2019 16:53"</f>
        <v>20/11/2019 16:53</v>
      </c>
      <c r="AL27" t="str">
        <f>"20/11/2019 17:38"</f>
        <v>20/11/2019 17:38</v>
      </c>
      <c r="AM27" t="str">
        <f>"45"</f>
        <v>45</v>
      </c>
      <c r="AN27" t="str">
        <f t="shared" si="17"/>
        <v>02</v>
      </c>
      <c r="AO27" t="str">
        <f>"EURO1_MIX,IP_D1234_EMEA,IP_D5_EMEA,IP_D6_EMEA"</f>
        <v>EURO1_MIX,IP_D1234_EMEA,IP_D5_EMEA,IP_D6_EMEA</v>
      </c>
      <c r="AP27" t="str">
        <f t="shared" si="7"/>
        <v>MDE_AVAILABLE</v>
      </c>
      <c r="AQ27" t="str">
        <f t="shared" si="8"/>
        <v>FEDEX</v>
      </c>
      <c r="AR27" t="str">
        <f>"IPE"</f>
        <v>IPE</v>
      </c>
      <c r="AS27" t="str">
        <f t="shared" si="23"/>
        <v>CONVEYABLE</v>
      </c>
      <c r="AT27" t="str">
        <f>"18-11-2019"</f>
        <v>18-11-2019</v>
      </c>
      <c r="AU27" t="str">
        <f>"SMALL_PARCEL"</f>
        <v>SMALL_PARCEL</v>
      </c>
      <c r="AV27" s="1" t="str">
        <f t="shared" si="9"/>
        <v>CONVEYABLE</v>
      </c>
    </row>
    <row r="28" spans="1:48" x14ac:dyDescent="0.25">
      <c r="A28" t="str">
        <f t="shared" si="18"/>
        <v>20-11-2019</v>
      </c>
      <c r="B28" t="str">
        <f t="shared" si="18"/>
        <v>20-11-2019</v>
      </c>
      <c r="C28" t="str">
        <f>"414352181250"</f>
        <v>414352181250</v>
      </c>
      <c r="D28" t="str">
        <f>"AU"</f>
        <v>AU</v>
      </c>
      <c r="E28" t="str">
        <f>"AT"</f>
        <v>AT</v>
      </c>
      <c r="F28" t="str">
        <f>"SYD"</f>
        <v>SYD</v>
      </c>
      <c r="G28" t="str">
        <f>"VIE"</f>
        <v>VIE</v>
      </c>
      <c r="I28" t="str">
        <f>"15-11-2019"</f>
        <v>15-11-2019</v>
      </c>
      <c r="J28" t="str">
        <f>"01"</f>
        <v>01</v>
      </c>
      <c r="K28" t="str">
        <f t="shared" ref="K28:K36" si="27">"01"</f>
        <v>01</v>
      </c>
      <c r="L28" t="str">
        <f>"USD"</f>
        <v>USD</v>
      </c>
      <c r="M28" t="str">
        <f>"370.00"</f>
        <v>370.00</v>
      </c>
      <c r="N28" t="str">
        <f t="shared" si="26"/>
        <v>BOX</v>
      </c>
      <c r="O28" t="str">
        <f>"1.10"</f>
        <v>1.10</v>
      </c>
      <c r="P28" t="str">
        <f>"L"</f>
        <v>L</v>
      </c>
      <c r="Q28" t="str">
        <f t="shared" si="2"/>
        <v>OTHER</v>
      </c>
      <c r="R28" t="str">
        <f t="shared" si="3"/>
        <v>EURO1_MIX</v>
      </c>
      <c r="S28" t="str">
        <f>"IP_D1234_LATE"</f>
        <v>IP_D1234_LATE</v>
      </c>
      <c r="T28" t="str">
        <f t="shared" si="21"/>
        <v>IP_D5_EMEA</v>
      </c>
      <c r="U28" t="str">
        <f t="shared" si="24"/>
        <v>IP_D6_EMEA</v>
      </c>
      <c r="V28" t="str">
        <f>"DEAD"</f>
        <v>DEAD</v>
      </c>
      <c r="W28" t="str">
        <f>"VIE"</f>
        <v>VIE</v>
      </c>
      <c r="Y28" t="str">
        <f t="shared" si="25"/>
        <v>1</v>
      </c>
      <c r="Z28" t="str">
        <f>"AAD11933FX"</f>
        <v>AAD11933FX</v>
      </c>
      <c r="AA28" t="str">
        <f>"304904421209"</f>
        <v>304904421209</v>
      </c>
      <c r="AB28" t="str">
        <f>"259551498"</f>
        <v>259551498</v>
      </c>
      <c r="AC28" t="str">
        <f t="shared" si="19"/>
        <v>IP_D1234</v>
      </c>
      <c r="AD28" t="str">
        <f t="shared" si="19"/>
        <v>IP_D1234</v>
      </c>
      <c r="AE28" t="str">
        <f t="shared" si="5"/>
        <v>BOX PK</v>
      </c>
      <c r="AF28" t="str">
        <f>"IP_D1234-EMEA"</f>
        <v>IP_D1234-EMEA</v>
      </c>
      <c r="AG28" t="str">
        <f>"5030"</f>
        <v>5030</v>
      </c>
      <c r="AH28" t="str">
        <f>"CGN"</f>
        <v>CGN</v>
      </c>
      <c r="AI28" t="str">
        <f t="shared" si="22"/>
        <v>CDG</v>
      </c>
      <c r="AJ28" t="str">
        <f>"0084"</f>
        <v>0084</v>
      </c>
      <c r="AK28" t="str">
        <f>"20/11/2019 13:20"</f>
        <v>20/11/2019 13:20</v>
      </c>
      <c r="AL28" t="str">
        <f>"20/11/2019 13:29"</f>
        <v>20/11/2019 13:29</v>
      </c>
      <c r="AM28" t="str">
        <f>"9"</f>
        <v>9</v>
      </c>
      <c r="AN28" t="str">
        <f>"02,54"</f>
        <v>02,54</v>
      </c>
      <c r="AO28" t="str">
        <f>"EURO1_MIX,IP_D1234_LATE,IP_D5_EMEA,IP_D6_EMEA"</f>
        <v>EURO1_MIX,IP_D1234_LATE,IP_D5_EMEA,IP_D6_EMEA</v>
      </c>
      <c r="AP28" t="str">
        <f t="shared" si="7"/>
        <v>MDE_AVAILABLE</v>
      </c>
      <c r="AQ28" t="str">
        <f t="shared" si="8"/>
        <v>FEDEX</v>
      </c>
      <c r="AR28" t="str">
        <f>"IPE"</f>
        <v>IPE</v>
      </c>
      <c r="AS28" t="str">
        <f t="shared" si="23"/>
        <v>CONVEYABLE</v>
      </c>
      <c r="AT28" t="str">
        <f t="shared" ref="AT28:AT35" si="28">"19-11-2019"</f>
        <v>19-11-2019</v>
      </c>
      <c r="AU28" t="str">
        <f>"BOX"</f>
        <v>BOX</v>
      </c>
      <c r="AV28" s="1" t="str">
        <f t="shared" si="9"/>
        <v>CONVEYABLE</v>
      </c>
    </row>
    <row r="29" spans="1:48" x14ac:dyDescent="0.25">
      <c r="A29" t="str">
        <f t="shared" si="18"/>
        <v>20-11-2019</v>
      </c>
      <c r="B29" t="str">
        <f t="shared" si="18"/>
        <v>20-11-2019</v>
      </c>
      <c r="C29" t="str">
        <f>"110292442008"</f>
        <v>110292442008</v>
      </c>
      <c r="D29" t="str">
        <f>"US"</f>
        <v>US</v>
      </c>
      <c r="E29" t="str">
        <f>"GB"</f>
        <v>GB</v>
      </c>
      <c r="F29" t="str">
        <f>"GRR"</f>
        <v>GRR</v>
      </c>
      <c r="G29" t="str">
        <f>"FKH"</f>
        <v>FKH</v>
      </c>
      <c r="I29" t="str">
        <f>"22-11-2019"</f>
        <v>22-11-2019</v>
      </c>
      <c r="J29" t="str">
        <f>"18"</f>
        <v>18</v>
      </c>
      <c r="K29" t="str">
        <f t="shared" si="27"/>
        <v>01</v>
      </c>
      <c r="L29" t="str">
        <f>"USD"</f>
        <v>USD</v>
      </c>
      <c r="M29" t="str">
        <f>"8473.83"</f>
        <v>8473.83</v>
      </c>
      <c r="N29" t="str">
        <f t="shared" si="26"/>
        <v>BOX</v>
      </c>
      <c r="O29" t="str">
        <f>"11.10"</f>
        <v>11.10</v>
      </c>
      <c r="P29" t="str">
        <f>"L"</f>
        <v>L</v>
      </c>
      <c r="Q29" t="str">
        <f t="shared" si="2"/>
        <v>OTHER</v>
      </c>
      <c r="R29" t="str">
        <f t="shared" si="3"/>
        <v>EURO1_MIX</v>
      </c>
      <c r="S29" t="str">
        <f>"IP_D1234_MIX"</f>
        <v>IP_D1234_MIX</v>
      </c>
      <c r="T29" t="str">
        <f t="shared" si="21"/>
        <v>IP_D5_EMEA</v>
      </c>
      <c r="U29" t="str">
        <f>"IP_D6_MIX"</f>
        <v>IP_D6_MIX</v>
      </c>
      <c r="V29" t="str">
        <f>"COLD"</f>
        <v>COLD</v>
      </c>
      <c r="W29" t="str">
        <f>"STN"</f>
        <v>STN</v>
      </c>
      <c r="X29" t="str">
        <f>"110292441034"</f>
        <v>110292441034</v>
      </c>
      <c r="Y29" t="str">
        <f t="shared" si="25"/>
        <v>1</v>
      </c>
      <c r="Z29" t="str">
        <f>"AMJ66079FX"</f>
        <v>AMJ66079FX</v>
      </c>
      <c r="AA29" t="str">
        <f>"304991539110"</f>
        <v>304991539110</v>
      </c>
      <c r="AB29" t="str">
        <f>"915425798"</f>
        <v>915425798</v>
      </c>
      <c r="AC29" t="str">
        <f t="shared" si="19"/>
        <v>IP_D1234</v>
      </c>
      <c r="AD29" t="str">
        <f t="shared" si="19"/>
        <v>IP_D1234</v>
      </c>
      <c r="AE29" t="str">
        <f t="shared" si="5"/>
        <v>BOX PK</v>
      </c>
      <c r="AF29" t="str">
        <f>"IP_D1234-MIX"</f>
        <v>IP_D1234-MIX</v>
      </c>
      <c r="AG29" t="str">
        <f>"0078"</f>
        <v>0078</v>
      </c>
      <c r="AH29" t="str">
        <f>"MEM"</f>
        <v>MEM</v>
      </c>
      <c r="AI29" t="str">
        <f t="shared" si="22"/>
        <v>CDG</v>
      </c>
      <c r="AJ29" t="str">
        <f>"0016"</f>
        <v>0016</v>
      </c>
      <c r="AK29" t="str">
        <f>"20/11/2019 18:47"</f>
        <v>20/11/2019 18:47</v>
      </c>
      <c r="AN29" t="str">
        <f>"02"</f>
        <v>02</v>
      </c>
      <c r="AO29" t="str">
        <f>"EURO1_MIX,IP_D1234_MIX,IP_D5_EMEA,IP_D6_MIX"</f>
        <v>EURO1_MIX,IP_D1234_MIX,IP_D5_EMEA,IP_D6_MIX</v>
      </c>
      <c r="AP29" t="str">
        <f t="shared" si="7"/>
        <v>MDE_AVAILABLE</v>
      </c>
      <c r="AQ29" t="str">
        <f t="shared" si="8"/>
        <v>FEDEX</v>
      </c>
      <c r="AR29" t="str">
        <f>"IPD"</f>
        <v>IPD</v>
      </c>
      <c r="AS29" t="str">
        <f t="shared" si="23"/>
        <v>CONVEYABLE</v>
      </c>
      <c r="AT29" t="str">
        <f t="shared" si="28"/>
        <v>19-11-2019</v>
      </c>
      <c r="AU29" t="str">
        <f>"BOX"</f>
        <v>BOX</v>
      </c>
      <c r="AV29" s="1" t="str">
        <f t="shared" si="9"/>
        <v>CONVEYABLE</v>
      </c>
    </row>
    <row r="30" spans="1:48" x14ac:dyDescent="0.25">
      <c r="A30" t="str">
        <f t="shared" si="18"/>
        <v>20-11-2019</v>
      </c>
      <c r="B30" t="str">
        <f t="shared" si="18"/>
        <v>20-11-2019</v>
      </c>
      <c r="C30" t="str">
        <f>"135392502036"</f>
        <v>135392502036</v>
      </c>
      <c r="D30" t="str">
        <f>"SG"</f>
        <v>SG</v>
      </c>
      <c r="E30" t="str">
        <f>"CZ"</f>
        <v>CZ</v>
      </c>
      <c r="F30" t="str">
        <f>"XSP"</f>
        <v>XSP</v>
      </c>
      <c r="G30" t="str">
        <f>"UHE"</f>
        <v>UHE</v>
      </c>
      <c r="H30" t="str">
        <f>"19-11-2019"</f>
        <v>19-11-2019</v>
      </c>
      <c r="I30" t="str">
        <f>"22-11-2019"</f>
        <v>22-11-2019</v>
      </c>
      <c r="J30" t="str">
        <f>"18"</f>
        <v>18</v>
      </c>
      <c r="K30" t="str">
        <f t="shared" si="27"/>
        <v>01</v>
      </c>
      <c r="L30" t="str">
        <f>"USD"</f>
        <v>USD</v>
      </c>
      <c r="M30" t="str">
        <f>"1133603.76"</f>
        <v>1133603.76</v>
      </c>
      <c r="N30" t="str">
        <f t="shared" si="26"/>
        <v>BOX</v>
      </c>
      <c r="O30" t="str">
        <f>"15.90"</f>
        <v>15.90</v>
      </c>
      <c r="P30" t="str">
        <f>"K"</f>
        <v>K</v>
      </c>
      <c r="Q30" t="str">
        <f t="shared" si="2"/>
        <v>OTHER</v>
      </c>
      <c r="R30" t="str">
        <f t="shared" si="3"/>
        <v>EURO1_MIX</v>
      </c>
      <c r="S30" t="str">
        <f>"IP_D1234_LATE"</f>
        <v>IP_D1234_LATE</v>
      </c>
      <c r="T30" t="str">
        <f t="shared" si="21"/>
        <v>IP_D5_EMEA</v>
      </c>
      <c r="U30" t="str">
        <f>"IP_D6_EMEA"</f>
        <v>IP_D6_EMEA</v>
      </c>
      <c r="V30" t="str">
        <f>"COLD"</f>
        <v>COLD</v>
      </c>
      <c r="W30" t="str">
        <f>"PRG"</f>
        <v>PRG</v>
      </c>
      <c r="X30" t="str">
        <f>"135392493840"</f>
        <v>135392493840</v>
      </c>
      <c r="Y30" t="str">
        <f t="shared" si="25"/>
        <v>1</v>
      </c>
      <c r="Z30" t="str">
        <f>"AMJ68788FX"</f>
        <v>AMJ68788FX</v>
      </c>
      <c r="AA30" t="str">
        <f>"304904421264"</f>
        <v>304904421264</v>
      </c>
      <c r="AB30" t="str">
        <f>"685123525"</f>
        <v>685123525</v>
      </c>
      <c r="AC30" t="str">
        <f t="shared" si="19"/>
        <v>IP_D1234</v>
      </c>
      <c r="AD30" t="str">
        <f t="shared" si="19"/>
        <v>IP_D1234</v>
      </c>
      <c r="AE30" t="str">
        <f t="shared" si="5"/>
        <v>BOX PK</v>
      </c>
      <c r="AF30" t="str">
        <f>"IP_D1234-MIX"</f>
        <v>IP_D1234-MIX</v>
      </c>
      <c r="AG30" t="str">
        <f>"5030"</f>
        <v>5030</v>
      </c>
      <c r="AH30" t="str">
        <f>"CGN"</f>
        <v>CGN</v>
      </c>
      <c r="AI30" t="str">
        <f t="shared" si="22"/>
        <v>CDG</v>
      </c>
      <c r="AJ30" t="str">
        <f>"0084"</f>
        <v>0084</v>
      </c>
      <c r="AK30" t="str">
        <f>"20/11/2019 13:20"</f>
        <v>20/11/2019 13:20</v>
      </c>
      <c r="AL30" t="str">
        <f>"20/11/2019 13:29"</f>
        <v>20/11/2019 13:29</v>
      </c>
      <c r="AM30" t="str">
        <f>"9"</f>
        <v>9</v>
      </c>
      <c r="AN30" t="str">
        <f>"02"</f>
        <v>02</v>
      </c>
      <c r="AO30" t="str">
        <f>"EURO1_MIX,IP_D1234_LATE,IP_D5_EMEA,IP_D6_EMEA"</f>
        <v>EURO1_MIX,IP_D1234_LATE,IP_D5_EMEA,IP_D6_EMEA</v>
      </c>
      <c r="AP30" t="str">
        <f t="shared" si="7"/>
        <v>MDE_AVAILABLE</v>
      </c>
      <c r="AQ30" t="str">
        <f t="shared" si="8"/>
        <v>FEDEX</v>
      </c>
      <c r="AR30" t="str">
        <f>"IPD"</f>
        <v>IPD</v>
      </c>
      <c r="AS30" t="str">
        <f t="shared" si="23"/>
        <v>CONVEYABLE</v>
      </c>
      <c r="AT30" t="str">
        <f t="shared" si="28"/>
        <v>19-11-2019</v>
      </c>
      <c r="AU30" t="str">
        <f>"BOX"</f>
        <v>BOX</v>
      </c>
      <c r="AV30" s="1" t="str">
        <f t="shared" si="9"/>
        <v>CONVEYABLE</v>
      </c>
    </row>
    <row r="31" spans="1:48" x14ac:dyDescent="0.25">
      <c r="A31" t="str">
        <f t="shared" si="18"/>
        <v>20-11-2019</v>
      </c>
      <c r="B31" t="str">
        <f t="shared" si="18"/>
        <v>20-11-2019</v>
      </c>
      <c r="C31" t="str">
        <f>"777018841059"</f>
        <v>777018841059</v>
      </c>
      <c r="D31" t="str">
        <f>"IT"</f>
        <v>IT</v>
      </c>
      <c r="E31" t="str">
        <f>"GB"</f>
        <v>GB</v>
      </c>
      <c r="F31" t="str">
        <f>"BLQ"</f>
        <v>BLQ</v>
      </c>
      <c r="G31" t="str">
        <f>"LBA"</f>
        <v>LBA</v>
      </c>
      <c r="H31" t="str">
        <f>"19-11-2019"</f>
        <v>19-11-2019</v>
      </c>
      <c r="I31" t="str">
        <f>"20-11-2019"</f>
        <v>20-11-2019</v>
      </c>
      <c r="J31" t="str">
        <f>"01"</f>
        <v>01</v>
      </c>
      <c r="K31" t="str">
        <f t="shared" si="27"/>
        <v>01</v>
      </c>
      <c r="L31" t="str">
        <f>"EUR"</f>
        <v>EUR</v>
      </c>
      <c r="M31" t="str">
        <f>"0.00"</f>
        <v>0.00</v>
      </c>
      <c r="N31" t="str">
        <f t="shared" si="26"/>
        <v>BOX</v>
      </c>
      <c r="O31" t="str">
        <f>"10.00"</f>
        <v>10.00</v>
      </c>
      <c r="P31" t="str">
        <f>"K"</f>
        <v>K</v>
      </c>
      <c r="Q31" t="str">
        <f t="shared" si="2"/>
        <v>OTHER</v>
      </c>
      <c r="R31" t="str">
        <f t="shared" si="3"/>
        <v>EURO1_MIX</v>
      </c>
      <c r="S31" t="str">
        <f>"IP_D1234_MIX"</f>
        <v>IP_D1234_MIX</v>
      </c>
      <c r="T31" t="str">
        <f t="shared" si="21"/>
        <v>IP_D5_EMEA</v>
      </c>
      <c r="U31" t="str">
        <f>"IP_D6_MIX"</f>
        <v>IP_D6_MIX</v>
      </c>
      <c r="V31" t="str">
        <f>"DEAD"</f>
        <v>DEAD</v>
      </c>
      <c r="W31" t="str">
        <f>"STN"</f>
        <v>STN</v>
      </c>
      <c r="Y31" t="str">
        <f t="shared" si="25"/>
        <v>1</v>
      </c>
      <c r="Z31" t="str">
        <f>"AMJ64520FX"</f>
        <v>AMJ64520FX</v>
      </c>
      <c r="AA31" t="str">
        <f>"220655778897"</f>
        <v>220655778897</v>
      </c>
      <c r="AB31" t="str">
        <f>"202392903"</f>
        <v>202392903</v>
      </c>
      <c r="AC31" t="str">
        <f t="shared" si="19"/>
        <v>IP_D1234</v>
      </c>
      <c r="AD31" t="str">
        <f t="shared" si="19"/>
        <v>IP_D1234</v>
      </c>
      <c r="AE31" t="str">
        <f t="shared" si="5"/>
        <v>BOX PK</v>
      </c>
      <c r="AF31" t="str">
        <f>"IP_D1234-MIX"</f>
        <v>IP_D1234-MIX</v>
      </c>
      <c r="AG31" t="str">
        <f>"3759H"</f>
        <v>3759H</v>
      </c>
      <c r="AH31" t="str">
        <f>"MXPH"</f>
        <v>MXPH</v>
      </c>
      <c r="AI31" t="str">
        <f>"CDGH"</f>
        <v>CDGH</v>
      </c>
      <c r="AJ31" t="str">
        <f>"8009"</f>
        <v>8009</v>
      </c>
      <c r="AK31" t="str">
        <f>"20/11/2019 16:30"</f>
        <v>20/11/2019 16:30</v>
      </c>
      <c r="AL31" t="str">
        <f>"20/11/2019 15:29"</f>
        <v>20/11/2019 15:29</v>
      </c>
      <c r="AM31" t="str">
        <f>"-61"</f>
        <v>-61</v>
      </c>
      <c r="AN31" t="str">
        <f>"02"</f>
        <v>02</v>
      </c>
      <c r="AO31" t="str">
        <f>"EURO1_MIX,IP_D1234_MIX,IP_D5_EMEA,IP_D6_MIX"</f>
        <v>EURO1_MIX,IP_D1234_MIX,IP_D5_EMEA,IP_D6_MIX</v>
      </c>
      <c r="AP31" t="str">
        <f t="shared" si="7"/>
        <v>MDE_AVAILABLE</v>
      </c>
      <c r="AQ31" t="str">
        <f t="shared" si="8"/>
        <v>FEDEX</v>
      </c>
      <c r="AR31" t="str">
        <f>"IPE"</f>
        <v>IPE</v>
      </c>
      <c r="AS31" t="str">
        <f t="shared" si="23"/>
        <v>CONVEYABLE</v>
      </c>
      <c r="AT31" t="str">
        <f t="shared" si="28"/>
        <v>19-11-2019</v>
      </c>
      <c r="AU31" t="str">
        <f>"BOX"</f>
        <v>BOX</v>
      </c>
      <c r="AV31" s="1" t="str">
        <f t="shared" si="9"/>
        <v>CONVEYABLE</v>
      </c>
    </row>
    <row r="32" spans="1:48" x14ac:dyDescent="0.25">
      <c r="A32" t="str">
        <f t="shared" si="18"/>
        <v>20-11-2019</v>
      </c>
      <c r="B32" t="str">
        <f t="shared" si="18"/>
        <v>20-11-2019</v>
      </c>
      <c r="C32" t="str">
        <f>"777020459472"</f>
        <v>777020459472</v>
      </c>
      <c r="D32" t="str">
        <f>"GB"</f>
        <v>GB</v>
      </c>
      <c r="E32" t="str">
        <f>"FR"</f>
        <v>FR</v>
      </c>
      <c r="F32" t="str">
        <f>"EXT"</f>
        <v>EXT</v>
      </c>
      <c r="G32" t="str">
        <f>"CFR"</f>
        <v>CFR</v>
      </c>
      <c r="H32" t="str">
        <f>"20-11-2019"</f>
        <v>20-11-2019</v>
      </c>
      <c r="I32" t="str">
        <f>"21-11-2019"</f>
        <v>21-11-2019</v>
      </c>
      <c r="J32" t="str">
        <f>"01"</f>
        <v>01</v>
      </c>
      <c r="K32" t="str">
        <f t="shared" si="27"/>
        <v>01</v>
      </c>
      <c r="L32" t="str">
        <f>"UKL"</f>
        <v>UKL</v>
      </c>
      <c r="M32" t="str">
        <f>"0.00"</f>
        <v>0.00</v>
      </c>
      <c r="N32" t="str">
        <f t="shared" si="26"/>
        <v>BOX</v>
      </c>
      <c r="O32" t="str">
        <f>"1.80"</f>
        <v>1.80</v>
      </c>
      <c r="P32" t="str">
        <f t="shared" ref="P32:P37" si="29">"L"</f>
        <v>L</v>
      </c>
      <c r="Q32" t="str">
        <f t="shared" si="2"/>
        <v>OTHER</v>
      </c>
      <c r="R32" t="str">
        <f t="shared" si="3"/>
        <v>EURO1_MIX</v>
      </c>
      <c r="S32" t="str">
        <f>"IP_D1234_EMEA"</f>
        <v>IP_D1234_EMEA</v>
      </c>
      <c r="T32" t="str">
        <f t="shared" si="21"/>
        <v>IP_D5_EMEA</v>
      </c>
      <c r="U32" t="str">
        <f>"IP_D6_EMEA"</f>
        <v>IP_D6_EMEA</v>
      </c>
      <c r="V32" t="str">
        <f>"WARM"</f>
        <v>WARM</v>
      </c>
      <c r="W32" t="str">
        <f>"CDG"</f>
        <v>CDG</v>
      </c>
      <c r="Y32" t="str">
        <f t="shared" si="25"/>
        <v>1</v>
      </c>
      <c r="Z32" t="str">
        <f>"AMJ57309FX"</f>
        <v>AMJ57309FX</v>
      </c>
      <c r="AA32" t="str">
        <f>"305386427295"</f>
        <v>305386427295</v>
      </c>
      <c r="AB32" t="str">
        <f>"694018394"</f>
        <v>694018394</v>
      </c>
      <c r="AC32" t="str">
        <f t="shared" si="19"/>
        <v>IP_D1234</v>
      </c>
      <c r="AD32" t="str">
        <f t="shared" si="19"/>
        <v>IP_D1234</v>
      </c>
      <c r="AE32" t="str">
        <f t="shared" si="5"/>
        <v>BOX PK</v>
      </c>
      <c r="AF32" t="str">
        <f>"IP_D1234-MIX"</f>
        <v>IP_D1234-MIX</v>
      </c>
      <c r="AG32" t="str">
        <f>"3131H"</f>
        <v>3131H</v>
      </c>
      <c r="AH32" t="str">
        <f>"LHRA"</f>
        <v>LHRA</v>
      </c>
      <c r="AI32" t="str">
        <f>"CDGH"</f>
        <v>CDGH</v>
      </c>
      <c r="AJ32" t="str">
        <f>"8009"</f>
        <v>8009</v>
      </c>
      <c r="AK32" t="str">
        <f>"20/11/2019 19:00"</f>
        <v>20/11/2019 19:00</v>
      </c>
      <c r="AL32" t="str">
        <f>"20/11/2019 18:47"</f>
        <v>20/11/2019 18:47</v>
      </c>
      <c r="AM32" t="str">
        <f>"-13"</f>
        <v>-13</v>
      </c>
      <c r="AN32" t="str">
        <f>"02,54"</f>
        <v>02,54</v>
      </c>
      <c r="AO32" t="str">
        <f>"EURO1_MIX,IP_D1234_EMEA,IP_D5_EMEA,IP_D6_EMEA"</f>
        <v>EURO1_MIX,IP_D1234_EMEA,IP_D5_EMEA,IP_D6_EMEA</v>
      </c>
      <c r="AP32" t="str">
        <f t="shared" si="7"/>
        <v>MDE_AVAILABLE</v>
      </c>
      <c r="AQ32" t="str">
        <f t="shared" si="8"/>
        <v>FEDEX</v>
      </c>
      <c r="AR32" t="str">
        <f>"IPE"</f>
        <v>IPE</v>
      </c>
      <c r="AS32" t="str">
        <f t="shared" si="23"/>
        <v>CONVEYABLE</v>
      </c>
      <c r="AT32" t="str">
        <f t="shared" si="28"/>
        <v>19-11-2019</v>
      </c>
      <c r="AU32" t="str">
        <f>"SMALL_PARCEL"</f>
        <v>SMALL_PARCEL</v>
      </c>
      <c r="AV32" s="1" t="str">
        <f t="shared" si="9"/>
        <v>CONVEYABLE</v>
      </c>
    </row>
    <row r="33" spans="1:48" x14ac:dyDescent="0.25">
      <c r="A33" t="str">
        <f t="shared" si="18"/>
        <v>20-11-2019</v>
      </c>
      <c r="B33" t="str">
        <f t="shared" si="18"/>
        <v>20-11-2019</v>
      </c>
      <c r="C33" t="str">
        <f>"671606069901"</f>
        <v>671606069901</v>
      </c>
      <c r="D33" t="str">
        <f>"US"</f>
        <v>US</v>
      </c>
      <c r="E33" t="str">
        <f>"FR"</f>
        <v>FR</v>
      </c>
      <c r="F33" t="str">
        <f>"SEA"</f>
        <v>SEA</v>
      </c>
      <c r="G33" t="str">
        <f>"URO"</f>
        <v>URO</v>
      </c>
      <c r="H33" t="str">
        <f>"19-11-2019"</f>
        <v>19-11-2019</v>
      </c>
      <c r="I33" t="str">
        <f>"21-11-2019"</f>
        <v>21-11-2019</v>
      </c>
      <c r="J33" t="str">
        <f>"01"</f>
        <v>01</v>
      </c>
      <c r="K33" t="str">
        <f t="shared" si="27"/>
        <v>01</v>
      </c>
      <c r="L33" t="str">
        <f>"USD"</f>
        <v>USD</v>
      </c>
      <c r="M33" t="str">
        <f>"2867.97"</f>
        <v>2867.97</v>
      </c>
      <c r="N33" t="str">
        <f t="shared" si="26"/>
        <v>BOX</v>
      </c>
      <c r="O33" t="str">
        <f>"25.00"</f>
        <v>25.00</v>
      </c>
      <c r="P33" t="str">
        <f t="shared" si="29"/>
        <v>L</v>
      </c>
      <c r="Q33" t="str">
        <f t="shared" si="2"/>
        <v>OTHER</v>
      </c>
      <c r="R33" t="str">
        <f t="shared" si="3"/>
        <v>EURO1_MIX</v>
      </c>
      <c r="S33" t="str">
        <f>"IP_D1234_EMEA"</f>
        <v>IP_D1234_EMEA</v>
      </c>
      <c r="T33" t="str">
        <f t="shared" si="21"/>
        <v>IP_D5_EMEA</v>
      </c>
      <c r="U33" t="str">
        <f>"IP_D6_EMEA"</f>
        <v>IP_D6_EMEA</v>
      </c>
      <c r="V33" t="str">
        <f>"WARM"</f>
        <v>WARM</v>
      </c>
      <c r="W33" t="str">
        <f>"CDG"</f>
        <v>CDG</v>
      </c>
      <c r="Y33" t="str">
        <f t="shared" si="25"/>
        <v>1</v>
      </c>
      <c r="Z33" t="str">
        <f>"AAD15937FX"</f>
        <v>AAD15937FX</v>
      </c>
      <c r="AA33" t="str">
        <f>"304990406933"</f>
        <v>304990406933</v>
      </c>
      <c r="AB33" t="str">
        <f>"098101926"</f>
        <v>098101926</v>
      </c>
      <c r="AC33" t="str">
        <f t="shared" si="19"/>
        <v>IP_D1234</v>
      </c>
      <c r="AD33" t="str">
        <f t="shared" si="19"/>
        <v>IP_D1234</v>
      </c>
      <c r="AE33" t="str">
        <f t="shared" si="5"/>
        <v>BOX PK</v>
      </c>
      <c r="AF33" t="str">
        <f>"IP_D1234-EMEA"</f>
        <v>IP_D1234-EMEA</v>
      </c>
      <c r="AG33" t="str">
        <f>"0038"</f>
        <v>0038</v>
      </c>
      <c r="AH33" t="str">
        <f>"MEM"</f>
        <v>MEM</v>
      </c>
      <c r="AI33" t="str">
        <f>"CDG"</f>
        <v>CDG</v>
      </c>
      <c r="AJ33" t="str">
        <f>"0083"</f>
        <v>0083</v>
      </c>
      <c r="AK33" t="str">
        <f>"20/11/2019 20:43"</f>
        <v>20/11/2019 20:43</v>
      </c>
      <c r="AN33" t="str">
        <f>"02"</f>
        <v>02</v>
      </c>
      <c r="AO33" t="str">
        <f>"EURO1_MIX,IP_D1234_EMEA,IP_D5_EMEA,IP_D6_EMEA"</f>
        <v>EURO1_MIX,IP_D1234_EMEA,IP_D5_EMEA,IP_D6_EMEA</v>
      </c>
      <c r="AP33" t="str">
        <f t="shared" si="7"/>
        <v>MDE_AVAILABLE</v>
      </c>
      <c r="AQ33" t="str">
        <f t="shared" si="8"/>
        <v>FEDEX</v>
      </c>
      <c r="AR33" t="str">
        <f>"IPE"</f>
        <v>IPE</v>
      </c>
      <c r="AS33" t="str">
        <f>"BUILDING_AB_NON_CONV"</f>
        <v>BUILDING_AB_NON_CONV</v>
      </c>
      <c r="AT33" t="str">
        <f t="shared" si="28"/>
        <v>19-11-2019</v>
      </c>
      <c r="AU33" t="str">
        <f>"BOX"</f>
        <v>BOX</v>
      </c>
      <c r="AV33" s="1" t="str">
        <f t="shared" si="9"/>
        <v>NON_CONV</v>
      </c>
    </row>
    <row r="34" spans="1:48" x14ac:dyDescent="0.25">
      <c r="A34" t="str">
        <f t="shared" si="18"/>
        <v>20-11-2019</v>
      </c>
      <c r="B34" t="str">
        <f t="shared" si="18"/>
        <v>20-11-2019</v>
      </c>
      <c r="C34" t="str">
        <f>"777025378374"</f>
        <v>777025378374</v>
      </c>
      <c r="D34" t="str">
        <f>"US"</f>
        <v>US</v>
      </c>
      <c r="E34" t="str">
        <f>"FR"</f>
        <v>FR</v>
      </c>
      <c r="F34" t="str">
        <f>"ATUA"</f>
        <v>ATUA</v>
      </c>
      <c r="G34" t="str">
        <f>"PARA"</f>
        <v>PARA</v>
      </c>
      <c r="H34" t="str">
        <f>"19-11-2019"</f>
        <v>19-11-2019</v>
      </c>
      <c r="I34" t="str">
        <f>"21-11-2019"</f>
        <v>21-11-2019</v>
      </c>
      <c r="J34" t="str">
        <f>"01"</f>
        <v>01</v>
      </c>
      <c r="K34" t="str">
        <f t="shared" si="27"/>
        <v>01</v>
      </c>
      <c r="L34" t="str">
        <f>"USD"</f>
        <v>USD</v>
      </c>
      <c r="M34" t="str">
        <f>"39050.00"</f>
        <v>39050.00</v>
      </c>
      <c r="N34" t="str">
        <f t="shared" si="26"/>
        <v>BOX</v>
      </c>
      <c r="O34" t="str">
        <f>"30.0"</f>
        <v>30.0</v>
      </c>
      <c r="P34" t="str">
        <f t="shared" si="29"/>
        <v>L</v>
      </c>
      <c r="Q34" t="str">
        <f t="shared" si="2"/>
        <v>OTHER</v>
      </c>
      <c r="R34" t="str">
        <f t="shared" si="3"/>
        <v>EURO1_MIX</v>
      </c>
      <c r="S34" t="str">
        <f>"IP_D1234_EMEA"</f>
        <v>IP_D1234_EMEA</v>
      </c>
      <c r="T34" t="str">
        <f t="shared" si="21"/>
        <v>IP_D5_EMEA</v>
      </c>
      <c r="U34" t="str">
        <f>"IP_D6_EMEA"</f>
        <v>IP_D6_EMEA</v>
      </c>
      <c r="V34" t="str">
        <f>"WARM"</f>
        <v>WARM</v>
      </c>
      <c r="W34" t="str">
        <f>"CDG"</f>
        <v>CDG</v>
      </c>
      <c r="X34" t="str">
        <f>"777025378238"</f>
        <v>777025378238</v>
      </c>
      <c r="Y34" t="str">
        <f>"6"</f>
        <v>6</v>
      </c>
      <c r="Z34" t="str">
        <f>"BULK"</f>
        <v>BULK</v>
      </c>
      <c r="AA34" t="str">
        <f>"304990990282"</f>
        <v>304990990282</v>
      </c>
      <c r="AB34" t="str">
        <f>"535799369"</f>
        <v>535799369</v>
      </c>
      <c r="AC34" t="str">
        <f t="shared" si="19"/>
        <v>IP_D1234</v>
      </c>
      <c r="AD34" t="str">
        <f t="shared" si="19"/>
        <v>IP_D1234</v>
      </c>
      <c r="AE34" t="str">
        <f t="shared" si="5"/>
        <v>BOX PK</v>
      </c>
      <c r="AF34" t="str">
        <f>"IP_D1234-MIX US"</f>
        <v>IP_D1234-MIX US</v>
      </c>
      <c r="AG34" t="str">
        <f>"0078"</f>
        <v>0078</v>
      </c>
      <c r="AH34" t="str">
        <f>"MEM"</f>
        <v>MEM</v>
      </c>
      <c r="AI34" t="str">
        <f>"CDG"</f>
        <v>CDG</v>
      </c>
      <c r="AJ34" t="str">
        <f>"0016"</f>
        <v>0016</v>
      </c>
      <c r="AK34" t="str">
        <f>"20/11/2019 18:47"</f>
        <v>20/11/2019 18:47</v>
      </c>
      <c r="AN34" t="str">
        <f>"02,54"</f>
        <v>02,54</v>
      </c>
      <c r="AO34" t="str">
        <f>"EURO1_MIX,IP_D1234_EMEA,IP_D5_EMEA,IP_D6_EMEA"</f>
        <v>EURO1_MIX,IP_D1234_EMEA,IP_D5_EMEA,IP_D6_EMEA</v>
      </c>
      <c r="AP34" t="str">
        <f t="shared" si="7"/>
        <v>MDE_AVAILABLE</v>
      </c>
      <c r="AQ34" t="str">
        <f t="shared" si="8"/>
        <v>FEDEX</v>
      </c>
      <c r="AR34" t="str">
        <f>"IPE"</f>
        <v>IPE</v>
      </c>
      <c r="AS34" t="str">
        <f t="shared" ref="AS34:AS49" si="30">"CONVEYABLE"</f>
        <v>CONVEYABLE</v>
      </c>
      <c r="AT34" t="str">
        <f t="shared" si="28"/>
        <v>19-11-2019</v>
      </c>
      <c r="AU34" t="str">
        <f>"UNKNOWN"</f>
        <v>UNKNOWN</v>
      </c>
      <c r="AV34" s="1" t="str">
        <f t="shared" si="9"/>
        <v>CONVEYABLE</v>
      </c>
    </row>
    <row r="35" spans="1:48" x14ac:dyDescent="0.25">
      <c r="A35" t="str">
        <f t="shared" si="18"/>
        <v>20-11-2019</v>
      </c>
      <c r="B35" t="str">
        <f t="shared" si="18"/>
        <v>20-11-2019</v>
      </c>
      <c r="C35" t="str">
        <f>"468023365287"</f>
        <v>468023365287</v>
      </c>
      <c r="D35" t="str">
        <f>"US"</f>
        <v>US</v>
      </c>
      <c r="E35" t="str">
        <f>"CH"</f>
        <v>CH</v>
      </c>
      <c r="F35" t="str">
        <f>"AYE"</f>
        <v>AYE</v>
      </c>
      <c r="G35" t="str">
        <f>"QLS"</f>
        <v>QLS</v>
      </c>
      <c r="H35" t="str">
        <f>"19-11-2019"</f>
        <v>19-11-2019</v>
      </c>
      <c r="I35" t="str">
        <f>"21-11-2019"</f>
        <v>21-11-2019</v>
      </c>
      <c r="J35" t="str">
        <f>"01"</f>
        <v>01</v>
      </c>
      <c r="K35" t="str">
        <f t="shared" si="27"/>
        <v>01</v>
      </c>
      <c r="L35" t="str">
        <f>"USD"</f>
        <v>USD</v>
      </c>
      <c r="M35" t="str">
        <f>"3.00"</f>
        <v>3.00</v>
      </c>
      <c r="N35" t="str">
        <f t="shared" si="26"/>
        <v>BOX</v>
      </c>
      <c r="O35" t="str">
        <f>"2.60"</f>
        <v>2.60</v>
      </c>
      <c r="P35" t="str">
        <f t="shared" si="29"/>
        <v>L</v>
      </c>
      <c r="Q35" t="str">
        <f t="shared" si="2"/>
        <v>OTHER</v>
      </c>
      <c r="R35" t="str">
        <f t="shared" si="3"/>
        <v>EURO1_MIX</v>
      </c>
      <c r="S35" t="str">
        <f>"IP_D1234_MIX"</f>
        <v>IP_D1234_MIX</v>
      </c>
      <c r="T35" t="str">
        <f t="shared" si="21"/>
        <v>IP_D5_EMEA</v>
      </c>
      <c r="U35" t="str">
        <f>"IP_D6_EMEA"</f>
        <v>IP_D6_EMEA</v>
      </c>
      <c r="V35" t="str">
        <f>"WARM"</f>
        <v>WARM</v>
      </c>
      <c r="W35" t="str">
        <f>"BSL"</f>
        <v>BSL</v>
      </c>
      <c r="Y35" t="str">
        <f>"1"</f>
        <v>1</v>
      </c>
      <c r="Z35" t="str">
        <f>"AQF11806FX"</f>
        <v>AQF11806FX</v>
      </c>
      <c r="AA35" t="str">
        <f>"305026502956"</f>
        <v>305026502956</v>
      </c>
      <c r="AB35" t="str">
        <f>"253586907"</f>
        <v>253586907</v>
      </c>
      <c r="AC35" t="str">
        <f t="shared" si="19"/>
        <v>IP_D1234</v>
      </c>
      <c r="AD35" t="str">
        <f t="shared" si="19"/>
        <v>IP_D1234</v>
      </c>
      <c r="AE35" t="str">
        <f t="shared" si="5"/>
        <v>BOX PK</v>
      </c>
      <c r="AF35" t="str">
        <f>"IP_D1234-MIX"</f>
        <v>IP_D1234-MIX</v>
      </c>
      <c r="AG35" t="str">
        <f>"5046"</f>
        <v>5046</v>
      </c>
      <c r="AH35" t="str">
        <f>"EWR"</f>
        <v>EWR</v>
      </c>
      <c r="AI35" t="str">
        <f>"CDG"</f>
        <v>CDG</v>
      </c>
      <c r="AJ35" t="str">
        <f>"0072"</f>
        <v>0072</v>
      </c>
      <c r="AK35" t="str">
        <f>"20/11/2019 17:41"</f>
        <v>20/11/2019 17:41</v>
      </c>
      <c r="AL35" t="str">
        <f>"20/11/2019 17:39"</f>
        <v>20/11/2019 17:39</v>
      </c>
      <c r="AM35" t="str">
        <f>"-2"</f>
        <v>-2</v>
      </c>
      <c r="AN35" t="str">
        <f>"02"</f>
        <v>02</v>
      </c>
      <c r="AO35" t="str">
        <f>"EURO1_MIX,IP_D1234_MIX,IP_D5_EMEA,IP_D6_EMEA"</f>
        <v>EURO1_MIX,IP_D1234_MIX,IP_D5_EMEA,IP_D6_EMEA</v>
      </c>
      <c r="AP35" t="str">
        <f t="shared" si="7"/>
        <v>MDE_AVAILABLE</v>
      </c>
      <c r="AQ35" t="str">
        <f t="shared" si="8"/>
        <v>FEDEX</v>
      </c>
      <c r="AR35" t="str">
        <f>"IPE"</f>
        <v>IPE</v>
      </c>
      <c r="AS35" t="str">
        <f t="shared" si="30"/>
        <v>CONVEYABLE</v>
      </c>
      <c r="AT35" t="str">
        <f t="shared" si="28"/>
        <v>19-11-2019</v>
      </c>
      <c r="AU35" t="str">
        <f>"UNKNOWN"</f>
        <v>UNKNOWN</v>
      </c>
      <c r="AV35" s="1" t="str">
        <f t="shared" si="9"/>
        <v>CONVEYABLE</v>
      </c>
    </row>
    <row r="36" spans="1:48" x14ac:dyDescent="0.25">
      <c r="A36" t="str">
        <f t="shared" si="18"/>
        <v>20-11-2019</v>
      </c>
      <c r="B36" t="str">
        <f t="shared" si="18"/>
        <v>20-11-2019</v>
      </c>
      <c r="C36" t="str">
        <f>"776985158646"</f>
        <v>776985158646</v>
      </c>
      <c r="D36" t="str">
        <f>"KR"</f>
        <v>KR</v>
      </c>
      <c r="E36" t="str">
        <f>"FR"</f>
        <v>FR</v>
      </c>
      <c r="F36" t="str">
        <f>"HIN"</f>
        <v>HIN</v>
      </c>
      <c r="G36" t="str">
        <f>"PAR"</f>
        <v>PAR</v>
      </c>
      <c r="H36" t="str">
        <f>"15-11-2019"</f>
        <v>15-11-2019</v>
      </c>
      <c r="I36" t="str">
        <f>"20-11-2019"</f>
        <v>20-11-2019</v>
      </c>
      <c r="J36" t="str">
        <f>"04"</f>
        <v>04</v>
      </c>
      <c r="K36" t="str">
        <f t="shared" si="27"/>
        <v>01</v>
      </c>
      <c r="L36" t="str">
        <f>"EUR"</f>
        <v>EUR</v>
      </c>
      <c r="M36" t="str">
        <f>"10000.00"</f>
        <v>10000.00</v>
      </c>
      <c r="N36" t="str">
        <f t="shared" si="26"/>
        <v>BOX</v>
      </c>
      <c r="O36" t="str">
        <f>"24.20"</f>
        <v>24.20</v>
      </c>
      <c r="P36" t="str">
        <f t="shared" si="29"/>
        <v>L</v>
      </c>
      <c r="Q36" t="str">
        <f t="shared" si="2"/>
        <v>OTHER</v>
      </c>
      <c r="R36" t="str">
        <f t="shared" si="3"/>
        <v>EURO1_MIX</v>
      </c>
      <c r="S36" t="str">
        <f>"IP_D1234_EMEA"</f>
        <v>IP_D1234_EMEA</v>
      </c>
      <c r="T36" t="str">
        <f t="shared" si="21"/>
        <v>IP_D5_EMEA</v>
      </c>
      <c r="U36" t="str">
        <f>"IP_D6_EMEA"</f>
        <v>IP_D6_EMEA</v>
      </c>
      <c r="V36" t="str">
        <f>"DEAD"</f>
        <v>DEAD</v>
      </c>
      <c r="W36" t="str">
        <f>"CDG"</f>
        <v>CDG</v>
      </c>
      <c r="X36" t="str">
        <f>"776985157547"</f>
        <v>776985157547</v>
      </c>
      <c r="Y36" t="str">
        <f>"10"</f>
        <v>10</v>
      </c>
      <c r="Z36" t="str">
        <f>"AAD18015FX"</f>
        <v>AAD18015FX</v>
      </c>
      <c r="AA36" t="str">
        <f>"304904214977"</f>
        <v>304904214977</v>
      </c>
      <c r="AB36" t="str">
        <f>"283379094"</f>
        <v>283379094</v>
      </c>
      <c r="AC36" t="str">
        <f t="shared" si="19"/>
        <v>IP_D1234</v>
      </c>
      <c r="AD36" t="str">
        <f t="shared" si="19"/>
        <v>IP_D1234</v>
      </c>
      <c r="AE36" t="str">
        <f t="shared" si="5"/>
        <v>BOX PK</v>
      </c>
      <c r="AF36" t="str">
        <f>"IP_D1234-EMEA"</f>
        <v>IP_D1234-EMEA</v>
      </c>
      <c r="AG36" t="str">
        <f>"5279"</f>
        <v>5279</v>
      </c>
      <c r="AH36" t="str">
        <f>"DXB"</f>
        <v>DXB</v>
      </c>
      <c r="AI36" t="str">
        <f>"CDG"</f>
        <v>CDG</v>
      </c>
      <c r="AJ36" t="str">
        <f>"0083"</f>
        <v>0083</v>
      </c>
      <c r="AK36" t="str">
        <f>"20/11/2019 18:49"</f>
        <v>20/11/2019 18:49</v>
      </c>
      <c r="AL36" t="str">
        <f>"20/11/2019 18:57"</f>
        <v>20/11/2019 18:57</v>
      </c>
      <c r="AM36" t="str">
        <f>"8"</f>
        <v>8</v>
      </c>
      <c r="AN36" t="str">
        <f>"02,54"</f>
        <v>02,54</v>
      </c>
      <c r="AO36" t="str">
        <f>"EURO1_MIX,IP_D1234_EMEA,IP_D5_EMEA,IP_D6_EMEA"</f>
        <v>EURO1_MIX,IP_D1234_EMEA,IP_D5_EMEA,IP_D6_EMEA</v>
      </c>
      <c r="AP36" t="str">
        <f t="shared" si="7"/>
        <v>MDE_AVAILABLE</v>
      </c>
      <c r="AQ36" t="str">
        <f t="shared" si="8"/>
        <v>FEDEX</v>
      </c>
      <c r="AR36" t="str">
        <f>"IEB"</f>
        <v>IEB</v>
      </c>
      <c r="AS36" t="str">
        <f t="shared" si="30"/>
        <v>CONVEYABLE</v>
      </c>
      <c r="AT36" t="str">
        <f>"15-11-2019"</f>
        <v>15-11-2019</v>
      </c>
      <c r="AU36" t="str">
        <f>"BOX"</f>
        <v>BOX</v>
      </c>
      <c r="AV36" s="1" t="str">
        <f t="shared" si="9"/>
        <v>CONVEYABLE</v>
      </c>
    </row>
    <row r="37" spans="1:48" x14ac:dyDescent="0.25">
      <c r="A37" t="str">
        <f t="shared" si="18"/>
        <v>20-11-2019</v>
      </c>
      <c r="B37" t="str">
        <f t="shared" si="18"/>
        <v>20-11-2019</v>
      </c>
      <c r="C37" t="str">
        <f>"778133944336"</f>
        <v>778133944336</v>
      </c>
      <c r="D37" t="str">
        <f>"US"</f>
        <v>US</v>
      </c>
      <c r="E37" t="str">
        <f>"SE"</f>
        <v>SE</v>
      </c>
      <c r="F37" t="str">
        <f>"RBK"</f>
        <v>RBK</v>
      </c>
      <c r="G37" t="str">
        <f>"STO"</f>
        <v>STO</v>
      </c>
      <c r="H37" t="str">
        <f>"19-11-2019"</f>
        <v>19-11-2019</v>
      </c>
      <c r="I37" t="str">
        <f>"21-11-2019"</f>
        <v>21-11-2019</v>
      </c>
      <c r="J37" t="str">
        <f>"01"</f>
        <v>01</v>
      </c>
      <c r="K37" t="str">
        <f>"06"</f>
        <v>06</v>
      </c>
      <c r="L37" t="str">
        <f>"USD"</f>
        <v>USD</v>
      </c>
      <c r="M37" t="str">
        <f>"37.50"</f>
        <v>37.50</v>
      </c>
      <c r="N37" t="str">
        <f>"SPSS"</f>
        <v>SPSS</v>
      </c>
      <c r="O37" t="str">
        <f>"0.40"</f>
        <v>0.40</v>
      </c>
      <c r="P37" t="str">
        <f t="shared" si="29"/>
        <v>L</v>
      </c>
      <c r="Q37" t="str">
        <f t="shared" si="2"/>
        <v>OTHER</v>
      </c>
      <c r="R37" t="str">
        <f t="shared" si="3"/>
        <v>EURO1_MIX</v>
      </c>
      <c r="S37" t="str">
        <f>"IP_D1234_LATE"</f>
        <v>IP_D1234_LATE</v>
      </c>
      <c r="T37" t="str">
        <f t="shared" si="21"/>
        <v>IP_D5_EMEA</v>
      </c>
      <c r="U37" t="str">
        <f>"IP_D6_MIX"</f>
        <v>IP_D6_MIX</v>
      </c>
      <c r="V37" t="str">
        <f>"WARM"</f>
        <v>WARM</v>
      </c>
      <c r="W37" t="str">
        <f>"ARN"</f>
        <v>ARN</v>
      </c>
      <c r="Y37" t="str">
        <f>"1"</f>
        <v>1</v>
      </c>
      <c r="Z37" t="str">
        <f>"BULK"</f>
        <v>BULK</v>
      </c>
      <c r="AA37" t="str">
        <f>"304990606836"</f>
        <v>304990606836</v>
      </c>
      <c r="AB37" t="str">
        <f>"354717115"</f>
        <v>354717115</v>
      </c>
      <c r="AC37" t="str">
        <f t="shared" si="19"/>
        <v>IP_D1234</v>
      </c>
      <c r="AD37" t="str">
        <f t="shared" si="19"/>
        <v>IP_D1234</v>
      </c>
      <c r="AE37" t="str">
        <f t="shared" si="5"/>
        <v>BOX PK</v>
      </c>
      <c r="AF37" t="str">
        <f>"IP_D1234-MIX US"</f>
        <v>IP_D1234-MIX US</v>
      </c>
      <c r="AG37" t="str">
        <f>"0038"</f>
        <v>0038</v>
      </c>
      <c r="AH37" t="str">
        <f>"MEM"</f>
        <v>MEM</v>
      </c>
      <c r="AI37" t="str">
        <f>"CDG"</f>
        <v>CDG</v>
      </c>
      <c r="AJ37" t="str">
        <f>"0083"</f>
        <v>0083</v>
      </c>
      <c r="AK37" t="str">
        <f>"20/11/2019 20:43"</f>
        <v>20/11/2019 20:43</v>
      </c>
      <c r="AN37" t="str">
        <f>"02,28,54"</f>
        <v>02,28,54</v>
      </c>
      <c r="AO37" t="str">
        <f>"EURO1_MIX,IP_D1234_LATE,IP_D5_EMEA,IP_D6_MIX"</f>
        <v>EURO1_MIX,IP_D1234_LATE,IP_D5_EMEA,IP_D6_MIX</v>
      </c>
      <c r="AP37" t="str">
        <f t="shared" si="7"/>
        <v>MDE_AVAILABLE</v>
      </c>
      <c r="AQ37" t="str">
        <f t="shared" si="8"/>
        <v>FEDEX</v>
      </c>
      <c r="AR37" t="str">
        <f>"IPE"</f>
        <v>IPE</v>
      </c>
      <c r="AS37" t="str">
        <f t="shared" si="30"/>
        <v>CONVEYABLE</v>
      </c>
      <c r="AT37" t="str">
        <f>"19-11-2019"</f>
        <v>19-11-2019</v>
      </c>
      <c r="AU37" t="str">
        <f>"DOC"</f>
        <v>DOC</v>
      </c>
      <c r="AV37" s="1" t="str">
        <f t="shared" si="9"/>
        <v>CONVEYABLE</v>
      </c>
    </row>
    <row r="38" spans="1:48" x14ac:dyDescent="0.25">
      <c r="A38" t="str">
        <f t="shared" si="18"/>
        <v>20-11-2019</v>
      </c>
      <c r="B38" t="str">
        <f t="shared" si="18"/>
        <v>20-11-2019</v>
      </c>
      <c r="C38" t="str">
        <f>"778123831777"</f>
        <v>778123831777</v>
      </c>
      <c r="D38" t="str">
        <f>"CN"</f>
        <v>CN</v>
      </c>
      <c r="E38" t="str">
        <f>"FR"</f>
        <v>FR</v>
      </c>
      <c r="F38" t="str">
        <f>"HGH"</f>
        <v>HGH</v>
      </c>
      <c r="G38" t="str">
        <f>"LME"</f>
        <v>LME</v>
      </c>
      <c r="I38" t="str">
        <f>"22-11-2019"</f>
        <v>22-11-2019</v>
      </c>
      <c r="J38" t="str">
        <f>"01"</f>
        <v>01</v>
      </c>
      <c r="K38" t="str">
        <f>"02"</f>
        <v>02</v>
      </c>
      <c r="L38" t="str">
        <f>"USD"</f>
        <v>USD</v>
      </c>
      <c r="M38" t="str">
        <f>"15.08"</f>
        <v>15.08</v>
      </c>
      <c r="N38" t="str">
        <f>"SPSS"</f>
        <v>SPSS</v>
      </c>
      <c r="O38" t="str">
        <f>"0.50"</f>
        <v>0.50</v>
      </c>
      <c r="P38" t="str">
        <f>"K"</f>
        <v>K</v>
      </c>
      <c r="Q38" t="str">
        <f t="shared" si="2"/>
        <v>OTHER</v>
      </c>
      <c r="R38" t="str">
        <f t="shared" si="3"/>
        <v>EURO1_MIX</v>
      </c>
      <c r="S38" t="str">
        <f>"IP_D1234_EMEA"</f>
        <v>IP_D1234_EMEA</v>
      </c>
      <c r="T38" t="str">
        <f t="shared" si="21"/>
        <v>IP_D5_EMEA</v>
      </c>
      <c r="U38" t="str">
        <f>"IP_D6_EMEA"</f>
        <v>IP_D6_EMEA</v>
      </c>
      <c r="V38" t="str">
        <f>"COLD"</f>
        <v>COLD</v>
      </c>
      <c r="W38" t="str">
        <f>"CDG"</f>
        <v>CDG</v>
      </c>
      <c r="Y38" t="str">
        <f>"1"</f>
        <v>1</v>
      </c>
      <c r="Z38" t="str">
        <f>"AKE34895FX"</f>
        <v>AKE34895FX</v>
      </c>
      <c r="AA38" t="str">
        <f>"305073044016"</f>
        <v>305073044016</v>
      </c>
      <c r="AB38" t="str">
        <f>"891608667"</f>
        <v>891608667</v>
      </c>
      <c r="AC38" t="str">
        <f t="shared" si="19"/>
        <v>IP_D1234</v>
      </c>
      <c r="AD38" t="str">
        <f t="shared" si="19"/>
        <v>IP_D1234</v>
      </c>
      <c r="AE38" t="str">
        <f t="shared" si="5"/>
        <v>BOX PK</v>
      </c>
      <c r="AF38" t="str">
        <f>"IP_D1234-MIX US"</f>
        <v>IP_D1234-MIX US</v>
      </c>
      <c r="AG38" t="str">
        <f>"3621H"</f>
        <v>3621H</v>
      </c>
      <c r="AH38" t="str">
        <f>"LGGT7"</f>
        <v>LGGT7</v>
      </c>
      <c r="AI38" t="str">
        <f>"CDGH"</f>
        <v>CDGH</v>
      </c>
      <c r="AJ38" t="str">
        <f>"8009"</f>
        <v>8009</v>
      </c>
      <c r="AK38" t="str">
        <f>"20/11/2019 18:00"</f>
        <v>20/11/2019 18:00</v>
      </c>
      <c r="AL38" t="str">
        <f>"20/11/2019 18:47"</f>
        <v>20/11/2019 18:47</v>
      </c>
      <c r="AM38" t="str">
        <f>"47"</f>
        <v>47</v>
      </c>
      <c r="AN38" t="str">
        <f>"02,54"</f>
        <v>02,54</v>
      </c>
      <c r="AO38" t="str">
        <f>"EURO1_MIX,IP_D1234_EMEA,IP_D5_EMEA,IP_D6_EMEA"</f>
        <v>EURO1_MIX,IP_D1234_EMEA,IP_D5_EMEA,IP_D6_EMEA</v>
      </c>
      <c r="AP38" t="str">
        <f t="shared" si="7"/>
        <v>MDE_AVAILABLE</v>
      </c>
      <c r="AQ38" t="str">
        <f t="shared" si="8"/>
        <v>FEDEX</v>
      </c>
      <c r="AR38" t="str">
        <f>"IPE"</f>
        <v>IPE</v>
      </c>
      <c r="AS38" t="str">
        <f t="shared" si="30"/>
        <v>CONVEYABLE</v>
      </c>
      <c r="AT38" t="str">
        <f>"18-11-2019"</f>
        <v>18-11-2019</v>
      </c>
      <c r="AU38" t="str">
        <f>"DOC"</f>
        <v>DOC</v>
      </c>
      <c r="AV38" s="1" t="str">
        <f t="shared" si="9"/>
        <v>CONVEYABLE</v>
      </c>
    </row>
    <row r="39" spans="1:48" x14ac:dyDescent="0.25">
      <c r="A39" t="str">
        <f t="shared" si="18"/>
        <v>20-11-2019</v>
      </c>
      <c r="B39" t="str">
        <f t="shared" si="18"/>
        <v>20-11-2019</v>
      </c>
      <c r="C39" t="str">
        <f>"427441916366"</f>
        <v>427441916366</v>
      </c>
      <c r="D39" t="str">
        <f>"HK"</f>
        <v>HK</v>
      </c>
      <c r="E39" t="str">
        <f>"GB"</f>
        <v>GB</v>
      </c>
      <c r="F39" t="str">
        <f>"HKG"</f>
        <v>HKG</v>
      </c>
      <c r="G39" t="str">
        <f>"BQH"</f>
        <v>BQH</v>
      </c>
      <c r="H39" t="str">
        <f>"19-11-2019"</f>
        <v>19-11-2019</v>
      </c>
      <c r="I39" t="str">
        <f>"25-11-2019"</f>
        <v>25-11-2019</v>
      </c>
      <c r="J39" t="str">
        <f>"04"</f>
        <v>04</v>
      </c>
      <c r="K39" t="str">
        <f>"03"</f>
        <v>03</v>
      </c>
      <c r="L39" t="str">
        <f>"USD"</f>
        <v>USD</v>
      </c>
      <c r="M39" t="str">
        <f>"199.00"</f>
        <v>199.00</v>
      </c>
      <c r="N39" t="str">
        <f>"BOX"</f>
        <v>BOX</v>
      </c>
      <c r="O39" t="str">
        <f>"0.50"</f>
        <v>0.50</v>
      </c>
      <c r="P39" t="str">
        <f>"K"</f>
        <v>K</v>
      </c>
      <c r="Q39" t="str">
        <f t="shared" si="2"/>
        <v>OTHER</v>
      </c>
      <c r="R39" t="str">
        <f t="shared" si="3"/>
        <v>EURO1_MIX</v>
      </c>
      <c r="S39" t="str">
        <f>"IP_D1234_MIX"</f>
        <v>IP_D1234_MIX</v>
      </c>
      <c r="T39" t="str">
        <f t="shared" si="21"/>
        <v>IP_D5_EMEA</v>
      </c>
      <c r="U39" t="str">
        <f>"IP_D6_MIX"</f>
        <v>IP_D6_MIX</v>
      </c>
      <c r="V39" t="str">
        <f>"COLD"</f>
        <v>COLD</v>
      </c>
      <c r="W39" t="str">
        <f>"STN"</f>
        <v>STN</v>
      </c>
      <c r="Y39" t="str">
        <f>"1"</f>
        <v>1</v>
      </c>
      <c r="Z39" t="str">
        <f>"PMC28424FX"</f>
        <v>PMC28424FX</v>
      </c>
      <c r="AA39" t="str">
        <f>"221453828286"</f>
        <v>221453828286</v>
      </c>
      <c r="AB39" t="str">
        <f>"725857829"</f>
        <v>725857829</v>
      </c>
      <c r="AC39" t="str">
        <f t="shared" si="19"/>
        <v>IP_D1234</v>
      </c>
      <c r="AD39" t="str">
        <f t="shared" si="19"/>
        <v>IP_D1234</v>
      </c>
      <c r="AE39" t="str">
        <f t="shared" si="5"/>
        <v>BOX PK</v>
      </c>
      <c r="AF39" t="str">
        <f>"IP_D1234-MIX"</f>
        <v>IP_D1234-MIX</v>
      </c>
      <c r="AG39" t="str">
        <f>"5392"</f>
        <v>5392</v>
      </c>
      <c r="AH39" t="str">
        <f>"NRT"</f>
        <v>NRT</v>
      </c>
      <c r="AI39" t="str">
        <f>"CDG"</f>
        <v>CDG</v>
      </c>
      <c r="AJ39" t="str">
        <f>"0083"</f>
        <v>0083</v>
      </c>
      <c r="AK39" t="str">
        <f>"20/11/2019 16:53"</f>
        <v>20/11/2019 16:53</v>
      </c>
      <c r="AL39" t="str">
        <f>"20/11/2019 17:38"</f>
        <v>20/11/2019 17:38</v>
      </c>
      <c r="AM39" t="str">
        <f>"45"</f>
        <v>45</v>
      </c>
      <c r="AN39" t="str">
        <f>"02"</f>
        <v>02</v>
      </c>
      <c r="AO39" t="str">
        <f>"EURO1_MIX,IP_D1234_MIX,IP_D5_EMEA,IP_D6_MIX"</f>
        <v>EURO1_MIX,IP_D1234_MIX,IP_D5_EMEA,IP_D6_MIX</v>
      </c>
      <c r="AP39" t="str">
        <f t="shared" si="7"/>
        <v>MDE_AVAILABLE</v>
      </c>
      <c r="AQ39" t="str">
        <f t="shared" si="8"/>
        <v>FEDEX</v>
      </c>
      <c r="AR39" t="str">
        <f>"IEB"</f>
        <v>IEB</v>
      </c>
      <c r="AS39" t="str">
        <f t="shared" si="30"/>
        <v>CONVEYABLE</v>
      </c>
      <c r="AT39" t="str">
        <f>"19-11-2019"</f>
        <v>19-11-2019</v>
      </c>
      <c r="AU39" t="str">
        <f>"SMALL_PARCEL"</f>
        <v>SMALL_PARCEL</v>
      </c>
      <c r="AV39" s="1" t="str">
        <f t="shared" si="9"/>
        <v>CONVEYABLE</v>
      </c>
    </row>
    <row r="40" spans="1:48" x14ac:dyDescent="0.25">
      <c r="A40" t="str">
        <f t="shared" si="18"/>
        <v>20-11-2019</v>
      </c>
      <c r="B40" t="str">
        <f t="shared" si="18"/>
        <v>20-11-2019</v>
      </c>
      <c r="C40" t="str">
        <f>"812150605160"</f>
        <v>812150605160</v>
      </c>
      <c r="D40" t="str">
        <f>"IT"</f>
        <v>IT</v>
      </c>
      <c r="E40" t="str">
        <f>"FR"</f>
        <v>FR</v>
      </c>
      <c r="F40" t="str">
        <f>"QLP"</f>
        <v>QLP</v>
      </c>
      <c r="G40" t="str">
        <f>"QNJ"</f>
        <v>QNJ</v>
      </c>
      <c r="H40" t="str">
        <f>"20-11-2019"</f>
        <v>20-11-2019</v>
      </c>
      <c r="I40" t="str">
        <f>"22-11-2019"</f>
        <v>22-11-2019</v>
      </c>
      <c r="J40" t="str">
        <f>"57"</f>
        <v>57</v>
      </c>
      <c r="K40" t="str">
        <f>"01"</f>
        <v>01</v>
      </c>
      <c r="L40" t="str">
        <f>"EUR"</f>
        <v>EUR</v>
      </c>
      <c r="M40" t="str">
        <f>"0.00"</f>
        <v>0.00</v>
      </c>
      <c r="N40" t="str">
        <f>"BOX"</f>
        <v>BOX</v>
      </c>
      <c r="O40" t="str">
        <f>"25.50"</f>
        <v>25.50</v>
      </c>
      <c r="P40" t="str">
        <f>"L"</f>
        <v>L</v>
      </c>
      <c r="Q40" t="str">
        <f t="shared" si="2"/>
        <v>OTHER</v>
      </c>
      <c r="R40" t="str">
        <f t="shared" si="3"/>
        <v>EURO1_MIX</v>
      </c>
      <c r="S40" t="str">
        <f>"IP_D1234_EMEA"</f>
        <v>IP_D1234_EMEA</v>
      </c>
      <c r="T40" t="str">
        <f t="shared" si="21"/>
        <v>IP_D5_EMEA</v>
      </c>
      <c r="U40" t="str">
        <f>"IP_D6_EMEA"</f>
        <v>IP_D6_EMEA</v>
      </c>
      <c r="V40" t="str">
        <f>"COLD"</f>
        <v>COLD</v>
      </c>
      <c r="W40" t="str">
        <f>"CDG"</f>
        <v>CDG</v>
      </c>
      <c r="X40" t="str">
        <f>"876350096440"</f>
        <v>876350096440</v>
      </c>
      <c r="Y40" t="str">
        <f>"4"</f>
        <v>4</v>
      </c>
      <c r="Z40" t="str">
        <f>"AYYD167FX"</f>
        <v>AYYD167FX</v>
      </c>
      <c r="AA40" t="str">
        <f>"305054141025"</f>
        <v>305054141025</v>
      </c>
      <c r="AB40" t="str">
        <f>"282663368"</f>
        <v>282663368</v>
      </c>
      <c r="AC40" t="str">
        <f t="shared" si="19"/>
        <v>IP_D1234</v>
      </c>
      <c r="AD40" t="str">
        <f t="shared" si="19"/>
        <v>IP_D1234</v>
      </c>
      <c r="AE40" t="str">
        <f t="shared" si="5"/>
        <v>BOX PK</v>
      </c>
      <c r="AF40" t="str">
        <f>"IP_D1234-MIX"</f>
        <v>IP_D1234-MIX</v>
      </c>
      <c r="AG40" t="str">
        <f>"5238"</f>
        <v>5238</v>
      </c>
      <c r="AH40" t="str">
        <f>"MXP"</f>
        <v>MXP</v>
      </c>
      <c r="AI40" t="str">
        <f>"CDG"</f>
        <v>CDG</v>
      </c>
      <c r="AJ40" t="str">
        <f>"0072"</f>
        <v>0072</v>
      </c>
      <c r="AK40" t="str">
        <f>"20/11/2019 18:21"</f>
        <v>20/11/2019 18:21</v>
      </c>
      <c r="AL40" t="str">
        <f>"20/11/2019 18:27"</f>
        <v>20/11/2019 18:27</v>
      </c>
      <c r="AM40" t="str">
        <f>"6"</f>
        <v>6</v>
      </c>
      <c r="AN40" t="str">
        <f>"02"</f>
        <v>02</v>
      </c>
      <c r="AO40" t="str">
        <f>"EURO1_MIX,IP_D1234_EMEA,IP_D5_EMEA,IP_D6_EMEA"</f>
        <v>EURO1_MIX,IP_D1234_EMEA,IP_D5_EMEA,IP_D6_EMEA</v>
      </c>
      <c r="AP40" t="str">
        <f t="shared" si="7"/>
        <v>MDE_AVAILABLE</v>
      </c>
      <c r="AQ40" t="str">
        <f t="shared" si="8"/>
        <v>FEDEX</v>
      </c>
      <c r="AR40" t="str">
        <f>"FEF"</f>
        <v>FEF</v>
      </c>
      <c r="AS40" t="str">
        <f t="shared" si="30"/>
        <v>CONVEYABLE</v>
      </c>
      <c r="AT40" t="str">
        <f>"20-11-2019"</f>
        <v>20-11-2019</v>
      </c>
      <c r="AU40" t="str">
        <f>"BOX"</f>
        <v>BOX</v>
      </c>
      <c r="AV40" s="1" t="str">
        <f t="shared" si="9"/>
        <v>CONVEYABLE</v>
      </c>
    </row>
    <row r="41" spans="1:48" x14ac:dyDescent="0.25">
      <c r="A41" t="str">
        <f t="shared" si="18"/>
        <v>20-11-2019</v>
      </c>
      <c r="B41" t="str">
        <f t="shared" si="18"/>
        <v>20-11-2019</v>
      </c>
      <c r="C41" t="str">
        <f>"777019037462"</f>
        <v>777019037462</v>
      </c>
      <c r="D41" t="str">
        <f>"GB"</f>
        <v>GB</v>
      </c>
      <c r="E41" t="str">
        <f>"SE"</f>
        <v>SE</v>
      </c>
      <c r="F41" t="str">
        <f>"PPW"</f>
        <v>PPW</v>
      </c>
      <c r="G41" t="str">
        <f>"MMA"</f>
        <v>MMA</v>
      </c>
      <c r="H41" t="str">
        <f>"20-11-2019"</f>
        <v>20-11-2019</v>
      </c>
      <c r="I41" t="str">
        <f>"21-11-2019"</f>
        <v>21-11-2019</v>
      </c>
      <c r="J41" t="str">
        <f>"01"</f>
        <v>01</v>
      </c>
      <c r="K41" t="str">
        <f>"03"</f>
        <v>03</v>
      </c>
      <c r="L41" t="str">
        <f>"UKL"</f>
        <v>UKL</v>
      </c>
      <c r="M41" t="str">
        <f>"660.00"</f>
        <v>660.00</v>
      </c>
      <c r="N41" t="str">
        <f>"BOX"</f>
        <v>BOX</v>
      </c>
      <c r="O41" t="str">
        <f>"0.50"</f>
        <v>0.50</v>
      </c>
      <c r="P41" t="str">
        <f>"K"</f>
        <v>K</v>
      </c>
      <c r="Q41" t="str">
        <f t="shared" si="2"/>
        <v>OTHER</v>
      </c>
      <c r="R41" t="str">
        <f t="shared" si="3"/>
        <v>EURO1_MIX</v>
      </c>
      <c r="S41" t="str">
        <f>"IP_D1234_LATE"</f>
        <v>IP_D1234_LATE</v>
      </c>
      <c r="T41" t="str">
        <f t="shared" si="21"/>
        <v>IP_D5_EMEA</v>
      </c>
      <c r="U41" t="str">
        <f>"IP_D6_MIX"</f>
        <v>IP_D6_MIX</v>
      </c>
      <c r="V41" t="str">
        <f>"WARM"</f>
        <v>WARM</v>
      </c>
      <c r="W41" t="str">
        <f>"ARN"</f>
        <v>ARN</v>
      </c>
      <c r="Y41" t="str">
        <f>"1"</f>
        <v>1</v>
      </c>
      <c r="Z41" t="str">
        <f>"AMJ57309FX"</f>
        <v>AMJ57309FX</v>
      </c>
      <c r="AA41" t="str">
        <f>"305386427295"</f>
        <v>305386427295</v>
      </c>
      <c r="AB41" t="str">
        <f>"229199544"</f>
        <v>229199544</v>
      </c>
      <c r="AC41" t="str">
        <f t="shared" si="19"/>
        <v>IP_D1234</v>
      </c>
      <c r="AD41" t="str">
        <f t="shared" si="19"/>
        <v>IP_D1234</v>
      </c>
      <c r="AE41" t="str">
        <f t="shared" si="5"/>
        <v>BOX PK</v>
      </c>
      <c r="AF41" t="str">
        <f>"IP_D1234-MIX"</f>
        <v>IP_D1234-MIX</v>
      </c>
      <c r="AG41" t="str">
        <f>"3131H"</f>
        <v>3131H</v>
      </c>
      <c r="AH41" t="str">
        <f>"LHRA"</f>
        <v>LHRA</v>
      </c>
      <c r="AI41" t="str">
        <f>"CDGH"</f>
        <v>CDGH</v>
      </c>
      <c r="AJ41" t="str">
        <f>"8009"</f>
        <v>8009</v>
      </c>
      <c r="AK41" t="str">
        <f>"20/11/2019 19:00"</f>
        <v>20/11/2019 19:00</v>
      </c>
      <c r="AL41" t="str">
        <f>"20/11/2019 18:47"</f>
        <v>20/11/2019 18:47</v>
      </c>
      <c r="AM41" t="str">
        <f>"-13"</f>
        <v>-13</v>
      </c>
      <c r="AN41" t="str">
        <f>"02"</f>
        <v>02</v>
      </c>
      <c r="AO41" t="str">
        <f>"EURO1_MIX,IP_D1234_LATE,IP_D5_EMEA,IP_D6_MIX"</f>
        <v>EURO1_MIX,IP_D1234_LATE,IP_D5_EMEA,IP_D6_MIX</v>
      </c>
      <c r="AP41" t="str">
        <f t="shared" si="7"/>
        <v>MDE_AVAILABLE</v>
      </c>
      <c r="AQ41" t="str">
        <f t="shared" si="8"/>
        <v>FEDEX</v>
      </c>
      <c r="AR41" t="str">
        <f>"IPE"</f>
        <v>IPE</v>
      </c>
      <c r="AS41" t="str">
        <f t="shared" si="30"/>
        <v>CONVEYABLE</v>
      </c>
      <c r="AT41" t="str">
        <f>"19-11-2019"</f>
        <v>19-11-2019</v>
      </c>
      <c r="AU41" t="str">
        <f>"SMALL_PARCEL"</f>
        <v>SMALL_PARCEL</v>
      </c>
      <c r="AV41" s="1" t="str">
        <f t="shared" si="9"/>
        <v>CONVEYABLE</v>
      </c>
    </row>
    <row r="42" spans="1:48" x14ac:dyDescent="0.25">
      <c r="A42" t="str">
        <f t="shared" si="18"/>
        <v>20-11-2019</v>
      </c>
      <c r="B42" t="str">
        <f t="shared" si="18"/>
        <v>20-11-2019</v>
      </c>
      <c r="C42" t="str">
        <f>"777024100294"</f>
        <v>777024100294</v>
      </c>
      <c r="D42" t="str">
        <f>"US"</f>
        <v>US</v>
      </c>
      <c r="E42" t="str">
        <f>"CH"</f>
        <v>CH</v>
      </c>
      <c r="F42" t="str">
        <f>"RBL"</f>
        <v>RBL</v>
      </c>
      <c r="G42" t="str">
        <f>"BSL"</f>
        <v>BSL</v>
      </c>
      <c r="H42" t="str">
        <f>"19-11-2019"</f>
        <v>19-11-2019</v>
      </c>
      <c r="I42" t="str">
        <f>"21-11-2019"</f>
        <v>21-11-2019</v>
      </c>
      <c r="J42" t="str">
        <f>"01"</f>
        <v>01</v>
      </c>
      <c r="K42" t="str">
        <f>"01"</f>
        <v>01</v>
      </c>
      <c r="L42" t="str">
        <f t="shared" ref="L42:L47" si="31">"USD"</f>
        <v>USD</v>
      </c>
      <c r="M42" t="str">
        <f>"200.00"</f>
        <v>200.00</v>
      </c>
      <c r="N42" t="str">
        <f>"BOX"</f>
        <v>BOX</v>
      </c>
      <c r="O42" t="str">
        <f>"2.00"</f>
        <v>2.00</v>
      </c>
      <c r="P42" t="str">
        <f>"L"</f>
        <v>L</v>
      </c>
      <c r="Q42" t="str">
        <f t="shared" si="2"/>
        <v>OTHER</v>
      </c>
      <c r="R42" t="str">
        <f t="shared" si="3"/>
        <v>EURO1_MIX</v>
      </c>
      <c r="S42" t="str">
        <f>"IP_D1234_MIX"</f>
        <v>IP_D1234_MIX</v>
      </c>
      <c r="T42" t="str">
        <f t="shared" si="21"/>
        <v>IP_D5_EMEA</v>
      </c>
      <c r="U42" t="str">
        <f t="shared" ref="U42:U48" si="32">"IP_D6_EMEA"</f>
        <v>IP_D6_EMEA</v>
      </c>
      <c r="V42" t="str">
        <f>"WARM"</f>
        <v>WARM</v>
      </c>
      <c r="W42" t="str">
        <f>"BSL"</f>
        <v>BSL</v>
      </c>
      <c r="Y42" t="str">
        <f>"1"</f>
        <v>1</v>
      </c>
      <c r="Z42" t="str">
        <f>"AMJ69763FX"</f>
        <v>AMJ69763FX</v>
      </c>
      <c r="AA42" t="str">
        <f>"304844002545"</f>
        <v>304844002545</v>
      </c>
      <c r="AB42" t="str">
        <f>"231790977"</f>
        <v>231790977</v>
      </c>
      <c r="AC42" t="str">
        <f t="shared" si="19"/>
        <v>IP_D1234</v>
      </c>
      <c r="AD42" t="str">
        <f t="shared" si="19"/>
        <v>IP_D1234</v>
      </c>
      <c r="AE42" t="str">
        <f t="shared" si="5"/>
        <v>BOX PK</v>
      </c>
      <c r="AF42" t="str">
        <f>"IP_D1234-MIX"</f>
        <v>IP_D1234-MIX</v>
      </c>
      <c r="AG42" t="str">
        <f>"0030"</f>
        <v>0030</v>
      </c>
      <c r="AH42" t="str">
        <f>"IND"</f>
        <v>IND</v>
      </c>
      <c r="AI42" t="str">
        <f t="shared" ref="AI42:AI49" si="33">"CDG"</f>
        <v>CDG</v>
      </c>
      <c r="AJ42" t="str">
        <f>"0083"</f>
        <v>0083</v>
      </c>
      <c r="AK42" t="str">
        <f>"20/11/2019 18:17"</f>
        <v>20/11/2019 18:17</v>
      </c>
      <c r="AL42" t="str">
        <f>"20/11/2019 18:54"</f>
        <v>20/11/2019 18:54</v>
      </c>
      <c r="AM42" t="str">
        <f>"37"</f>
        <v>37</v>
      </c>
      <c r="AN42" t="str">
        <f>"02,54"</f>
        <v>02,54</v>
      </c>
      <c r="AO42" t="str">
        <f>"EURO1_MIX,IP_D1234_MIX,IP_D5_EMEA,IP_D6_EMEA"</f>
        <v>EURO1_MIX,IP_D1234_MIX,IP_D5_EMEA,IP_D6_EMEA</v>
      </c>
      <c r="AP42" t="str">
        <f t="shared" si="7"/>
        <v>MDE_AVAILABLE</v>
      </c>
      <c r="AQ42" t="str">
        <f t="shared" si="8"/>
        <v>FEDEX</v>
      </c>
      <c r="AR42" t="str">
        <f>"IPE"</f>
        <v>IPE</v>
      </c>
      <c r="AS42" t="str">
        <f t="shared" si="30"/>
        <v>CONVEYABLE</v>
      </c>
      <c r="AT42" t="str">
        <f>"19-11-2019"</f>
        <v>19-11-2019</v>
      </c>
      <c r="AU42" t="str">
        <f>"UNKNOWN"</f>
        <v>UNKNOWN</v>
      </c>
      <c r="AV42" s="1" t="str">
        <f t="shared" si="9"/>
        <v>CONVEYABLE</v>
      </c>
    </row>
    <row r="43" spans="1:48" x14ac:dyDescent="0.25">
      <c r="A43" t="str">
        <f t="shared" si="18"/>
        <v>20-11-2019</v>
      </c>
      <c r="B43" t="str">
        <f t="shared" si="18"/>
        <v>20-11-2019</v>
      </c>
      <c r="C43" t="str">
        <f>"813038820948"</f>
        <v>813038820948</v>
      </c>
      <c r="D43" t="str">
        <f>"IN"</f>
        <v>IN</v>
      </c>
      <c r="E43" t="str">
        <f>"US"</f>
        <v>US</v>
      </c>
      <c r="F43" t="str">
        <f>"KNU"</f>
        <v>KNU</v>
      </c>
      <c r="G43" t="str">
        <f>"ARB"</f>
        <v>ARB</v>
      </c>
      <c r="H43" t="str">
        <f>"18-11-2019"</f>
        <v>18-11-2019</v>
      </c>
      <c r="I43" t="str">
        <f>"21-11-2019"</f>
        <v>21-11-2019</v>
      </c>
      <c r="J43" t="str">
        <f>"01"</f>
        <v>01</v>
      </c>
      <c r="K43" t="str">
        <f>"06"</f>
        <v>06</v>
      </c>
      <c r="L43" t="str">
        <f t="shared" si="31"/>
        <v>USD</v>
      </c>
      <c r="M43" t="str">
        <f>"1.00"</f>
        <v>1.00</v>
      </c>
      <c r="N43" t="str">
        <f>"SPSS"</f>
        <v>SPSS</v>
      </c>
      <c r="O43" t="str">
        <f>"0.50"</f>
        <v>0.50</v>
      </c>
      <c r="P43" t="str">
        <f>"K"</f>
        <v>K</v>
      </c>
      <c r="Q43" t="str">
        <f t="shared" si="2"/>
        <v>OTHER</v>
      </c>
      <c r="R43" t="str">
        <f t="shared" si="3"/>
        <v>EURO1_MIX</v>
      </c>
      <c r="S43" t="str">
        <f>"IP_D1234_MIX US"</f>
        <v>IP_D1234_MIX US</v>
      </c>
      <c r="T43" t="str">
        <f>"IP_D5_MIX US"</f>
        <v>IP_D5_MIX US</v>
      </c>
      <c r="U43" t="str">
        <f t="shared" si="32"/>
        <v>IP_D6_EMEA</v>
      </c>
      <c r="V43" t="str">
        <f>"UNKNOWN"</f>
        <v>UNKNOWN</v>
      </c>
      <c r="W43" t="str">
        <f>"USA"</f>
        <v>USA</v>
      </c>
      <c r="Y43" t="str">
        <f>"1"</f>
        <v>1</v>
      </c>
      <c r="Z43" t="str">
        <f>"BULK"</f>
        <v>BULK</v>
      </c>
      <c r="AA43" t="str">
        <f>"221484749019"</f>
        <v>221484749019</v>
      </c>
      <c r="AB43" t="str">
        <f>"760945706"</f>
        <v>760945706</v>
      </c>
      <c r="AC43" t="str">
        <f t="shared" si="19"/>
        <v>IP_D1234</v>
      </c>
      <c r="AD43" t="str">
        <f t="shared" si="19"/>
        <v>IP_D1234</v>
      </c>
      <c r="AE43" t="str">
        <f t="shared" si="5"/>
        <v>BOX PK</v>
      </c>
      <c r="AF43" t="str">
        <f>"IP_D1234-MIX US"</f>
        <v>IP_D1234-MIX US</v>
      </c>
      <c r="AG43" t="str">
        <f>"5279"</f>
        <v>5279</v>
      </c>
      <c r="AH43" t="str">
        <f>"DXB"</f>
        <v>DXB</v>
      </c>
      <c r="AI43" t="str">
        <f t="shared" si="33"/>
        <v>CDG</v>
      </c>
      <c r="AJ43" t="str">
        <f>"0083"</f>
        <v>0083</v>
      </c>
      <c r="AK43" t="str">
        <f>"20/11/2019 18:49"</f>
        <v>20/11/2019 18:49</v>
      </c>
      <c r="AL43" t="str">
        <f>"20/11/2019 18:57"</f>
        <v>20/11/2019 18:57</v>
      </c>
      <c r="AM43" t="str">
        <f>"8"</f>
        <v>8</v>
      </c>
      <c r="AN43" t="str">
        <f>"02"</f>
        <v>02</v>
      </c>
      <c r="AO43" t="str">
        <f>"EURO1_MIX,IP_D1234_MIX US,IP_D5_MIX US,IP_D6_EMEA"</f>
        <v>EURO1_MIX,IP_D1234_MIX US,IP_D5_MIX US,IP_D6_EMEA</v>
      </c>
      <c r="AP43" t="str">
        <f t="shared" si="7"/>
        <v>MDE_AVAILABLE</v>
      </c>
      <c r="AQ43" t="str">
        <f t="shared" si="8"/>
        <v>FEDEX</v>
      </c>
      <c r="AR43" t="str">
        <f>"IPE"</f>
        <v>IPE</v>
      </c>
      <c r="AS43" t="str">
        <f t="shared" si="30"/>
        <v>CONVEYABLE</v>
      </c>
      <c r="AT43" t="str">
        <f>"18-11-2019"</f>
        <v>18-11-2019</v>
      </c>
      <c r="AU43" t="str">
        <f>"DOC"</f>
        <v>DOC</v>
      </c>
      <c r="AV43" s="1" t="str">
        <f t="shared" si="9"/>
        <v>CONVEYABLE</v>
      </c>
    </row>
    <row r="44" spans="1:48" x14ac:dyDescent="0.25">
      <c r="A44" t="str">
        <f t="shared" si="18"/>
        <v>20-11-2019</v>
      </c>
      <c r="B44" t="str">
        <f t="shared" si="18"/>
        <v>20-11-2019</v>
      </c>
      <c r="C44" t="str">
        <f>"777029777396"</f>
        <v>777029777396</v>
      </c>
      <c r="D44" t="str">
        <f>"US"</f>
        <v>US</v>
      </c>
      <c r="E44" t="str">
        <f>"NL"</f>
        <v>NL</v>
      </c>
      <c r="F44" t="str">
        <f>"CLD"</f>
        <v>CLD</v>
      </c>
      <c r="G44" t="str">
        <f>"RTM"</f>
        <v>RTM</v>
      </c>
      <c r="H44" t="str">
        <f>"19-11-2019"</f>
        <v>19-11-2019</v>
      </c>
      <c r="I44" t="str">
        <f>"21-11-2019"</f>
        <v>21-11-2019</v>
      </c>
      <c r="J44" t="str">
        <f>"01"</f>
        <v>01</v>
      </c>
      <c r="K44" t="str">
        <f>"01"</f>
        <v>01</v>
      </c>
      <c r="L44" t="str">
        <f t="shared" si="31"/>
        <v>USD</v>
      </c>
      <c r="M44" t="str">
        <f>"2705.00"</f>
        <v>2705.00</v>
      </c>
      <c r="N44" t="str">
        <f>"BOX"</f>
        <v>BOX</v>
      </c>
      <c r="Q44" t="str">
        <f t="shared" si="2"/>
        <v>OTHER</v>
      </c>
      <c r="R44" t="str">
        <f t="shared" si="3"/>
        <v>EURO1_MIX</v>
      </c>
      <c r="S44" t="str">
        <f>"IP_D1234_EMEA"</f>
        <v>IP_D1234_EMEA</v>
      </c>
      <c r="T44" t="str">
        <f t="shared" ref="T44:T51" si="34">"IP_D5_EMEA"</f>
        <v>IP_D5_EMEA</v>
      </c>
      <c r="U44" t="str">
        <f t="shared" si="32"/>
        <v>IP_D6_EMEA</v>
      </c>
      <c r="V44" t="str">
        <f>"WARM"</f>
        <v>WARM</v>
      </c>
      <c r="W44" t="str">
        <f>"AMS"</f>
        <v>AMS</v>
      </c>
      <c r="X44" t="str">
        <f>"777029776437"</f>
        <v>777029776437</v>
      </c>
      <c r="Y44" t="str">
        <f>"20"</f>
        <v>20</v>
      </c>
      <c r="Z44" t="str">
        <f>"AMJ67158FX"</f>
        <v>AMJ67158FX</v>
      </c>
      <c r="AA44" t="str">
        <f>"304843425058"</f>
        <v>304843425058</v>
      </c>
      <c r="AB44" t="str">
        <f>"369999907"</f>
        <v>369999907</v>
      </c>
      <c r="AC44" t="str">
        <f t="shared" si="19"/>
        <v>IP_D1234</v>
      </c>
      <c r="AD44" t="str">
        <f t="shared" si="19"/>
        <v>IP_D1234</v>
      </c>
      <c r="AE44" t="str">
        <f t="shared" si="5"/>
        <v>BOX PK</v>
      </c>
      <c r="AF44" t="str">
        <f>"IP_D1234-MIX"</f>
        <v>IP_D1234-MIX</v>
      </c>
      <c r="AG44" t="str">
        <f>"0030"</f>
        <v>0030</v>
      </c>
      <c r="AH44" t="str">
        <f>"IND"</f>
        <v>IND</v>
      </c>
      <c r="AI44" t="str">
        <f t="shared" si="33"/>
        <v>CDG</v>
      </c>
      <c r="AJ44" t="str">
        <f>"0083"</f>
        <v>0083</v>
      </c>
      <c r="AK44" t="str">
        <f>"20/11/2019 18:17"</f>
        <v>20/11/2019 18:17</v>
      </c>
      <c r="AL44" t="str">
        <f>"20/11/2019 18:54"</f>
        <v>20/11/2019 18:54</v>
      </c>
      <c r="AM44" t="str">
        <f>"37"</f>
        <v>37</v>
      </c>
      <c r="AN44" t="str">
        <f>"02"</f>
        <v>02</v>
      </c>
      <c r="AO44" t="str">
        <f>"EURO1_MIX,IP_D1234_EMEA,IP_D5_EMEA,IP_D6_EMEA"</f>
        <v>EURO1_MIX,IP_D1234_EMEA,IP_D5_EMEA,IP_D6_EMEA</v>
      </c>
      <c r="AP44" t="str">
        <f t="shared" si="7"/>
        <v>MDE_AVAILABLE</v>
      </c>
      <c r="AQ44" t="str">
        <f t="shared" si="8"/>
        <v>FEDEX</v>
      </c>
      <c r="AR44" t="str">
        <f>"IPE"</f>
        <v>IPE</v>
      </c>
      <c r="AS44" t="str">
        <f t="shared" si="30"/>
        <v>CONVEYABLE</v>
      </c>
      <c r="AT44" t="str">
        <f t="shared" ref="AT44:AT49" si="35">"19-11-2019"</f>
        <v>19-11-2019</v>
      </c>
      <c r="AU44" t="str">
        <f>"BOX"</f>
        <v>BOX</v>
      </c>
      <c r="AV44" s="1" t="str">
        <f t="shared" si="9"/>
        <v>CONVEYABLE</v>
      </c>
    </row>
    <row r="45" spans="1:48" x14ac:dyDescent="0.25">
      <c r="A45" t="str">
        <f t="shared" si="18"/>
        <v>20-11-2019</v>
      </c>
      <c r="B45" t="str">
        <f t="shared" si="18"/>
        <v>20-11-2019</v>
      </c>
      <c r="C45" t="str">
        <f>"778095364602"</f>
        <v>778095364602</v>
      </c>
      <c r="D45" t="str">
        <f>"HK"</f>
        <v>HK</v>
      </c>
      <c r="E45" t="str">
        <f>"FR"</f>
        <v>FR</v>
      </c>
      <c r="F45" t="str">
        <f>"KTZ"</f>
        <v>KTZ</v>
      </c>
      <c r="G45" t="str">
        <f>"LYN"</f>
        <v>LYN</v>
      </c>
      <c r="I45" t="str">
        <f>"22-11-2019"</f>
        <v>22-11-2019</v>
      </c>
      <c r="J45" t="str">
        <f>"04"</f>
        <v>04</v>
      </c>
      <c r="K45" t="str">
        <f>"01"</f>
        <v>01</v>
      </c>
      <c r="L45" t="str">
        <f t="shared" si="31"/>
        <v>USD</v>
      </c>
      <c r="M45" t="str">
        <f>"316.80"</f>
        <v>316.80</v>
      </c>
      <c r="N45" t="str">
        <f>"BOX"</f>
        <v>BOX</v>
      </c>
      <c r="O45" t="str">
        <f>"23.00"</f>
        <v>23.00</v>
      </c>
      <c r="P45" t="str">
        <f>"L"</f>
        <v>L</v>
      </c>
      <c r="Q45" t="str">
        <f t="shared" si="2"/>
        <v>OTHER</v>
      </c>
      <c r="R45" t="str">
        <f t="shared" si="3"/>
        <v>EURO1_MIX</v>
      </c>
      <c r="S45" t="str">
        <f>"IP_D1234_EMEA"</f>
        <v>IP_D1234_EMEA</v>
      </c>
      <c r="T45" t="str">
        <f t="shared" si="34"/>
        <v>IP_D5_EMEA</v>
      </c>
      <c r="U45" t="str">
        <f t="shared" si="32"/>
        <v>IP_D6_EMEA</v>
      </c>
      <c r="V45" t="str">
        <f>"COLD"</f>
        <v>COLD</v>
      </c>
      <c r="W45" t="str">
        <f>"CDG"</f>
        <v>CDG</v>
      </c>
      <c r="Y45" t="str">
        <f>"1"</f>
        <v>1</v>
      </c>
      <c r="Z45" t="str">
        <f>"PMC24277FX"</f>
        <v>PMC24277FX</v>
      </c>
      <c r="AA45" t="str">
        <f>"221461458183"</f>
        <v>221461458183</v>
      </c>
      <c r="AB45" t="str">
        <f>"235160960"</f>
        <v>235160960</v>
      </c>
      <c r="AC45" t="str">
        <f t="shared" si="19"/>
        <v>IP_D1234</v>
      </c>
      <c r="AD45" t="str">
        <f t="shared" si="19"/>
        <v>IP_D1234</v>
      </c>
      <c r="AE45" t="str">
        <f t="shared" si="5"/>
        <v>BOX PK</v>
      </c>
      <c r="AF45" t="str">
        <f>"IP_D1234-MIX"</f>
        <v>IP_D1234-MIX</v>
      </c>
      <c r="AG45" t="str">
        <f>"5392"</f>
        <v>5392</v>
      </c>
      <c r="AH45" t="str">
        <f>"NRT"</f>
        <v>NRT</v>
      </c>
      <c r="AI45" t="str">
        <f t="shared" si="33"/>
        <v>CDG</v>
      </c>
      <c r="AJ45" t="str">
        <f>"0083"</f>
        <v>0083</v>
      </c>
      <c r="AK45" t="str">
        <f>"20/11/2019 16:53"</f>
        <v>20/11/2019 16:53</v>
      </c>
      <c r="AL45" t="str">
        <f>"20/11/2019 17:38"</f>
        <v>20/11/2019 17:38</v>
      </c>
      <c r="AM45" t="str">
        <f>"45"</f>
        <v>45</v>
      </c>
      <c r="AN45" t="str">
        <f>"02"</f>
        <v>02</v>
      </c>
      <c r="AO45" t="str">
        <f>"EURO1_MIX,IP_D1234_EMEA,IP_D5_EMEA,IP_D6_EMEA"</f>
        <v>EURO1_MIX,IP_D1234_EMEA,IP_D5_EMEA,IP_D6_EMEA</v>
      </c>
      <c r="AP45" t="str">
        <f t="shared" si="7"/>
        <v>MDE_AVAILABLE</v>
      </c>
      <c r="AQ45" t="str">
        <f t="shared" si="8"/>
        <v>FEDEX</v>
      </c>
      <c r="AR45" t="str">
        <f>"IEB"</f>
        <v>IEB</v>
      </c>
      <c r="AS45" t="str">
        <f t="shared" si="30"/>
        <v>CONVEYABLE</v>
      </c>
      <c r="AT45" t="str">
        <f t="shared" si="35"/>
        <v>19-11-2019</v>
      </c>
      <c r="AU45" t="str">
        <f>"BOX"</f>
        <v>BOX</v>
      </c>
      <c r="AV45" s="1" t="str">
        <f t="shared" si="9"/>
        <v>CONVEYABLE</v>
      </c>
    </row>
    <row r="46" spans="1:48" x14ac:dyDescent="0.25">
      <c r="A46" t="str">
        <f t="shared" si="18"/>
        <v>20-11-2019</v>
      </c>
      <c r="B46" t="str">
        <f t="shared" si="18"/>
        <v>20-11-2019</v>
      </c>
      <c r="C46" t="str">
        <f>"778143878160"</f>
        <v>778143878160</v>
      </c>
      <c r="D46" t="str">
        <f>"US"</f>
        <v>US</v>
      </c>
      <c r="E46" t="str">
        <f>"FR"</f>
        <v>FR</v>
      </c>
      <c r="F46" t="str">
        <f>"NYC"</f>
        <v>NYC</v>
      </c>
      <c r="G46" t="str">
        <f>"TNF"</f>
        <v>TNF</v>
      </c>
      <c r="H46" t="str">
        <f>"19-11-2019"</f>
        <v>19-11-2019</v>
      </c>
      <c r="I46" t="str">
        <f>"21-11-2019"</f>
        <v>21-11-2019</v>
      </c>
      <c r="J46" t="str">
        <f>"01"</f>
        <v>01</v>
      </c>
      <c r="K46" t="str">
        <f>"06"</f>
        <v>06</v>
      </c>
      <c r="L46" t="str">
        <f t="shared" si="31"/>
        <v>USD</v>
      </c>
      <c r="M46" t="str">
        <f>"0.00"</f>
        <v>0.00</v>
      </c>
      <c r="N46" t="str">
        <f>"SPSS"</f>
        <v>SPSS</v>
      </c>
      <c r="O46" t="str">
        <f>"0.50"</f>
        <v>0.50</v>
      </c>
      <c r="P46" t="str">
        <f>"L"</f>
        <v>L</v>
      </c>
      <c r="Q46" t="str">
        <f t="shared" si="2"/>
        <v>OTHER</v>
      </c>
      <c r="R46" t="str">
        <f t="shared" si="3"/>
        <v>EURO1_MIX</v>
      </c>
      <c r="S46" t="str">
        <f>"IP_D1234_EMEA"</f>
        <v>IP_D1234_EMEA</v>
      </c>
      <c r="T46" t="str">
        <f t="shared" si="34"/>
        <v>IP_D5_EMEA</v>
      </c>
      <c r="U46" t="str">
        <f t="shared" si="32"/>
        <v>IP_D6_EMEA</v>
      </c>
      <c r="V46" t="str">
        <f>"WARM"</f>
        <v>WARM</v>
      </c>
      <c r="W46" t="str">
        <f>"CDG"</f>
        <v>CDG</v>
      </c>
      <c r="Y46" t="str">
        <f>"1"</f>
        <v>1</v>
      </c>
      <c r="Z46" t="str">
        <f>"BULK"</f>
        <v>BULK</v>
      </c>
      <c r="AA46" t="str">
        <f>"305026416022"</f>
        <v>305026416022</v>
      </c>
      <c r="AB46" t="str">
        <f>"690928477"</f>
        <v>690928477</v>
      </c>
      <c r="AC46" t="str">
        <f t="shared" si="19"/>
        <v>IP_D1234</v>
      </c>
      <c r="AD46" t="str">
        <f t="shared" si="19"/>
        <v>IP_D1234</v>
      </c>
      <c r="AE46" t="str">
        <f t="shared" si="5"/>
        <v>BOX PK</v>
      </c>
      <c r="AF46" t="str">
        <f>"IP_D1234-MIX US"</f>
        <v>IP_D1234-MIX US</v>
      </c>
      <c r="AG46" t="str">
        <f>"5046"</f>
        <v>5046</v>
      </c>
      <c r="AH46" t="str">
        <f>"EWR"</f>
        <v>EWR</v>
      </c>
      <c r="AI46" t="str">
        <f t="shared" si="33"/>
        <v>CDG</v>
      </c>
      <c r="AJ46" t="str">
        <f>"0072"</f>
        <v>0072</v>
      </c>
      <c r="AK46" t="str">
        <f>"20/11/2019 17:41"</f>
        <v>20/11/2019 17:41</v>
      </c>
      <c r="AL46" t="str">
        <f>"20/11/2019 17:39"</f>
        <v>20/11/2019 17:39</v>
      </c>
      <c r="AM46" t="str">
        <f>"-2"</f>
        <v>-2</v>
      </c>
      <c r="AN46" t="str">
        <f>"02"</f>
        <v>02</v>
      </c>
      <c r="AO46" t="str">
        <f>"EURO1_MIX,IP_D1234_EMEA,IP_D5_EMEA,IP_D6_EMEA"</f>
        <v>EURO1_MIX,IP_D1234_EMEA,IP_D5_EMEA,IP_D6_EMEA</v>
      </c>
      <c r="AP46" t="str">
        <f t="shared" si="7"/>
        <v>MDE_AVAILABLE</v>
      </c>
      <c r="AQ46" t="str">
        <f t="shared" si="8"/>
        <v>FEDEX</v>
      </c>
      <c r="AR46" t="str">
        <f>"IPE"</f>
        <v>IPE</v>
      </c>
      <c r="AS46" t="str">
        <f t="shared" si="30"/>
        <v>CONVEYABLE</v>
      </c>
      <c r="AT46" t="str">
        <f t="shared" si="35"/>
        <v>19-11-2019</v>
      </c>
      <c r="AU46" t="str">
        <f>"DOC"</f>
        <v>DOC</v>
      </c>
      <c r="AV46" s="1" t="str">
        <f t="shared" si="9"/>
        <v>CONVEYABLE</v>
      </c>
    </row>
    <row r="47" spans="1:48" x14ac:dyDescent="0.25">
      <c r="A47" t="str">
        <f t="shared" si="18"/>
        <v>20-11-2019</v>
      </c>
      <c r="B47" t="str">
        <f t="shared" si="18"/>
        <v>20-11-2019</v>
      </c>
      <c r="C47" t="str">
        <f>"131508347426"</f>
        <v>131508347426</v>
      </c>
      <c r="D47" t="str">
        <f>"US"</f>
        <v>US</v>
      </c>
      <c r="E47" t="str">
        <f>"ES"</f>
        <v>ES</v>
      </c>
      <c r="F47" t="str">
        <f>"ONT"</f>
        <v>ONT</v>
      </c>
      <c r="G47" t="str">
        <f>"MAD"</f>
        <v>MAD</v>
      </c>
      <c r="H47" t="str">
        <f>"19-11-2019"</f>
        <v>19-11-2019</v>
      </c>
      <c r="I47" t="str">
        <f>"22-11-2019"</f>
        <v>22-11-2019</v>
      </c>
      <c r="J47" t="str">
        <f>"01"</f>
        <v>01</v>
      </c>
      <c r="K47" t="str">
        <f>"01"</f>
        <v>01</v>
      </c>
      <c r="L47" t="str">
        <f t="shared" si="31"/>
        <v>USD</v>
      </c>
      <c r="M47" t="str">
        <f>"1232.00"</f>
        <v>1232.00</v>
      </c>
      <c r="N47" t="str">
        <f>"BOX"</f>
        <v>BOX</v>
      </c>
      <c r="O47" t="str">
        <f>"2.5"</f>
        <v>2.5</v>
      </c>
      <c r="P47" t="str">
        <f>"L"</f>
        <v>L</v>
      </c>
      <c r="Q47" t="str">
        <f t="shared" si="2"/>
        <v>OTHER</v>
      </c>
      <c r="R47" t="str">
        <f t="shared" si="3"/>
        <v>EURO1_MIX</v>
      </c>
      <c r="S47" t="str">
        <f>"IP_D1234_EMEA"</f>
        <v>IP_D1234_EMEA</v>
      </c>
      <c r="T47" t="str">
        <f t="shared" si="34"/>
        <v>IP_D5_EMEA</v>
      </c>
      <c r="U47" t="str">
        <f t="shared" si="32"/>
        <v>IP_D6_EMEA</v>
      </c>
      <c r="V47" t="str">
        <f>"COLD"</f>
        <v>COLD</v>
      </c>
      <c r="W47" t="str">
        <f>"MAD"</f>
        <v>MAD</v>
      </c>
      <c r="Y47" t="str">
        <f>"1"</f>
        <v>1</v>
      </c>
      <c r="Z47" t="str">
        <f>"AMJ67158FX"</f>
        <v>AMJ67158FX</v>
      </c>
      <c r="AA47" t="str">
        <f>"304843425058"</f>
        <v>304843425058</v>
      </c>
      <c r="AB47" t="str">
        <f>"105346824"</f>
        <v>105346824</v>
      </c>
      <c r="AC47" t="str">
        <f t="shared" si="19"/>
        <v>IP_D1234</v>
      </c>
      <c r="AD47" t="str">
        <f t="shared" si="19"/>
        <v>IP_D1234</v>
      </c>
      <c r="AE47" t="str">
        <f t="shared" si="5"/>
        <v>BOX PK</v>
      </c>
      <c r="AF47" t="str">
        <f>"IP_D1234-MIX"</f>
        <v>IP_D1234-MIX</v>
      </c>
      <c r="AG47" t="str">
        <f>"0030"</f>
        <v>0030</v>
      </c>
      <c r="AH47" t="str">
        <f>"IND"</f>
        <v>IND</v>
      </c>
      <c r="AI47" t="str">
        <f t="shared" si="33"/>
        <v>CDG</v>
      </c>
      <c r="AJ47" t="str">
        <f>"0083"</f>
        <v>0083</v>
      </c>
      <c r="AK47" t="str">
        <f>"20/11/2019 18:17"</f>
        <v>20/11/2019 18:17</v>
      </c>
      <c r="AL47" t="str">
        <f>"20/11/2019 18:54"</f>
        <v>20/11/2019 18:54</v>
      </c>
      <c r="AM47" t="str">
        <f>"37"</f>
        <v>37</v>
      </c>
      <c r="AN47" t="str">
        <f>"02,54"</f>
        <v>02,54</v>
      </c>
      <c r="AO47" t="str">
        <f>"EURO1_MIX,IP_D1234_EMEA,IP_D5_EMEA,IP_D6_EMEA"</f>
        <v>EURO1_MIX,IP_D1234_EMEA,IP_D5_EMEA,IP_D6_EMEA</v>
      </c>
      <c r="AP47" t="str">
        <f t="shared" si="7"/>
        <v>MDE_AVAILABLE</v>
      </c>
      <c r="AQ47" t="str">
        <f t="shared" si="8"/>
        <v>FEDEX</v>
      </c>
      <c r="AR47" t="str">
        <f>"IPE"</f>
        <v>IPE</v>
      </c>
      <c r="AS47" t="str">
        <f t="shared" si="30"/>
        <v>CONVEYABLE</v>
      </c>
      <c r="AT47" t="str">
        <f t="shared" si="35"/>
        <v>19-11-2019</v>
      </c>
      <c r="AU47" t="str">
        <f>"BOX"</f>
        <v>BOX</v>
      </c>
      <c r="AV47" s="1" t="str">
        <f t="shared" si="9"/>
        <v>CONVEYABLE</v>
      </c>
    </row>
    <row r="48" spans="1:48" x14ac:dyDescent="0.25">
      <c r="A48" t="str">
        <f>"19-11-2019"</f>
        <v>19-11-2019</v>
      </c>
      <c r="B48" t="str">
        <f t="shared" ref="B48:B111" si="36">"20-11-2019"</f>
        <v>20-11-2019</v>
      </c>
      <c r="C48" t="str">
        <f>"777019243761"</f>
        <v>777019243761</v>
      </c>
      <c r="D48" t="str">
        <f>"DK"</f>
        <v>DK</v>
      </c>
      <c r="E48" t="str">
        <f>"FR"</f>
        <v>FR</v>
      </c>
      <c r="F48" t="str">
        <f>"CPH"</f>
        <v>CPH</v>
      </c>
      <c r="G48" t="str">
        <f>"LYN"</f>
        <v>LYN</v>
      </c>
      <c r="H48" t="str">
        <f>"19-11-2019"</f>
        <v>19-11-2019</v>
      </c>
      <c r="I48" t="str">
        <f>"20-11-2019"</f>
        <v>20-11-2019</v>
      </c>
      <c r="J48" t="str">
        <f>"01"</f>
        <v>01</v>
      </c>
      <c r="K48" t="str">
        <f>"01"</f>
        <v>01</v>
      </c>
      <c r="L48" t="str">
        <f>"DKK"</f>
        <v>DKK</v>
      </c>
      <c r="M48" t="str">
        <f>"0.00"</f>
        <v>0.00</v>
      </c>
      <c r="N48" t="str">
        <f>"BOX"</f>
        <v>BOX</v>
      </c>
      <c r="O48" t="str">
        <f>"1.00"</f>
        <v>1.00</v>
      </c>
      <c r="P48" t="str">
        <f>"K"</f>
        <v>K</v>
      </c>
      <c r="Q48" t="str">
        <f t="shared" si="2"/>
        <v>OTHER</v>
      </c>
      <c r="R48" t="str">
        <f t="shared" si="3"/>
        <v>EURO1_MIX</v>
      </c>
      <c r="S48" t="str">
        <f>"IP_D1234_EMEA"</f>
        <v>IP_D1234_EMEA</v>
      </c>
      <c r="T48" t="str">
        <f t="shared" si="34"/>
        <v>IP_D5_EMEA</v>
      </c>
      <c r="U48" t="str">
        <f t="shared" si="32"/>
        <v>IP_D6_EMEA</v>
      </c>
      <c r="V48" t="str">
        <f>"HOT"</f>
        <v>HOT</v>
      </c>
      <c r="W48" t="str">
        <f>"CDG"</f>
        <v>CDG</v>
      </c>
      <c r="Y48" t="str">
        <f>"1"</f>
        <v>1</v>
      </c>
      <c r="Z48" t="str">
        <f>"AMJ61520FX"</f>
        <v>AMJ61520FX</v>
      </c>
      <c r="AA48" t="str">
        <f>"304882601925"</f>
        <v>304882601925</v>
      </c>
      <c r="AB48" t="str">
        <f>"975336719"</f>
        <v>975336719</v>
      </c>
      <c r="AC48" t="str">
        <f>"EURO1"</f>
        <v>EURO1</v>
      </c>
      <c r="AD48" t="str">
        <f t="shared" ref="AD48:AD91" si="37">"IP_D1234"</f>
        <v>IP_D1234</v>
      </c>
      <c r="AE48" t="str">
        <f t="shared" si="5"/>
        <v>BOX PK</v>
      </c>
      <c r="AF48" t="str">
        <f>"IP_D1234-MIX US"</f>
        <v>IP_D1234-MIX US</v>
      </c>
      <c r="AG48" t="str">
        <f>"ROLL E1-19"</f>
        <v>ROLL E1-19</v>
      </c>
      <c r="AH48" t="str">
        <f>"CDG"</f>
        <v>CDG</v>
      </c>
      <c r="AI48" t="str">
        <f t="shared" si="33"/>
        <v>CDG</v>
      </c>
      <c r="AN48" t="str">
        <f>"02"</f>
        <v>02</v>
      </c>
      <c r="AO48" t="str">
        <f>"EURO1_MIX,IP_D1234_EMEA,IP_D5_EMEA,IP_D6_EMEA"</f>
        <v>EURO1_MIX,IP_D1234_EMEA,IP_D5_EMEA,IP_D6_EMEA</v>
      </c>
      <c r="AP48" t="str">
        <f t="shared" si="7"/>
        <v>MDE_AVAILABLE</v>
      </c>
      <c r="AQ48" t="str">
        <f t="shared" si="8"/>
        <v>FEDEX</v>
      </c>
      <c r="AR48" t="str">
        <f>"IPE"</f>
        <v>IPE</v>
      </c>
      <c r="AS48" t="str">
        <f t="shared" si="30"/>
        <v>CONVEYABLE</v>
      </c>
      <c r="AT48" t="str">
        <f t="shared" si="35"/>
        <v>19-11-2019</v>
      </c>
      <c r="AU48" t="str">
        <f>"SMALL_PARCEL"</f>
        <v>SMALL_PARCEL</v>
      </c>
      <c r="AV48" s="1" t="str">
        <f t="shared" si="9"/>
        <v>CONVEYABLE</v>
      </c>
    </row>
    <row r="49" spans="1:48" x14ac:dyDescent="0.25">
      <c r="A49" t="str">
        <f t="shared" ref="A49:A101" si="38">"20-11-2019"</f>
        <v>20-11-2019</v>
      </c>
      <c r="B49" t="str">
        <f t="shared" si="36"/>
        <v>20-11-2019</v>
      </c>
      <c r="C49" t="str">
        <f>"777018747834"</f>
        <v>777018747834</v>
      </c>
      <c r="D49" t="str">
        <f>"AE"</f>
        <v>AE</v>
      </c>
      <c r="E49" t="str">
        <f>"GB"</f>
        <v>GB</v>
      </c>
      <c r="F49" t="str">
        <f>"DXB"</f>
        <v>DXB</v>
      </c>
      <c r="G49" t="str">
        <f>"DSA"</f>
        <v>DSA</v>
      </c>
      <c r="H49" t="str">
        <f>"19-11-2019"</f>
        <v>19-11-2019</v>
      </c>
      <c r="I49" t="str">
        <f>"25-11-2019"</f>
        <v>25-11-2019</v>
      </c>
      <c r="J49" t="str">
        <f>"04"</f>
        <v>04</v>
      </c>
      <c r="K49" t="str">
        <f>"01"</f>
        <v>01</v>
      </c>
      <c r="L49" t="str">
        <f>"USD"</f>
        <v>USD</v>
      </c>
      <c r="M49" t="str">
        <f>"4000.00"</f>
        <v>4000.00</v>
      </c>
      <c r="N49" t="str">
        <f>"BOX"</f>
        <v>BOX</v>
      </c>
      <c r="O49" t="str">
        <f>"64.70"</f>
        <v>64.70</v>
      </c>
      <c r="P49" t="str">
        <f>"L"</f>
        <v>L</v>
      </c>
      <c r="Q49" t="str">
        <f t="shared" si="2"/>
        <v>OTHER</v>
      </c>
      <c r="R49" t="str">
        <f t="shared" si="3"/>
        <v>EURO1_MIX</v>
      </c>
      <c r="S49" t="str">
        <f>"IP_D1234_MIX"</f>
        <v>IP_D1234_MIX</v>
      </c>
      <c r="T49" t="str">
        <f t="shared" si="34"/>
        <v>IP_D5_EMEA</v>
      </c>
      <c r="U49" t="str">
        <f>"IP_D6_MIX"</f>
        <v>IP_D6_MIX</v>
      </c>
      <c r="V49" t="str">
        <f>"COLD"</f>
        <v>COLD</v>
      </c>
      <c r="W49" t="str">
        <f>"STN"</f>
        <v>STN</v>
      </c>
      <c r="X49" t="str">
        <f>"777018747661"</f>
        <v>777018747661</v>
      </c>
      <c r="Y49" t="str">
        <f>"8"</f>
        <v>8</v>
      </c>
      <c r="Z49" t="str">
        <f>"AMJ67708FX"</f>
        <v>AMJ67708FX</v>
      </c>
      <c r="AA49" t="str">
        <f>"305386469008"</f>
        <v>305386469008</v>
      </c>
      <c r="AB49" t="str">
        <f>"689252729"</f>
        <v>689252729</v>
      </c>
      <c r="AC49" t="str">
        <f t="shared" ref="AC49:AC91" si="39">"IP_D1234"</f>
        <v>IP_D1234</v>
      </c>
      <c r="AD49" t="str">
        <f t="shared" si="37"/>
        <v>IP_D1234</v>
      </c>
      <c r="AE49" t="str">
        <f t="shared" si="5"/>
        <v>BOX PK</v>
      </c>
      <c r="AF49" t="str">
        <f>"IP_D1234-MIX"</f>
        <v>IP_D1234-MIX</v>
      </c>
      <c r="AG49" t="str">
        <f>"5279"</f>
        <v>5279</v>
      </c>
      <c r="AH49" t="str">
        <f>"DXB"</f>
        <v>DXB</v>
      </c>
      <c r="AI49" t="str">
        <f t="shared" si="33"/>
        <v>CDG</v>
      </c>
      <c r="AJ49" t="str">
        <f>"0083"</f>
        <v>0083</v>
      </c>
      <c r="AK49" t="str">
        <f>"20/11/2019 18:49"</f>
        <v>20/11/2019 18:49</v>
      </c>
      <c r="AL49" t="str">
        <f>"20/11/2019 18:57"</f>
        <v>20/11/2019 18:57</v>
      </c>
      <c r="AM49" t="str">
        <f>"8"</f>
        <v>8</v>
      </c>
      <c r="AN49" t="str">
        <f>"02"</f>
        <v>02</v>
      </c>
      <c r="AO49" t="str">
        <f>"EURO1_MIX,IP_D1234_MIX,IP_D5_EMEA,IP_D6_MIX"</f>
        <v>EURO1_MIX,IP_D1234_MIX,IP_D5_EMEA,IP_D6_MIX</v>
      </c>
      <c r="AP49" t="str">
        <f t="shared" si="7"/>
        <v>MDE_AVAILABLE</v>
      </c>
      <c r="AQ49" t="str">
        <f t="shared" si="8"/>
        <v>FEDEX</v>
      </c>
      <c r="AR49" t="str">
        <f>"IEB"</f>
        <v>IEB</v>
      </c>
      <c r="AS49" t="str">
        <f t="shared" si="30"/>
        <v>CONVEYABLE</v>
      </c>
      <c r="AT49" t="str">
        <f t="shared" si="35"/>
        <v>19-11-2019</v>
      </c>
      <c r="AU49" t="str">
        <f>"BOX"</f>
        <v>BOX</v>
      </c>
      <c r="AV49" s="1" t="str">
        <f t="shared" si="9"/>
        <v>CONVEYABLE</v>
      </c>
    </row>
    <row r="50" spans="1:48" x14ac:dyDescent="0.25">
      <c r="A50" t="str">
        <f t="shared" si="38"/>
        <v>20-11-2019</v>
      </c>
      <c r="B50" t="str">
        <f t="shared" si="36"/>
        <v>20-11-2019</v>
      </c>
      <c r="C50" t="str">
        <f>"791007469208"</f>
        <v>791007469208</v>
      </c>
      <c r="D50" t="str">
        <f>"CN"</f>
        <v>CN</v>
      </c>
      <c r="E50" t="str">
        <f>"AT"</f>
        <v>AT</v>
      </c>
      <c r="F50" t="str">
        <f>"YUA"</f>
        <v>YUA</v>
      </c>
      <c r="G50" t="str">
        <f>"VDD"</f>
        <v>VDD</v>
      </c>
      <c r="I50" t="str">
        <f>"25-11-2019"</f>
        <v>25-11-2019</v>
      </c>
      <c r="J50" t="str">
        <f>"01"</f>
        <v>01</v>
      </c>
      <c r="K50" t="str">
        <f>"01"</f>
        <v>01</v>
      </c>
      <c r="L50" t="str">
        <f>"EUR"</f>
        <v>EUR</v>
      </c>
      <c r="M50" t="str">
        <f>"20.00"</f>
        <v>20.00</v>
      </c>
      <c r="N50" t="str">
        <f>"BOX"</f>
        <v>BOX</v>
      </c>
      <c r="O50" t="str">
        <f>"24.70"</f>
        <v>24.70</v>
      </c>
      <c r="P50" t="str">
        <f>"L"</f>
        <v>L</v>
      </c>
      <c r="Q50" t="str">
        <f t="shared" si="2"/>
        <v>OTHER</v>
      </c>
      <c r="R50" t="str">
        <f t="shared" si="3"/>
        <v>EURO1_MIX</v>
      </c>
      <c r="S50" t="str">
        <f>"IP_D1234_LATE"</f>
        <v>IP_D1234_LATE</v>
      </c>
      <c r="T50" t="str">
        <f t="shared" si="34"/>
        <v>IP_D5_EMEA</v>
      </c>
      <c r="U50" t="str">
        <f>"IP_D6_EMEA"</f>
        <v>IP_D6_EMEA</v>
      </c>
      <c r="V50" t="str">
        <f>"COLD"</f>
        <v>COLD</v>
      </c>
      <c r="W50" t="str">
        <f>"VIE"</f>
        <v>VIE</v>
      </c>
      <c r="Y50" t="str">
        <f t="shared" ref="Y50:Y62" si="40">"1"</f>
        <v>1</v>
      </c>
      <c r="Z50" t="str">
        <f>"AKE30527FX"</f>
        <v>AKE30527FX</v>
      </c>
      <c r="AA50" t="str">
        <f>"305073042046"</f>
        <v>305073042046</v>
      </c>
      <c r="AB50" t="str">
        <f>"690179148"</f>
        <v>690179148</v>
      </c>
      <c r="AC50" t="str">
        <f t="shared" si="39"/>
        <v>IP_D1234</v>
      </c>
      <c r="AD50" t="str">
        <f t="shared" si="37"/>
        <v>IP_D1234</v>
      </c>
      <c r="AE50" t="str">
        <f t="shared" si="5"/>
        <v>BOX PK</v>
      </c>
      <c r="AF50" t="str">
        <f>"IP_D1234-MIX"</f>
        <v>IP_D1234-MIX</v>
      </c>
      <c r="AG50" t="str">
        <f>"3621H"</f>
        <v>3621H</v>
      </c>
      <c r="AH50" t="str">
        <f>"LGGT7"</f>
        <v>LGGT7</v>
      </c>
      <c r="AI50" t="str">
        <f>"CDGH"</f>
        <v>CDGH</v>
      </c>
      <c r="AJ50" t="str">
        <f>"8009"</f>
        <v>8009</v>
      </c>
      <c r="AK50" t="str">
        <f>"20/11/2019 18:00"</f>
        <v>20/11/2019 18:00</v>
      </c>
      <c r="AL50" t="str">
        <f>"20/11/2019 18:47"</f>
        <v>20/11/2019 18:47</v>
      </c>
      <c r="AM50" t="str">
        <f>"47"</f>
        <v>47</v>
      </c>
      <c r="AN50" t="str">
        <f>"02,25"</f>
        <v>02,25</v>
      </c>
      <c r="AO50" t="str">
        <f>"EURO1_MIX,IP_D1234_LATE,IP_D5_EMEA,IP_D6_EMEA"</f>
        <v>EURO1_MIX,IP_D1234_LATE,IP_D5_EMEA,IP_D6_EMEA</v>
      </c>
      <c r="AP50" t="str">
        <f t="shared" si="7"/>
        <v>MDE_AVAILABLE</v>
      </c>
      <c r="AQ50" t="str">
        <f t="shared" si="8"/>
        <v>FEDEX</v>
      </c>
      <c r="AR50" t="str">
        <f>"IPE"</f>
        <v>IPE</v>
      </c>
      <c r="AS50" t="str">
        <f>"BUILDING_AB_NON_CONV"</f>
        <v>BUILDING_AB_NON_CONV</v>
      </c>
      <c r="AT50" t="str">
        <f>"20-11-2019"</f>
        <v>20-11-2019</v>
      </c>
      <c r="AU50" t="str">
        <f>"BOX"</f>
        <v>BOX</v>
      </c>
      <c r="AV50" s="1" t="str">
        <f t="shared" si="9"/>
        <v>NON_CONV</v>
      </c>
    </row>
    <row r="51" spans="1:48" x14ac:dyDescent="0.25">
      <c r="A51" t="str">
        <f t="shared" si="38"/>
        <v>20-11-2019</v>
      </c>
      <c r="B51" t="str">
        <f t="shared" si="36"/>
        <v>20-11-2019</v>
      </c>
      <c r="C51" t="str">
        <f>"106817310821"</f>
        <v>106817310821</v>
      </c>
      <c r="D51" t="str">
        <f>"CN"</f>
        <v>CN</v>
      </c>
      <c r="E51" t="str">
        <f>"EG"</f>
        <v>EG</v>
      </c>
      <c r="F51" t="str">
        <f>"TXN"</f>
        <v>TXN</v>
      </c>
      <c r="G51" t="str">
        <f>"CAI"</f>
        <v>CAI</v>
      </c>
      <c r="H51" t="str">
        <f>"19-11-2019"</f>
        <v>19-11-2019</v>
      </c>
      <c r="I51" t="str">
        <f>"24-11-2019"</f>
        <v>24-11-2019</v>
      </c>
      <c r="J51" t="str">
        <f>"01"</f>
        <v>01</v>
      </c>
      <c r="K51" t="str">
        <f>"06"</f>
        <v>06</v>
      </c>
      <c r="L51" t="str">
        <f t="shared" ref="L51:L57" si="41">"USD"</f>
        <v>USD</v>
      </c>
      <c r="M51" t="str">
        <f>"5.00"</f>
        <v>5.00</v>
      </c>
      <c r="N51" t="str">
        <f>"SPSS"</f>
        <v>SPSS</v>
      </c>
      <c r="O51" t="str">
        <f>"0.50"</f>
        <v>0.50</v>
      </c>
      <c r="P51" t="str">
        <f>"K"</f>
        <v>K</v>
      </c>
      <c r="Q51" t="str">
        <f t="shared" si="2"/>
        <v>OTHER</v>
      </c>
      <c r="R51" t="str">
        <f t="shared" si="3"/>
        <v>EURO1_MIX</v>
      </c>
      <c r="S51" t="str">
        <f>"IP_D1234_LATE"</f>
        <v>IP_D1234_LATE</v>
      </c>
      <c r="T51" t="str">
        <f t="shared" si="34"/>
        <v>IP_D5_EMEA</v>
      </c>
      <c r="U51" t="str">
        <f>"IP_D6_EMEA"</f>
        <v>IP_D6_EMEA</v>
      </c>
      <c r="V51" t="str">
        <f>"COLD"</f>
        <v>COLD</v>
      </c>
      <c r="W51" t="str">
        <f>"CDG"</f>
        <v>CDG</v>
      </c>
      <c r="Y51" t="str">
        <f t="shared" si="40"/>
        <v>1</v>
      </c>
      <c r="Z51" t="str">
        <f>"AKE34895FX"</f>
        <v>AKE34895FX</v>
      </c>
      <c r="AA51" t="str">
        <f>"305073044016"</f>
        <v>305073044016</v>
      </c>
      <c r="AB51" t="str">
        <f>"901614970"</f>
        <v>901614970</v>
      </c>
      <c r="AC51" t="str">
        <f t="shared" si="39"/>
        <v>IP_D1234</v>
      </c>
      <c r="AD51" t="str">
        <f t="shared" si="37"/>
        <v>IP_D1234</v>
      </c>
      <c r="AE51" t="str">
        <f t="shared" si="5"/>
        <v>BOX PK</v>
      </c>
      <c r="AF51" t="str">
        <f>"IP_D1234-MIX US"</f>
        <v>IP_D1234-MIX US</v>
      </c>
      <c r="AG51" t="str">
        <f>"3621H"</f>
        <v>3621H</v>
      </c>
      <c r="AH51" t="str">
        <f>"LGGT7"</f>
        <v>LGGT7</v>
      </c>
      <c r="AI51" t="str">
        <f>"CDGH"</f>
        <v>CDGH</v>
      </c>
      <c r="AJ51" t="str">
        <f>"8009"</f>
        <v>8009</v>
      </c>
      <c r="AK51" t="str">
        <f>"20/11/2019 18:00"</f>
        <v>20/11/2019 18:00</v>
      </c>
      <c r="AL51" t="str">
        <f>"20/11/2019 18:47"</f>
        <v>20/11/2019 18:47</v>
      </c>
      <c r="AM51" t="str">
        <f>"47"</f>
        <v>47</v>
      </c>
      <c r="AN51" t="str">
        <f t="shared" ref="AN51:AN63" si="42">"02"</f>
        <v>02</v>
      </c>
      <c r="AO51" t="str">
        <f>"EURO1_MIX,IP_D1234_LATE,IP_D5_EMEA,IP_D6_EMEA"</f>
        <v>EURO1_MIX,IP_D1234_LATE,IP_D5_EMEA,IP_D6_EMEA</v>
      </c>
      <c r="AP51" t="str">
        <f t="shared" si="7"/>
        <v>MDE_AVAILABLE</v>
      </c>
      <c r="AQ51" t="str">
        <f t="shared" si="8"/>
        <v>FEDEX</v>
      </c>
      <c r="AR51" t="str">
        <f>"IPE"</f>
        <v>IPE</v>
      </c>
      <c r="AS51" t="str">
        <f t="shared" ref="AS51:AS65" si="43">"CONVEYABLE"</f>
        <v>CONVEYABLE</v>
      </c>
      <c r="AT51" t="str">
        <f>"19-11-2019"</f>
        <v>19-11-2019</v>
      </c>
      <c r="AU51" t="str">
        <f>"DOC"</f>
        <v>DOC</v>
      </c>
      <c r="AV51" s="1" t="str">
        <f t="shared" si="9"/>
        <v>CONVEYABLE</v>
      </c>
    </row>
    <row r="52" spans="1:48" x14ac:dyDescent="0.25">
      <c r="A52" t="str">
        <f t="shared" si="38"/>
        <v>20-11-2019</v>
      </c>
      <c r="B52" t="str">
        <f t="shared" si="36"/>
        <v>20-11-2019</v>
      </c>
      <c r="C52" t="str">
        <f>"776993029200"</f>
        <v>776993029200</v>
      </c>
      <c r="D52" t="str">
        <f>"CN"</f>
        <v>CN</v>
      </c>
      <c r="E52" t="str">
        <f>"IT"</f>
        <v>IT</v>
      </c>
      <c r="F52" t="str">
        <f>"XMN"</f>
        <v>XMN</v>
      </c>
      <c r="G52" t="str">
        <f>"TTB"</f>
        <v>TTB</v>
      </c>
      <c r="I52" t="str">
        <f>"25-11-2019"</f>
        <v>25-11-2019</v>
      </c>
      <c r="J52" t="str">
        <f>"01"</f>
        <v>01</v>
      </c>
      <c r="K52" t="str">
        <f>"06"</f>
        <v>06</v>
      </c>
      <c r="L52" t="str">
        <f t="shared" si="41"/>
        <v>USD</v>
      </c>
      <c r="M52" t="str">
        <f>"1.00"</f>
        <v>1.00</v>
      </c>
      <c r="N52" t="str">
        <f>"SPSS"</f>
        <v>SPSS</v>
      </c>
      <c r="O52" t="str">
        <f>"0.50"</f>
        <v>0.50</v>
      </c>
      <c r="P52" t="str">
        <f>"K"</f>
        <v>K</v>
      </c>
      <c r="Q52" t="str">
        <f t="shared" si="2"/>
        <v>OTHER</v>
      </c>
      <c r="R52" t="str">
        <f t="shared" si="3"/>
        <v>EURO1_MIX</v>
      </c>
      <c r="S52" t="str">
        <f>"IP_D1234_MIX"</f>
        <v>IP_D1234_MIX</v>
      </c>
      <c r="T52" t="str">
        <f>"IP_D5_MIX"</f>
        <v>IP_D5_MIX</v>
      </c>
      <c r="U52" t="str">
        <f>"IP_D6_EMEA"</f>
        <v>IP_D6_EMEA</v>
      </c>
      <c r="V52" t="str">
        <f>"COLD"</f>
        <v>COLD</v>
      </c>
      <c r="W52" t="str">
        <f>"MXP"</f>
        <v>MXP</v>
      </c>
      <c r="Y52" t="str">
        <f t="shared" si="40"/>
        <v>1</v>
      </c>
      <c r="Z52" t="str">
        <f>"AMJ60762FX"</f>
        <v>AMJ60762FX</v>
      </c>
      <c r="AA52" t="str">
        <f>"305073034081"</f>
        <v>305073034081</v>
      </c>
      <c r="AB52" t="str">
        <f>"651546630"</f>
        <v>651546630</v>
      </c>
      <c r="AC52" t="str">
        <f t="shared" si="39"/>
        <v>IP_D1234</v>
      </c>
      <c r="AD52" t="str">
        <f t="shared" si="37"/>
        <v>IP_D1234</v>
      </c>
      <c r="AE52" t="str">
        <f t="shared" si="5"/>
        <v>BOX PK</v>
      </c>
      <c r="AF52" t="str">
        <f>"IP_D1234-MIX"</f>
        <v>IP_D1234-MIX</v>
      </c>
      <c r="AG52" t="str">
        <f>"3622H"</f>
        <v>3622H</v>
      </c>
      <c r="AH52" t="str">
        <f>"LGGT7"</f>
        <v>LGGT7</v>
      </c>
      <c r="AI52" t="str">
        <f>"CDGH"</f>
        <v>CDGH</v>
      </c>
      <c r="AJ52" t="str">
        <f>"8009"</f>
        <v>8009</v>
      </c>
      <c r="AK52" t="str">
        <f>"20/11/2019 18:15"</f>
        <v>20/11/2019 18:15</v>
      </c>
      <c r="AN52" t="str">
        <f t="shared" si="42"/>
        <v>02</v>
      </c>
      <c r="AO52" t="str">
        <f>"EURO1_MIX,IP_D1234_MIX,IP_D5_MIX,IP_D6_EMEA"</f>
        <v>EURO1_MIX,IP_D1234_MIX,IP_D5_MIX,IP_D6_EMEA</v>
      </c>
      <c r="AP52" t="str">
        <f t="shared" si="7"/>
        <v>MDE_AVAILABLE</v>
      </c>
      <c r="AQ52" t="str">
        <f t="shared" si="8"/>
        <v>FEDEX</v>
      </c>
      <c r="AR52" t="str">
        <f>"IPE"</f>
        <v>IPE</v>
      </c>
      <c r="AS52" t="str">
        <f t="shared" si="43"/>
        <v>CONVEYABLE</v>
      </c>
      <c r="AT52" t="str">
        <f>"18-11-2019"</f>
        <v>18-11-2019</v>
      </c>
      <c r="AU52" t="str">
        <f>"DOC"</f>
        <v>DOC</v>
      </c>
      <c r="AV52" s="1" t="str">
        <f t="shared" si="9"/>
        <v>CONVEYABLE</v>
      </c>
    </row>
  </sheetData>
  <autoFilter ref="A1:AV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S428"/>
  <sheetViews>
    <sheetView tabSelected="1" topLeftCell="C1" zoomScale="90" zoomScaleNormal="90" workbookViewId="0">
      <selection activeCell="K11" sqref="K11"/>
    </sheetView>
  </sheetViews>
  <sheetFormatPr baseColWidth="10" defaultColWidth="9.140625" defaultRowHeight="15" x14ac:dyDescent="0.25"/>
  <cols>
    <col min="1" max="1" width="23.5703125" customWidth="1"/>
    <col min="2" max="2" width="23.85546875" customWidth="1"/>
    <col min="3" max="3" width="11.5703125" customWidth="1"/>
    <col min="4" max="4" width="12.5703125" customWidth="1"/>
    <col min="5" max="5" width="17.42578125" bestFit="1" customWidth="1"/>
    <col min="6" max="6" width="23.7109375" bestFit="1" customWidth="1"/>
    <col min="7" max="7" width="16.28515625" bestFit="1" customWidth="1"/>
    <col min="8" max="8" width="13.42578125" bestFit="1" customWidth="1"/>
    <col min="9" max="9" width="9.140625" customWidth="1"/>
    <col min="10" max="10" width="23.5703125" customWidth="1"/>
    <col min="11" max="11" width="23.85546875" customWidth="1"/>
    <col min="12" max="12" width="13.28515625" customWidth="1"/>
    <col min="13" max="13" width="16.28515625" customWidth="1"/>
    <col min="14" max="14" width="12.5703125" bestFit="1" customWidth="1"/>
    <col min="15" max="15" width="6.7109375" customWidth="1"/>
    <col min="16" max="16" width="23.5703125" customWidth="1"/>
    <col min="17" max="17" width="26.140625" style="17" customWidth="1"/>
    <col min="18" max="18" width="11.5703125" style="17" customWidth="1"/>
    <col min="19" max="19" width="12.5703125" customWidth="1"/>
    <col min="20" max="20" width="11.28515625" bestFit="1" customWidth="1"/>
  </cols>
  <sheetData>
    <row r="1" spans="1:19" ht="26.25" x14ac:dyDescent="0.4">
      <c r="A1" s="7" t="s">
        <v>68</v>
      </c>
      <c r="E1" s="7" t="s">
        <v>69</v>
      </c>
      <c r="F1" s="8">
        <f ca="1">TODAY()</f>
        <v>43790</v>
      </c>
    </row>
    <row r="2" spans="1:19" ht="18.75" x14ac:dyDescent="0.3">
      <c r="P2" s="11" t="s">
        <v>74</v>
      </c>
    </row>
    <row r="3" spans="1:19" x14ac:dyDescent="0.25">
      <c r="A3" s="12" t="s">
        <v>13</v>
      </c>
      <c r="B3" s="12" t="s">
        <v>59</v>
      </c>
      <c r="C3" s="12"/>
      <c r="D3" s="12"/>
      <c r="J3" s="4" t="s">
        <v>29</v>
      </c>
      <c r="K3" t="s">
        <v>61</v>
      </c>
    </row>
    <row r="4" spans="1:19" x14ac:dyDescent="0.25">
      <c r="A4" s="12" t="s">
        <v>29</v>
      </c>
      <c r="B4" s="12" t="s">
        <v>61</v>
      </c>
      <c r="C4" s="12"/>
      <c r="D4" s="12"/>
      <c r="J4" s="4" t="s">
        <v>30</v>
      </c>
      <c r="K4" t="s">
        <v>67</v>
      </c>
      <c r="P4" s="4" t="s">
        <v>29</v>
      </c>
      <c r="Q4" t="s">
        <v>61</v>
      </c>
    </row>
    <row r="5" spans="1:19" x14ac:dyDescent="0.25">
      <c r="A5" s="12" t="s">
        <v>30</v>
      </c>
      <c r="B5" s="13" t="s">
        <v>67</v>
      </c>
      <c r="C5" s="12"/>
      <c r="D5" s="12"/>
      <c r="J5" s="4" t="s">
        <v>47</v>
      </c>
      <c r="K5" t="s">
        <v>173</v>
      </c>
      <c r="P5" s="4" t="s">
        <v>30</v>
      </c>
      <c r="Q5" t="s">
        <v>67</v>
      </c>
    </row>
    <row r="6" spans="1:19" x14ac:dyDescent="0.25">
      <c r="A6" s="12"/>
      <c r="B6" s="12"/>
      <c r="C6" s="12"/>
      <c r="D6" s="12"/>
    </row>
    <row r="7" spans="1:19" x14ac:dyDescent="0.25">
      <c r="A7" s="12" t="s">
        <v>60</v>
      </c>
      <c r="B7" s="12" t="s">
        <v>170</v>
      </c>
      <c r="C7" s="12"/>
      <c r="D7" s="12"/>
      <c r="J7" s="4" t="s">
        <v>60</v>
      </c>
      <c r="K7" s="4" t="s">
        <v>170</v>
      </c>
      <c r="P7" s="4" t="s">
        <v>60</v>
      </c>
      <c r="Q7" s="19" t="s">
        <v>170</v>
      </c>
      <c r="S7" s="17"/>
    </row>
    <row r="8" spans="1:19" x14ac:dyDescent="0.25">
      <c r="A8" s="12" t="s">
        <v>171</v>
      </c>
      <c r="B8" s="14" t="s">
        <v>65</v>
      </c>
      <c r="C8" s="14" t="s">
        <v>66</v>
      </c>
      <c r="D8" s="14" t="s">
        <v>172</v>
      </c>
      <c r="J8" s="4" t="s">
        <v>171</v>
      </c>
      <c r="K8" t="s">
        <v>62</v>
      </c>
      <c r="L8" t="s">
        <v>63</v>
      </c>
      <c r="M8" t="s">
        <v>64</v>
      </c>
      <c r="N8" t="s">
        <v>172</v>
      </c>
      <c r="P8" s="4" t="s">
        <v>171</v>
      </c>
      <c r="Q8" s="17" t="s">
        <v>65</v>
      </c>
      <c r="R8" s="17" t="s">
        <v>66</v>
      </c>
      <c r="S8" t="s">
        <v>172</v>
      </c>
    </row>
    <row r="9" spans="1:19" x14ac:dyDescent="0.25">
      <c r="A9" s="15" t="s">
        <v>62</v>
      </c>
      <c r="B9" s="16">
        <v>47</v>
      </c>
      <c r="C9" s="16">
        <v>2</v>
      </c>
      <c r="D9" s="16">
        <v>49</v>
      </c>
      <c r="J9" s="5" t="s">
        <v>48</v>
      </c>
      <c r="K9" s="6">
        <v>10</v>
      </c>
      <c r="L9" s="6">
        <v>18</v>
      </c>
      <c r="M9" s="6"/>
      <c r="N9" s="6">
        <v>28</v>
      </c>
      <c r="P9" s="5" t="s">
        <v>48</v>
      </c>
      <c r="Q9" s="18">
        <v>1</v>
      </c>
      <c r="R9" s="18">
        <v>0</v>
      </c>
      <c r="S9" s="10">
        <v>1</v>
      </c>
    </row>
    <row r="10" spans="1:19" x14ac:dyDescent="0.25">
      <c r="A10" s="15" t="s">
        <v>63</v>
      </c>
      <c r="B10" s="16">
        <v>85</v>
      </c>
      <c r="C10" s="16">
        <v>9</v>
      </c>
      <c r="D10" s="16">
        <v>94</v>
      </c>
      <c r="J10" s="9" t="s">
        <v>87</v>
      </c>
      <c r="K10" s="6"/>
      <c r="L10" s="6">
        <v>1</v>
      </c>
      <c r="M10" s="6"/>
      <c r="N10" s="6">
        <v>1</v>
      </c>
      <c r="P10" s="9" t="s">
        <v>87</v>
      </c>
      <c r="Q10" s="18">
        <v>1</v>
      </c>
      <c r="R10" s="18">
        <v>0</v>
      </c>
      <c r="S10" s="10">
        <v>1</v>
      </c>
    </row>
    <row r="11" spans="1:19" x14ac:dyDescent="0.25">
      <c r="A11" s="15" t="s">
        <v>64</v>
      </c>
      <c r="B11" s="16">
        <v>45</v>
      </c>
      <c r="C11" s="16">
        <v>1</v>
      </c>
      <c r="D11" s="16">
        <v>46</v>
      </c>
      <c r="J11" s="9" t="s">
        <v>88</v>
      </c>
      <c r="K11" s="6"/>
      <c r="L11" s="6">
        <v>4</v>
      </c>
      <c r="M11" s="6"/>
      <c r="N11" s="6">
        <v>4</v>
      </c>
      <c r="P11" s="9" t="s">
        <v>88</v>
      </c>
      <c r="Q11" s="18">
        <v>1</v>
      </c>
      <c r="R11" s="18">
        <v>0</v>
      </c>
      <c r="S11" s="10">
        <v>1</v>
      </c>
    </row>
    <row r="12" spans="1:19" x14ac:dyDescent="0.25">
      <c r="A12" s="15" t="s">
        <v>172</v>
      </c>
      <c r="B12" s="16">
        <v>177</v>
      </c>
      <c r="C12" s="16">
        <v>12</v>
      </c>
      <c r="D12" s="16">
        <v>189</v>
      </c>
      <c r="J12" s="9" t="s">
        <v>89</v>
      </c>
      <c r="K12" s="6">
        <v>1</v>
      </c>
      <c r="L12" s="6"/>
      <c r="M12" s="6"/>
      <c r="N12" s="6">
        <v>1</v>
      </c>
      <c r="P12" s="9" t="s">
        <v>89</v>
      </c>
      <c r="Q12" s="18">
        <v>1</v>
      </c>
      <c r="R12" s="18">
        <v>0</v>
      </c>
      <c r="S12" s="10">
        <v>1</v>
      </c>
    </row>
    <row r="13" spans="1:19" x14ac:dyDescent="0.25">
      <c r="J13" s="9" t="s">
        <v>90</v>
      </c>
      <c r="K13" s="6"/>
      <c r="L13" s="6">
        <v>1</v>
      </c>
      <c r="M13" s="6"/>
      <c r="N13" s="6">
        <v>1</v>
      </c>
      <c r="P13" s="9" t="s">
        <v>90</v>
      </c>
      <c r="Q13" s="18">
        <v>1</v>
      </c>
      <c r="R13" s="18">
        <v>0</v>
      </c>
      <c r="S13" s="10">
        <v>1</v>
      </c>
    </row>
    <row r="14" spans="1:19" x14ac:dyDescent="0.25">
      <c r="J14" s="9" t="s">
        <v>91</v>
      </c>
      <c r="K14" s="6"/>
      <c r="L14" s="6">
        <v>1</v>
      </c>
      <c r="M14" s="6"/>
      <c r="N14" s="6">
        <v>1</v>
      </c>
      <c r="P14" s="9" t="s">
        <v>91</v>
      </c>
      <c r="Q14" s="18">
        <v>1</v>
      </c>
      <c r="R14" s="18">
        <v>0</v>
      </c>
      <c r="S14" s="10">
        <v>1</v>
      </c>
    </row>
    <row r="15" spans="1:19" x14ac:dyDescent="0.25">
      <c r="A15" s="4" t="s">
        <v>29</v>
      </c>
      <c r="B15" t="s">
        <v>61</v>
      </c>
      <c r="J15" s="9" t="s">
        <v>92</v>
      </c>
      <c r="K15" s="6"/>
      <c r="L15" s="6">
        <v>4</v>
      </c>
      <c r="M15" s="6"/>
      <c r="N15" s="6">
        <v>4</v>
      </c>
      <c r="P15" s="9" t="s">
        <v>92</v>
      </c>
      <c r="Q15" s="18">
        <v>1</v>
      </c>
      <c r="R15" s="18">
        <v>0</v>
      </c>
      <c r="S15" s="10">
        <v>1</v>
      </c>
    </row>
    <row r="16" spans="1:19" x14ac:dyDescent="0.25">
      <c r="A16" s="4" t="s">
        <v>30</v>
      </c>
      <c r="B16" t="s">
        <v>67</v>
      </c>
      <c r="J16" s="9" t="s">
        <v>93</v>
      </c>
      <c r="K16" s="6">
        <v>4</v>
      </c>
      <c r="L16" s="6"/>
      <c r="M16" s="6"/>
      <c r="N16" s="6">
        <v>4</v>
      </c>
      <c r="P16" s="9" t="s">
        <v>93</v>
      </c>
      <c r="Q16" s="18">
        <v>1</v>
      </c>
      <c r="R16" s="18">
        <v>0</v>
      </c>
      <c r="S16" s="10">
        <v>1</v>
      </c>
    </row>
    <row r="17" spans="1:19" x14ac:dyDescent="0.25">
      <c r="A17" s="4" t="s">
        <v>47</v>
      </c>
      <c r="B17" t="s">
        <v>173</v>
      </c>
      <c r="J17" s="9" t="s">
        <v>94</v>
      </c>
      <c r="K17" s="6"/>
      <c r="L17" s="6">
        <v>2</v>
      </c>
      <c r="M17" s="6"/>
      <c r="N17" s="6">
        <v>2</v>
      </c>
      <c r="P17" s="9" t="s">
        <v>94</v>
      </c>
      <c r="Q17" s="18">
        <v>1</v>
      </c>
      <c r="R17" s="18">
        <v>0</v>
      </c>
      <c r="S17" s="10">
        <v>1</v>
      </c>
    </row>
    <row r="18" spans="1:19" x14ac:dyDescent="0.25">
      <c r="J18" s="9" t="s">
        <v>95</v>
      </c>
      <c r="K18" s="6">
        <v>1</v>
      </c>
      <c r="L18" s="6"/>
      <c r="M18" s="6"/>
      <c r="N18" s="6">
        <v>1</v>
      </c>
      <c r="P18" s="9" t="s">
        <v>95</v>
      </c>
      <c r="Q18" s="18">
        <v>1</v>
      </c>
      <c r="R18" s="18">
        <v>0</v>
      </c>
      <c r="S18" s="10">
        <v>1</v>
      </c>
    </row>
    <row r="19" spans="1:19" x14ac:dyDescent="0.25">
      <c r="A19" s="4" t="s">
        <v>171</v>
      </c>
      <c r="B19" t="s">
        <v>60</v>
      </c>
      <c r="J19" s="9" t="s">
        <v>96</v>
      </c>
      <c r="K19" s="6"/>
      <c r="L19" s="6">
        <v>3</v>
      </c>
      <c r="M19" s="6"/>
      <c r="N19" s="6">
        <v>3</v>
      </c>
      <c r="P19" s="9" t="s">
        <v>96</v>
      </c>
      <c r="Q19" s="18">
        <v>1</v>
      </c>
      <c r="R19" s="18">
        <v>0</v>
      </c>
      <c r="S19" s="10">
        <v>1</v>
      </c>
    </row>
    <row r="20" spans="1:19" x14ac:dyDescent="0.25">
      <c r="A20" s="5" t="s">
        <v>48</v>
      </c>
      <c r="B20" s="6">
        <v>28</v>
      </c>
      <c r="D20" s="5"/>
      <c r="E20" s="6"/>
      <c r="J20" s="9" t="s">
        <v>97</v>
      </c>
      <c r="K20" s="6">
        <v>2</v>
      </c>
      <c r="L20" s="6"/>
      <c r="M20" s="6"/>
      <c r="N20" s="6">
        <v>2</v>
      </c>
      <c r="P20" s="9" t="s">
        <v>97</v>
      </c>
      <c r="Q20" s="18">
        <v>1</v>
      </c>
      <c r="R20" s="18">
        <v>0</v>
      </c>
      <c r="S20" s="10">
        <v>1</v>
      </c>
    </row>
    <row r="21" spans="1:19" x14ac:dyDescent="0.25">
      <c r="A21" s="5" t="s">
        <v>75</v>
      </c>
      <c r="B21" s="6">
        <v>27</v>
      </c>
      <c r="D21" s="5"/>
      <c r="E21" s="6"/>
      <c r="J21" s="9" t="s">
        <v>98</v>
      </c>
      <c r="K21" s="6"/>
      <c r="L21" s="6">
        <v>2</v>
      </c>
      <c r="M21" s="6"/>
      <c r="N21" s="6">
        <v>2</v>
      </c>
      <c r="P21" s="9" t="s">
        <v>98</v>
      </c>
      <c r="Q21" s="18">
        <v>1</v>
      </c>
      <c r="R21" s="18">
        <v>0</v>
      </c>
      <c r="S21" s="10">
        <v>1</v>
      </c>
    </row>
    <row r="22" spans="1:19" x14ac:dyDescent="0.25">
      <c r="A22" s="5" t="s">
        <v>52</v>
      </c>
      <c r="B22" s="6">
        <v>23</v>
      </c>
      <c r="D22" s="5"/>
      <c r="E22" s="6"/>
      <c r="F22" s="5"/>
      <c r="G22" s="6"/>
      <c r="H22" s="6"/>
      <c r="J22" s="9" t="s">
        <v>99</v>
      </c>
      <c r="K22" s="6">
        <v>2</v>
      </c>
      <c r="L22" s="6"/>
      <c r="M22" s="6"/>
      <c r="N22" s="6">
        <v>2</v>
      </c>
      <c r="P22" s="9" t="s">
        <v>99</v>
      </c>
      <c r="Q22" s="18">
        <v>1</v>
      </c>
      <c r="R22" s="18">
        <v>0</v>
      </c>
      <c r="S22" s="10">
        <v>1</v>
      </c>
    </row>
    <row r="23" spans="1:19" x14ac:dyDescent="0.25">
      <c r="A23" s="5" t="s">
        <v>50</v>
      </c>
      <c r="B23" s="6">
        <v>22</v>
      </c>
      <c r="D23" s="5"/>
      <c r="E23" s="6"/>
      <c r="F23" s="5"/>
      <c r="G23" s="6"/>
      <c r="H23" s="6"/>
      <c r="J23" s="5" t="s">
        <v>75</v>
      </c>
      <c r="K23" s="6">
        <v>6</v>
      </c>
      <c r="L23" s="6">
        <v>18</v>
      </c>
      <c r="M23" s="6">
        <v>3</v>
      </c>
      <c r="N23" s="6">
        <v>27</v>
      </c>
      <c r="P23" s="5" t="s">
        <v>75</v>
      </c>
      <c r="Q23" s="18">
        <v>0.92592592592592593</v>
      </c>
      <c r="R23" s="18">
        <v>7.407407407407407E-2</v>
      </c>
      <c r="S23" s="10">
        <v>1</v>
      </c>
    </row>
    <row r="24" spans="1:19" x14ac:dyDescent="0.25">
      <c r="A24" s="5" t="s">
        <v>49</v>
      </c>
      <c r="B24" s="6">
        <v>20</v>
      </c>
      <c r="D24" s="5"/>
      <c r="E24" s="6"/>
      <c r="F24" s="5"/>
      <c r="G24" s="6"/>
      <c r="H24" s="6"/>
      <c r="J24" s="9" t="s">
        <v>76</v>
      </c>
      <c r="K24" s="6"/>
      <c r="L24" s="6"/>
      <c r="M24" s="6">
        <v>1</v>
      </c>
      <c r="N24" s="6">
        <v>1</v>
      </c>
      <c r="P24" s="9" t="s">
        <v>76</v>
      </c>
      <c r="Q24" s="18">
        <v>1</v>
      </c>
      <c r="R24" s="18">
        <v>0</v>
      </c>
      <c r="S24" s="10">
        <v>1</v>
      </c>
    </row>
    <row r="25" spans="1:19" x14ac:dyDescent="0.25">
      <c r="A25" s="5" t="s">
        <v>56</v>
      </c>
      <c r="B25" s="6">
        <v>17</v>
      </c>
      <c r="D25" s="5"/>
      <c r="E25" s="6"/>
      <c r="F25" s="5"/>
      <c r="G25" s="6"/>
      <c r="H25" s="6"/>
      <c r="J25" s="9" t="s">
        <v>77</v>
      </c>
      <c r="K25" s="6">
        <v>5</v>
      </c>
      <c r="L25" s="6"/>
      <c r="M25" s="6"/>
      <c r="N25" s="6">
        <v>5</v>
      </c>
      <c r="P25" s="9" t="s">
        <v>77</v>
      </c>
      <c r="Q25" s="18">
        <v>1</v>
      </c>
      <c r="R25" s="18">
        <v>0</v>
      </c>
      <c r="S25" s="10">
        <v>1</v>
      </c>
    </row>
    <row r="26" spans="1:19" x14ac:dyDescent="0.25">
      <c r="A26" s="5" t="s">
        <v>53</v>
      </c>
      <c r="B26" s="6">
        <v>15</v>
      </c>
      <c r="D26" s="5"/>
      <c r="E26" s="6"/>
      <c r="F26" s="5"/>
      <c r="G26" s="6"/>
      <c r="H26" s="6"/>
      <c r="J26" s="9" t="s">
        <v>78</v>
      </c>
      <c r="K26" s="6"/>
      <c r="L26" s="6">
        <v>4</v>
      </c>
      <c r="M26" s="6"/>
      <c r="N26" s="6">
        <v>4</v>
      </c>
      <c r="P26" s="9" t="s">
        <v>78</v>
      </c>
      <c r="Q26" s="18">
        <v>1</v>
      </c>
      <c r="R26" s="18">
        <v>0</v>
      </c>
      <c r="S26" s="10">
        <v>1</v>
      </c>
    </row>
    <row r="27" spans="1:19" x14ac:dyDescent="0.25">
      <c r="A27" s="5" t="s">
        <v>55</v>
      </c>
      <c r="B27" s="6">
        <v>13</v>
      </c>
      <c r="D27" s="5"/>
      <c r="E27" s="6"/>
      <c r="F27" s="5"/>
      <c r="G27" s="6"/>
      <c r="H27" s="6"/>
      <c r="J27" s="9" t="s">
        <v>79</v>
      </c>
      <c r="K27" s="6"/>
      <c r="L27" s="6">
        <v>2</v>
      </c>
      <c r="M27" s="6"/>
      <c r="N27" s="6">
        <v>2</v>
      </c>
      <c r="P27" s="9" t="s">
        <v>79</v>
      </c>
      <c r="Q27" s="18">
        <v>1</v>
      </c>
      <c r="R27" s="18">
        <v>0</v>
      </c>
      <c r="S27" s="10">
        <v>1</v>
      </c>
    </row>
    <row r="28" spans="1:19" x14ac:dyDescent="0.25">
      <c r="A28" s="5" t="s">
        <v>154</v>
      </c>
      <c r="B28" s="6">
        <v>9</v>
      </c>
      <c r="D28" s="5"/>
      <c r="E28" s="6"/>
      <c r="F28" s="5"/>
      <c r="G28" s="6"/>
      <c r="H28" s="6"/>
      <c r="J28" s="9" t="s">
        <v>80</v>
      </c>
      <c r="K28" s="6">
        <v>1</v>
      </c>
      <c r="L28" s="6"/>
      <c r="M28" s="6"/>
      <c r="N28" s="6">
        <v>1</v>
      </c>
      <c r="P28" s="9" t="s">
        <v>80</v>
      </c>
      <c r="Q28" s="18">
        <v>1</v>
      </c>
      <c r="R28" s="18">
        <v>0</v>
      </c>
      <c r="S28" s="10">
        <v>1</v>
      </c>
    </row>
    <row r="29" spans="1:19" x14ac:dyDescent="0.25">
      <c r="A29" s="5" t="s">
        <v>142</v>
      </c>
      <c r="B29" s="6">
        <v>8</v>
      </c>
      <c r="D29" s="5"/>
      <c r="E29" s="6"/>
      <c r="F29" s="5"/>
      <c r="G29" s="6"/>
      <c r="H29" s="6"/>
      <c r="J29" s="9" t="s">
        <v>81</v>
      </c>
      <c r="K29" s="6"/>
      <c r="L29" s="6">
        <v>8</v>
      </c>
      <c r="M29" s="6"/>
      <c r="N29" s="6">
        <v>8</v>
      </c>
      <c r="P29" s="9" t="s">
        <v>81</v>
      </c>
      <c r="Q29" s="18">
        <v>0.75</v>
      </c>
      <c r="R29" s="18">
        <v>0.25</v>
      </c>
      <c r="S29" s="10">
        <v>1</v>
      </c>
    </row>
    <row r="30" spans="1:19" x14ac:dyDescent="0.25">
      <c r="A30" s="5" t="s">
        <v>163</v>
      </c>
      <c r="B30" s="6">
        <v>7</v>
      </c>
      <c r="D30" s="5"/>
      <c r="E30" s="6"/>
      <c r="F30" s="5"/>
      <c r="G30" s="6"/>
      <c r="H30" s="6"/>
      <c r="J30" s="9" t="s">
        <v>82</v>
      </c>
      <c r="K30" s="6"/>
      <c r="L30" s="6"/>
      <c r="M30" s="6">
        <v>2</v>
      </c>
      <c r="N30" s="6">
        <v>2</v>
      </c>
      <c r="P30" s="9" t="s">
        <v>82</v>
      </c>
      <c r="Q30" s="18">
        <v>1</v>
      </c>
      <c r="R30" s="18">
        <v>0</v>
      </c>
      <c r="S30" s="10">
        <v>1</v>
      </c>
    </row>
    <row r="31" spans="1:19" x14ac:dyDescent="0.25">
      <c r="A31" s="5" t="s">
        <v>150</v>
      </c>
      <c r="B31" s="6">
        <v>6</v>
      </c>
      <c r="D31" s="5"/>
      <c r="E31" s="6"/>
      <c r="F31" s="5"/>
      <c r="G31" s="6"/>
      <c r="H31" s="6"/>
      <c r="J31" s="9" t="s">
        <v>83</v>
      </c>
      <c r="K31" s="6"/>
      <c r="L31" s="6">
        <v>1</v>
      </c>
      <c r="M31" s="6"/>
      <c r="N31" s="6">
        <v>1</v>
      </c>
      <c r="P31" s="9" t="s">
        <v>83</v>
      </c>
      <c r="Q31" s="18">
        <v>1</v>
      </c>
      <c r="R31" s="18">
        <v>0</v>
      </c>
      <c r="S31" s="10">
        <v>1</v>
      </c>
    </row>
    <row r="32" spans="1:19" x14ac:dyDescent="0.25">
      <c r="A32" s="5" t="s">
        <v>166</v>
      </c>
      <c r="B32" s="6">
        <v>5</v>
      </c>
      <c r="D32" s="5"/>
      <c r="E32" s="6"/>
      <c r="F32" s="5"/>
      <c r="G32" s="6"/>
      <c r="H32" s="6"/>
      <c r="J32" s="9" t="s">
        <v>84</v>
      </c>
      <c r="K32" s="6"/>
      <c r="L32" s="6">
        <v>1</v>
      </c>
      <c r="M32" s="6"/>
      <c r="N32" s="6">
        <v>1</v>
      </c>
      <c r="P32" s="9" t="s">
        <v>84</v>
      </c>
      <c r="Q32" s="18">
        <v>1</v>
      </c>
      <c r="R32" s="18">
        <v>0</v>
      </c>
      <c r="S32" s="10">
        <v>1</v>
      </c>
    </row>
    <row r="33" spans="1:19" x14ac:dyDescent="0.25">
      <c r="A33" s="5" t="s">
        <v>58</v>
      </c>
      <c r="B33" s="6">
        <v>5</v>
      </c>
      <c r="D33" s="5"/>
      <c r="E33" s="6"/>
      <c r="F33" s="5"/>
      <c r="G33" s="6"/>
      <c r="H33" s="6"/>
      <c r="J33" s="9" t="s">
        <v>85</v>
      </c>
      <c r="K33" s="6"/>
      <c r="L33" s="6">
        <v>1</v>
      </c>
      <c r="M33" s="6"/>
      <c r="N33" s="6">
        <v>1</v>
      </c>
      <c r="P33" s="9" t="s">
        <v>85</v>
      </c>
      <c r="Q33" s="18">
        <v>1</v>
      </c>
      <c r="R33" s="18">
        <v>0</v>
      </c>
      <c r="S33" s="10">
        <v>1</v>
      </c>
    </row>
    <row r="34" spans="1:19" x14ac:dyDescent="0.25">
      <c r="A34" s="5" t="s">
        <v>57</v>
      </c>
      <c r="B34" s="6">
        <v>4</v>
      </c>
      <c r="D34" s="5"/>
      <c r="E34" s="6"/>
      <c r="F34" s="5"/>
      <c r="G34" s="6"/>
      <c r="H34" s="6"/>
      <c r="J34" s="9" t="s">
        <v>86</v>
      </c>
      <c r="K34" s="6"/>
      <c r="L34" s="6">
        <v>1</v>
      </c>
      <c r="M34" s="6"/>
      <c r="N34" s="6">
        <v>1</v>
      </c>
      <c r="P34" s="9" t="s">
        <v>86</v>
      </c>
      <c r="Q34" s="18">
        <v>1</v>
      </c>
      <c r="R34" s="18">
        <v>0</v>
      </c>
      <c r="S34" s="10">
        <v>1</v>
      </c>
    </row>
    <row r="35" spans="1:19" x14ac:dyDescent="0.25">
      <c r="A35" s="5" t="s">
        <v>157</v>
      </c>
      <c r="B35" s="6">
        <v>4</v>
      </c>
      <c r="D35" s="5"/>
      <c r="E35" s="6"/>
      <c r="F35" s="5"/>
      <c r="G35" s="6"/>
      <c r="H35" s="6"/>
      <c r="J35" s="5" t="s">
        <v>52</v>
      </c>
      <c r="K35" s="6">
        <v>7</v>
      </c>
      <c r="L35" s="6">
        <v>10</v>
      </c>
      <c r="M35" s="6">
        <v>6</v>
      </c>
      <c r="N35" s="6">
        <v>23</v>
      </c>
      <c r="P35" s="5" t="s">
        <v>52</v>
      </c>
      <c r="Q35" s="18">
        <v>0.95652173913043481</v>
      </c>
      <c r="R35" s="18">
        <v>4.3478260869565216E-2</v>
      </c>
      <c r="S35" s="10">
        <v>1</v>
      </c>
    </row>
    <row r="36" spans="1:19" x14ac:dyDescent="0.25">
      <c r="A36" s="5" t="s">
        <v>145</v>
      </c>
      <c r="B36" s="6">
        <v>3</v>
      </c>
      <c r="D36" s="5"/>
      <c r="E36" s="6"/>
      <c r="F36" s="5"/>
      <c r="G36" s="6"/>
      <c r="H36" s="6"/>
      <c r="J36" s="9" t="s">
        <v>72</v>
      </c>
      <c r="K36" s="6"/>
      <c r="L36" s="6"/>
      <c r="M36" s="6">
        <v>3</v>
      </c>
      <c r="N36" s="6">
        <v>3</v>
      </c>
      <c r="P36" s="9" t="s">
        <v>72</v>
      </c>
      <c r="Q36" s="18">
        <v>1</v>
      </c>
      <c r="R36" s="18">
        <v>0</v>
      </c>
      <c r="S36" s="10">
        <v>1</v>
      </c>
    </row>
    <row r="37" spans="1:19" x14ac:dyDescent="0.25">
      <c r="A37" s="5" t="s">
        <v>73</v>
      </c>
      <c r="B37" s="6">
        <v>3</v>
      </c>
      <c r="D37" s="5"/>
      <c r="E37" s="6"/>
      <c r="F37" s="5"/>
      <c r="G37" s="6"/>
      <c r="H37" s="6"/>
      <c r="J37" s="9" t="s">
        <v>117</v>
      </c>
      <c r="K37" s="6"/>
      <c r="L37" s="6">
        <v>1</v>
      </c>
      <c r="M37" s="6"/>
      <c r="N37" s="6">
        <v>1</v>
      </c>
      <c r="P37" s="9" t="s">
        <v>117</v>
      </c>
      <c r="Q37" s="18">
        <v>0</v>
      </c>
      <c r="R37" s="18">
        <v>1</v>
      </c>
      <c r="S37" s="10">
        <v>1</v>
      </c>
    </row>
    <row r="38" spans="1:19" x14ac:dyDescent="0.25">
      <c r="A38" s="5" t="s">
        <v>51</v>
      </c>
      <c r="B38" s="6">
        <v>3</v>
      </c>
      <c r="D38" s="5"/>
      <c r="E38" s="6"/>
      <c r="F38" s="5"/>
      <c r="G38" s="6"/>
      <c r="H38" s="6"/>
      <c r="J38" s="9" t="s">
        <v>118</v>
      </c>
      <c r="K38" s="6">
        <v>3</v>
      </c>
      <c r="L38" s="6"/>
      <c r="M38" s="6"/>
      <c r="N38" s="6">
        <v>3</v>
      </c>
      <c r="P38" s="9" t="s">
        <v>118</v>
      </c>
      <c r="Q38" s="18">
        <v>1</v>
      </c>
      <c r="R38" s="18">
        <v>0</v>
      </c>
      <c r="S38" s="10">
        <v>1</v>
      </c>
    </row>
    <row r="39" spans="1:19" x14ac:dyDescent="0.25">
      <c r="A39" s="5" t="s">
        <v>168</v>
      </c>
      <c r="B39" s="6">
        <v>2</v>
      </c>
      <c r="D39" s="5"/>
      <c r="E39" s="6"/>
      <c r="F39" s="5"/>
      <c r="G39" s="6"/>
      <c r="H39" s="6"/>
      <c r="J39" s="9" t="s">
        <v>119</v>
      </c>
      <c r="K39" s="6"/>
      <c r="L39" s="6">
        <v>5</v>
      </c>
      <c r="M39" s="6"/>
      <c r="N39" s="6">
        <v>5</v>
      </c>
      <c r="P39" s="9" t="s">
        <v>119</v>
      </c>
      <c r="Q39" s="18">
        <v>1</v>
      </c>
      <c r="R39" s="18">
        <v>0</v>
      </c>
      <c r="S39" s="10">
        <v>1</v>
      </c>
    </row>
    <row r="40" spans="1:19" x14ac:dyDescent="0.25">
      <c r="A40" s="5" t="s">
        <v>54</v>
      </c>
      <c r="B40" s="6">
        <v>1</v>
      </c>
      <c r="D40" s="5"/>
      <c r="E40" s="6"/>
      <c r="F40" s="5"/>
      <c r="G40" s="6"/>
      <c r="H40" s="6"/>
      <c r="J40" s="9" t="s">
        <v>120</v>
      </c>
      <c r="K40" s="6"/>
      <c r="L40" s="6">
        <v>1</v>
      </c>
      <c r="M40" s="6"/>
      <c r="N40" s="6">
        <v>1</v>
      </c>
      <c r="P40" s="9" t="s">
        <v>120</v>
      </c>
      <c r="Q40" s="18">
        <v>1</v>
      </c>
      <c r="R40" s="18">
        <v>0</v>
      </c>
      <c r="S40" s="10">
        <v>1</v>
      </c>
    </row>
    <row r="41" spans="1:19" x14ac:dyDescent="0.25">
      <c r="A41" s="5" t="s">
        <v>172</v>
      </c>
      <c r="B41" s="6">
        <v>225</v>
      </c>
      <c r="D41" s="5"/>
      <c r="E41" s="6"/>
      <c r="F41" s="5"/>
      <c r="G41" s="6"/>
      <c r="H41" s="6"/>
      <c r="J41" s="9" t="s">
        <v>121</v>
      </c>
      <c r="K41" s="6"/>
      <c r="L41" s="6">
        <v>3</v>
      </c>
      <c r="M41" s="6"/>
      <c r="N41" s="6">
        <v>3</v>
      </c>
      <c r="P41" s="9" t="s">
        <v>121</v>
      </c>
      <c r="Q41" s="18">
        <v>1</v>
      </c>
      <c r="R41" s="18">
        <v>0</v>
      </c>
      <c r="S41" s="10">
        <v>1</v>
      </c>
    </row>
    <row r="42" spans="1:19" x14ac:dyDescent="0.25">
      <c r="D42" s="5"/>
      <c r="E42" s="6"/>
      <c r="F42" s="5"/>
      <c r="G42" s="6"/>
      <c r="H42" s="6"/>
      <c r="J42" s="9" t="s">
        <v>122</v>
      </c>
      <c r="K42" s="6">
        <v>4</v>
      </c>
      <c r="L42" s="6"/>
      <c r="M42" s="6"/>
      <c r="N42" s="6">
        <v>4</v>
      </c>
      <c r="P42" s="9" t="s">
        <v>122</v>
      </c>
      <c r="Q42" s="18">
        <v>1</v>
      </c>
      <c r="R42" s="18">
        <v>0</v>
      </c>
      <c r="S42" s="10">
        <v>1</v>
      </c>
    </row>
    <row r="43" spans="1:19" x14ac:dyDescent="0.25">
      <c r="D43" s="5"/>
      <c r="E43" s="6"/>
      <c r="F43" s="5"/>
      <c r="G43" s="6"/>
      <c r="H43" s="6"/>
      <c r="J43" s="9" t="s">
        <v>123</v>
      </c>
      <c r="K43" s="6"/>
      <c r="L43" s="6"/>
      <c r="M43" s="6">
        <v>3</v>
      </c>
      <c r="N43" s="6">
        <v>3</v>
      </c>
      <c r="P43" s="9" t="s">
        <v>123</v>
      </c>
      <c r="Q43" s="18">
        <v>1</v>
      </c>
      <c r="R43" s="18">
        <v>0</v>
      </c>
      <c r="S43" s="10">
        <v>1</v>
      </c>
    </row>
    <row r="44" spans="1:19" x14ac:dyDescent="0.25">
      <c r="D44" s="5"/>
      <c r="E44" s="6"/>
      <c r="F44" s="5"/>
      <c r="G44" s="6"/>
      <c r="H44" s="6"/>
      <c r="J44" s="5" t="s">
        <v>50</v>
      </c>
      <c r="K44" s="6">
        <v>11</v>
      </c>
      <c r="L44" s="6">
        <v>10</v>
      </c>
      <c r="M44" s="6">
        <v>1</v>
      </c>
      <c r="N44" s="6">
        <v>22</v>
      </c>
      <c r="P44" s="5" t="s">
        <v>50</v>
      </c>
      <c r="Q44" s="18">
        <v>1</v>
      </c>
      <c r="R44" s="18">
        <v>0</v>
      </c>
      <c r="S44" s="10">
        <v>1</v>
      </c>
    </row>
    <row r="45" spans="1:19" x14ac:dyDescent="0.25">
      <c r="D45" s="5"/>
      <c r="E45" s="6"/>
      <c r="F45" s="5"/>
      <c r="G45" s="6"/>
      <c r="H45" s="6"/>
      <c r="J45" s="9" t="s">
        <v>72</v>
      </c>
      <c r="K45" s="6"/>
      <c r="L45" s="6"/>
      <c r="M45" s="6">
        <v>1</v>
      </c>
      <c r="N45" s="6">
        <v>1</v>
      </c>
      <c r="P45" s="9" t="s">
        <v>72</v>
      </c>
      <c r="Q45" s="18">
        <v>1</v>
      </c>
      <c r="R45" s="18">
        <v>0</v>
      </c>
      <c r="S45" s="10">
        <v>1</v>
      </c>
    </row>
    <row r="46" spans="1:19" x14ac:dyDescent="0.25">
      <c r="D46" s="5"/>
      <c r="E46" s="6"/>
      <c r="J46" s="9" t="s">
        <v>108</v>
      </c>
      <c r="K46" s="6"/>
      <c r="L46" s="6">
        <v>2</v>
      </c>
      <c r="M46" s="6"/>
      <c r="N46" s="6">
        <v>2</v>
      </c>
      <c r="P46" s="9" t="s">
        <v>108</v>
      </c>
      <c r="Q46" s="18">
        <v>1</v>
      </c>
      <c r="R46" s="18">
        <v>0</v>
      </c>
      <c r="S46" s="10">
        <v>1</v>
      </c>
    </row>
    <row r="47" spans="1:19" x14ac:dyDescent="0.25">
      <c r="D47" s="5"/>
      <c r="E47" s="6"/>
      <c r="J47" s="9" t="s">
        <v>109</v>
      </c>
      <c r="K47" s="6"/>
      <c r="L47" s="6">
        <v>5</v>
      </c>
      <c r="M47" s="6"/>
      <c r="N47" s="6">
        <v>5</v>
      </c>
      <c r="P47" s="9" t="s">
        <v>109</v>
      </c>
      <c r="Q47" s="18">
        <v>1</v>
      </c>
      <c r="R47" s="18">
        <v>0</v>
      </c>
      <c r="S47" s="10">
        <v>1</v>
      </c>
    </row>
    <row r="48" spans="1:19" x14ac:dyDescent="0.25">
      <c r="D48" s="5"/>
      <c r="E48" s="6"/>
      <c r="J48" s="9" t="s">
        <v>110</v>
      </c>
      <c r="K48" s="6"/>
      <c r="L48" s="6">
        <v>2</v>
      </c>
      <c r="M48" s="6"/>
      <c r="N48" s="6">
        <v>2</v>
      </c>
      <c r="P48" s="9" t="s">
        <v>110</v>
      </c>
      <c r="Q48" s="18">
        <v>1</v>
      </c>
      <c r="R48" s="18">
        <v>0</v>
      </c>
      <c r="S48" s="10">
        <v>1</v>
      </c>
    </row>
    <row r="49" spans="4:19" x14ac:dyDescent="0.25">
      <c r="D49" s="5"/>
      <c r="E49" s="6"/>
      <c r="J49" s="9" t="s">
        <v>111</v>
      </c>
      <c r="K49" s="6">
        <v>4</v>
      </c>
      <c r="L49" s="6"/>
      <c r="M49" s="6"/>
      <c r="N49" s="6">
        <v>4</v>
      </c>
      <c r="P49" s="9" t="s">
        <v>111</v>
      </c>
      <c r="Q49" s="18">
        <v>1</v>
      </c>
      <c r="R49" s="18">
        <v>0</v>
      </c>
      <c r="S49" s="10">
        <v>1</v>
      </c>
    </row>
    <row r="50" spans="4:19" x14ac:dyDescent="0.25">
      <c r="D50" s="5"/>
      <c r="E50" s="6"/>
      <c r="J50" s="9" t="s">
        <v>112</v>
      </c>
      <c r="K50" s="6"/>
      <c r="L50" s="6">
        <v>1</v>
      </c>
      <c r="M50" s="6"/>
      <c r="N50" s="6">
        <v>1</v>
      </c>
      <c r="P50" s="9" t="s">
        <v>112</v>
      </c>
      <c r="Q50" s="18">
        <v>1</v>
      </c>
      <c r="R50" s="18">
        <v>0</v>
      </c>
      <c r="S50" s="10">
        <v>1</v>
      </c>
    </row>
    <row r="51" spans="4:19" x14ac:dyDescent="0.25">
      <c r="D51" s="5"/>
      <c r="E51" s="6"/>
      <c r="J51" s="9" t="s">
        <v>113</v>
      </c>
      <c r="K51" s="6">
        <v>4</v>
      </c>
      <c r="L51" s="6"/>
      <c r="M51" s="6"/>
      <c r="N51" s="6">
        <v>4</v>
      </c>
      <c r="P51" s="9" t="s">
        <v>113</v>
      </c>
      <c r="Q51" s="18">
        <v>1</v>
      </c>
      <c r="R51" s="18">
        <v>0</v>
      </c>
      <c r="S51" s="10">
        <v>1</v>
      </c>
    </row>
    <row r="52" spans="4:19" x14ac:dyDescent="0.25">
      <c r="D52" s="5"/>
      <c r="E52" s="6"/>
      <c r="J52" s="9" t="s">
        <v>114</v>
      </c>
      <c r="K52" s="6">
        <v>1</v>
      </c>
      <c r="L52" s="6"/>
      <c r="M52" s="6"/>
      <c r="N52" s="6">
        <v>1</v>
      </c>
      <c r="P52" s="9" t="s">
        <v>114</v>
      </c>
      <c r="Q52" s="18">
        <v>1</v>
      </c>
      <c r="R52" s="18">
        <v>0</v>
      </c>
      <c r="S52" s="10">
        <v>1</v>
      </c>
    </row>
    <row r="53" spans="4:19" x14ac:dyDescent="0.25">
      <c r="D53" s="5"/>
      <c r="E53" s="6"/>
      <c r="J53" s="9" t="s">
        <v>115</v>
      </c>
      <c r="K53" s="6">
        <v>1</v>
      </c>
      <c r="L53" s="6"/>
      <c r="M53" s="6"/>
      <c r="N53" s="6">
        <v>1</v>
      </c>
      <c r="P53" s="9" t="s">
        <v>115</v>
      </c>
      <c r="Q53" s="18">
        <v>1</v>
      </c>
      <c r="R53" s="18">
        <v>0</v>
      </c>
      <c r="S53" s="10">
        <v>1</v>
      </c>
    </row>
    <row r="54" spans="4:19" x14ac:dyDescent="0.25">
      <c r="D54" s="5"/>
      <c r="E54" s="6"/>
      <c r="J54" s="9" t="s">
        <v>116</v>
      </c>
      <c r="K54" s="6">
        <v>1</v>
      </c>
      <c r="L54" s="6"/>
      <c r="M54" s="6"/>
      <c r="N54" s="6">
        <v>1</v>
      </c>
      <c r="P54" s="9" t="s">
        <v>116</v>
      </c>
      <c r="Q54" s="18">
        <v>1</v>
      </c>
      <c r="R54" s="18">
        <v>0</v>
      </c>
      <c r="S54" s="10">
        <v>1</v>
      </c>
    </row>
    <row r="55" spans="4:19" x14ac:dyDescent="0.25">
      <c r="D55" s="5"/>
      <c r="E55" s="6"/>
      <c r="J55" s="5" t="s">
        <v>49</v>
      </c>
      <c r="K55" s="6">
        <v>8</v>
      </c>
      <c r="L55" s="6"/>
      <c r="M55" s="6">
        <v>12</v>
      </c>
      <c r="N55" s="6">
        <v>20</v>
      </c>
      <c r="P55" s="5" t="s">
        <v>49</v>
      </c>
      <c r="Q55" s="18">
        <v>0.95</v>
      </c>
      <c r="R55" s="18">
        <v>0.05</v>
      </c>
      <c r="S55" s="10">
        <v>1</v>
      </c>
    </row>
    <row r="56" spans="4:19" x14ac:dyDescent="0.25">
      <c r="D56" s="5"/>
      <c r="E56" s="6"/>
      <c r="J56" s="9" t="s">
        <v>72</v>
      </c>
      <c r="K56" s="6"/>
      <c r="L56" s="6"/>
      <c r="M56" s="6">
        <v>12</v>
      </c>
      <c r="N56" s="6">
        <v>12</v>
      </c>
      <c r="P56" s="9" t="s">
        <v>72</v>
      </c>
      <c r="Q56" s="18">
        <v>1</v>
      </c>
      <c r="R56" s="18">
        <v>0</v>
      </c>
      <c r="S56" s="10">
        <v>1</v>
      </c>
    </row>
    <row r="57" spans="4:19" x14ac:dyDescent="0.25">
      <c r="D57" s="5"/>
      <c r="E57" s="6"/>
      <c r="J57" s="9" t="s">
        <v>124</v>
      </c>
      <c r="K57" s="6">
        <v>1</v>
      </c>
      <c r="L57" s="6"/>
      <c r="M57" s="6"/>
      <c r="N57" s="6">
        <v>1</v>
      </c>
      <c r="P57" s="9" t="s">
        <v>124</v>
      </c>
      <c r="Q57" s="18">
        <v>1</v>
      </c>
      <c r="R57" s="18">
        <v>0</v>
      </c>
      <c r="S57" s="10">
        <v>1</v>
      </c>
    </row>
    <row r="58" spans="4:19" x14ac:dyDescent="0.25">
      <c r="D58" s="5"/>
      <c r="E58" s="6"/>
      <c r="J58" s="9" t="s">
        <v>125</v>
      </c>
      <c r="K58" s="6">
        <v>1</v>
      </c>
      <c r="L58" s="6"/>
      <c r="M58" s="6"/>
      <c r="N58" s="6">
        <v>1</v>
      </c>
      <c r="P58" s="9" t="s">
        <v>125</v>
      </c>
      <c r="Q58" s="18">
        <v>0</v>
      </c>
      <c r="R58" s="18">
        <v>1</v>
      </c>
      <c r="S58" s="10">
        <v>1</v>
      </c>
    </row>
    <row r="59" spans="4:19" x14ac:dyDescent="0.25">
      <c r="D59" s="5"/>
      <c r="E59" s="6"/>
      <c r="J59" s="9" t="s">
        <v>126</v>
      </c>
      <c r="K59" s="6">
        <v>2</v>
      </c>
      <c r="L59" s="6"/>
      <c r="M59" s="6"/>
      <c r="N59" s="6">
        <v>2</v>
      </c>
      <c r="P59" s="9" t="s">
        <v>126</v>
      </c>
      <c r="Q59" s="18">
        <v>1</v>
      </c>
      <c r="R59" s="18">
        <v>0</v>
      </c>
      <c r="S59" s="10">
        <v>1</v>
      </c>
    </row>
    <row r="60" spans="4:19" x14ac:dyDescent="0.25">
      <c r="D60" s="5"/>
      <c r="E60" s="6"/>
      <c r="J60" s="9" t="s">
        <v>127</v>
      </c>
      <c r="K60" s="6">
        <v>1</v>
      </c>
      <c r="L60" s="6"/>
      <c r="M60" s="6"/>
      <c r="N60" s="6">
        <v>1</v>
      </c>
      <c r="P60" s="9" t="s">
        <v>127</v>
      </c>
      <c r="Q60" s="18">
        <v>1</v>
      </c>
      <c r="R60" s="18">
        <v>0</v>
      </c>
      <c r="S60" s="10">
        <v>1</v>
      </c>
    </row>
    <row r="61" spans="4:19" x14ac:dyDescent="0.25">
      <c r="D61" s="5"/>
      <c r="E61" s="6"/>
      <c r="J61" s="9" t="s">
        <v>128</v>
      </c>
      <c r="K61" s="6">
        <v>2</v>
      </c>
      <c r="L61" s="6"/>
      <c r="M61" s="6"/>
      <c r="N61" s="6">
        <v>2</v>
      </c>
      <c r="P61" s="9" t="s">
        <v>128</v>
      </c>
      <c r="Q61" s="18">
        <v>1</v>
      </c>
      <c r="R61" s="18">
        <v>0</v>
      </c>
      <c r="S61" s="10">
        <v>1</v>
      </c>
    </row>
    <row r="62" spans="4:19" x14ac:dyDescent="0.25">
      <c r="D62" s="5"/>
      <c r="E62" s="6"/>
      <c r="J62" s="9" t="s">
        <v>129</v>
      </c>
      <c r="K62" s="6">
        <v>1</v>
      </c>
      <c r="L62" s="6"/>
      <c r="M62" s="6"/>
      <c r="N62" s="6">
        <v>1</v>
      </c>
      <c r="P62" s="9" t="s">
        <v>129</v>
      </c>
      <c r="Q62" s="18">
        <v>1</v>
      </c>
      <c r="R62" s="18">
        <v>0</v>
      </c>
      <c r="S62" s="10">
        <v>1</v>
      </c>
    </row>
    <row r="63" spans="4:19" x14ac:dyDescent="0.25">
      <c r="D63" s="5"/>
      <c r="E63" s="6"/>
      <c r="J63" s="5" t="s">
        <v>56</v>
      </c>
      <c r="K63" s="6">
        <v>3</v>
      </c>
      <c r="L63" s="6">
        <v>8</v>
      </c>
      <c r="M63" s="6">
        <v>6</v>
      </c>
      <c r="N63" s="6">
        <v>17</v>
      </c>
      <c r="P63" s="5" t="s">
        <v>56</v>
      </c>
      <c r="Q63" s="18">
        <v>0.88235294117647056</v>
      </c>
      <c r="R63" s="18">
        <v>0.11764705882352941</v>
      </c>
      <c r="S63" s="10">
        <v>1</v>
      </c>
    </row>
    <row r="64" spans="4:19" x14ac:dyDescent="0.25">
      <c r="D64" s="5"/>
      <c r="E64" s="6"/>
      <c r="J64" s="9" t="s">
        <v>72</v>
      </c>
      <c r="K64" s="6"/>
      <c r="L64" s="6"/>
      <c r="M64" s="6">
        <v>6</v>
      </c>
      <c r="N64" s="6">
        <v>6</v>
      </c>
      <c r="P64" s="9" t="s">
        <v>72</v>
      </c>
      <c r="Q64" s="18">
        <v>1</v>
      </c>
      <c r="R64" s="18">
        <v>0</v>
      </c>
      <c r="S64" s="10">
        <v>1</v>
      </c>
    </row>
    <row r="65" spans="4:19" x14ac:dyDescent="0.25">
      <c r="D65" s="5"/>
      <c r="E65" s="6"/>
      <c r="J65" s="9" t="s">
        <v>100</v>
      </c>
      <c r="K65" s="6"/>
      <c r="L65" s="6">
        <v>2</v>
      </c>
      <c r="M65" s="6"/>
      <c r="N65" s="6">
        <v>2</v>
      </c>
      <c r="P65" s="9" t="s">
        <v>100</v>
      </c>
      <c r="Q65" s="18">
        <v>0</v>
      </c>
      <c r="R65" s="18">
        <v>1</v>
      </c>
      <c r="S65" s="10">
        <v>1</v>
      </c>
    </row>
    <row r="66" spans="4:19" x14ac:dyDescent="0.25">
      <c r="D66" s="5"/>
      <c r="E66" s="6"/>
      <c r="J66" s="9" t="s">
        <v>101</v>
      </c>
      <c r="K66" s="6">
        <v>1</v>
      </c>
      <c r="L66" s="6"/>
      <c r="M66" s="6"/>
      <c r="N66" s="6">
        <v>1</v>
      </c>
      <c r="P66" s="9" t="s">
        <v>101</v>
      </c>
      <c r="Q66" s="18">
        <v>1</v>
      </c>
      <c r="R66" s="18">
        <v>0</v>
      </c>
      <c r="S66" s="10">
        <v>1</v>
      </c>
    </row>
    <row r="67" spans="4:19" x14ac:dyDescent="0.25">
      <c r="D67" s="5"/>
      <c r="E67" s="6"/>
      <c r="J67" s="9" t="s">
        <v>102</v>
      </c>
      <c r="K67" s="6"/>
      <c r="L67" s="6">
        <v>3</v>
      </c>
      <c r="M67" s="6"/>
      <c r="N67" s="6">
        <v>3</v>
      </c>
      <c r="P67" s="9" t="s">
        <v>102</v>
      </c>
      <c r="Q67" s="18">
        <v>1</v>
      </c>
      <c r="R67" s="18">
        <v>0</v>
      </c>
      <c r="S67" s="10">
        <v>1</v>
      </c>
    </row>
    <row r="68" spans="4:19" x14ac:dyDescent="0.25">
      <c r="D68" s="5"/>
      <c r="E68" s="6"/>
      <c r="J68" s="9" t="s">
        <v>103</v>
      </c>
      <c r="K68" s="6"/>
      <c r="L68" s="6">
        <v>1</v>
      </c>
      <c r="M68" s="6"/>
      <c r="N68" s="6">
        <v>1</v>
      </c>
      <c r="P68" s="9" t="s">
        <v>103</v>
      </c>
      <c r="Q68" s="18">
        <v>1</v>
      </c>
      <c r="R68" s="18">
        <v>0</v>
      </c>
      <c r="S68" s="10">
        <v>1</v>
      </c>
    </row>
    <row r="69" spans="4:19" x14ac:dyDescent="0.25">
      <c r="D69" s="5"/>
      <c r="E69" s="6"/>
      <c r="J69" s="9" t="s">
        <v>104</v>
      </c>
      <c r="K69" s="6">
        <v>1</v>
      </c>
      <c r="L69" s="6"/>
      <c r="M69" s="6"/>
      <c r="N69" s="6">
        <v>1</v>
      </c>
      <c r="P69" s="9" t="s">
        <v>104</v>
      </c>
      <c r="Q69" s="18">
        <v>1</v>
      </c>
      <c r="R69" s="18">
        <v>0</v>
      </c>
      <c r="S69" s="10">
        <v>1</v>
      </c>
    </row>
    <row r="70" spans="4:19" x14ac:dyDescent="0.25">
      <c r="D70" s="5"/>
      <c r="E70" s="6"/>
      <c r="J70" s="9" t="s">
        <v>105</v>
      </c>
      <c r="K70" s="6"/>
      <c r="L70" s="6">
        <v>1</v>
      </c>
      <c r="M70" s="6"/>
      <c r="N70" s="6">
        <v>1</v>
      </c>
      <c r="P70" s="9" t="s">
        <v>105</v>
      </c>
      <c r="Q70" s="18">
        <v>1</v>
      </c>
      <c r="R70" s="18">
        <v>0</v>
      </c>
      <c r="S70" s="10">
        <v>1</v>
      </c>
    </row>
    <row r="71" spans="4:19" x14ac:dyDescent="0.25">
      <c r="D71" s="5"/>
      <c r="E71" s="6"/>
      <c r="J71" s="9" t="s">
        <v>106</v>
      </c>
      <c r="K71" s="6"/>
      <c r="L71" s="6">
        <v>1</v>
      </c>
      <c r="M71" s="6"/>
      <c r="N71" s="6">
        <v>1</v>
      </c>
      <c r="P71" s="9" t="s">
        <v>106</v>
      </c>
      <c r="Q71" s="18">
        <v>1</v>
      </c>
      <c r="R71" s="18">
        <v>0</v>
      </c>
      <c r="S71" s="10">
        <v>1</v>
      </c>
    </row>
    <row r="72" spans="4:19" x14ac:dyDescent="0.25">
      <c r="D72" s="5"/>
      <c r="E72" s="6"/>
      <c r="J72" s="9" t="s">
        <v>107</v>
      </c>
      <c r="K72" s="6">
        <v>1</v>
      </c>
      <c r="L72" s="6"/>
      <c r="M72" s="6"/>
      <c r="N72" s="6">
        <v>1</v>
      </c>
      <c r="P72" s="9" t="s">
        <v>107</v>
      </c>
      <c r="Q72" s="18">
        <v>1</v>
      </c>
      <c r="R72" s="18">
        <v>0</v>
      </c>
      <c r="S72" s="10">
        <v>1</v>
      </c>
    </row>
    <row r="73" spans="4:19" x14ac:dyDescent="0.25">
      <c r="D73" s="5"/>
      <c r="E73" s="6"/>
      <c r="J73" s="5" t="s">
        <v>53</v>
      </c>
      <c r="K73" s="6">
        <v>6</v>
      </c>
      <c r="L73" s="6">
        <v>1</v>
      </c>
      <c r="M73" s="6">
        <v>8</v>
      </c>
      <c r="N73" s="6">
        <v>15</v>
      </c>
      <c r="P73" s="5" t="s">
        <v>53</v>
      </c>
      <c r="Q73" s="18">
        <v>0.93333333333333335</v>
      </c>
      <c r="R73" s="18">
        <v>6.6666666666666666E-2</v>
      </c>
      <c r="S73" s="10">
        <v>1</v>
      </c>
    </row>
    <row r="74" spans="4:19" x14ac:dyDescent="0.25">
      <c r="D74" s="5"/>
      <c r="E74" s="6"/>
      <c r="J74" s="9" t="s">
        <v>72</v>
      </c>
      <c r="K74" s="6"/>
      <c r="L74" s="6"/>
      <c r="M74" s="6">
        <v>8</v>
      </c>
      <c r="N74" s="6">
        <v>8</v>
      </c>
      <c r="P74" s="9" t="s">
        <v>72</v>
      </c>
      <c r="Q74" s="18">
        <v>1</v>
      </c>
      <c r="R74" s="18">
        <v>0</v>
      </c>
      <c r="S74" s="10">
        <v>1</v>
      </c>
    </row>
    <row r="75" spans="4:19" x14ac:dyDescent="0.25">
      <c r="D75" s="5"/>
      <c r="E75" s="6"/>
      <c r="J75" s="9" t="s">
        <v>130</v>
      </c>
      <c r="K75" s="6">
        <v>1</v>
      </c>
      <c r="L75" s="6"/>
      <c r="M75" s="6"/>
      <c r="N75" s="6">
        <v>1</v>
      </c>
      <c r="P75" s="9" t="s">
        <v>130</v>
      </c>
      <c r="Q75" s="18">
        <v>1</v>
      </c>
      <c r="R75" s="18">
        <v>0</v>
      </c>
      <c r="S75" s="10">
        <v>1</v>
      </c>
    </row>
    <row r="76" spans="4:19" x14ac:dyDescent="0.25">
      <c r="D76" s="5"/>
      <c r="E76" s="6"/>
      <c r="J76" s="9" t="s">
        <v>131</v>
      </c>
      <c r="K76" s="6"/>
      <c r="L76" s="6">
        <v>1</v>
      </c>
      <c r="M76" s="6"/>
      <c r="N76" s="6">
        <v>1</v>
      </c>
      <c r="P76" s="9" t="s">
        <v>131</v>
      </c>
      <c r="Q76" s="18">
        <v>1</v>
      </c>
      <c r="R76" s="18">
        <v>0</v>
      </c>
      <c r="S76" s="10">
        <v>1</v>
      </c>
    </row>
    <row r="77" spans="4:19" x14ac:dyDescent="0.25">
      <c r="D77" s="5"/>
      <c r="E77" s="6"/>
      <c r="J77" s="9" t="s">
        <v>132</v>
      </c>
      <c r="K77" s="6">
        <v>2</v>
      </c>
      <c r="L77" s="6"/>
      <c r="M77" s="6"/>
      <c r="N77" s="6">
        <v>2</v>
      </c>
      <c r="P77" s="9" t="s">
        <v>132</v>
      </c>
      <c r="Q77" s="18">
        <v>1</v>
      </c>
      <c r="R77" s="18">
        <v>0</v>
      </c>
      <c r="S77" s="10">
        <v>1</v>
      </c>
    </row>
    <row r="78" spans="4:19" x14ac:dyDescent="0.25">
      <c r="D78" s="5"/>
      <c r="E78" s="6"/>
      <c r="J78" s="9" t="s">
        <v>133</v>
      </c>
      <c r="K78" s="6">
        <v>2</v>
      </c>
      <c r="L78" s="6"/>
      <c r="M78" s="6"/>
      <c r="N78" s="6">
        <v>2</v>
      </c>
      <c r="P78" s="9" t="s">
        <v>133</v>
      </c>
      <c r="Q78" s="18">
        <v>1</v>
      </c>
      <c r="R78" s="18">
        <v>0</v>
      </c>
      <c r="S78" s="10">
        <v>1</v>
      </c>
    </row>
    <row r="79" spans="4:19" x14ac:dyDescent="0.25">
      <c r="D79" s="5"/>
      <c r="E79" s="6"/>
      <c r="J79" s="9" t="s">
        <v>134</v>
      </c>
      <c r="K79" s="6">
        <v>1</v>
      </c>
      <c r="L79" s="6"/>
      <c r="M79" s="6"/>
      <c r="N79" s="6">
        <v>1</v>
      </c>
      <c r="P79" s="9" t="s">
        <v>134</v>
      </c>
      <c r="Q79" s="18">
        <v>0</v>
      </c>
      <c r="R79" s="18">
        <v>1</v>
      </c>
      <c r="S79" s="10">
        <v>1</v>
      </c>
    </row>
    <row r="80" spans="4:19" x14ac:dyDescent="0.25">
      <c r="D80" s="5"/>
      <c r="E80" s="6"/>
      <c r="J80" s="5" t="s">
        <v>55</v>
      </c>
      <c r="K80" s="6"/>
      <c r="L80" s="6">
        <v>8</v>
      </c>
      <c r="M80" s="6">
        <v>5</v>
      </c>
      <c r="N80" s="6">
        <v>13</v>
      </c>
      <c r="P80" s="5" t="s">
        <v>55</v>
      </c>
      <c r="Q80" s="18">
        <v>0.84615384615384615</v>
      </c>
      <c r="R80" s="18">
        <v>0.15384615384615385</v>
      </c>
      <c r="S80" s="10">
        <v>1</v>
      </c>
    </row>
    <row r="81" spans="4:19" x14ac:dyDescent="0.25">
      <c r="D81" s="5"/>
      <c r="E81" s="6"/>
      <c r="J81" s="9" t="s">
        <v>135</v>
      </c>
      <c r="K81" s="6"/>
      <c r="L81" s="6">
        <v>2</v>
      </c>
      <c r="M81" s="6"/>
      <c r="N81" s="6">
        <v>2</v>
      </c>
      <c r="P81" s="9" t="s">
        <v>135</v>
      </c>
      <c r="Q81" s="18">
        <v>0</v>
      </c>
      <c r="R81" s="18">
        <v>1</v>
      </c>
      <c r="S81" s="10">
        <v>1</v>
      </c>
    </row>
    <row r="82" spans="4:19" x14ac:dyDescent="0.25">
      <c r="D82" s="5"/>
      <c r="E82" s="6"/>
      <c r="J82" s="9" t="s">
        <v>136</v>
      </c>
      <c r="K82" s="6"/>
      <c r="L82" s="6"/>
      <c r="M82" s="6">
        <v>3</v>
      </c>
      <c r="N82" s="6">
        <v>3</v>
      </c>
      <c r="P82" s="9" t="s">
        <v>136</v>
      </c>
      <c r="Q82" s="18">
        <v>1</v>
      </c>
      <c r="R82" s="18">
        <v>0</v>
      </c>
      <c r="S82" s="10">
        <v>1</v>
      </c>
    </row>
    <row r="83" spans="4:19" x14ac:dyDescent="0.25">
      <c r="D83" s="5"/>
      <c r="E83" s="6"/>
      <c r="J83" s="9" t="s">
        <v>137</v>
      </c>
      <c r="K83" s="6"/>
      <c r="L83" s="6">
        <v>3</v>
      </c>
      <c r="M83" s="6"/>
      <c r="N83" s="6">
        <v>3</v>
      </c>
      <c r="P83" s="9" t="s">
        <v>137</v>
      </c>
      <c r="Q83" s="18">
        <v>1</v>
      </c>
      <c r="R83" s="18">
        <v>0</v>
      </c>
      <c r="S83" s="10">
        <v>1</v>
      </c>
    </row>
    <row r="84" spans="4:19" x14ac:dyDescent="0.25">
      <c r="D84" s="5"/>
      <c r="E84" s="6"/>
      <c r="J84" s="9" t="s">
        <v>138</v>
      </c>
      <c r="K84" s="6"/>
      <c r="L84" s="6"/>
      <c r="M84" s="6">
        <v>1</v>
      </c>
      <c r="N84" s="6">
        <v>1</v>
      </c>
      <c r="P84" s="9" t="s">
        <v>138</v>
      </c>
      <c r="Q84" s="18">
        <v>1</v>
      </c>
      <c r="R84" s="18">
        <v>0</v>
      </c>
      <c r="S84" s="10">
        <v>1</v>
      </c>
    </row>
    <row r="85" spans="4:19" x14ac:dyDescent="0.25">
      <c r="D85" s="5"/>
      <c r="E85" s="6"/>
      <c r="J85" s="9" t="s">
        <v>139</v>
      </c>
      <c r="K85" s="6"/>
      <c r="L85" s="6">
        <v>2</v>
      </c>
      <c r="M85" s="6"/>
      <c r="N85" s="6">
        <v>2</v>
      </c>
      <c r="P85" s="9" t="s">
        <v>139</v>
      </c>
      <c r="Q85" s="18">
        <v>1</v>
      </c>
      <c r="R85" s="18">
        <v>0</v>
      </c>
      <c r="S85" s="10">
        <v>1</v>
      </c>
    </row>
    <row r="86" spans="4:19" x14ac:dyDescent="0.25">
      <c r="D86" s="5"/>
      <c r="E86" s="6"/>
      <c r="J86" s="9" t="s">
        <v>140</v>
      </c>
      <c r="K86" s="6"/>
      <c r="L86" s="6"/>
      <c r="M86" s="6">
        <v>1</v>
      </c>
      <c r="N86" s="6">
        <v>1</v>
      </c>
      <c r="P86" s="9" t="s">
        <v>140</v>
      </c>
      <c r="Q86" s="18">
        <v>1</v>
      </c>
      <c r="R86" s="18">
        <v>0</v>
      </c>
      <c r="S86" s="10">
        <v>1</v>
      </c>
    </row>
    <row r="87" spans="4:19" x14ac:dyDescent="0.25">
      <c r="D87" s="5"/>
      <c r="E87" s="6"/>
      <c r="J87" s="9" t="s">
        <v>141</v>
      </c>
      <c r="K87" s="6"/>
      <c r="L87" s="6">
        <v>1</v>
      </c>
      <c r="M87" s="6"/>
      <c r="N87" s="6">
        <v>1</v>
      </c>
      <c r="P87" s="9" t="s">
        <v>141</v>
      </c>
      <c r="Q87" s="18">
        <v>1</v>
      </c>
      <c r="R87" s="18">
        <v>0</v>
      </c>
      <c r="S87" s="10">
        <v>1</v>
      </c>
    </row>
    <row r="88" spans="4:19" x14ac:dyDescent="0.25">
      <c r="D88" s="5"/>
      <c r="E88" s="6"/>
      <c r="J88" s="5" t="s">
        <v>154</v>
      </c>
      <c r="K88" s="6"/>
      <c r="L88" s="6">
        <v>4</v>
      </c>
      <c r="M88" s="6">
        <v>5</v>
      </c>
      <c r="N88" s="6">
        <v>9</v>
      </c>
      <c r="P88" s="5" t="s">
        <v>154</v>
      </c>
      <c r="Q88" s="18">
        <v>0.88888888888888884</v>
      </c>
      <c r="R88" s="18">
        <v>0.1111111111111111</v>
      </c>
      <c r="S88" s="10">
        <v>1</v>
      </c>
    </row>
    <row r="89" spans="4:19" x14ac:dyDescent="0.25">
      <c r="D89" s="5"/>
      <c r="E89" s="6"/>
      <c r="J89" s="9" t="s">
        <v>155</v>
      </c>
      <c r="K89" s="6"/>
      <c r="L89" s="6"/>
      <c r="M89" s="6">
        <v>5</v>
      </c>
      <c r="N89" s="6">
        <v>5</v>
      </c>
      <c r="P89" s="9" t="s">
        <v>155</v>
      </c>
      <c r="Q89" s="18">
        <v>1</v>
      </c>
      <c r="R89" s="18">
        <v>0</v>
      </c>
      <c r="S89" s="10">
        <v>1</v>
      </c>
    </row>
    <row r="90" spans="4:19" x14ac:dyDescent="0.25">
      <c r="D90" s="5"/>
      <c r="E90" s="6"/>
      <c r="J90" s="9" t="s">
        <v>156</v>
      </c>
      <c r="K90" s="6"/>
      <c r="L90" s="6">
        <v>4</v>
      </c>
      <c r="M90" s="6"/>
      <c r="N90" s="6">
        <v>4</v>
      </c>
      <c r="P90" s="9" t="s">
        <v>156</v>
      </c>
      <c r="Q90" s="18">
        <v>0.75</v>
      </c>
      <c r="R90" s="18">
        <v>0.25</v>
      </c>
      <c r="S90" s="10">
        <v>1</v>
      </c>
    </row>
    <row r="91" spans="4:19" x14ac:dyDescent="0.25">
      <c r="D91" s="5"/>
      <c r="E91" s="6"/>
      <c r="J91" s="5" t="s">
        <v>142</v>
      </c>
      <c r="K91" s="6"/>
      <c r="L91" s="6">
        <v>8</v>
      </c>
      <c r="M91" s="6"/>
      <c r="N91" s="6">
        <v>8</v>
      </c>
      <c r="P91" s="5" t="s">
        <v>142</v>
      </c>
      <c r="Q91" s="18">
        <v>1</v>
      </c>
      <c r="R91" s="18">
        <v>0</v>
      </c>
      <c r="S91" s="10">
        <v>1</v>
      </c>
    </row>
    <row r="92" spans="4:19" x14ac:dyDescent="0.25">
      <c r="D92" s="5"/>
      <c r="E92" s="6"/>
      <c r="J92" s="9" t="s">
        <v>143</v>
      </c>
      <c r="K92" s="6"/>
      <c r="L92" s="6">
        <v>7</v>
      </c>
      <c r="M92" s="6"/>
      <c r="N92" s="6">
        <v>7</v>
      </c>
      <c r="P92" s="9" t="s">
        <v>143</v>
      </c>
      <c r="Q92" s="18">
        <v>1</v>
      </c>
      <c r="R92" s="18">
        <v>0</v>
      </c>
      <c r="S92" s="10">
        <v>1</v>
      </c>
    </row>
    <row r="93" spans="4:19" x14ac:dyDescent="0.25">
      <c r="D93" s="5"/>
      <c r="E93" s="6"/>
      <c r="J93" s="9" t="s">
        <v>144</v>
      </c>
      <c r="K93" s="6"/>
      <c r="L93" s="6">
        <v>1</v>
      </c>
      <c r="M93" s="6"/>
      <c r="N93" s="6">
        <v>1</v>
      </c>
      <c r="P93" s="9" t="s">
        <v>144</v>
      </c>
      <c r="Q93" s="18">
        <v>1</v>
      </c>
      <c r="R93" s="18">
        <v>0</v>
      </c>
      <c r="S93" s="10">
        <v>1</v>
      </c>
    </row>
    <row r="94" spans="4:19" x14ac:dyDescent="0.25">
      <c r="D94" s="5"/>
      <c r="E94" s="6"/>
      <c r="J94" s="5" t="s">
        <v>163</v>
      </c>
      <c r="K94" s="6"/>
      <c r="L94" s="6"/>
      <c r="M94" s="6">
        <v>7</v>
      </c>
      <c r="N94" s="6">
        <v>7</v>
      </c>
      <c r="P94" s="5" t="s">
        <v>163</v>
      </c>
      <c r="Q94" s="18">
        <v>0.8571428571428571</v>
      </c>
      <c r="R94" s="18">
        <v>0.14285714285714285</v>
      </c>
      <c r="S94" s="10">
        <v>1</v>
      </c>
    </row>
    <row r="95" spans="4:19" x14ac:dyDescent="0.25">
      <c r="D95" s="5"/>
      <c r="E95" s="6"/>
      <c r="J95" s="9" t="s">
        <v>164</v>
      </c>
      <c r="K95" s="6"/>
      <c r="L95" s="6"/>
      <c r="M95" s="6">
        <v>1</v>
      </c>
      <c r="N95" s="6">
        <v>1</v>
      </c>
      <c r="P95" s="9" t="s">
        <v>164</v>
      </c>
      <c r="Q95" s="18">
        <v>0</v>
      </c>
      <c r="R95" s="18">
        <v>1</v>
      </c>
      <c r="S95" s="10">
        <v>1</v>
      </c>
    </row>
    <row r="96" spans="4:19" x14ac:dyDescent="0.25">
      <c r="D96" s="5"/>
      <c r="E96" s="6"/>
      <c r="J96" s="9" t="s">
        <v>165</v>
      </c>
      <c r="K96" s="6"/>
      <c r="L96" s="6"/>
      <c r="M96" s="6">
        <v>6</v>
      </c>
      <c r="N96" s="6">
        <v>6</v>
      </c>
      <c r="P96" s="9" t="s">
        <v>165</v>
      </c>
      <c r="Q96" s="18">
        <v>1</v>
      </c>
      <c r="R96" s="18">
        <v>0</v>
      </c>
      <c r="S96" s="10">
        <v>1</v>
      </c>
    </row>
    <row r="97" spans="4:19" x14ac:dyDescent="0.25">
      <c r="D97" s="5"/>
      <c r="E97" s="6"/>
      <c r="J97" s="5" t="s">
        <v>150</v>
      </c>
      <c r="K97" s="6"/>
      <c r="L97" s="6"/>
      <c r="M97" s="6">
        <v>6</v>
      </c>
      <c r="N97" s="6">
        <v>6</v>
      </c>
      <c r="P97" s="5" t="s">
        <v>150</v>
      </c>
      <c r="Q97" s="18">
        <v>1</v>
      </c>
      <c r="R97" s="18">
        <v>0</v>
      </c>
      <c r="S97" s="10">
        <v>1</v>
      </c>
    </row>
    <row r="98" spans="4:19" x14ac:dyDescent="0.25">
      <c r="D98" s="5"/>
      <c r="E98" s="6"/>
      <c r="J98" s="9" t="s">
        <v>151</v>
      </c>
      <c r="K98" s="6"/>
      <c r="L98" s="6"/>
      <c r="M98" s="6">
        <v>3</v>
      </c>
      <c r="N98" s="6">
        <v>3</v>
      </c>
      <c r="P98" s="9" t="s">
        <v>151</v>
      </c>
      <c r="Q98" s="18">
        <v>1</v>
      </c>
      <c r="R98" s="18">
        <v>0</v>
      </c>
      <c r="S98" s="10">
        <v>1</v>
      </c>
    </row>
    <row r="99" spans="4:19" x14ac:dyDescent="0.25">
      <c r="D99" s="5"/>
      <c r="E99" s="6"/>
      <c r="J99" s="9" t="s">
        <v>152</v>
      </c>
      <c r="K99" s="6"/>
      <c r="L99" s="6"/>
      <c r="M99" s="6">
        <v>2</v>
      </c>
      <c r="N99" s="6">
        <v>2</v>
      </c>
      <c r="P99" s="9" t="s">
        <v>152</v>
      </c>
      <c r="Q99" s="18">
        <v>1</v>
      </c>
      <c r="R99" s="18">
        <v>0</v>
      </c>
      <c r="S99" s="10">
        <v>1</v>
      </c>
    </row>
    <row r="100" spans="4:19" x14ac:dyDescent="0.25">
      <c r="D100" s="5"/>
      <c r="E100" s="6"/>
      <c r="J100" s="9" t="s">
        <v>153</v>
      </c>
      <c r="K100" s="6"/>
      <c r="L100" s="6"/>
      <c r="M100" s="6">
        <v>1</v>
      </c>
      <c r="N100" s="6">
        <v>1</v>
      </c>
      <c r="P100" s="9" t="s">
        <v>153</v>
      </c>
      <c r="Q100" s="18">
        <v>1</v>
      </c>
      <c r="R100" s="18">
        <v>0</v>
      </c>
      <c r="S100" s="10">
        <v>1</v>
      </c>
    </row>
    <row r="101" spans="4:19" x14ac:dyDescent="0.25">
      <c r="D101" s="5"/>
      <c r="E101" s="6"/>
      <c r="J101" s="5" t="s">
        <v>58</v>
      </c>
      <c r="K101" s="6"/>
      <c r="L101" s="6"/>
      <c r="M101" s="6">
        <v>5</v>
      </c>
      <c r="N101" s="6">
        <v>5</v>
      </c>
      <c r="P101" s="5" t="s">
        <v>58</v>
      </c>
      <c r="Q101" s="18">
        <v>1</v>
      </c>
      <c r="R101" s="18">
        <v>0</v>
      </c>
      <c r="S101" s="10">
        <v>1</v>
      </c>
    </row>
    <row r="102" spans="4:19" x14ac:dyDescent="0.25">
      <c r="D102" s="5"/>
      <c r="E102" s="6"/>
      <c r="J102" s="9" t="s">
        <v>148</v>
      </c>
      <c r="K102" s="6"/>
      <c r="L102" s="6"/>
      <c r="M102" s="6">
        <v>2</v>
      </c>
      <c r="N102" s="6">
        <v>2</v>
      </c>
      <c r="P102" s="9" t="s">
        <v>148</v>
      </c>
      <c r="Q102" s="18">
        <v>1</v>
      </c>
      <c r="R102" s="18">
        <v>0</v>
      </c>
      <c r="S102" s="10">
        <v>1</v>
      </c>
    </row>
    <row r="103" spans="4:19" x14ac:dyDescent="0.25">
      <c r="D103" s="5"/>
      <c r="E103" s="6"/>
      <c r="J103" s="9" t="s">
        <v>149</v>
      </c>
      <c r="K103" s="6"/>
      <c r="L103" s="6"/>
      <c r="M103" s="6">
        <v>3</v>
      </c>
      <c r="N103" s="6">
        <v>3</v>
      </c>
      <c r="P103" s="9" t="s">
        <v>149</v>
      </c>
      <c r="Q103" s="18">
        <v>1</v>
      </c>
      <c r="R103" s="18">
        <v>0</v>
      </c>
      <c r="S103" s="10">
        <v>1</v>
      </c>
    </row>
    <row r="104" spans="4:19" x14ac:dyDescent="0.25">
      <c r="D104" s="5"/>
      <c r="E104" s="6"/>
      <c r="J104" s="5" t="s">
        <v>166</v>
      </c>
      <c r="K104" s="6"/>
      <c r="L104" s="6"/>
      <c r="M104" s="6">
        <v>5</v>
      </c>
      <c r="N104" s="6">
        <v>5</v>
      </c>
      <c r="P104" s="5" t="s">
        <v>166</v>
      </c>
      <c r="Q104" s="18">
        <v>1</v>
      </c>
      <c r="R104" s="18">
        <v>0</v>
      </c>
      <c r="S104" s="10">
        <v>1</v>
      </c>
    </row>
    <row r="105" spans="4:19" x14ac:dyDescent="0.25">
      <c r="D105" s="5"/>
      <c r="E105" s="6"/>
      <c r="J105" s="9" t="s">
        <v>167</v>
      </c>
      <c r="K105" s="6"/>
      <c r="L105" s="6"/>
      <c r="M105" s="6">
        <v>5</v>
      </c>
      <c r="N105" s="6">
        <v>5</v>
      </c>
      <c r="P105" s="9" t="s">
        <v>167</v>
      </c>
      <c r="Q105" s="18">
        <v>1</v>
      </c>
      <c r="R105" s="18">
        <v>0</v>
      </c>
      <c r="S105" s="10">
        <v>1</v>
      </c>
    </row>
    <row r="106" spans="4:19" x14ac:dyDescent="0.25">
      <c r="D106" s="5"/>
      <c r="E106" s="6"/>
      <c r="J106" s="5" t="s">
        <v>157</v>
      </c>
      <c r="K106" s="6"/>
      <c r="L106" s="6">
        <v>3</v>
      </c>
      <c r="M106" s="6">
        <v>1</v>
      </c>
      <c r="N106" s="6">
        <v>4</v>
      </c>
      <c r="P106" s="5" t="s">
        <v>157</v>
      </c>
      <c r="Q106" s="18">
        <v>1</v>
      </c>
      <c r="R106" s="18">
        <v>0</v>
      </c>
      <c r="S106" s="10">
        <v>1</v>
      </c>
    </row>
    <row r="107" spans="4:19" x14ac:dyDescent="0.25">
      <c r="D107" s="5"/>
      <c r="E107" s="6"/>
      <c r="J107" s="9" t="s">
        <v>158</v>
      </c>
      <c r="K107" s="6"/>
      <c r="L107" s="6">
        <v>3</v>
      </c>
      <c r="M107" s="6"/>
      <c r="N107" s="6">
        <v>3</v>
      </c>
      <c r="P107" s="9" t="s">
        <v>158</v>
      </c>
      <c r="Q107" s="18">
        <v>1</v>
      </c>
      <c r="R107" s="18">
        <v>0</v>
      </c>
      <c r="S107" s="10">
        <v>1</v>
      </c>
    </row>
    <row r="108" spans="4:19" x14ac:dyDescent="0.25">
      <c r="D108" s="5"/>
      <c r="E108" s="6"/>
      <c r="J108" s="9" t="s">
        <v>159</v>
      </c>
      <c r="K108" s="6"/>
      <c r="L108" s="6"/>
      <c r="M108" s="6">
        <v>1</v>
      </c>
      <c r="N108" s="6">
        <v>1</v>
      </c>
      <c r="P108" s="9" t="s">
        <v>159</v>
      </c>
      <c r="Q108" s="18">
        <v>1</v>
      </c>
      <c r="R108" s="18">
        <v>0</v>
      </c>
      <c r="S108" s="10">
        <v>1</v>
      </c>
    </row>
    <row r="109" spans="4:19" x14ac:dyDescent="0.25">
      <c r="D109" s="5"/>
      <c r="E109" s="6"/>
      <c r="J109" s="5" t="s">
        <v>57</v>
      </c>
      <c r="K109" s="6"/>
      <c r="L109" s="6"/>
      <c r="M109" s="6">
        <v>4</v>
      </c>
      <c r="N109" s="6">
        <v>4</v>
      </c>
      <c r="P109" s="5" t="s">
        <v>57</v>
      </c>
      <c r="Q109" s="18">
        <v>1</v>
      </c>
      <c r="R109" s="18">
        <v>0</v>
      </c>
      <c r="S109" s="10">
        <v>1</v>
      </c>
    </row>
    <row r="110" spans="4:19" x14ac:dyDescent="0.25">
      <c r="D110" s="5"/>
      <c r="E110" s="6"/>
      <c r="J110" s="9" t="s">
        <v>161</v>
      </c>
      <c r="K110" s="6"/>
      <c r="L110" s="6"/>
      <c r="M110" s="6">
        <v>4</v>
      </c>
      <c r="N110" s="6">
        <v>4</v>
      </c>
      <c r="P110" s="9" t="s">
        <v>161</v>
      </c>
      <c r="Q110" s="18">
        <v>1</v>
      </c>
      <c r="R110" s="18">
        <v>0</v>
      </c>
      <c r="S110" s="10">
        <v>1</v>
      </c>
    </row>
    <row r="111" spans="4:19" x14ac:dyDescent="0.25">
      <c r="D111" s="5"/>
      <c r="E111" s="6"/>
      <c r="J111" s="5" t="s">
        <v>51</v>
      </c>
      <c r="K111" s="6"/>
      <c r="L111" s="6">
        <v>3</v>
      </c>
      <c r="M111" s="6"/>
      <c r="N111" s="6">
        <v>3</v>
      </c>
      <c r="P111" s="5" t="s">
        <v>51</v>
      </c>
      <c r="Q111" s="18">
        <v>1</v>
      </c>
      <c r="R111" s="18">
        <v>0</v>
      </c>
      <c r="S111" s="10">
        <v>1</v>
      </c>
    </row>
    <row r="112" spans="4:19" x14ac:dyDescent="0.25">
      <c r="D112" s="5"/>
      <c r="E112" s="6"/>
      <c r="J112" s="9" t="s">
        <v>162</v>
      </c>
      <c r="K112" s="6"/>
      <c r="L112" s="6">
        <v>3</v>
      </c>
      <c r="M112" s="6"/>
      <c r="N112" s="6">
        <v>3</v>
      </c>
      <c r="P112" s="9" t="s">
        <v>162</v>
      </c>
      <c r="Q112" s="18">
        <v>1</v>
      </c>
      <c r="R112" s="18">
        <v>0</v>
      </c>
      <c r="S112" s="10">
        <v>1</v>
      </c>
    </row>
    <row r="113" spans="4:19" x14ac:dyDescent="0.25">
      <c r="D113" s="5"/>
      <c r="E113" s="6"/>
      <c r="J113" s="5" t="s">
        <v>145</v>
      </c>
      <c r="K113" s="6"/>
      <c r="L113" s="6">
        <v>3</v>
      </c>
      <c r="M113" s="6"/>
      <c r="N113" s="6">
        <v>3</v>
      </c>
      <c r="P113" s="5" t="s">
        <v>145</v>
      </c>
      <c r="Q113" s="18">
        <v>1</v>
      </c>
      <c r="R113" s="18">
        <v>0</v>
      </c>
      <c r="S113" s="10">
        <v>1</v>
      </c>
    </row>
    <row r="114" spans="4:19" x14ac:dyDescent="0.25">
      <c r="D114" s="5"/>
      <c r="E114" s="6"/>
      <c r="J114" s="9" t="s">
        <v>146</v>
      </c>
      <c r="K114" s="6"/>
      <c r="L114" s="6">
        <v>2</v>
      </c>
      <c r="M114" s="6"/>
      <c r="N114" s="6">
        <v>2</v>
      </c>
      <c r="P114" s="9" t="s">
        <v>146</v>
      </c>
      <c r="Q114" s="18">
        <v>1</v>
      </c>
      <c r="R114" s="18">
        <v>0</v>
      </c>
      <c r="S114" s="10">
        <v>1</v>
      </c>
    </row>
    <row r="115" spans="4:19" x14ac:dyDescent="0.25">
      <c r="D115" s="5"/>
      <c r="E115" s="6"/>
      <c r="J115" s="9" t="s">
        <v>147</v>
      </c>
      <c r="K115" s="6"/>
      <c r="L115" s="6">
        <v>1</v>
      </c>
      <c r="M115" s="6"/>
      <c r="N115" s="6">
        <v>1</v>
      </c>
      <c r="P115" s="9" t="s">
        <v>147</v>
      </c>
      <c r="Q115" s="18">
        <v>1</v>
      </c>
      <c r="R115" s="18">
        <v>0</v>
      </c>
      <c r="S115" s="10">
        <v>1</v>
      </c>
    </row>
    <row r="116" spans="4:19" x14ac:dyDescent="0.25">
      <c r="D116" s="5"/>
      <c r="E116" s="6"/>
      <c r="J116" s="5" t="s">
        <v>73</v>
      </c>
      <c r="K116" s="6"/>
      <c r="L116" s="6">
        <v>3</v>
      </c>
      <c r="M116" s="6"/>
      <c r="N116" s="6">
        <v>3</v>
      </c>
      <c r="P116" s="5" t="s">
        <v>73</v>
      </c>
      <c r="Q116" s="18">
        <v>1</v>
      </c>
      <c r="R116" s="18">
        <v>0</v>
      </c>
      <c r="S116" s="10">
        <v>1</v>
      </c>
    </row>
    <row r="117" spans="4:19" x14ac:dyDescent="0.25">
      <c r="D117" s="5"/>
      <c r="E117" s="6"/>
      <c r="J117" s="9" t="s">
        <v>70</v>
      </c>
      <c r="K117" s="6"/>
      <c r="L117" s="6">
        <v>2</v>
      </c>
      <c r="M117" s="6"/>
      <c r="N117" s="6">
        <v>2</v>
      </c>
      <c r="P117" s="9" t="s">
        <v>70</v>
      </c>
      <c r="Q117" s="18">
        <v>1</v>
      </c>
      <c r="R117" s="18">
        <v>0</v>
      </c>
      <c r="S117" s="10">
        <v>1</v>
      </c>
    </row>
    <row r="118" spans="4:19" x14ac:dyDescent="0.25">
      <c r="D118" s="5"/>
      <c r="E118" s="6"/>
      <c r="J118" s="9" t="s">
        <v>160</v>
      </c>
      <c r="K118" s="6"/>
      <c r="L118" s="6">
        <v>1</v>
      </c>
      <c r="M118" s="6"/>
      <c r="N118" s="6">
        <v>1</v>
      </c>
      <c r="P118" s="9" t="s">
        <v>160</v>
      </c>
      <c r="Q118" s="18">
        <v>1</v>
      </c>
      <c r="R118" s="18">
        <v>0</v>
      </c>
      <c r="S118" s="10">
        <v>1</v>
      </c>
    </row>
    <row r="119" spans="4:19" x14ac:dyDescent="0.25">
      <c r="D119" s="5"/>
      <c r="E119" s="6"/>
      <c r="J119" s="5" t="s">
        <v>168</v>
      </c>
      <c r="K119" s="6"/>
      <c r="L119" s="6">
        <v>2</v>
      </c>
      <c r="M119" s="6"/>
      <c r="N119" s="6">
        <v>2</v>
      </c>
      <c r="P119" s="5" t="s">
        <v>168</v>
      </c>
      <c r="Q119" s="18">
        <v>0.5</v>
      </c>
      <c r="R119" s="18">
        <v>0.5</v>
      </c>
      <c r="S119" s="10">
        <v>1</v>
      </c>
    </row>
    <row r="120" spans="4:19" x14ac:dyDescent="0.25">
      <c r="D120" s="5"/>
      <c r="E120" s="6"/>
      <c r="J120" s="9" t="s">
        <v>169</v>
      </c>
      <c r="K120" s="6"/>
      <c r="L120" s="6">
        <v>2</v>
      </c>
      <c r="M120" s="6"/>
      <c r="N120" s="6">
        <v>2</v>
      </c>
      <c r="P120" s="9" t="s">
        <v>169</v>
      </c>
      <c r="Q120" s="18">
        <v>0.5</v>
      </c>
      <c r="R120" s="18">
        <v>0.5</v>
      </c>
      <c r="S120" s="10">
        <v>1</v>
      </c>
    </row>
    <row r="121" spans="4:19" x14ac:dyDescent="0.25">
      <c r="D121" s="5"/>
      <c r="E121" s="6"/>
      <c r="J121" s="5" t="s">
        <v>54</v>
      </c>
      <c r="K121" s="6"/>
      <c r="L121" s="6">
        <v>1</v>
      </c>
      <c r="M121" s="6"/>
      <c r="N121" s="6">
        <v>1</v>
      </c>
      <c r="P121" s="5" t="s">
        <v>54</v>
      </c>
      <c r="Q121" s="18">
        <v>1</v>
      </c>
      <c r="R121" s="18">
        <v>0</v>
      </c>
      <c r="S121" s="10">
        <v>1</v>
      </c>
    </row>
    <row r="122" spans="4:19" x14ac:dyDescent="0.25">
      <c r="D122" s="5"/>
      <c r="E122" s="6"/>
      <c r="J122" s="9" t="s">
        <v>71</v>
      </c>
      <c r="K122" s="6"/>
      <c r="L122" s="6">
        <v>1</v>
      </c>
      <c r="M122" s="6"/>
      <c r="N122" s="6">
        <v>1</v>
      </c>
      <c r="P122" s="9" t="s">
        <v>71</v>
      </c>
      <c r="Q122" s="18">
        <v>1</v>
      </c>
      <c r="R122" s="18">
        <v>0</v>
      </c>
      <c r="S122" s="10">
        <v>1</v>
      </c>
    </row>
    <row r="123" spans="4:19" x14ac:dyDescent="0.25">
      <c r="D123" s="5"/>
      <c r="E123" s="6"/>
      <c r="J123" s="5" t="s">
        <v>172</v>
      </c>
      <c r="K123" s="6">
        <v>51</v>
      </c>
      <c r="L123" s="6">
        <v>100</v>
      </c>
      <c r="M123" s="6">
        <v>74</v>
      </c>
      <c r="N123" s="6">
        <v>225</v>
      </c>
      <c r="P123" s="5" t="s">
        <v>172</v>
      </c>
      <c r="Q123" s="18">
        <v>0.94666666666666666</v>
      </c>
      <c r="R123" s="18">
        <v>5.3333333333333337E-2</v>
      </c>
      <c r="S123" s="10">
        <v>1</v>
      </c>
    </row>
    <row r="124" spans="4:19" x14ac:dyDescent="0.25">
      <c r="D124" s="5"/>
      <c r="E124" s="6"/>
      <c r="Q124"/>
      <c r="R124"/>
    </row>
    <row r="125" spans="4:19" x14ac:dyDescent="0.25">
      <c r="D125" s="5"/>
      <c r="E125" s="6"/>
      <c r="Q125"/>
      <c r="R125"/>
    </row>
    <row r="126" spans="4:19" x14ac:dyDescent="0.25">
      <c r="D126" s="5"/>
      <c r="E126" s="6"/>
      <c r="Q126"/>
      <c r="R126"/>
    </row>
    <row r="127" spans="4:19" x14ac:dyDescent="0.25">
      <c r="D127" s="5"/>
      <c r="E127" s="6"/>
      <c r="Q127"/>
      <c r="R127"/>
    </row>
    <row r="128" spans="4:19" x14ac:dyDescent="0.25">
      <c r="D128" s="5"/>
      <c r="E128" s="6"/>
      <c r="Q128"/>
      <c r="R128"/>
    </row>
    <row r="129" spans="4:18" x14ac:dyDescent="0.25">
      <c r="D129" s="5"/>
      <c r="E129" s="6"/>
      <c r="Q129"/>
      <c r="R129"/>
    </row>
    <row r="130" spans="4:18" x14ac:dyDescent="0.25">
      <c r="D130" s="5"/>
      <c r="E130" s="6"/>
      <c r="Q130"/>
      <c r="R130"/>
    </row>
    <row r="131" spans="4:18" x14ac:dyDescent="0.25">
      <c r="D131" s="5"/>
      <c r="E131" s="6"/>
      <c r="Q131"/>
      <c r="R131"/>
    </row>
    <row r="132" spans="4:18" x14ac:dyDescent="0.25">
      <c r="D132" s="5"/>
      <c r="E132" s="6"/>
      <c r="Q132"/>
      <c r="R132"/>
    </row>
    <row r="133" spans="4:18" x14ac:dyDescent="0.25">
      <c r="D133" s="5"/>
      <c r="E133" s="6"/>
      <c r="Q133"/>
      <c r="R133"/>
    </row>
    <row r="134" spans="4:18" x14ac:dyDescent="0.25">
      <c r="D134" s="5"/>
      <c r="E134" s="6"/>
      <c r="Q134"/>
      <c r="R134"/>
    </row>
    <row r="135" spans="4:18" x14ac:dyDescent="0.25">
      <c r="D135" s="5"/>
      <c r="E135" s="6"/>
      <c r="Q135"/>
      <c r="R135"/>
    </row>
    <row r="136" spans="4:18" x14ac:dyDescent="0.25">
      <c r="D136" s="5"/>
      <c r="E136" s="6"/>
      <c r="Q136"/>
      <c r="R136"/>
    </row>
    <row r="137" spans="4:18" x14ac:dyDescent="0.25">
      <c r="D137" s="5"/>
      <c r="E137" s="6"/>
      <c r="Q137"/>
      <c r="R137"/>
    </row>
    <row r="138" spans="4:18" x14ac:dyDescent="0.25">
      <c r="D138" s="5"/>
      <c r="E138" s="6"/>
      <c r="Q138"/>
      <c r="R138"/>
    </row>
    <row r="139" spans="4:18" x14ac:dyDescent="0.25">
      <c r="D139" s="5"/>
      <c r="E139" s="6"/>
      <c r="Q139"/>
      <c r="R139"/>
    </row>
    <row r="140" spans="4:18" x14ac:dyDescent="0.25">
      <c r="D140" s="5"/>
      <c r="E140" s="6"/>
      <c r="Q140"/>
      <c r="R140"/>
    </row>
    <row r="141" spans="4:18" x14ac:dyDescent="0.25">
      <c r="D141" s="5"/>
      <c r="E141" s="6"/>
      <c r="Q141"/>
      <c r="R141"/>
    </row>
    <row r="142" spans="4:18" x14ac:dyDescent="0.25">
      <c r="D142" s="5"/>
      <c r="E142" s="6"/>
      <c r="Q142"/>
      <c r="R142"/>
    </row>
    <row r="143" spans="4:18" x14ac:dyDescent="0.25">
      <c r="D143" s="5"/>
      <c r="E143" s="6"/>
      <c r="Q143"/>
      <c r="R143"/>
    </row>
    <row r="144" spans="4:18" x14ac:dyDescent="0.25">
      <c r="D144" s="5"/>
      <c r="E144" s="6"/>
      <c r="Q144"/>
      <c r="R144"/>
    </row>
    <row r="145" spans="4:18" x14ac:dyDescent="0.25">
      <c r="D145" s="5"/>
      <c r="E145" s="6"/>
      <c r="Q145"/>
      <c r="R145"/>
    </row>
    <row r="146" spans="4:18" x14ac:dyDescent="0.25">
      <c r="D146" s="5"/>
      <c r="E146" s="6"/>
      <c r="Q146"/>
      <c r="R146"/>
    </row>
    <row r="147" spans="4:18" x14ac:dyDescent="0.25">
      <c r="D147" s="5"/>
      <c r="E147" s="6"/>
      <c r="Q147"/>
      <c r="R147"/>
    </row>
    <row r="148" spans="4:18" x14ac:dyDescent="0.25">
      <c r="D148" s="5"/>
      <c r="E148" s="6"/>
      <c r="Q148"/>
      <c r="R148"/>
    </row>
    <row r="149" spans="4:18" x14ac:dyDescent="0.25">
      <c r="D149" s="5"/>
      <c r="E149" s="6"/>
      <c r="Q149"/>
      <c r="R149"/>
    </row>
    <row r="150" spans="4:18" x14ac:dyDescent="0.25">
      <c r="D150" s="5"/>
      <c r="E150" s="6"/>
      <c r="Q150"/>
      <c r="R150"/>
    </row>
    <row r="151" spans="4:18" x14ac:dyDescent="0.25">
      <c r="D151" s="5"/>
      <c r="E151" s="6"/>
      <c r="Q151"/>
      <c r="R151"/>
    </row>
    <row r="152" spans="4:18" x14ac:dyDescent="0.25">
      <c r="D152" s="5"/>
      <c r="E152" s="6"/>
      <c r="Q152"/>
      <c r="R152"/>
    </row>
    <row r="153" spans="4:18" x14ac:dyDescent="0.25">
      <c r="D153" s="5"/>
      <c r="E153" s="6"/>
      <c r="Q153"/>
      <c r="R153"/>
    </row>
    <row r="154" spans="4:18" x14ac:dyDescent="0.25">
      <c r="D154" s="5"/>
      <c r="E154" s="6"/>
      <c r="Q154"/>
      <c r="R154"/>
    </row>
    <row r="155" spans="4:18" x14ac:dyDescent="0.25">
      <c r="D155" s="5"/>
      <c r="E155" s="6"/>
      <c r="Q155"/>
      <c r="R155"/>
    </row>
    <row r="156" spans="4:18" x14ac:dyDescent="0.25">
      <c r="D156" s="5"/>
      <c r="E156" s="6"/>
      <c r="Q156"/>
      <c r="R156"/>
    </row>
    <row r="157" spans="4:18" x14ac:dyDescent="0.25">
      <c r="D157" s="5"/>
      <c r="E157" s="6"/>
      <c r="Q157"/>
      <c r="R157"/>
    </row>
    <row r="158" spans="4:18" x14ac:dyDescent="0.25">
      <c r="D158" s="5"/>
      <c r="E158" s="6"/>
      <c r="Q158"/>
      <c r="R158"/>
    </row>
    <row r="159" spans="4:18" x14ac:dyDescent="0.25">
      <c r="D159" s="5"/>
      <c r="E159" s="6"/>
      <c r="Q159"/>
      <c r="R159"/>
    </row>
    <row r="160" spans="4:18" x14ac:dyDescent="0.25">
      <c r="D160" s="5"/>
      <c r="E160" s="6"/>
      <c r="Q160"/>
      <c r="R160"/>
    </row>
    <row r="161" spans="4:18" x14ac:dyDescent="0.25">
      <c r="D161" s="5"/>
      <c r="E161" s="6"/>
      <c r="Q161"/>
      <c r="R161"/>
    </row>
    <row r="162" spans="4:18" x14ac:dyDescent="0.25">
      <c r="D162" s="5"/>
      <c r="E162" s="6"/>
      <c r="Q162"/>
      <c r="R162"/>
    </row>
    <row r="163" spans="4:18" x14ac:dyDescent="0.25">
      <c r="D163" s="5"/>
      <c r="E163" s="6"/>
      <c r="Q163"/>
      <c r="R163"/>
    </row>
    <row r="164" spans="4:18" x14ac:dyDescent="0.25">
      <c r="D164" s="5"/>
      <c r="E164" s="6"/>
      <c r="Q164"/>
      <c r="R164"/>
    </row>
    <row r="165" spans="4:18" x14ac:dyDescent="0.25">
      <c r="D165" s="5"/>
      <c r="E165" s="6"/>
      <c r="Q165"/>
      <c r="R165"/>
    </row>
    <row r="166" spans="4:18" x14ac:dyDescent="0.25">
      <c r="D166" s="5"/>
      <c r="E166" s="6"/>
      <c r="Q166"/>
      <c r="R166"/>
    </row>
    <row r="167" spans="4:18" x14ac:dyDescent="0.25">
      <c r="D167" s="5"/>
      <c r="E167" s="6"/>
      <c r="Q167"/>
      <c r="R167"/>
    </row>
    <row r="168" spans="4:18" x14ac:dyDescent="0.25">
      <c r="D168" s="5"/>
      <c r="E168" s="6"/>
      <c r="Q168"/>
      <c r="R168"/>
    </row>
    <row r="169" spans="4:18" x14ac:dyDescent="0.25">
      <c r="D169" s="5"/>
      <c r="E169" s="6"/>
      <c r="Q169"/>
      <c r="R169"/>
    </row>
    <row r="170" spans="4:18" x14ac:dyDescent="0.25">
      <c r="D170" s="5"/>
      <c r="E170" s="6"/>
      <c r="Q170"/>
      <c r="R170"/>
    </row>
    <row r="171" spans="4:18" x14ac:dyDescent="0.25">
      <c r="D171" s="5"/>
      <c r="E171" s="6"/>
      <c r="Q171"/>
      <c r="R171"/>
    </row>
    <row r="172" spans="4:18" x14ac:dyDescent="0.25">
      <c r="D172" s="5"/>
      <c r="E172" s="6"/>
      <c r="Q172"/>
      <c r="R172"/>
    </row>
    <row r="173" spans="4:18" x14ac:dyDescent="0.25">
      <c r="D173" s="5"/>
      <c r="E173" s="6"/>
      <c r="Q173"/>
      <c r="R173"/>
    </row>
    <row r="174" spans="4:18" x14ac:dyDescent="0.25">
      <c r="D174" s="5"/>
      <c r="E174" s="6"/>
      <c r="Q174"/>
      <c r="R174"/>
    </row>
    <row r="175" spans="4:18" x14ac:dyDescent="0.25">
      <c r="D175" s="5"/>
      <c r="E175" s="6"/>
      <c r="Q175"/>
      <c r="R175"/>
    </row>
    <row r="176" spans="4:18" x14ac:dyDescent="0.25">
      <c r="D176" s="5"/>
      <c r="E176" s="6"/>
      <c r="Q176"/>
      <c r="R176"/>
    </row>
    <row r="177" spans="4:18" x14ac:dyDescent="0.25">
      <c r="D177" s="5"/>
      <c r="E177" s="6"/>
      <c r="Q177"/>
      <c r="R177"/>
    </row>
    <row r="178" spans="4:18" x14ac:dyDescent="0.25">
      <c r="D178" s="5"/>
      <c r="E178" s="6"/>
      <c r="Q178"/>
      <c r="R178"/>
    </row>
    <row r="179" spans="4:18" x14ac:dyDescent="0.25">
      <c r="D179" s="5"/>
      <c r="E179" s="6"/>
      <c r="Q179"/>
      <c r="R179"/>
    </row>
    <row r="180" spans="4:18" x14ac:dyDescent="0.25">
      <c r="D180" s="5"/>
      <c r="E180" s="6"/>
      <c r="Q180"/>
      <c r="R180"/>
    </row>
    <row r="181" spans="4:18" x14ac:dyDescent="0.25">
      <c r="D181" s="5"/>
      <c r="E181" s="6"/>
      <c r="Q181"/>
      <c r="R181"/>
    </row>
    <row r="182" spans="4:18" x14ac:dyDescent="0.25">
      <c r="D182" s="5"/>
      <c r="E182" s="6"/>
      <c r="Q182"/>
      <c r="R182"/>
    </row>
    <row r="183" spans="4:18" x14ac:dyDescent="0.25">
      <c r="D183" s="5"/>
      <c r="E183" s="6"/>
      <c r="Q183"/>
      <c r="R183"/>
    </row>
    <row r="184" spans="4:18" x14ac:dyDescent="0.25">
      <c r="D184" s="5"/>
      <c r="E184" s="6"/>
      <c r="Q184"/>
      <c r="R184"/>
    </row>
    <row r="185" spans="4:18" x14ac:dyDescent="0.25">
      <c r="D185" s="5"/>
      <c r="E185" s="6"/>
      <c r="Q185"/>
      <c r="R185"/>
    </row>
    <row r="186" spans="4:18" x14ac:dyDescent="0.25">
      <c r="D186" s="5"/>
      <c r="E186" s="6"/>
      <c r="Q186"/>
      <c r="R186"/>
    </row>
    <row r="187" spans="4:18" x14ac:dyDescent="0.25">
      <c r="D187" s="5"/>
      <c r="E187" s="6"/>
      <c r="Q187"/>
      <c r="R187"/>
    </row>
    <row r="188" spans="4:18" x14ac:dyDescent="0.25">
      <c r="D188" s="5"/>
      <c r="E188" s="6"/>
      <c r="Q188"/>
      <c r="R188"/>
    </row>
    <row r="189" spans="4:18" x14ac:dyDescent="0.25">
      <c r="D189" s="5"/>
      <c r="E189" s="6"/>
      <c r="Q189"/>
      <c r="R189"/>
    </row>
    <row r="190" spans="4:18" x14ac:dyDescent="0.25">
      <c r="D190" s="5"/>
      <c r="E190" s="6"/>
      <c r="Q190"/>
      <c r="R190"/>
    </row>
    <row r="191" spans="4:18" x14ac:dyDescent="0.25">
      <c r="D191" s="5"/>
      <c r="E191" s="6"/>
      <c r="Q191"/>
      <c r="R191"/>
    </row>
    <row r="192" spans="4:18" x14ac:dyDescent="0.25">
      <c r="D192" s="5"/>
      <c r="E192" s="6"/>
      <c r="Q192"/>
      <c r="R192"/>
    </row>
    <row r="193" spans="4:18" x14ac:dyDescent="0.25">
      <c r="D193" s="5"/>
      <c r="E193" s="6"/>
      <c r="Q193"/>
      <c r="R193"/>
    </row>
    <row r="194" spans="4:18" x14ac:dyDescent="0.25">
      <c r="D194" s="5"/>
      <c r="E194" s="6"/>
      <c r="Q194"/>
      <c r="R194"/>
    </row>
    <row r="195" spans="4:18" x14ac:dyDescent="0.25">
      <c r="D195" s="5"/>
      <c r="E195" s="6"/>
      <c r="Q195"/>
      <c r="R195"/>
    </row>
    <row r="196" spans="4:18" x14ac:dyDescent="0.25">
      <c r="D196" s="5"/>
      <c r="E196" s="6"/>
      <c r="Q196"/>
      <c r="R196"/>
    </row>
    <row r="197" spans="4:18" x14ac:dyDescent="0.25">
      <c r="D197" s="5"/>
      <c r="E197" s="6"/>
      <c r="Q197"/>
      <c r="R197"/>
    </row>
    <row r="198" spans="4:18" x14ac:dyDescent="0.25">
      <c r="D198" s="5"/>
      <c r="E198" s="6"/>
      <c r="Q198"/>
      <c r="R198"/>
    </row>
    <row r="199" spans="4:18" x14ac:dyDescent="0.25">
      <c r="Q199"/>
      <c r="R199"/>
    </row>
    <row r="200" spans="4:18" x14ac:dyDescent="0.25">
      <c r="Q200"/>
      <c r="R200"/>
    </row>
    <row r="201" spans="4:18" x14ac:dyDescent="0.25">
      <c r="Q201"/>
      <c r="R201"/>
    </row>
    <row r="202" spans="4:18" x14ac:dyDescent="0.25">
      <c r="Q202"/>
      <c r="R202"/>
    </row>
    <row r="203" spans="4:18" x14ac:dyDescent="0.25">
      <c r="Q203"/>
      <c r="R203"/>
    </row>
    <row r="204" spans="4:18" x14ac:dyDescent="0.25">
      <c r="Q204"/>
      <c r="R204"/>
    </row>
    <row r="205" spans="4:18" x14ac:dyDescent="0.25">
      <c r="Q205"/>
      <c r="R205"/>
    </row>
    <row r="206" spans="4:18" x14ac:dyDescent="0.25">
      <c r="Q206"/>
      <c r="R206"/>
    </row>
    <row r="207" spans="4:18" x14ac:dyDescent="0.25">
      <c r="Q207"/>
      <c r="R207"/>
    </row>
    <row r="208" spans="4:18" x14ac:dyDescent="0.25">
      <c r="Q208"/>
      <c r="R208"/>
    </row>
    <row r="209" spans="17:18" x14ac:dyDescent="0.25">
      <c r="Q209"/>
      <c r="R209"/>
    </row>
    <row r="210" spans="17:18" x14ac:dyDescent="0.25">
      <c r="Q210"/>
      <c r="R210"/>
    </row>
    <row r="211" spans="17:18" x14ac:dyDescent="0.25">
      <c r="Q211"/>
      <c r="R211"/>
    </row>
    <row r="212" spans="17:18" x14ac:dyDescent="0.25">
      <c r="Q212"/>
      <c r="R212"/>
    </row>
    <row r="213" spans="17:18" x14ac:dyDescent="0.25">
      <c r="Q213"/>
      <c r="R213"/>
    </row>
    <row r="214" spans="17:18" x14ac:dyDescent="0.25">
      <c r="Q214"/>
      <c r="R214"/>
    </row>
    <row r="215" spans="17:18" x14ac:dyDescent="0.25">
      <c r="Q215"/>
      <c r="R215"/>
    </row>
    <row r="216" spans="17:18" x14ac:dyDescent="0.25">
      <c r="Q216"/>
      <c r="R216"/>
    </row>
    <row r="217" spans="17:18" x14ac:dyDescent="0.25">
      <c r="Q217"/>
      <c r="R217"/>
    </row>
    <row r="218" spans="17:18" x14ac:dyDescent="0.25">
      <c r="Q218"/>
      <c r="R218"/>
    </row>
    <row r="219" spans="17:18" x14ac:dyDescent="0.25">
      <c r="Q219"/>
      <c r="R219"/>
    </row>
    <row r="220" spans="17:18" x14ac:dyDescent="0.25">
      <c r="Q220"/>
      <c r="R220"/>
    </row>
    <row r="221" spans="17:18" x14ac:dyDescent="0.25">
      <c r="Q221"/>
      <c r="R221"/>
    </row>
    <row r="222" spans="17:18" x14ac:dyDescent="0.25">
      <c r="Q222"/>
      <c r="R222"/>
    </row>
    <row r="223" spans="17:18" x14ac:dyDescent="0.25">
      <c r="Q223"/>
      <c r="R223"/>
    </row>
    <row r="224" spans="17:18" x14ac:dyDescent="0.25">
      <c r="Q224"/>
      <c r="R224"/>
    </row>
    <row r="225" spans="17:18" x14ac:dyDescent="0.25">
      <c r="Q225"/>
      <c r="R225"/>
    </row>
    <row r="226" spans="17:18" x14ac:dyDescent="0.25">
      <c r="Q226"/>
      <c r="R226"/>
    </row>
    <row r="227" spans="17:18" x14ac:dyDescent="0.25">
      <c r="Q227"/>
      <c r="R227"/>
    </row>
    <row r="228" spans="17:18" x14ac:dyDescent="0.25">
      <c r="Q228"/>
      <c r="R228"/>
    </row>
    <row r="229" spans="17:18" x14ac:dyDescent="0.25">
      <c r="Q229"/>
      <c r="R229"/>
    </row>
    <row r="230" spans="17:18" x14ac:dyDescent="0.25">
      <c r="Q230"/>
      <c r="R230"/>
    </row>
    <row r="231" spans="17:18" x14ac:dyDescent="0.25">
      <c r="Q231"/>
      <c r="R231"/>
    </row>
    <row r="232" spans="17:18" x14ac:dyDescent="0.25">
      <c r="Q232"/>
      <c r="R232"/>
    </row>
    <row r="233" spans="17:18" x14ac:dyDescent="0.25">
      <c r="Q233"/>
      <c r="R233"/>
    </row>
    <row r="234" spans="17:18" x14ac:dyDescent="0.25">
      <c r="Q234"/>
      <c r="R234"/>
    </row>
    <row r="235" spans="17:18" x14ac:dyDescent="0.25">
      <c r="Q235"/>
      <c r="R235"/>
    </row>
    <row r="236" spans="17:18" x14ac:dyDescent="0.25">
      <c r="Q236"/>
      <c r="R236"/>
    </row>
    <row r="237" spans="17:18" x14ac:dyDescent="0.25">
      <c r="Q237"/>
      <c r="R237"/>
    </row>
    <row r="238" spans="17:18" x14ac:dyDescent="0.25">
      <c r="Q238"/>
      <c r="R238"/>
    </row>
    <row r="239" spans="17:18" x14ac:dyDescent="0.25">
      <c r="Q239"/>
      <c r="R239"/>
    </row>
    <row r="240" spans="17:18" x14ac:dyDescent="0.25">
      <c r="Q240"/>
      <c r="R240"/>
    </row>
    <row r="241" spans="17:18" x14ac:dyDescent="0.25">
      <c r="Q241"/>
      <c r="R241"/>
    </row>
    <row r="242" spans="17:18" x14ac:dyDescent="0.25">
      <c r="Q242"/>
      <c r="R242"/>
    </row>
    <row r="243" spans="17:18" x14ac:dyDescent="0.25">
      <c r="Q243"/>
      <c r="R243"/>
    </row>
    <row r="244" spans="17:18" x14ac:dyDescent="0.25">
      <c r="Q244"/>
      <c r="R244"/>
    </row>
    <row r="245" spans="17:18" x14ac:dyDescent="0.25">
      <c r="Q245"/>
      <c r="R245"/>
    </row>
    <row r="246" spans="17:18" x14ac:dyDescent="0.25">
      <c r="Q246"/>
      <c r="R246"/>
    </row>
    <row r="247" spans="17:18" x14ac:dyDescent="0.25">
      <c r="Q247"/>
      <c r="R247"/>
    </row>
    <row r="248" spans="17:18" x14ac:dyDescent="0.25">
      <c r="Q248"/>
      <c r="R248"/>
    </row>
    <row r="249" spans="17:18" x14ac:dyDescent="0.25">
      <c r="Q249"/>
      <c r="R249"/>
    </row>
    <row r="250" spans="17:18" x14ac:dyDescent="0.25">
      <c r="Q250"/>
      <c r="R250"/>
    </row>
    <row r="251" spans="17:18" x14ac:dyDescent="0.25">
      <c r="Q251"/>
      <c r="R251"/>
    </row>
    <row r="252" spans="17:18" x14ac:dyDescent="0.25">
      <c r="Q252"/>
      <c r="R252"/>
    </row>
    <row r="253" spans="17:18" x14ac:dyDescent="0.25">
      <c r="Q253"/>
      <c r="R253"/>
    </row>
    <row r="254" spans="17:18" x14ac:dyDescent="0.25">
      <c r="Q254"/>
      <c r="R254"/>
    </row>
    <row r="255" spans="17:18" x14ac:dyDescent="0.25">
      <c r="Q255"/>
      <c r="R255"/>
    </row>
    <row r="256" spans="17:18" x14ac:dyDescent="0.25">
      <c r="Q256"/>
      <c r="R256"/>
    </row>
    <row r="257" spans="17:18" x14ac:dyDescent="0.25">
      <c r="Q257"/>
      <c r="R257"/>
    </row>
    <row r="258" spans="17:18" x14ac:dyDescent="0.25">
      <c r="Q258"/>
      <c r="R258"/>
    </row>
    <row r="259" spans="17:18" x14ac:dyDescent="0.25">
      <c r="Q259"/>
      <c r="R259"/>
    </row>
    <row r="260" spans="17:18" x14ac:dyDescent="0.25">
      <c r="Q260"/>
      <c r="R260"/>
    </row>
    <row r="261" spans="17:18" x14ac:dyDescent="0.25">
      <c r="Q261"/>
      <c r="R261"/>
    </row>
    <row r="262" spans="17:18" x14ac:dyDescent="0.25">
      <c r="Q262"/>
      <c r="R262"/>
    </row>
    <row r="263" spans="17:18" x14ac:dyDescent="0.25">
      <c r="Q263"/>
      <c r="R263"/>
    </row>
    <row r="264" spans="17:18" x14ac:dyDescent="0.25">
      <c r="Q264"/>
      <c r="R264"/>
    </row>
    <row r="265" spans="17:18" x14ac:dyDescent="0.25">
      <c r="Q265"/>
      <c r="R265"/>
    </row>
    <row r="266" spans="17:18" x14ac:dyDescent="0.25">
      <c r="Q266"/>
      <c r="R266"/>
    </row>
    <row r="267" spans="17:18" x14ac:dyDescent="0.25">
      <c r="Q267"/>
      <c r="R267"/>
    </row>
    <row r="268" spans="17:18" x14ac:dyDescent="0.25">
      <c r="Q268"/>
      <c r="R268"/>
    </row>
    <row r="269" spans="17:18" x14ac:dyDescent="0.25">
      <c r="Q269"/>
      <c r="R269"/>
    </row>
    <row r="270" spans="17:18" x14ac:dyDescent="0.25">
      <c r="Q270"/>
      <c r="R270"/>
    </row>
    <row r="271" spans="17:18" x14ac:dyDescent="0.25">
      <c r="Q271"/>
      <c r="R271"/>
    </row>
    <row r="272" spans="17:18" x14ac:dyDescent="0.25">
      <c r="Q272"/>
      <c r="R272"/>
    </row>
    <row r="273" spans="17:18" x14ac:dyDescent="0.25">
      <c r="Q273"/>
      <c r="R273"/>
    </row>
    <row r="274" spans="17:18" x14ac:dyDescent="0.25">
      <c r="Q274"/>
      <c r="R274"/>
    </row>
    <row r="275" spans="17:18" x14ac:dyDescent="0.25">
      <c r="Q275"/>
      <c r="R275"/>
    </row>
    <row r="276" spans="17:18" x14ac:dyDescent="0.25">
      <c r="Q276"/>
      <c r="R276"/>
    </row>
    <row r="277" spans="17:18" x14ac:dyDescent="0.25">
      <c r="Q277"/>
      <c r="R277"/>
    </row>
    <row r="278" spans="17:18" x14ac:dyDescent="0.25">
      <c r="Q278"/>
      <c r="R278"/>
    </row>
    <row r="279" spans="17:18" x14ac:dyDescent="0.25">
      <c r="Q279"/>
      <c r="R279"/>
    </row>
    <row r="280" spans="17:18" x14ac:dyDescent="0.25">
      <c r="Q280"/>
      <c r="R280"/>
    </row>
    <row r="281" spans="17:18" x14ac:dyDescent="0.25">
      <c r="Q281"/>
      <c r="R281"/>
    </row>
    <row r="282" spans="17:18" x14ac:dyDescent="0.25">
      <c r="Q282"/>
      <c r="R282"/>
    </row>
    <row r="283" spans="17:18" x14ac:dyDescent="0.25">
      <c r="Q283"/>
      <c r="R283"/>
    </row>
    <row r="284" spans="17:18" x14ac:dyDescent="0.25">
      <c r="Q284"/>
      <c r="R284"/>
    </row>
    <row r="285" spans="17:18" x14ac:dyDescent="0.25">
      <c r="Q285"/>
      <c r="R285"/>
    </row>
    <row r="286" spans="17:18" x14ac:dyDescent="0.25">
      <c r="Q286"/>
      <c r="R286"/>
    </row>
    <row r="287" spans="17:18" x14ac:dyDescent="0.25">
      <c r="Q287"/>
      <c r="R287"/>
    </row>
    <row r="288" spans="17:18" x14ac:dyDescent="0.25">
      <c r="Q288"/>
      <c r="R288"/>
    </row>
    <row r="289" spans="17:18" x14ac:dyDescent="0.25">
      <c r="Q289"/>
      <c r="R289"/>
    </row>
    <row r="290" spans="17:18" x14ac:dyDescent="0.25">
      <c r="Q290"/>
      <c r="R290"/>
    </row>
    <row r="291" spans="17:18" x14ac:dyDescent="0.25">
      <c r="Q291"/>
      <c r="R291"/>
    </row>
    <row r="292" spans="17:18" x14ac:dyDescent="0.25">
      <c r="Q292"/>
      <c r="R292"/>
    </row>
    <row r="293" spans="17:18" x14ac:dyDescent="0.25">
      <c r="Q293"/>
      <c r="R293"/>
    </row>
    <row r="294" spans="17:18" x14ac:dyDescent="0.25">
      <c r="Q294"/>
      <c r="R294"/>
    </row>
    <row r="295" spans="17:18" x14ac:dyDescent="0.25">
      <c r="Q295"/>
      <c r="R295"/>
    </row>
    <row r="296" spans="17:18" x14ac:dyDescent="0.25">
      <c r="Q296"/>
      <c r="R296"/>
    </row>
    <row r="297" spans="17:18" x14ac:dyDescent="0.25">
      <c r="Q297"/>
      <c r="R297"/>
    </row>
    <row r="298" spans="17:18" x14ac:dyDescent="0.25">
      <c r="Q298"/>
      <c r="R298"/>
    </row>
    <row r="299" spans="17:18" x14ac:dyDescent="0.25">
      <c r="Q299"/>
      <c r="R299"/>
    </row>
    <row r="300" spans="17:18" x14ac:dyDescent="0.25">
      <c r="Q300"/>
      <c r="R300"/>
    </row>
    <row r="301" spans="17:18" x14ac:dyDescent="0.25">
      <c r="Q301"/>
      <c r="R301"/>
    </row>
    <row r="302" spans="17:18" x14ac:dyDescent="0.25">
      <c r="Q302"/>
      <c r="R302"/>
    </row>
    <row r="303" spans="17:18" x14ac:dyDescent="0.25">
      <c r="Q303"/>
      <c r="R303"/>
    </row>
    <row r="304" spans="17:18" x14ac:dyDescent="0.25">
      <c r="Q304"/>
      <c r="R304"/>
    </row>
    <row r="305" spans="17:18" x14ac:dyDescent="0.25">
      <c r="Q305"/>
      <c r="R305"/>
    </row>
    <row r="306" spans="17:18" x14ac:dyDescent="0.25">
      <c r="Q306"/>
      <c r="R306"/>
    </row>
    <row r="307" spans="17:18" x14ac:dyDescent="0.25">
      <c r="Q307"/>
      <c r="R307"/>
    </row>
    <row r="308" spans="17:18" x14ac:dyDescent="0.25">
      <c r="Q308"/>
      <c r="R308"/>
    </row>
    <row r="309" spans="17:18" x14ac:dyDescent="0.25">
      <c r="Q309"/>
      <c r="R309"/>
    </row>
    <row r="310" spans="17:18" x14ac:dyDescent="0.25">
      <c r="Q310"/>
      <c r="R310"/>
    </row>
    <row r="311" spans="17:18" x14ac:dyDescent="0.25">
      <c r="Q311"/>
      <c r="R311"/>
    </row>
    <row r="312" spans="17:18" x14ac:dyDescent="0.25">
      <c r="Q312"/>
      <c r="R312"/>
    </row>
    <row r="313" spans="17:18" x14ac:dyDescent="0.25">
      <c r="Q313"/>
      <c r="R313"/>
    </row>
    <row r="314" spans="17:18" x14ac:dyDescent="0.25">
      <c r="Q314"/>
      <c r="R314"/>
    </row>
    <row r="315" spans="17:18" x14ac:dyDescent="0.25">
      <c r="Q315"/>
      <c r="R315"/>
    </row>
    <row r="316" spans="17:18" x14ac:dyDescent="0.25">
      <c r="Q316"/>
      <c r="R316"/>
    </row>
    <row r="317" spans="17:18" x14ac:dyDescent="0.25">
      <c r="Q317"/>
      <c r="R317"/>
    </row>
    <row r="318" spans="17:18" x14ac:dyDescent="0.25">
      <c r="Q318"/>
      <c r="R318"/>
    </row>
    <row r="319" spans="17:18" x14ac:dyDescent="0.25">
      <c r="Q319"/>
      <c r="R319"/>
    </row>
    <row r="320" spans="17:18" x14ac:dyDescent="0.25">
      <c r="Q320"/>
      <c r="R320"/>
    </row>
    <row r="321" spans="17:18" x14ac:dyDescent="0.25">
      <c r="Q321"/>
      <c r="R321"/>
    </row>
    <row r="322" spans="17:18" x14ac:dyDescent="0.25">
      <c r="Q322"/>
      <c r="R322"/>
    </row>
    <row r="323" spans="17:18" x14ac:dyDescent="0.25">
      <c r="Q323"/>
      <c r="R323"/>
    </row>
    <row r="324" spans="17:18" x14ac:dyDescent="0.25">
      <c r="Q324"/>
      <c r="R324"/>
    </row>
    <row r="325" spans="17:18" x14ac:dyDescent="0.25">
      <c r="Q325"/>
      <c r="R325"/>
    </row>
    <row r="326" spans="17:18" x14ac:dyDescent="0.25">
      <c r="Q326"/>
      <c r="R326"/>
    </row>
    <row r="327" spans="17:18" x14ac:dyDescent="0.25">
      <c r="Q327"/>
      <c r="R327"/>
    </row>
    <row r="328" spans="17:18" x14ac:dyDescent="0.25">
      <c r="Q328"/>
      <c r="R328"/>
    </row>
    <row r="329" spans="17:18" x14ac:dyDescent="0.25">
      <c r="Q329"/>
      <c r="R329"/>
    </row>
    <row r="330" spans="17:18" x14ac:dyDescent="0.25">
      <c r="Q330"/>
      <c r="R330"/>
    </row>
    <row r="331" spans="17:18" x14ac:dyDescent="0.25">
      <c r="Q331"/>
      <c r="R331"/>
    </row>
    <row r="332" spans="17:18" x14ac:dyDescent="0.25">
      <c r="Q332"/>
      <c r="R332"/>
    </row>
    <row r="333" spans="17:18" x14ac:dyDescent="0.25">
      <c r="Q333"/>
      <c r="R333"/>
    </row>
    <row r="334" spans="17:18" x14ac:dyDescent="0.25">
      <c r="Q334"/>
      <c r="R334"/>
    </row>
    <row r="335" spans="17:18" x14ac:dyDescent="0.25">
      <c r="Q335"/>
      <c r="R335"/>
    </row>
    <row r="336" spans="17:18" x14ac:dyDescent="0.25">
      <c r="Q336"/>
      <c r="R336"/>
    </row>
    <row r="337" spans="17:18" x14ac:dyDescent="0.25">
      <c r="Q337"/>
      <c r="R337"/>
    </row>
    <row r="338" spans="17:18" x14ac:dyDescent="0.25">
      <c r="Q338"/>
      <c r="R338"/>
    </row>
    <row r="339" spans="17:18" x14ac:dyDescent="0.25">
      <c r="Q339"/>
      <c r="R339"/>
    </row>
    <row r="340" spans="17:18" x14ac:dyDescent="0.25">
      <c r="Q340"/>
      <c r="R340"/>
    </row>
    <row r="341" spans="17:18" x14ac:dyDescent="0.25">
      <c r="Q341"/>
      <c r="R341"/>
    </row>
    <row r="342" spans="17:18" x14ac:dyDescent="0.25">
      <c r="Q342"/>
      <c r="R342"/>
    </row>
    <row r="343" spans="17:18" x14ac:dyDescent="0.25">
      <c r="Q343"/>
      <c r="R343"/>
    </row>
    <row r="344" spans="17:18" x14ac:dyDescent="0.25">
      <c r="Q344"/>
      <c r="R344"/>
    </row>
    <row r="345" spans="17:18" x14ac:dyDescent="0.25">
      <c r="Q345"/>
      <c r="R345"/>
    </row>
    <row r="346" spans="17:18" x14ac:dyDescent="0.25">
      <c r="Q346"/>
      <c r="R346"/>
    </row>
    <row r="347" spans="17:18" x14ac:dyDescent="0.25">
      <c r="Q347"/>
      <c r="R347"/>
    </row>
    <row r="348" spans="17:18" x14ac:dyDescent="0.25">
      <c r="Q348"/>
      <c r="R348"/>
    </row>
    <row r="349" spans="17:18" x14ac:dyDescent="0.25">
      <c r="Q349"/>
      <c r="R349"/>
    </row>
    <row r="350" spans="17:18" x14ac:dyDescent="0.25">
      <c r="Q350"/>
      <c r="R350"/>
    </row>
    <row r="351" spans="17:18" x14ac:dyDescent="0.25">
      <c r="Q351"/>
      <c r="R351"/>
    </row>
    <row r="352" spans="17:18" x14ac:dyDescent="0.25">
      <c r="Q352"/>
      <c r="R352"/>
    </row>
    <row r="353" spans="17:18" x14ac:dyDescent="0.25">
      <c r="Q353"/>
      <c r="R353"/>
    </row>
    <row r="354" spans="17:18" x14ac:dyDescent="0.25">
      <c r="Q354"/>
      <c r="R354"/>
    </row>
    <row r="355" spans="17:18" x14ac:dyDescent="0.25">
      <c r="Q355"/>
      <c r="R355"/>
    </row>
    <row r="356" spans="17:18" x14ac:dyDescent="0.25">
      <c r="Q356"/>
      <c r="R356"/>
    </row>
    <row r="357" spans="17:18" x14ac:dyDescent="0.25">
      <c r="Q357"/>
      <c r="R357"/>
    </row>
    <row r="358" spans="17:18" x14ac:dyDescent="0.25">
      <c r="Q358"/>
      <c r="R358"/>
    </row>
    <row r="359" spans="17:18" x14ac:dyDescent="0.25">
      <c r="Q359"/>
      <c r="R359"/>
    </row>
    <row r="360" spans="17:18" x14ac:dyDescent="0.25">
      <c r="Q360"/>
      <c r="R360"/>
    </row>
    <row r="361" spans="17:18" x14ac:dyDescent="0.25">
      <c r="Q361"/>
      <c r="R361"/>
    </row>
    <row r="362" spans="17:18" x14ac:dyDescent="0.25">
      <c r="Q362"/>
      <c r="R362"/>
    </row>
    <row r="363" spans="17:18" x14ac:dyDescent="0.25">
      <c r="Q363"/>
      <c r="R363"/>
    </row>
    <row r="364" spans="17:18" x14ac:dyDescent="0.25">
      <c r="Q364"/>
      <c r="R364"/>
    </row>
    <row r="365" spans="17:18" x14ac:dyDescent="0.25">
      <c r="Q365"/>
      <c r="R365"/>
    </row>
    <row r="366" spans="17:18" x14ac:dyDescent="0.25">
      <c r="Q366"/>
      <c r="R366"/>
    </row>
    <row r="367" spans="17:18" x14ac:dyDescent="0.25">
      <c r="Q367"/>
      <c r="R367"/>
    </row>
    <row r="368" spans="17:18" x14ac:dyDescent="0.25">
      <c r="Q368"/>
      <c r="R368"/>
    </row>
    <row r="369" spans="17:18" x14ac:dyDescent="0.25">
      <c r="Q369"/>
      <c r="R369"/>
    </row>
    <row r="370" spans="17:18" x14ac:dyDescent="0.25">
      <c r="Q370"/>
      <c r="R370"/>
    </row>
    <row r="371" spans="17:18" x14ac:dyDescent="0.25">
      <c r="Q371"/>
      <c r="R371"/>
    </row>
    <row r="372" spans="17:18" x14ac:dyDescent="0.25">
      <c r="Q372"/>
      <c r="R372"/>
    </row>
    <row r="373" spans="17:18" x14ac:dyDescent="0.25">
      <c r="Q373"/>
      <c r="R373"/>
    </row>
    <row r="374" spans="17:18" x14ac:dyDescent="0.25">
      <c r="Q374"/>
      <c r="R374"/>
    </row>
    <row r="375" spans="17:18" x14ac:dyDescent="0.25">
      <c r="Q375"/>
      <c r="R375"/>
    </row>
    <row r="376" spans="17:18" x14ac:dyDescent="0.25">
      <c r="Q376"/>
      <c r="R376"/>
    </row>
    <row r="377" spans="17:18" x14ac:dyDescent="0.25">
      <c r="Q377"/>
      <c r="R377"/>
    </row>
    <row r="378" spans="17:18" x14ac:dyDescent="0.25">
      <c r="Q378"/>
      <c r="R378"/>
    </row>
    <row r="379" spans="17:18" x14ac:dyDescent="0.25">
      <c r="Q379"/>
      <c r="R379"/>
    </row>
    <row r="380" spans="17:18" x14ac:dyDescent="0.25">
      <c r="Q380"/>
      <c r="R380"/>
    </row>
    <row r="381" spans="17:18" x14ac:dyDescent="0.25">
      <c r="Q381"/>
      <c r="R381"/>
    </row>
    <row r="382" spans="17:18" x14ac:dyDescent="0.25">
      <c r="Q382"/>
      <c r="R382"/>
    </row>
    <row r="383" spans="17:18" x14ac:dyDescent="0.25">
      <c r="Q383"/>
      <c r="R383"/>
    </row>
    <row r="384" spans="17:18" x14ac:dyDescent="0.25">
      <c r="Q384"/>
      <c r="R384"/>
    </row>
    <row r="385" spans="17:18" x14ac:dyDescent="0.25">
      <c r="Q385"/>
      <c r="R385"/>
    </row>
    <row r="386" spans="17:18" x14ac:dyDescent="0.25">
      <c r="Q386"/>
      <c r="R386"/>
    </row>
    <row r="387" spans="17:18" x14ac:dyDescent="0.25">
      <c r="Q387"/>
      <c r="R387"/>
    </row>
    <row r="388" spans="17:18" x14ac:dyDescent="0.25">
      <c r="Q388"/>
      <c r="R388"/>
    </row>
    <row r="389" spans="17:18" x14ac:dyDescent="0.25">
      <c r="Q389"/>
      <c r="R389"/>
    </row>
    <row r="390" spans="17:18" x14ac:dyDescent="0.25">
      <c r="Q390"/>
      <c r="R390"/>
    </row>
    <row r="391" spans="17:18" x14ac:dyDescent="0.25">
      <c r="Q391"/>
      <c r="R391"/>
    </row>
    <row r="392" spans="17:18" x14ac:dyDescent="0.25">
      <c r="Q392"/>
      <c r="R392"/>
    </row>
    <row r="393" spans="17:18" x14ac:dyDescent="0.25">
      <c r="Q393"/>
      <c r="R393"/>
    </row>
    <row r="394" spans="17:18" x14ac:dyDescent="0.25">
      <c r="Q394"/>
      <c r="R394"/>
    </row>
    <row r="395" spans="17:18" x14ac:dyDescent="0.25">
      <c r="Q395"/>
      <c r="R395"/>
    </row>
    <row r="396" spans="17:18" x14ac:dyDescent="0.25">
      <c r="Q396"/>
      <c r="R396"/>
    </row>
    <row r="397" spans="17:18" x14ac:dyDescent="0.25">
      <c r="Q397"/>
      <c r="R397"/>
    </row>
    <row r="398" spans="17:18" x14ac:dyDescent="0.25">
      <c r="Q398"/>
      <c r="R398"/>
    </row>
    <row r="399" spans="17:18" x14ac:dyDescent="0.25">
      <c r="Q399"/>
      <c r="R399"/>
    </row>
    <row r="400" spans="17:18" x14ac:dyDescent="0.25">
      <c r="Q400"/>
      <c r="R400"/>
    </row>
    <row r="401" spans="17:18" x14ac:dyDescent="0.25">
      <c r="Q401"/>
      <c r="R401"/>
    </row>
    <row r="402" spans="17:18" x14ac:dyDescent="0.25">
      <c r="Q402"/>
      <c r="R402"/>
    </row>
    <row r="403" spans="17:18" x14ac:dyDescent="0.25">
      <c r="Q403"/>
      <c r="R403"/>
    </row>
    <row r="404" spans="17:18" x14ac:dyDescent="0.25">
      <c r="Q404"/>
      <c r="R404"/>
    </row>
    <row r="405" spans="17:18" x14ac:dyDescent="0.25">
      <c r="Q405"/>
      <c r="R405"/>
    </row>
    <row r="406" spans="17:18" x14ac:dyDescent="0.25">
      <c r="Q406"/>
      <c r="R406"/>
    </row>
    <row r="407" spans="17:18" x14ac:dyDescent="0.25">
      <c r="Q407"/>
      <c r="R407"/>
    </row>
    <row r="408" spans="17:18" x14ac:dyDescent="0.25">
      <c r="Q408"/>
      <c r="R408"/>
    </row>
    <row r="409" spans="17:18" x14ac:dyDescent="0.25">
      <c r="Q409"/>
      <c r="R409"/>
    </row>
    <row r="410" spans="17:18" x14ac:dyDescent="0.25">
      <c r="Q410"/>
      <c r="R410"/>
    </row>
    <row r="411" spans="17:18" x14ac:dyDescent="0.25">
      <c r="Q411"/>
      <c r="R411"/>
    </row>
    <row r="412" spans="17:18" x14ac:dyDescent="0.25">
      <c r="Q412"/>
      <c r="R412"/>
    </row>
    <row r="413" spans="17:18" x14ac:dyDescent="0.25">
      <c r="Q413"/>
      <c r="R413"/>
    </row>
    <row r="414" spans="17:18" x14ac:dyDescent="0.25">
      <c r="Q414"/>
      <c r="R414"/>
    </row>
    <row r="415" spans="17:18" x14ac:dyDescent="0.25">
      <c r="Q415"/>
      <c r="R415"/>
    </row>
    <row r="416" spans="17:18" x14ac:dyDescent="0.25">
      <c r="Q416"/>
      <c r="R416"/>
    </row>
    <row r="417" spans="17:18" x14ac:dyDescent="0.25">
      <c r="Q417"/>
      <c r="R417"/>
    </row>
    <row r="418" spans="17:18" x14ac:dyDescent="0.25">
      <c r="Q418"/>
      <c r="R418"/>
    </row>
    <row r="419" spans="17:18" x14ac:dyDescent="0.25">
      <c r="Q419"/>
      <c r="R419"/>
    </row>
    <row r="420" spans="17:18" x14ac:dyDescent="0.25">
      <c r="Q420"/>
      <c r="R420"/>
    </row>
    <row r="421" spans="17:18" x14ac:dyDescent="0.25">
      <c r="Q421"/>
      <c r="R421"/>
    </row>
    <row r="422" spans="17:18" x14ac:dyDescent="0.25">
      <c r="Q422"/>
      <c r="R422"/>
    </row>
    <row r="423" spans="17:18" x14ac:dyDescent="0.25">
      <c r="Q423"/>
      <c r="R423"/>
    </row>
    <row r="424" spans="17:18" x14ac:dyDescent="0.25">
      <c r="Q424"/>
      <c r="R424"/>
    </row>
    <row r="425" spans="17:18" x14ac:dyDescent="0.25">
      <c r="Q425"/>
      <c r="R425"/>
    </row>
    <row r="426" spans="17:18" x14ac:dyDescent="0.25">
      <c r="Q426"/>
      <c r="R426"/>
    </row>
    <row r="427" spans="17:18" x14ac:dyDescent="0.25">
      <c r="Q427"/>
      <c r="R427"/>
    </row>
    <row r="428" spans="17:18" x14ac:dyDescent="0.25">
      <c r="Q428"/>
      <c r="R428"/>
    </row>
  </sheetData>
  <pageMargins left="0.7" right="0.7" top="0.75" bottom="0.75" header="0.3" footer="0.3"/>
  <pageSetup paperSize="9" orientation="portrait" r:id="rId5"/>
  <drawing r:id="rId6"/>
  <extLst>
    <ext xmlns:x14="http://schemas.microsoft.com/office/spreadsheetml/2009/9/main" uri="{A8765BA9-456A-4dab-B4F3-ACF838C121DE}">
      <x14:slicerList>
        <x14:slicer r:id="rId7"/>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Awb_Details_Inbound_ProcessOrIn</vt:lpstr>
      <vt:lpstr>PRESORT INFEED</vt:lpstr>
    </vt:vector>
  </TitlesOfParts>
  <Company>FedEx</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Henri Tanhchaleun</dc:creator>
  <cp:lastModifiedBy>Ellias Saci</cp:lastModifiedBy>
  <dcterms:created xsi:type="dcterms:W3CDTF">2019-11-19T17:11:55Z</dcterms:created>
  <dcterms:modified xsi:type="dcterms:W3CDTF">2019-11-20T23:54:37Z</dcterms:modified>
  <cp:contentStatus/>
</cp:coreProperties>
</file>